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roshchupkin\Desktop\"/>
    </mc:Choice>
  </mc:AlternateContent>
  <bookViews>
    <workbookView xWindow="0" yWindow="0" windowWidth="7485" windowHeight="4110" activeTab="3"/>
  </bookViews>
  <sheets>
    <sheet name="Д Райский" sheetId="1" r:id="rId1"/>
    <sheet name="Чумак" sheetId="2" r:id="rId2"/>
    <sheet name="Евсеева" sheetId="3" r:id="rId3"/>
    <sheet name="Прочие" sheetId="12" r:id="rId4"/>
    <sheet name="График" sheetId="11" r:id="rId5"/>
    <sheet name="Svodn" sheetId="4" r:id="rId6"/>
    <sheet name="РАСШИФРОВКА" sheetId="5" r:id="rId7"/>
    <sheet name="Платежи" sheetId="6" r:id="rId8"/>
    <sheet name="Маркетинг по поставщикам" sheetId="7" r:id="rId9"/>
    <sheet name="Лист2" sheetId="8" r:id="rId10"/>
    <sheet name="Лист1" sheetId="9" r:id="rId11"/>
    <sheet name="FIX" sheetId="10" r:id="rId12"/>
  </sheets>
  <definedNames>
    <definedName name="_xlnm._FilterDatabase" localSheetId="5" hidden="1">Svodn!$A$1:$L$31</definedName>
    <definedName name="_xlnm._FilterDatabase" localSheetId="4" hidden="1">График!$A$2:$CP$2</definedName>
    <definedName name="_xlnm._FilterDatabase" localSheetId="8" hidden="1">'Маркетинг по поставщикам'!$A$3:$BH$3</definedName>
    <definedName name="_xlnm._FilterDatabase" localSheetId="7" hidden="1">Платежи!$A$1:$G$2332</definedName>
  </definedNames>
  <calcPr calcId="162913" refMode="R1C1"/>
</workbook>
</file>

<file path=xl/calcChain.xml><?xml version="1.0" encoding="utf-8"?>
<calcChain xmlns="http://schemas.openxmlformats.org/spreadsheetml/2006/main">
  <c r="E4048" i="12" l="1"/>
  <c r="E4047" i="12"/>
  <c r="E4046" i="12"/>
  <c r="E4045" i="12"/>
  <c r="E4044" i="12"/>
  <c r="E4043" i="12"/>
  <c r="E4042" i="12"/>
  <c r="E4041" i="12"/>
  <c r="E4040" i="12"/>
  <c r="E4039" i="12"/>
  <c r="E4038" i="12"/>
  <c r="E4037" i="12"/>
  <c r="E4033" i="12" l="1"/>
  <c r="E4032" i="12"/>
  <c r="E4031" i="12"/>
  <c r="E4030" i="12"/>
  <c r="E4029" i="12"/>
  <c r="E2330" i="3"/>
  <c r="E2329" i="3"/>
  <c r="E2328" i="3"/>
  <c r="E4025" i="12" l="1"/>
  <c r="E4024" i="12"/>
  <c r="E4020" i="12" l="1"/>
  <c r="E4019" i="12"/>
  <c r="E4018" i="12"/>
  <c r="E4017" i="12"/>
  <c r="E4016" i="12"/>
  <c r="E4015" i="12"/>
  <c r="E4011" i="12" l="1"/>
  <c r="E4010" i="12"/>
  <c r="E4009" i="12"/>
  <c r="E4005" i="12" l="1"/>
  <c r="E4004" i="12"/>
  <c r="E4810" i="1" l="1"/>
  <c r="E4809" i="1"/>
  <c r="E3997" i="12" l="1"/>
  <c r="E3998" i="12"/>
  <c r="E3999" i="12"/>
  <c r="E4000" i="12"/>
  <c r="E3996" i="12"/>
  <c r="E3992" i="12"/>
  <c r="E6288" i="2"/>
  <c r="E6287" i="2"/>
  <c r="E6283" i="2" l="1"/>
  <c r="E6282" i="2"/>
  <c r="E3988" i="12" l="1"/>
  <c r="E3987" i="12"/>
  <c r="E3986" i="12"/>
  <c r="E3985" i="12"/>
  <c r="E3984" i="12"/>
  <c r="E3983" i="12"/>
  <c r="E3982" i="12"/>
  <c r="E3981" i="12"/>
  <c r="E3980" i="12"/>
  <c r="E3979" i="12"/>
  <c r="E3978" i="12"/>
  <c r="E3977" i="12"/>
  <c r="E3976" i="12"/>
  <c r="E3975" i="12"/>
  <c r="E3974" i="12"/>
  <c r="E3973" i="12"/>
  <c r="E3972" i="12"/>
  <c r="E3971" i="12"/>
  <c r="E3970" i="12"/>
  <c r="E3969" i="12"/>
  <c r="E3968" i="12"/>
  <c r="E3942" i="12" l="1"/>
  <c r="E3943" i="12"/>
  <c r="E3944" i="12"/>
  <c r="E3945" i="12"/>
  <c r="E3946" i="12"/>
  <c r="E3947" i="12"/>
  <c r="E3948" i="12"/>
  <c r="E3949" i="12"/>
  <c r="E3950" i="12"/>
  <c r="E3951" i="12"/>
  <c r="E3952" i="12"/>
  <c r="E3953" i="12"/>
  <c r="E3954" i="12"/>
  <c r="E3955" i="12"/>
  <c r="E3956" i="12"/>
  <c r="E3957" i="12"/>
  <c r="E3958" i="12"/>
  <c r="E3959" i="12"/>
  <c r="E3960" i="12"/>
  <c r="E3961" i="12"/>
  <c r="E3962" i="12"/>
  <c r="E3963" i="12"/>
  <c r="E3964" i="12"/>
  <c r="E3941" i="12"/>
  <c r="E3940" i="12"/>
  <c r="E3939" i="12"/>
  <c r="E3938" i="12"/>
  <c r="E3937" i="12"/>
  <c r="E3928" i="12" l="1"/>
  <c r="E3927" i="12"/>
  <c r="E3933" i="12" l="1"/>
  <c r="E3932" i="12"/>
  <c r="E3917" i="12" l="1"/>
  <c r="E3918" i="12"/>
  <c r="E3919" i="12"/>
  <c r="E3920" i="12"/>
  <c r="E3921" i="12"/>
  <c r="E3922" i="12"/>
  <c r="E3923" i="12"/>
  <c r="E3924" i="12"/>
  <c r="E3925" i="12"/>
  <c r="E3926" i="12"/>
  <c r="E3916" i="12"/>
  <c r="E3915" i="12"/>
  <c r="E3914" i="12"/>
  <c r="E3913" i="12"/>
  <c r="E3912" i="12"/>
  <c r="E3911" i="12"/>
  <c r="E3910" i="12"/>
  <c r="E3909" i="12"/>
  <c r="E3908" i="12"/>
  <c r="E3907" i="12"/>
  <c r="E3906" i="12"/>
  <c r="E3905" i="12"/>
  <c r="E3904" i="12"/>
  <c r="E6278" i="2" l="1"/>
  <c r="E6263" i="2" l="1"/>
  <c r="E6264" i="2"/>
  <c r="E6265" i="2"/>
  <c r="E6266" i="2"/>
  <c r="E6267" i="2"/>
  <c r="E6268" i="2"/>
  <c r="E6269" i="2"/>
  <c r="E6270" i="2"/>
  <c r="E6271" i="2"/>
  <c r="E6272" i="2"/>
  <c r="E6273" i="2"/>
  <c r="E6274" i="2"/>
  <c r="E6260" i="2"/>
  <c r="E6261" i="2"/>
  <c r="E6262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3900" i="12" l="1"/>
  <c r="E3899" i="12"/>
  <c r="E3898" i="12"/>
  <c r="E2324" i="3" l="1"/>
  <c r="E2323" i="3"/>
  <c r="E3893" i="12" l="1"/>
  <c r="E3894" i="12"/>
  <c r="E3892" i="12"/>
  <c r="E6242" i="2" l="1"/>
  <c r="E6243" i="2"/>
  <c r="E6244" i="2"/>
  <c r="E6241" i="2"/>
  <c r="E6240" i="2"/>
  <c r="E6239" i="2"/>
  <c r="E6238" i="2"/>
  <c r="E6237" i="2"/>
  <c r="E6236" i="2"/>
  <c r="E6235" i="2"/>
  <c r="E6234" i="2"/>
  <c r="E6229" i="2" l="1"/>
  <c r="E3888" i="12" l="1"/>
  <c r="E3887" i="12"/>
  <c r="E3883" i="12" l="1"/>
  <c r="E3882" i="12"/>
  <c r="E3881" i="12"/>
  <c r="E3880" i="12"/>
  <c r="E3879" i="12"/>
  <c r="E3878" i="12"/>
  <c r="E3877" i="12"/>
  <c r="E3876" i="12"/>
  <c r="E3875" i="12"/>
  <c r="E3874" i="12"/>
  <c r="E3873" i="12"/>
  <c r="E3872" i="12"/>
  <c r="E3871" i="12"/>
  <c r="E6225" i="2" l="1"/>
  <c r="E6224" i="2"/>
  <c r="E6223" i="2"/>
  <c r="E6222" i="2"/>
  <c r="E6221" i="2"/>
  <c r="E6220" i="2"/>
  <c r="E6219" i="2"/>
  <c r="E6218" i="2"/>
  <c r="E6217" i="2"/>
  <c r="E3865" i="12" l="1"/>
  <c r="E3866" i="12"/>
  <c r="E3867" i="12"/>
  <c r="E3864" i="12"/>
  <c r="E3863" i="12"/>
  <c r="E6210" i="2" l="1"/>
  <c r="E6211" i="2"/>
  <c r="E6212" i="2"/>
  <c r="E6213" i="2"/>
  <c r="E6209" i="2" l="1"/>
  <c r="E6208" i="2"/>
  <c r="E6207" i="2"/>
  <c r="E6206" i="2"/>
  <c r="E6205" i="2"/>
  <c r="E6204" i="2"/>
  <c r="E3859" i="12" l="1"/>
  <c r="E3858" i="12"/>
  <c r="E3854" i="12" l="1"/>
  <c r="E2319" i="3" l="1"/>
  <c r="E2318" i="3"/>
  <c r="E2310" i="3" l="1"/>
  <c r="E2309" i="3"/>
  <c r="E2308" i="3"/>
  <c r="E3853" i="12" l="1"/>
  <c r="E3852" i="12"/>
  <c r="E3851" i="12"/>
  <c r="E3850" i="12"/>
  <c r="E3849" i="12"/>
  <c r="E3848" i="12"/>
  <c r="E3831" i="12" l="1"/>
  <c r="E3832" i="12"/>
  <c r="E3833" i="12"/>
  <c r="E3834" i="12"/>
  <c r="E3835" i="12"/>
  <c r="E3836" i="12"/>
  <c r="E3837" i="12"/>
  <c r="E3838" i="12"/>
  <c r="E3839" i="12"/>
  <c r="E3840" i="12"/>
  <c r="E3841" i="12"/>
  <c r="E3842" i="12"/>
  <c r="E3843" i="12"/>
  <c r="E3844" i="12"/>
  <c r="E3845" i="12"/>
  <c r="E3846" i="12"/>
  <c r="E3847" i="12"/>
  <c r="E3829" i="12"/>
  <c r="E3830" i="12"/>
  <c r="E3828" i="12"/>
  <c r="E3827" i="12"/>
  <c r="E3826" i="12"/>
  <c r="E6200" i="2" l="1"/>
  <c r="E6199" i="2"/>
  <c r="E6198" i="2"/>
  <c r="E6197" i="2"/>
  <c r="E6196" i="2"/>
  <c r="E6195" i="2"/>
  <c r="E6188" i="2" l="1"/>
  <c r="E6189" i="2"/>
  <c r="E6190" i="2"/>
  <c r="E6191" i="2"/>
  <c r="E6187" i="2"/>
  <c r="E6186" i="2"/>
  <c r="E3822" i="12" l="1"/>
  <c r="E3821" i="12"/>
  <c r="E3820" i="12"/>
  <c r="E3815" i="12"/>
  <c r="E6176" i="2" l="1"/>
  <c r="E6177" i="2"/>
  <c r="E6178" i="2"/>
  <c r="E6179" i="2"/>
  <c r="E6180" i="2"/>
  <c r="E6181" i="2"/>
  <c r="E6182" i="2"/>
  <c r="E6175" i="2"/>
  <c r="E6174" i="2"/>
  <c r="E3811" i="12" l="1"/>
  <c r="E3810" i="12"/>
  <c r="E6170" i="2" l="1"/>
  <c r="E6169" i="2"/>
  <c r="E3806" i="12"/>
  <c r="E3805" i="12"/>
  <c r="E3800" i="12" l="1"/>
  <c r="E3801" i="12"/>
  <c r="E3802" i="12"/>
  <c r="E3803" i="12"/>
  <c r="E3804" i="12"/>
  <c r="E3799" i="12"/>
  <c r="E6165" i="2" l="1"/>
  <c r="E6164" i="2"/>
  <c r="E6163" i="2"/>
  <c r="E6145" i="2" l="1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44" i="2"/>
  <c r="E6143" i="2"/>
  <c r="E2304" i="3" l="1"/>
  <c r="E2303" i="3"/>
  <c r="E2302" i="3"/>
  <c r="E3795" i="12" l="1"/>
  <c r="E3794" i="12"/>
  <c r="E3790" i="12" l="1"/>
  <c r="E3789" i="12"/>
  <c r="E3788" i="12"/>
  <c r="E2298" i="3" l="1"/>
  <c r="E2297" i="3"/>
  <c r="E6139" i="2" l="1"/>
  <c r="E6138" i="2"/>
  <c r="E6134" i="2"/>
  <c r="E6133" i="2"/>
  <c r="E3784" i="12"/>
  <c r="E3783" i="12"/>
  <c r="E3782" i="12"/>
  <c r="E3781" i="12"/>
  <c r="E6129" i="2" l="1"/>
  <c r="E6128" i="2"/>
  <c r="E6127" i="2"/>
  <c r="E6126" i="2"/>
  <c r="E6125" i="2"/>
  <c r="E6124" i="2"/>
  <c r="E3777" i="12" l="1"/>
  <c r="E3776" i="12"/>
  <c r="E3775" i="12"/>
  <c r="E3774" i="12"/>
  <c r="E3770" i="12"/>
  <c r="E3769" i="12"/>
  <c r="E3759" i="12" l="1"/>
  <c r="E3760" i="12"/>
  <c r="E3761" i="12"/>
  <c r="E3762" i="12"/>
  <c r="E3763" i="12"/>
  <c r="E3764" i="12"/>
  <c r="E3765" i="12"/>
  <c r="E3758" i="12"/>
  <c r="E3757" i="12"/>
  <c r="E3756" i="12"/>
  <c r="E3752" i="12" l="1"/>
  <c r="E3751" i="12"/>
  <c r="E3750" i="12"/>
  <c r="E2293" i="3" l="1"/>
  <c r="E2292" i="3"/>
  <c r="E2291" i="3"/>
  <c r="E6120" i="2" l="1"/>
  <c r="E6119" i="2"/>
  <c r="E6118" i="2"/>
  <c r="E6117" i="2"/>
  <c r="E2286" i="3" l="1"/>
  <c r="E2287" i="3"/>
  <c r="E2285" i="3"/>
  <c r="E3744" i="12" l="1"/>
  <c r="E3745" i="12"/>
  <c r="E3746" i="12"/>
  <c r="E3743" i="12"/>
  <c r="E3742" i="12"/>
  <c r="E3741" i="12"/>
  <c r="E2281" i="3" l="1"/>
  <c r="E2280" i="3"/>
  <c r="E2279" i="3"/>
  <c r="E3737" i="12" l="1"/>
  <c r="E3736" i="12"/>
  <c r="E3735" i="12"/>
  <c r="E3731" i="12" l="1"/>
  <c r="E3730" i="12"/>
  <c r="E3729" i="12"/>
  <c r="E3728" i="12"/>
  <c r="E3727" i="12"/>
  <c r="E3726" i="12"/>
  <c r="E3725" i="12"/>
  <c r="E3724" i="12"/>
  <c r="E3720" i="12" l="1"/>
  <c r="E3719" i="12"/>
  <c r="E3718" i="12"/>
  <c r="E3717" i="12"/>
  <c r="E3716" i="12"/>
  <c r="E3715" i="12"/>
  <c r="E3714" i="12"/>
  <c r="E3713" i="12"/>
  <c r="E3712" i="12"/>
  <c r="E3711" i="12"/>
  <c r="E3710" i="12"/>
  <c r="E3709" i="12"/>
  <c r="E3708" i="12"/>
  <c r="E3707" i="12"/>
  <c r="E3706" i="12"/>
  <c r="E3705" i="12"/>
  <c r="E3704" i="12"/>
  <c r="E3703" i="12"/>
  <c r="E3702" i="12"/>
  <c r="E3701" i="12"/>
  <c r="E3700" i="12" l="1"/>
  <c r="E3699" i="12"/>
  <c r="E3698" i="12"/>
  <c r="E3697" i="12"/>
  <c r="E3696" i="12"/>
  <c r="E3695" i="12"/>
  <c r="E6113" i="2" l="1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3688" i="12" l="1"/>
  <c r="E3689" i="12"/>
  <c r="E3690" i="12"/>
  <c r="E3691" i="12"/>
  <c r="E3687" i="12"/>
  <c r="E3686" i="12"/>
  <c r="E3685" i="12"/>
  <c r="E3681" i="12" l="1"/>
  <c r="E3680" i="12"/>
  <c r="E2274" i="3" l="1"/>
  <c r="E2275" i="3"/>
  <c r="E2273" i="3"/>
  <c r="E2272" i="3"/>
  <c r="E2271" i="3"/>
  <c r="E6094" i="2" l="1"/>
  <c r="E6093" i="2"/>
  <c r="E3674" i="12"/>
  <c r="E3675" i="12"/>
  <c r="E3676" i="12"/>
  <c r="E3677" i="12"/>
  <c r="E3678" i="12"/>
  <c r="E3679" i="12"/>
  <c r="E3673" i="12"/>
  <c r="E3672" i="12"/>
  <c r="E3671" i="12"/>
  <c r="E6085" i="2" l="1"/>
  <c r="E6086" i="2"/>
  <c r="E6087" i="2"/>
  <c r="E6088" i="2"/>
  <c r="E6089" i="2"/>
  <c r="E6084" i="2"/>
  <c r="E6080" i="2" l="1"/>
  <c r="E6079" i="2"/>
  <c r="E6078" i="2"/>
  <c r="E6077" i="2"/>
  <c r="E6076" i="2"/>
  <c r="E6075" i="2"/>
  <c r="E6074" i="2"/>
  <c r="E2267" i="3" l="1"/>
  <c r="E6070" i="2" l="1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4705" i="1" l="1"/>
  <c r="E3667" i="12"/>
  <c r="E3666" i="12"/>
  <c r="E3665" i="12"/>
  <c r="E3664" i="12"/>
  <c r="E3663" i="12"/>
  <c r="E3657" i="12"/>
  <c r="E3658" i="12"/>
  <c r="E3659" i="12"/>
  <c r="E3656" i="12"/>
  <c r="E6048" i="2"/>
  <c r="E6047" i="2"/>
  <c r="E3652" i="12"/>
  <c r="E3651" i="12"/>
  <c r="E3650" i="12"/>
  <c r="E3646" i="12"/>
  <c r="E3645" i="12"/>
  <c r="E3644" i="12"/>
  <c r="E3620" i="12" l="1"/>
  <c r="E3621" i="12"/>
  <c r="E3622" i="12"/>
  <c r="E3623" i="12"/>
  <c r="E3624" i="12"/>
  <c r="E3625" i="12"/>
  <c r="E3626" i="12"/>
  <c r="E3627" i="12"/>
  <c r="E3628" i="12"/>
  <c r="E3629" i="12"/>
  <c r="E3630" i="12"/>
  <c r="E3631" i="12"/>
  <c r="E3632" i="12"/>
  <c r="E3633" i="12"/>
  <c r="E3634" i="12"/>
  <c r="E3619" i="12"/>
  <c r="E3618" i="12"/>
  <c r="E3617" i="1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16" i="2" l="1"/>
  <c r="E6017" i="2"/>
  <c r="E6018" i="2"/>
  <c r="E6019" i="2"/>
  <c r="E6020" i="2"/>
  <c r="E6021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2263" i="3"/>
  <c r="E2262" i="3"/>
  <c r="E2261" i="3"/>
  <c r="E2260" i="3"/>
  <c r="E5995" i="2" l="1"/>
  <c r="E5996" i="2"/>
  <c r="E5997" i="2"/>
  <c r="E5998" i="2"/>
  <c r="E5994" i="2"/>
  <c r="E5993" i="2"/>
  <c r="E5992" i="2"/>
  <c r="E5991" i="2"/>
  <c r="E3640" i="12"/>
  <c r="E3639" i="12"/>
  <c r="E3638" i="12"/>
  <c r="E2256" i="3"/>
  <c r="E5987" i="2" l="1"/>
  <c r="E5986" i="2"/>
  <c r="E5985" i="2"/>
  <c r="E5984" i="2"/>
  <c r="E5983" i="2"/>
  <c r="E5982" i="2"/>
  <c r="E5981" i="2"/>
  <c r="E5980" i="2"/>
  <c r="E5975" i="2"/>
  <c r="E5974" i="2"/>
  <c r="E3575" i="12" l="1"/>
  <c r="E2249" i="3" l="1"/>
  <c r="E2250" i="3"/>
  <c r="E2251" i="3"/>
  <c r="E2252" i="3"/>
  <c r="E2248" i="3"/>
  <c r="E2247" i="3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5970" i="2" l="1"/>
  <c r="E5969" i="2"/>
  <c r="E5968" i="2"/>
  <c r="E5967" i="2"/>
  <c r="E5953" i="2" l="1"/>
  <c r="E5954" i="2"/>
  <c r="E5955" i="2"/>
  <c r="E5956" i="2"/>
  <c r="E5957" i="2"/>
  <c r="E5958" i="2"/>
  <c r="E5959" i="2"/>
  <c r="E5960" i="2"/>
  <c r="E5961" i="2"/>
  <c r="E5962" i="2"/>
  <c r="E5963" i="2"/>
  <c r="E5952" i="2"/>
  <c r="E5951" i="2"/>
  <c r="E5950" i="2"/>
  <c r="E4679" i="1" l="1"/>
  <c r="E4680" i="1"/>
  <c r="E4681" i="1"/>
  <c r="E4682" i="1"/>
  <c r="E4678" i="1"/>
  <c r="E2243" i="3" l="1"/>
  <c r="E2242" i="3"/>
  <c r="E2241" i="3"/>
  <c r="E3613" i="12" l="1"/>
  <c r="E5946" i="2" l="1"/>
  <c r="E5945" i="2"/>
  <c r="E5944" i="2"/>
  <c r="E3607" i="12"/>
  <c r="E3608" i="12"/>
  <c r="E3609" i="12"/>
  <c r="E3606" i="12"/>
  <c r="E3605" i="12"/>
  <c r="E3601" i="12" l="1"/>
  <c r="E3600" i="12"/>
  <c r="E3599" i="12"/>
  <c r="E3598" i="12"/>
  <c r="E3597" i="12"/>
  <c r="E3593" i="12"/>
  <c r="E3592" i="12"/>
  <c r="E5904" i="2" l="1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03" i="2"/>
  <c r="E5893" i="2"/>
  <c r="E5894" i="2"/>
  <c r="E5895" i="2"/>
  <c r="E5896" i="2"/>
  <c r="E5897" i="2"/>
  <c r="E5898" i="2"/>
  <c r="E5899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3588" i="12" l="1"/>
  <c r="E3587" i="12"/>
  <c r="E3586" i="12"/>
  <c r="E2237" i="3" l="1"/>
  <c r="E2236" i="3"/>
  <c r="E3582" i="12" l="1"/>
  <c r="E3581" i="12"/>
  <c r="E3580" i="12"/>
  <c r="E3579" i="12"/>
  <c r="E3574" i="12"/>
  <c r="E3573" i="12"/>
  <c r="E3572" i="12"/>
  <c r="E3571" i="12"/>
  <c r="E3570" i="12"/>
  <c r="E3569" i="12"/>
  <c r="E3568" i="12"/>
  <c r="E3564" i="12" l="1"/>
  <c r="E3563" i="12"/>
  <c r="E3557" i="12" l="1"/>
  <c r="E3558" i="12"/>
  <c r="E3559" i="12"/>
  <c r="E2232" i="3" l="1"/>
  <c r="E2231" i="3"/>
  <c r="E5861" i="2" l="1"/>
  <c r="E2227" i="3" l="1"/>
  <c r="E2226" i="3"/>
  <c r="E2225" i="3"/>
  <c r="E5857" i="2" l="1"/>
  <c r="E3550" i="12"/>
  <c r="E3551" i="12"/>
  <c r="E3552" i="12"/>
  <c r="E3553" i="12"/>
  <c r="E3549" i="12" l="1"/>
  <c r="E3548" i="12"/>
  <c r="E3547" i="12"/>
  <c r="E3546" i="12"/>
  <c r="E3535" i="12" l="1"/>
  <c r="E3534" i="12"/>
  <c r="E3533" i="12"/>
  <c r="E3532" i="12"/>
  <c r="E3542" i="12"/>
  <c r="E3541" i="12"/>
  <c r="E3540" i="12"/>
  <c r="E3539" i="12"/>
  <c r="E3531" i="12"/>
  <c r="E3530" i="12"/>
  <c r="E3529" i="12"/>
  <c r="E5853" i="2" l="1"/>
  <c r="E5852" i="2"/>
  <c r="E5851" i="2"/>
  <c r="E5850" i="2"/>
  <c r="E3517" i="12" l="1"/>
  <c r="E3518" i="12"/>
  <c r="E3519" i="12"/>
  <c r="E3520" i="12"/>
  <c r="E3521" i="12"/>
  <c r="E3522" i="12"/>
  <c r="E3523" i="12"/>
  <c r="E3524" i="12"/>
  <c r="E3525" i="12"/>
  <c r="E3516" i="12"/>
  <c r="E3515" i="12"/>
  <c r="E3514" i="12"/>
  <c r="E2221" i="3" l="1"/>
  <c r="E2220" i="3"/>
  <c r="E2219" i="3"/>
  <c r="E2218" i="3"/>
  <c r="E2217" i="3"/>
  <c r="E2216" i="3"/>
  <c r="E2215" i="3"/>
  <c r="E2214" i="3"/>
  <c r="E2213" i="3"/>
  <c r="E2212" i="3"/>
  <c r="E2211" i="3"/>
  <c r="E2210" i="3"/>
  <c r="E3510" i="12" l="1"/>
  <c r="E3509" i="12"/>
  <c r="E3508" i="12"/>
  <c r="E3507" i="12"/>
  <c r="E3503" i="12" l="1"/>
  <c r="E3502" i="12"/>
  <c r="E3501" i="12"/>
  <c r="E3500" i="12"/>
  <c r="E3496" i="12" l="1"/>
  <c r="E3495" i="12"/>
  <c r="E3494" i="12"/>
  <c r="E3493" i="12"/>
  <c r="E3492" i="12"/>
  <c r="E3491" i="12"/>
  <c r="E3490" i="12"/>
  <c r="E3489" i="12"/>
  <c r="E3488" i="12"/>
  <c r="E3487" i="12"/>
  <c r="E3486" i="12"/>
  <c r="E3485" i="12"/>
  <c r="E3484" i="12"/>
  <c r="E3483" i="12"/>
  <c r="E3482" i="12"/>
  <c r="E5846" i="2"/>
  <c r="E5845" i="2"/>
  <c r="E5844" i="2"/>
  <c r="E5843" i="2"/>
  <c r="E4598" i="1"/>
  <c r="E2205" i="3" l="1"/>
  <c r="E4597" i="1" l="1"/>
  <c r="E2198" i="3" l="1"/>
  <c r="E2197" i="3"/>
  <c r="E2196" i="3"/>
  <c r="E5839" i="2" l="1"/>
  <c r="E5838" i="2"/>
  <c r="E5837" i="2"/>
  <c r="E5836" i="2"/>
  <c r="E5835" i="2"/>
  <c r="E5834" i="2"/>
  <c r="E5833" i="2"/>
  <c r="E5832" i="2"/>
  <c r="E5831" i="2"/>
  <c r="E5830" i="2"/>
  <c r="E2192" i="3" l="1"/>
  <c r="E2191" i="3"/>
  <c r="E2190" i="3"/>
  <c r="E2189" i="3"/>
  <c r="E2188" i="3"/>
  <c r="E5826" i="2" l="1"/>
  <c r="E5825" i="2"/>
  <c r="E3470" i="12"/>
  <c r="E3471" i="12"/>
  <c r="E3472" i="12"/>
  <c r="E3473" i="12"/>
  <c r="E3474" i="12"/>
  <c r="E3475" i="12"/>
  <c r="E3476" i="12"/>
  <c r="E3477" i="12"/>
  <c r="E3478" i="12"/>
  <c r="E3469" i="12"/>
  <c r="D11" i="9" l="1"/>
  <c r="B11" i="9"/>
  <c r="D10" i="9"/>
  <c r="D7" i="9"/>
  <c r="F3" i="9"/>
  <c r="AW91" i="7"/>
  <c r="AP91" i="7"/>
  <c r="AI91" i="7"/>
  <c r="AB91" i="7"/>
  <c r="U91" i="7"/>
  <c r="AW90" i="7"/>
  <c r="AP90" i="7"/>
  <c r="AO90" i="7"/>
  <c r="AI90" i="7"/>
  <c r="AH90" i="7"/>
  <c r="AB90" i="7"/>
  <c r="AA90" i="7"/>
  <c r="U90" i="7"/>
  <c r="AW89" i="7"/>
  <c r="AP89" i="7"/>
  <c r="AO89" i="7"/>
  <c r="AI89" i="7"/>
  <c r="AH89" i="7"/>
  <c r="AB89" i="7"/>
  <c r="AA89" i="7"/>
  <c r="U89" i="7"/>
  <c r="AW88" i="7"/>
  <c r="AP88" i="7"/>
  <c r="AO88" i="7"/>
  <c r="AI88" i="7"/>
  <c r="AH88" i="7"/>
  <c r="AB88" i="7"/>
  <c r="AA88" i="7"/>
  <c r="U88" i="7"/>
  <c r="AW87" i="7"/>
  <c r="AP87" i="7"/>
  <c r="AI87" i="7"/>
  <c r="AB87" i="7"/>
  <c r="U87" i="7"/>
  <c r="AW86" i="7"/>
  <c r="AP86" i="7"/>
  <c r="AI86" i="7"/>
  <c r="AB86" i="7"/>
  <c r="U86" i="7"/>
  <c r="AW85" i="7"/>
  <c r="AP85" i="7"/>
  <c r="AI85" i="7"/>
  <c r="AB85" i="7"/>
  <c r="U85" i="7"/>
  <c r="AW84" i="7"/>
  <c r="AP84" i="7"/>
  <c r="AI84" i="7"/>
  <c r="AB84" i="7"/>
  <c r="U84" i="7"/>
  <c r="AW83" i="7"/>
  <c r="AP83" i="7"/>
  <c r="AI83" i="7"/>
  <c r="AB83" i="7"/>
  <c r="U83" i="7"/>
  <c r="AW82" i="7"/>
  <c r="AP82" i="7"/>
  <c r="AI82" i="7"/>
  <c r="AB82" i="7"/>
  <c r="U82" i="7"/>
  <c r="AW81" i="7"/>
  <c r="AP81" i="7"/>
  <c r="AI81" i="7"/>
  <c r="AB81" i="7"/>
  <c r="U81" i="7"/>
  <c r="AW80" i="7"/>
  <c r="AP80" i="7"/>
  <c r="AI80" i="7"/>
  <c r="AB80" i="7"/>
  <c r="U80" i="7"/>
  <c r="AW79" i="7"/>
  <c r="AS79" i="7"/>
  <c r="AP79" i="7"/>
  <c r="AL79" i="7"/>
  <c r="AI79" i="7"/>
  <c r="AE79" i="7"/>
  <c r="AB79" i="7"/>
  <c r="X79" i="7"/>
  <c r="U79" i="7"/>
  <c r="Q79" i="7"/>
  <c r="AW78" i="7"/>
  <c r="AS78" i="7"/>
  <c r="AP78" i="7"/>
  <c r="AL78" i="7"/>
  <c r="AI78" i="7"/>
  <c r="AE78" i="7"/>
  <c r="AB78" i="7"/>
  <c r="X78" i="7"/>
  <c r="U78" i="7"/>
  <c r="Q78" i="7"/>
  <c r="AW77" i="7"/>
  <c r="AS77" i="7"/>
  <c r="AP77" i="7"/>
  <c r="AL77" i="7"/>
  <c r="AI77" i="7"/>
  <c r="AE77" i="7"/>
  <c r="AB77" i="7"/>
  <c r="X77" i="7"/>
  <c r="U77" i="7"/>
  <c r="Q77" i="7"/>
  <c r="AW76" i="7"/>
  <c r="AS76" i="7"/>
  <c r="AP76" i="7"/>
  <c r="AL76" i="7"/>
  <c r="AI76" i="7"/>
  <c r="AE76" i="7"/>
  <c r="AB76" i="7"/>
  <c r="X76" i="7"/>
  <c r="U76" i="7"/>
  <c r="Q76" i="7"/>
  <c r="AW75" i="7"/>
  <c r="AP75" i="7"/>
  <c r="AI75" i="7"/>
  <c r="AB75" i="7"/>
  <c r="U75" i="7"/>
  <c r="AW74" i="7"/>
  <c r="AP74" i="7"/>
  <c r="AI74" i="7"/>
  <c r="AB74" i="7"/>
  <c r="U74" i="7"/>
  <c r="AW73" i="7"/>
  <c r="AP73" i="7"/>
  <c r="AI73" i="7"/>
  <c r="AB73" i="7"/>
  <c r="U73" i="7"/>
  <c r="AW72" i="7"/>
  <c r="AP72" i="7"/>
  <c r="AI72" i="7"/>
  <c r="AB72" i="7"/>
  <c r="U72" i="7"/>
  <c r="AW71" i="7"/>
  <c r="AP71" i="7"/>
  <c r="AI71" i="7"/>
  <c r="AB71" i="7"/>
  <c r="U71" i="7"/>
  <c r="AW70" i="7"/>
  <c r="AP70" i="7"/>
  <c r="AI70" i="7"/>
  <c r="AB70" i="7"/>
  <c r="U70" i="7"/>
  <c r="AW69" i="7"/>
  <c r="AP69" i="7"/>
  <c r="AI69" i="7"/>
  <c r="AB69" i="7"/>
  <c r="U69" i="7"/>
  <c r="AW68" i="7"/>
  <c r="AP68" i="7"/>
  <c r="AI68" i="7"/>
  <c r="AB68" i="7"/>
  <c r="U68" i="7"/>
  <c r="AW67" i="7"/>
  <c r="AS67" i="7"/>
  <c r="AP67" i="7"/>
  <c r="AL67" i="7"/>
  <c r="AI67" i="7"/>
  <c r="AE67" i="7"/>
  <c r="AB67" i="7"/>
  <c r="X67" i="7"/>
  <c r="U67" i="7"/>
  <c r="Q67" i="7"/>
  <c r="AW66" i="7"/>
  <c r="AS66" i="7"/>
  <c r="AP66" i="7"/>
  <c r="AL66" i="7"/>
  <c r="AI66" i="7"/>
  <c r="AE66" i="7"/>
  <c r="AB66" i="7"/>
  <c r="X66" i="7"/>
  <c r="U66" i="7"/>
  <c r="Q66" i="7"/>
  <c r="AW65" i="7"/>
  <c r="AS65" i="7"/>
  <c r="AP65" i="7"/>
  <c r="AL65" i="7"/>
  <c r="AI65" i="7"/>
  <c r="AE65" i="7"/>
  <c r="AB65" i="7"/>
  <c r="X65" i="7"/>
  <c r="U65" i="7"/>
  <c r="Q65" i="7"/>
  <c r="AW64" i="7"/>
  <c r="AS64" i="7"/>
  <c r="AP64" i="7"/>
  <c r="AL64" i="7"/>
  <c r="AI64" i="7"/>
  <c r="AH64" i="7"/>
  <c r="AE64" i="7"/>
  <c r="AB64" i="7"/>
  <c r="AA64" i="7"/>
  <c r="X64" i="7"/>
  <c r="U64" i="7"/>
  <c r="T64" i="7"/>
  <c r="Q64" i="7"/>
  <c r="N64" i="7"/>
  <c r="H64" i="7"/>
  <c r="AW63" i="7"/>
  <c r="AS63" i="7"/>
  <c r="AP63" i="7"/>
  <c r="AL63" i="7"/>
  <c r="AI63" i="7"/>
  <c r="AE63" i="7"/>
  <c r="AB63" i="7"/>
  <c r="X63" i="7"/>
  <c r="U63" i="7"/>
  <c r="Q63" i="7"/>
  <c r="AW62" i="7"/>
  <c r="AS62" i="7"/>
  <c r="AP62" i="7"/>
  <c r="AL62" i="7"/>
  <c r="AI62" i="7"/>
  <c r="AE62" i="7"/>
  <c r="AB62" i="7"/>
  <c r="X62" i="7"/>
  <c r="U62" i="7"/>
  <c r="Q62" i="7"/>
  <c r="AW61" i="7"/>
  <c r="AS61" i="7"/>
  <c r="AP61" i="7"/>
  <c r="AL61" i="7"/>
  <c r="AI61" i="7"/>
  <c r="AE61" i="7"/>
  <c r="AB61" i="7"/>
  <c r="X61" i="7"/>
  <c r="U61" i="7"/>
  <c r="Q61" i="7"/>
  <c r="AW60" i="7"/>
  <c r="AS60" i="7"/>
  <c r="AP60" i="7"/>
  <c r="AL60" i="7"/>
  <c r="AI60" i="7"/>
  <c r="AE60" i="7"/>
  <c r="AB60" i="7"/>
  <c r="X60" i="7"/>
  <c r="U60" i="7"/>
  <c r="Q60" i="7"/>
  <c r="AW59" i="7"/>
  <c r="AP59" i="7"/>
  <c r="AI59" i="7"/>
  <c r="AB59" i="7"/>
  <c r="U59" i="7"/>
  <c r="AW58" i="7"/>
  <c r="AP58" i="7"/>
  <c r="AI58" i="7"/>
  <c r="AB58" i="7"/>
  <c r="U58" i="7"/>
  <c r="AW57" i="7"/>
  <c r="AP57" i="7"/>
  <c r="AI57" i="7"/>
  <c r="AB57" i="7"/>
  <c r="U57" i="7"/>
  <c r="AW56" i="7"/>
  <c r="AP56" i="7"/>
  <c r="AI56" i="7"/>
  <c r="AB56" i="7"/>
  <c r="U56" i="7"/>
  <c r="AW55" i="7"/>
  <c r="AP55" i="7"/>
  <c r="AI55" i="7"/>
  <c r="AB55" i="7"/>
  <c r="U55" i="7"/>
  <c r="AW54" i="7"/>
  <c r="AP54" i="7"/>
  <c r="AI54" i="7"/>
  <c r="AB54" i="7"/>
  <c r="U54" i="7"/>
  <c r="AW53" i="7"/>
  <c r="AP53" i="7"/>
  <c r="AI53" i="7"/>
  <c r="AB53" i="7"/>
  <c r="U53" i="7"/>
  <c r="AW52" i="7"/>
  <c r="AP52" i="7"/>
  <c r="AI52" i="7"/>
  <c r="AB52" i="7"/>
  <c r="U52" i="7"/>
  <c r="AW51" i="7"/>
  <c r="AS51" i="7"/>
  <c r="AP51" i="7"/>
  <c r="AL51" i="7"/>
  <c r="AI51" i="7"/>
  <c r="AE51" i="7"/>
  <c r="AB51" i="7"/>
  <c r="Z51" i="7"/>
  <c r="X51" i="7"/>
  <c r="U51" i="7"/>
  <c r="Q51" i="7"/>
  <c r="AW50" i="7"/>
  <c r="AS50" i="7"/>
  <c r="AP50" i="7"/>
  <c r="AL50" i="7"/>
  <c r="AI50" i="7"/>
  <c r="AE50" i="7"/>
  <c r="AB50" i="7"/>
  <c r="Z50" i="7"/>
  <c r="X50" i="7"/>
  <c r="U50" i="7"/>
  <c r="Q50" i="7"/>
  <c r="AW49" i="7"/>
  <c r="AS49" i="7"/>
  <c r="AP49" i="7"/>
  <c r="AL49" i="7"/>
  <c r="AI49" i="7"/>
  <c r="AE49" i="7"/>
  <c r="AB49" i="7"/>
  <c r="X49" i="7"/>
  <c r="U49" i="7"/>
  <c r="Q49" i="7"/>
  <c r="AW48" i="7"/>
  <c r="AS48" i="7"/>
  <c r="AP48" i="7"/>
  <c r="AL48" i="7"/>
  <c r="AI48" i="7"/>
  <c r="AE48" i="7"/>
  <c r="AB48" i="7"/>
  <c r="X48" i="7"/>
  <c r="U48" i="7"/>
  <c r="Q48" i="7"/>
  <c r="AW47" i="7"/>
  <c r="AP47" i="7"/>
  <c r="AI47" i="7"/>
  <c r="AB47" i="7"/>
  <c r="U47" i="7"/>
  <c r="AW46" i="7"/>
  <c r="AP46" i="7"/>
  <c r="AI46" i="7"/>
  <c r="AB46" i="7"/>
  <c r="U46" i="7"/>
  <c r="AW45" i="7"/>
  <c r="AP45" i="7"/>
  <c r="AI45" i="7"/>
  <c r="AB45" i="7"/>
  <c r="U45" i="7"/>
  <c r="AW44" i="7"/>
  <c r="AP44" i="7"/>
  <c r="AI44" i="7"/>
  <c r="AB44" i="7"/>
  <c r="U44" i="7"/>
  <c r="AW43" i="7"/>
  <c r="AP43" i="7"/>
  <c r="AI43" i="7"/>
  <c r="AB43" i="7"/>
  <c r="U43" i="7"/>
  <c r="AW42" i="7"/>
  <c r="AP42" i="7"/>
  <c r="AI42" i="7"/>
  <c r="AB42" i="7"/>
  <c r="U42" i="7"/>
  <c r="AW41" i="7"/>
  <c r="AP41" i="7"/>
  <c r="AI41" i="7"/>
  <c r="AB41" i="7"/>
  <c r="U41" i="7"/>
  <c r="AW40" i="7"/>
  <c r="AP40" i="7"/>
  <c r="AI40" i="7"/>
  <c r="AB40" i="7"/>
  <c r="U40" i="7"/>
  <c r="AW39" i="7"/>
  <c r="AS39" i="7"/>
  <c r="AP39" i="7"/>
  <c r="AL39" i="7"/>
  <c r="AI39" i="7"/>
  <c r="AE39" i="7"/>
  <c r="AB39" i="7"/>
  <c r="X39" i="7"/>
  <c r="U39" i="7"/>
  <c r="Q39" i="7"/>
  <c r="AW38" i="7"/>
  <c r="AS38" i="7"/>
  <c r="AP38" i="7"/>
  <c r="AL38" i="7"/>
  <c r="AI38" i="7"/>
  <c r="AE38" i="7"/>
  <c r="AB38" i="7"/>
  <c r="X38" i="7"/>
  <c r="U38" i="7"/>
  <c r="Q38" i="7"/>
  <c r="AW37" i="7"/>
  <c r="AS37" i="7"/>
  <c r="AP37" i="7"/>
  <c r="AL37" i="7"/>
  <c r="AI37" i="7"/>
  <c r="AE37" i="7"/>
  <c r="AB37" i="7"/>
  <c r="X37" i="7"/>
  <c r="U37" i="7"/>
  <c r="Q37" i="7"/>
  <c r="AW36" i="7"/>
  <c r="AS36" i="7"/>
  <c r="AP36" i="7"/>
  <c r="AL36" i="7"/>
  <c r="AI36" i="7"/>
  <c r="AE36" i="7"/>
  <c r="AB36" i="7"/>
  <c r="X36" i="7"/>
  <c r="U36" i="7"/>
  <c r="Q36" i="7"/>
  <c r="AW35" i="7"/>
  <c r="AP35" i="7"/>
  <c r="AI35" i="7"/>
  <c r="AB35" i="7"/>
  <c r="U35" i="7"/>
  <c r="AW34" i="7"/>
  <c r="AP34" i="7"/>
  <c r="AI34" i="7"/>
  <c r="AB34" i="7"/>
  <c r="U34" i="7"/>
  <c r="AW33" i="7"/>
  <c r="AP33" i="7"/>
  <c r="AI33" i="7"/>
  <c r="AB33" i="7"/>
  <c r="U33" i="7"/>
  <c r="AW32" i="7"/>
  <c r="AP32" i="7"/>
  <c r="AI32" i="7"/>
  <c r="AB32" i="7"/>
  <c r="U32" i="7"/>
  <c r="AW31" i="7"/>
  <c r="AP31" i="7"/>
  <c r="AI31" i="7"/>
  <c r="AB31" i="7"/>
  <c r="U31" i="7"/>
  <c r="AW30" i="7"/>
  <c r="AP30" i="7"/>
  <c r="AI30" i="7"/>
  <c r="AB30" i="7"/>
  <c r="U30" i="7"/>
  <c r="AW29" i="7"/>
  <c r="AP29" i="7"/>
  <c r="AI29" i="7"/>
  <c r="AB29" i="7"/>
  <c r="U29" i="7"/>
  <c r="AW28" i="7"/>
  <c r="AP28" i="7"/>
  <c r="AI28" i="7"/>
  <c r="AB28" i="7"/>
  <c r="U28" i="7"/>
  <c r="AW27" i="7"/>
  <c r="AP27" i="7"/>
  <c r="AI27" i="7"/>
  <c r="AB27" i="7"/>
  <c r="U27" i="7"/>
  <c r="AW26" i="7"/>
  <c r="AP26" i="7"/>
  <c r="AI26" i="7"/>
  <c r="AB26" i="7"/>
  <c r="U26" i="7"/>
  <c r="AW25" i="7"/>
  <c r="AP25" i="7"/>
  <c r="AI25" i="7"/>
  <c r="AB25" i="7"/>
  <c r="AA25" i="7"/>
  <c r="U25" i="7"/>
  <c r="T25" i="7"/>
  <c r="AW24" i="7"/>
  <c r="AP24" i="7"/>
  <c r="AI24" i="7"/>
  <c r="AB24" i="7"/>
  <c r="U24" i="7"/>
  <c r="AW23" i="7"/>
  <c r="AS23" i="7"/>
  <c r="AP23" i="7"/>
  <c r="AL23" i="7"/>
  <c r="AI23" i="7"/>
  <c r="AE23" i="7"/>
  <c r="AB23" i="7"/>
  <c r="X23" i="7"/>
  <c r="U23" i="7"/>
  <c r="Q23" i="7"/>
  <c r="AW22" i="7"/>
  <c r="AS22" i="7"/>
  <c r="AP22" i="7"/>
  <c r="AL22" i="7"/>
  <c r="AI22" i="7"/>
  <c r="AE22" i="7"/>
  <c r="AB22" i="7"/>
  <c r="X22" i="7"/>
  <c r="U22" i="7"/>
  <c r="Q22" i="7"/>
  <c r="AW21" i="7"/>
  <c r="AS21" i="7"/>
  <c r="AP21" i="7"/>
  <c r="AL21" i="7"/>
  <c r="AI21" i="7"/>
  <c r="AE21" i="7"/>
  <c r="AB21" i="7"/>
  <c r="X21" i="7"/>
  <c r="U21" i="7"/>
  <c r="Q21" i="7"/>
  <c r="N21" i="7"/>
  <c r="H21" i="7"/>
  <c r="AW20" i="7"/>
  <c r="AS20" i="7"/>
  <c r="AP20" i="7"/>
  <c r="AL20" i="7"/>
  <c r="AI20" i="7"/>
  <c r="AE20" i="7"/>
  <c r="AB20" i="7"/>
  <c r="X20" i="7"/>
  <c r="U20" i="7"/>
  <c r="Q20" i="7"/>
  <c r="AW19" i="7"/>
  <c r="AP19" i="7"/>
  <c r="AI19" i="7"/>
  <c r="AB19" i="7"/>
  <c r="U19" i="7"/>
  <c r="AW18" i="7"/>
  <c r="AP18" i="7"/>
  <c r="AI18" i="7"/>
  <c r="AB18" i="7"/>
  <c r="U18" i="7"/>
  <c r="AW17" i="7"/>
  <c r="AP17" i="7"/>
  <c r="AI17" i="7"/>
  <c r="AB17" i="7"/>
  <c r="U17" i="7"/>
  <c r="AW16" i="7"/>
  <c r="AP16" i="7"/>
  <c r="AI16" i="7"/>
  <c r="AB16" i="7"/>
  <c r="U16" i="7"/>
  <c r="AW15" i="7"/>
  <c r="AP15" i="7"/>
  <c r="AI15" i="7"/>
  <c r="AB15" i="7"/>
  <c r="U15" i="7"/>
  <c r="AW14" i="7"/>
  <c r="AP14" i="7"/>
  <c r="AI14" i="7"/>
  <c r="AB14" i="7"/>
  <c r="U14" i="7"/>
  <c r="AW13" i="7"/>
  <c r="AP13" i="7"/>
  <c r="AI13" i="7"/>
  <c r="AB13" i="7"/>
  <c r="U13" i="7"/>
  <c r="AW12" i="7"/>
  <c r="AP12" i="7"/>
  <c r="AI12" i="7"/>
  <c r="AB12" i="7"/>
  <c r="U12" i="7"/>
  <c r="AW11" i="7"/>
  <c r="AP11" i="7"/>
  <c r="AI11" i="7"/>
  <c r="AB11" i="7"/>
  <c r="U11" i="7"/>
  <c r="AW10" i="7"/>
  <c r="AP10" i="7"/>
  <c r="AI10" i="7"/>
  <c r="AB10" i="7"/>
  <c r="U10" i="7"/>
  <c r="AW9" i="7"/>
  <c r="AP9" i="7"/>
  <c r="AI9" i="7"/>
  <c r="AB9" i="7"/>
  <c r="U9" i="7"/>
  <c r="AW8" i="7"/>
  <c r="AP8" i="7"/>
  <c r="AI8" i="7"/>
  <c r="AB8" i="7"/>
  <c r="U8" i="7"/>
  <c r="AW7" i="7"/>
  <c r="AS7" i="7"/>
  <c r="AP7" i="7"/>
  <c r="AL7" i="7"/>
  <c r="AI7" i="7"/>
  <c r="AE7" i="7"/>
  <c r="AB7" i="7"/>
  <c r="X7" i="7"/>
  <c r="U7" i="7"/>
  <c r="Q7" i="7"/>
  <c r="AW6" i="7"/>
  <c r="AS6" i="7"/>
  <c r="AP6" i="7"/>
  <c r="AL6" i="7"/>
  <c r="AI6" i="7"/>
  <c r="AE6" i="7"/>
  <c r="AB6" i="7"/>
  <c r="X6" i="7"/>
  <c r="U6" i="7"/>
  <c r="Q6" i="7"/>
  <c r="AW5" i="7"/>
  <c r="AS5" i="7"/>
  <c r="AP5" i="7"/>
  <c r="AL5" i="7"/>
  <c r="AI5" i="7"/>
  <c r="AE5" i="7"/>
  <c r="AB5" i="7"/>
  <c r="X5" i="7"/>
  <c r="U5" i="7"/>
  <c r="Q5" i="7"/>
  <c r="AW4" i="7"/>
  <c r="AS4" i="7"/>
  <c r="AP4" i="7"/>
  <c r="AL4" i="7"/>
  <c r="AI4" i="7"/>
  <c r="AE4" i="7"/>
  <c r="AB4" i="7"/>
  <c r="X4" i="7"/>
  <c r="U4" i="7"/>
  <c r="Q4" i="7"/>
  <c r="H2284" i="6"/>
  <c r="H2276" i="6"/>
  <c r="G2270" i="6"/>
  <c r="H2267" i="6"/>
  <c r="H2262" i="6"/>
  <c r="G2262" i="6"/>
  <c r="H2261" i="6"/>
  <c r="G2261" i="6"/>
  <c r="I2223" i="6"/>
  <c r="H2223" i="6"/>
  <c r="G2220" i="6"/>
  <c r="G2219" i="6"/>
  <c r="H2217" i="6"/>
  <c r="H2216" i="6"/>
  <c r="E2216" i="6"/>
  <c r="I2214" i="6"/>
  <c r="H2214" i="6"/>
  <c r="I2213" i="6"/>
  <c r="H2213" i="6"/>
  <c r="H2211" i="6"/>
  <c r="H2210" i="6"/>
  <c r="H2209" i="6"/>
  <c r="G2205" i="6"/>
  <c r="G2201" i="6"/>
  <c r="G2200" i="6"/>
  <c r="G2199" i="6"/>
  <c r="G2198" i="6"/>
  <c r="G2188" i="6"/>
  <c r="H2180" i="6"/>
  <c r="H2179" i="6"/>
  <c r="H2177" i="6"/>
  <c r="H2176" i="6"/>
  <c r="G2175" i="6"/>
  <c r="H2174" i="6"/>
  <c r="H2171" i="6"/>
  <c r="H2170" i="6"/>
  <c r="G2167" i="6"/>
  <c r="G2166" i="6"/>
  <c r="H2164" i="6"/>
  <c r="G2155" i="6"/>
  <c r="H2143" i="6"/>
  <c r="G2142" i="6"/>
  <c r="H2118" i="6"/>
  <c r="H2111" i="6"/>
  <c r="H2106" i="6"/>
  <c r="H2100" i="6"/>
  <c r="H2094" i="6"/>
  <c r="H2092" i="6"/>
  <c r="H2072" i="6"/>
  <c r="H2070" i="6"/>
  <c r="H2066" i="6"/>
  <c r="H2065" i="6"/>
  <c r="H2063" i="6"/>
  <c r="H2059" i="6"/>
  <c r="H2049" i="6"/>
  <c r="H2035" i="6"/>
  <c r="H2034" i="6"/>
  <c r="H2033" i="6"/>
  <c r="H2030" i="6"/>
  <c r="H2019" i="6"/>
  <c r="H2009" i="6"/>
  <c r="G2009" i="6"/>
  <c r="G1998" i="6"/>
  <c r="G1993" i="6"/>
  <c r="G1965" i="6"/>
  <c r="H1960" i="6"/>
  <c r="G1960" i="6"/>
  <c r="G1875" i="6"/>
  <c r="G1874" i="6"/>
  <c r="G1873" i="6"/>
  <c r="G1840" i="6"/>
  <c r="G1828" i="6"/>
  <c r="G1820" i="6"/>
  <c r="G1816" i="6"/>
  <c r="G1775" i="6"/>
  <c r="G1746" i="6"/>
  <c r="G1739" i="6"/>
  <c r="G1710" i="6"/>
  <c r="G1708" i="6"/>
  <c r="E1708" i="6"/>
  <c r="I1703" i="6"/>
  <c r="H1703" i="6"/>
  <c r="G1703" i="6"/>
  <c r="K1702" i="6"/>
  <c r="J1702" i="6"/>
  <c r="I1702" i="6"/>
  <c r="H1702" i="6"/>
  <c r="G1691" i="6"/>
  <c r="I1684" i="6"/>
  <c r="H1684" i="6"/>
  <c r="G1684" i="6"/>
  <c r="H1680" i="6"/>
  <c r="G1680" i="6"/>
  <c r="H1670" i="6"/>
  <c r="G1661" i="6"/>
  <c r="G1650" i="6"/>
  <c r="H1647" i="6"/>
  <c r="G1647" i="6"/>
  <c r="H1646" i="6"/>
  <c r="G1646" i="6"/>
  <c r="G1619" i="6"/>
  <c r="G1604" i="6"/>
  <c r="G1596" i="6"/>
  <c r="G1595" i="6"/>
  <c r="G1592" i="6"/>
  <c r="H1591" i="6"/>
  <c r="H1589" i="6"/>
  <c r="G1589" i="6"/>
  <c r="H1564" i="6"/>
  <c r="H1550" i="6"/>
  <c r="H1543" i="6"/>
  <c r="G1543" i="6"/>
  <c r="H1542" i="6"/>
  <c r="G1542" i="6"/>
  <c r="H1541" i="6"/>
  <c r="G1541" i="6"/>
  <c r="G1518" i="6"/>
  <c r="G1517" i="6"/>
  <c r="G1510" i="6"/>
  <c r="G1503" i="6"/>
  <c r="G1502" i="6"/>
  <c r="G1499" i="6"/>
  <c r="G1498" i="6"/>
  <c r="G1479" i="6"/>
  <c r="G1475" i="6"/>
  <c r="G1474" i="6"/>
  <c r="H1473" i="6"/>
  <c r="G1473" i="6"/>
  <c r="G1461" i="6"/>
  <c r="G1446" i="6"/>
  <c r="G1439" i="6"/>
  <c r="H1433" i="6"/>
  <c r="H1432" i="6"/>
  <c r="G1414" i="6"/>
  <c r="H1413" i="6"/>
  <c r="H1412" i="6"/>
  <c r="H1393" i="6"/>
  <c r="G1384" i="6"/>
  <c r="G1383" i="6"/>
  <c r="G1369" i="6"/>
  <c r="H1363" i="6"/>
  <c r="H1344" i="6"/>
  <c r="G1344" i="6"/>
  <c r="H1338" i="6"/>
  <c r="H1337" i="6"/>
  <c r="E1327" i="6"/>
  <c r="G1326" i="6"/>
  <c r="H1312" i="6"/>
  <c r="H1311" i="6"/>
  <c r="H1310" i="6"/>
  <c r="H1309" i="6"/>
  <c r="G1285" i="6"/>
  <c r="G1268" i="6"/>
  <c r="G1243" i="6"/>
  <c r="G1242" i="6"/>
  <c r="H1230" i="6"/>
  <c r="H1229" i="6"/>
  <c r="H1219" i="6"/>
  <c r="E1171" i="6"/>
  <c r="H1159" i="6"/>
  <c r="H1142" i="6"/>
  <c r="H1122" i="6"/>
  <c r="H1111" i="6"/>
  <c r="I1110" i="6"/>
  <c r="H1110" i="6"/>
  <c r="I1084" i="6"/>
  <c r="H1084" i="6"/>
  <c r="H1083" i="6"/>
  <c r="G1046" i="6"/>
  <c r="E1046" i="6"/>
  <c r="I989" i="6"/>
  <c r="I958" i="6"/>
  <c r="H942" i="6"/>
  <c r="E942" i="6"/>
  <c r="H919" i="6"/>
  <c r="E919" i="6"/>
  <c r="H918" i="6"/>
  <c r="E918" i="6"/>
  <c r="G897" i="6"/>
  <c r="E897" i="6"/>
  <c r="G895" i="6"/>
  <c r="E895" i="6"/>
  <c r="G879" i="6"/>
  <c r="G857" i="6"/>
  <c r="E857" i="6"/>
  <c r="E822" i="6"/>
  <c r="E818" i="6"/>
  <c r="H807" i="6"/>
  <c r="H799" i="6"/>
  <c r="H798" i="6"/>
  <c r="H796" i="6"/>
  <c r="H795" i="6"/>
  <c r="H793" i="6"/>
  <c r="H784" i="6"/>
  <c r="H782" i="6"/>
  <c r="H781" i="6"/>
  <c r="H771" i="6"/>
  <c r="H760" i="6"/>
  <c r="E755" i="6"/>
  <c r="H753" i="6"/>
  <c r="H745" i="6"/>
  <c r="H744" i="6"/>
  <c r="H743" i="6"/>
  <c r="H734" i="6"/>
  <c r="H731" i="6"/>
  <c r="E704" i="6"/>
  <c r="I665" i="6"/>
  <c r="E665" i="6"/>
  <c r="E639" i="6"/>
  <c r="H578" i="6"/>
  <c r="G578" i="6"/>
  <c r="E576" i="6"/>
  <c r="E500" i="6"/>
  <c r="E432" i="6"/>
  <c r="E430" i="6"/>
  <c r="E429" i="6"/>
  <c r="G416" i="6"/>
  <c r="H395" i="6"/>
  <c r="E370" i="6"/>
  <c r="E369" i="6"/>
  <c r="E368" i="6"/>
  <c r="E285" i="6"/>
  <c r="H265" i="6"/>
  <c r="G265" i="6"/>
  <c r="H230" i="6"/>
  <c r="G230" i="6"/>
  <c r="E58" i="6"/>
  <c r="E57" i="6"/>
  <c r="E56" i="6"/>
  <c r="E55" i="6"/>
  <c r="E54" i="6"/>
  <c r="E52" i="6"/>
  <c r="J146" i="5"/>
  <c r="J145" i="5"/>
  <c r="I145" i="5"/>
  <c r="H145" i="5"/>
  <c r="J144" i="5"/>
  <c r="J143" i="5"/>
  <c r="I143" i="5"/>
  <c r="H143" i="5"/>
  <c r="J142" i="5"/>
  <c r="J141" i="5"/>
  <c r="I141" i="5"/>
  <c r="H141" i="5"/>
  <c r="J140" i="5"/>
  <c r="J139" i="5"/>
  <c r="I139" i="5"/>
  <c r="H139" i="5"/>
  <c r="J138" i="5"/>
  <c r="I138" i="5"/>
  <c r="H138" i="5"/>
  <c r="J137" i="5"/>
  <c r="I137" i="5"/>
  <c r="H137" i="5"/>
  <c r="J136" i="5"/>
  <c r="J135" i="5"/>
  <c r="I135" i="5"/>
  <c r="H135" i="5"/>
  <c r="J134" i="5"/>
  <c r="J133" i="5"/>
  <c r="I133" i="5"/>
  <c r="H133" i="5"/>
  <c r="J132" i="5"/>
  <c r="I132" i="5"/>
  <c r="H132" i="5"/>
  <c r="J131" i="5"/>
  <c r="J130" i="5"/>
  <c r="I130" i="5"/>
  <c r="H130" i="5"/>
  <c r="J129" i="5"/>
  <c r="I129" i="5"/>
  <c r="H129" i="5"/>
  <c r="J128" i="5"/>
  <c r="J127" i="5"/>
  <c r="I127" i="5"/>
  <c r="H127" i="5"/>
  <c r="J126" i="5"/>
  <c r="J125" i="5"/>
  <c r="I125" i="5"/>
  <c r="H125" i="5"/>
  <c r="J124" i="5"/>
  <c r="J123" i="5"/>
  <c r="I123" i="5"/>
  <c r="H123" i="5"/>
  <c r="J122" i="5"/>
  <c r="J121" i="5"/>
  <c r="I121" i="5"/>
  <c r="H121" i="5"/>
  <c r="J120" i="5"/>
  <c r="J119" i="5"/>
  <c r="I119" i="5"/>
  <c r="H119" i="5"/>
  <c r="J118" i="5"/>
  <c r="J117" i="5"/>
  <c r="I117" i="5"/>
  <c r="H117" i="5"/>
  <c r="J116" i="5"/>
  <c r="I116" i="5"/>
  <c r="H116" i="5"/>
  <c r="J115" i="5"/>
  <c r="I115" i="5"/>
  <c r="H115" i="5"/>
  <c r="J114" i="5"/>
  <c r="J113" i="5"/>
  <c r="I113" i="5"/>
  <c r="H113" i="5"/>
  <c r="J112" i="5"/>
  <c r="J111" i="5"/>
  <c r="I111" i="5"/>
  <c r="H111" i="5"/>
  <c r="J110" i="5"/>
  <c r="I110" i="5"/>
  <c r="H110" i="5"/>
  <c r="J109" i="5"/>
  <c r="J108" i="5"/>
  <c r="I108" i="5"/>
  <c r="H108" i="5"/>
  <c r="J107" i="5"/>
  <c r="J106" i="5"/>
  <c r="I106" i="5"/>
  <c r="H106" i="5"/>
  <c r="J105" i="5"/>
  <c r="J104" i="5"/>
  <c r="I104" i="5"/>
  <c r="H104" i="5"/>
  <c r="J103" i="5"/>
  <c r="I103" i="5"/>
  <c r="H103" i="5"/>
  <c r="J102" i="5"/>
  <c r="J101" i="5"/>
  <c r="I101" i="5"/>
  <c r="H101" i="5"/>
  <c r="J100" i="5"/>
  <c r="J99" i="5"/>
  <c r="I99" i="5"/>
  <c r="H99" i="5"/>
  <c r="J98" i="5"/>
  <c r="J97" i="5"/>
  <c r="I97" i="5"/>
  <c r="H97" i="5"/>
  <c r="J96" i="5"/>
  <c r="J95" i="5"/>
  <c r="I95" i="5"/>
  <c r="H95" i="5"/>
  <c r="J94" i="5"/>
  <c r="I94" i="5"/>
  <c r="H94" i="5"/>
  <c r="J93" i="5"/>
  <c r="J92" i="5"/>
  <c r="J91" i="5"/>
  <c r="J90" i="5"/>
  <c r="I90" i="5"/>
  <c r="H90" i="5"/>
  <c r="J89" i="5"/>
  <c r="I89" i="5"/>
  <c r="H89" i="5"/>
  <c r="J88" i="5"/>
  <c r="J87" i="5"/>
  <c r="I87" i="5"/>
  <c r="H87" i="5"/>
  <c r="J86" i="5"/>
  <c r="J85" i="5"/>
  <c r="I85" i="5"/>
  <c r="H85" i="5"/>
  <c r="J84" i="5"/>
  <c r="I84" i="5"/>
  <c r="H84" i="5"/>
  <c r="J83" i="5"/>
  <c r="J82" i="5"/>
  <c r="I82" i="5"/>
  <c r="H82" i="5"/>
  <c r="J81" i="5"/>
  <c r="I81" i="5"/>
  <c r="H81" i="5"/>
  <c r="J79" i="5"/>
  <c r="I79" i="5"/>
  <c r="H79" i="5"/>
  <c r="J78" i="5"/>
  <c r="I78" i="5"/>
  <c r="H78" i="5"/>
  <c r="J71" i="5"/>
  <c r="I71" i="5"/>
  <c r="H71" i="5"/>
  <c r="J70" i="5"/>
  <c r="I70" i="5"/>
  <c r="H70" i="5"/>
  <c r="J69" i="5"/>
  <c r="J68" i="5"/>
  <c r="I68" i="5"/>
  <c r="H68" i="5"/>
  <c r="J67" i="5"/>
  <c r="J66" i="5"/>
  <c r="I66" i="5"/>
  <c r="H66" i="5"/>
  <c r="J65" i="5"/>
  <c r="I65" i="5"/>
  <c r="H65" i="5"/>
  <c r="J64" i="5"/>
  <c r="I64" i="5"/>
  <c r="H64" i="5"/>
  <c r="J61" i="5"/>
  <c r="I61" i="5"/>
  <c r="H61" i="5"/>
  <c r="J58" i="5"/>
  <c r="I58" i="5"/>
  <c r="H58" i="5"/>
  <c r="J56" i="5"/>
  <c r="I56" i="5"/>
  <c r="H56" i="5"/>
  <c r="J54" i="5"/>
  <c r="I54" i="5"/>
  <c r="H54" i="5"/>
  <c r="J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J46" i="5"/>
  <c r="I46" i="5"/>
  <c r="H46" i="5"/>
  <c r="J45" i="5"/>
  <c r="J44" i="5"/>
  <c r="I44" i="5"/>
  <c r="H44" i="5"/>
  <c r="J43" i="5"/>
  <c r="J37" i="5"/>
  <c r="I37" i="5"/>
  <c r="H37" i="5"/>
  <c r="J36" i="5"/>
  <c r="I36" i="5"/>
  <c r="H36" i="5"/>
  <c r="J35" i="5"/>
  <c r="J34" i="5"/>
  <c r="I34" i="5"/>
  <c r="H34" i="5"/>
  <c r="J33" i="5"/>
  <c r="I33" i="5"/>
  <c r="H33" i="5"/>
  <c r="J32" i="5"/>
  <c r="J31" i="5"/>
  <c r="I31" i="5"/>
  <c r="H31" i="5"/>
  <c r="J30" i="5"/>
  <c r="I30" i="5"/>
  <c r="H30" i="5"/>
  <c r="J29" i="5"/>
  <c r="J28" i="5"/>
  <c r="I28" i="5"/>
  <c r="H28" i="5"/>
  <c r="J27" i="5"/>
  <c r="I27" i="5"/>
  <c r="H27" i="5"/>
  <c r="J26" i="5"/>
  <c r="I26" i="5"/>
  <c r="H26" i="5"/>
  <c r="J25" i="5"/>
  <c r="J23" i="5"/>
  <c r="I23" i="5"/>
  <c r="H23" i="5"/>
  <c r="J22" i="5"/>
  <c r="I22" i="5"/>
  <c r="H22" i="5"/>
  <c r="J21" i="5"/>
  <c r="I21" i="5"/>
  <c r="H21" i="5"/>
  <c r="J20" i="5"/>
  <c r="J16" i="5"/>
  <c r="I16" i="5"/>
  <c r="H16" i="5"/>
  <c r="J15" i="5"/>
  <c r="J14" i="5"/>
  <c r="I14" i="5"/>
  <c r="H14" i="5"/>
  <c r="G14" i="5"/>
  <c r="J13" i="5"/>
  <c r="I13" i="5"/>
  <c r="H13" i="5"/>
  <c r="G13" i="5"/>
  <c r="J12" i="5"/>
  <c r="I12" i="5"/>
  <c r="H12" i="5"/>
  <c r="G12" i="5"/>
  <c r="J11" i="5"/>
  <c r="I11" i="5"/>
  <c r="H11" i="5"/>
  <c r="G11" i="5"/>
  <c r="J10" i="5"/>
  <c r="J9" i="5"/>
  <c r="I9" i="5"/>
  <c r="H9" i="5"/>
  <c r="G9" i="5"/>
  <c r="J8" i="5"/>
  <c r="I8" i="5"/>
  <c r="H8" i="5"/>
  <c r="G8" i="5"/>
  <c r="J7" i="5"/>
  <c r="J5" i="5"/>
  <c r="I5" i="5"/>
  <c r="H5" i="5"/>
  <c r="G5" i="5"/>
  <c r="J4" i="5"/>
  <c r="I4" i="5"/>
  <c r="H4" i="5"/>
  <c r="G4" i="5"/>
  <c r="J3" i="5"/>
  <c r="I3" i="5"/>
  <c r="H3" i="5"/>
  <c r="G3" i="5"/>
  <c r="I40" i="4"/>
  <c r="H40" i="4"/>
  <c r="I39" i="4"/>
  <c r="H39" i="4"/>
  <c r="I38" i="4"/>
  <c r="H38" i="4"/>
  <c r="I33" i="4"/>
  <c r="K23" i="4"/>
  <c r="J23" i="4"/>
  <c r="G23" i="4"/>
  <c r="K22" i="4"/>
  <c r="J22" i="4"/>
  <c r="K21" i="4"/>
  <c r="J21" i="4"/>
  <c r="H21" i="4"/>
  <c r="H20" i="4"/>
  <c r="I18" i="4"/>
  <c r="H18" i="4"/>
  <c r="L8" i="4"/>
  <c r="I8" i="4"/>
  <c r="H8" i="4"/>
  <c r="H6" i="4"/>
  <c r="H4" i="4"/>
  <c r="L3" i="4"/>
  <c r="H3" i="4"/>
  <c r="L2" i="4"/>
  <c r="H2" i="4"/>
  <c r="B1" i="11"/>
  <c r="E3465" i="12"/>
  <c r="E3464" i="12"/>
  <c r="E3463" i="12"/>
  <c r="E3462" i="12"/>
  <c r="E3461" i="12"/>
  <c r="E3460" i="12"/>
  <c r="E3459" i="12"/>
  <c r="E3458" i="12"/>
  <c r="E3457" i="12"/>
  <c r="E3456" i="12"/>
  <c r="E3455" i="12"/>
  <c r="E3454" i="12"/>
  <c r="E3453" i="12"/>
  <c r="E3452" i="12"/>
  <c r="E3451" i="12"/>
  <c r="E3450" i="12"/>
  <c r="E3449" i="12"/>
  <c r="E3445" i="12"/>
  <c r="E3444" i="12"/>
  <c r="E3443" i="12"/>
  <c r="E3442" i="12"/>
  <c r="E3441" i="12"/>
  <c r="E3440" i="12"/>
  <c r="E3436" i="12"/>
  <c r="E3435" i="12"/>
  <c r="E3434" i="12"/>
  <c r="E3433" i="12"/>
  <c r="E3432" i="12"/>
  <c r="E3431" i="12"/>
  <c r="E3430" i="12"/>
  <c r="E3429" i="12"/>
  <c r="E3425" i="12"/>
  <c r="E3424" i="12"/>
  <c r="E3423" i="12"/>
  <c r="E3419" i="12"/>
  <c r="E3418" i="12"/>
  <c r="E3417" i="12"/>
  <c r="E3416" i="12"/>
  <c r="E3412" i="12"/>
  <c r="E3411" i="12"/>
  <c r="E3410" i="12"/>
  <c r="E3409" i="12"/>
  <c r="E3408" i="12"/>
  <c r="E3404" i="12"/>
  <c r="E3403" i="12"/>
  <c r="E3402" i="12"/>
  <c r="E3401" i="12"/>
  <c r="E3400" i="12"/>
  <c r="E3399" i="12"/>
  <c r="E3398" i="12"/>
  <c r="E3394" i="12"/>
  <c r="E3390" i="12"/>
  <c r="E3389" i="12"/>
  <c r="E3388" i="12"/>
  <c r="E3387" i="12"/>
  <c r="E3383" i="12"/>
  <c r="E3382" i="12"/>
  <c r="E3381" i="12"/>
  <c r="E3380" i="12"/>
  <c r="E3379" i="12"/>
  <c r="E3378" i="12"/>
  <c r="E3377" i="12"/>
  <c r="E3372" i="12"/>
  <c r="E3367" i="12"/>
  <c r="E3366" i="12"/>
  <c r="E3365" i="12"/>
  <c r="E3364" i="12"/>
  <c r="E3363" i="12"/>
  <c r="E3362" i="12"/>
  <c r="E3361" i="12"/>
  <c r="E3360" i="12"/>
  <c r="E3355" i="12"/>
  <c r="E3354" i="12"/>
  <c r="E3353" i="12"/>
  <c r="E3352" i="12"/>
  <c r="E3351" i="12"/>
  <c r="E3350" i="12"/>
  <c r="E3349" i="12"/>
  <c r="E3345" i="12"/>
  <c r="E3344" i="12"/>
  <c r="E3343" i="12"/>
  <c r="E3342" i="12"/>
  <c r="E3341" i="12"/>
  <c r="E3337" i="12"/>
  <c r="E3336" i="12"/>
  <c r="E3331" i="12"/>
  <c r="E3330" i="12"/>
  <c r="E3329" i="12"/>
  <c r="E3328" i="12"/>
  <c r="E3327" i="12"/>
  <c r="E3326" i="12"/>
  <c r="E3325" i="12"/>
  <c r="E3321" i="12"/>
  <c r="E3320" i="12"/>
  <c r="E3315" i="12"/>
  <c r="E3314" i="12"/>
  <c r="E3313" i="12"/>
  <c r="E3312" i="12"/>
  <c r="E3308" i="12"/>
  <c r="E3307" i="12"/>
  <c r="E3302" i="12"/>
  <c r="E3301" i="12"/>
  <c r="E3300" i="12"/>
  <c r="E3299" i="12"/>
  <c r="E3295" i="12"/>
  <c r="E3294" i="12"/>
  <c r="E3293" i="12"/>
  <c r="E3292" i="12"/>
  <c r="E3291" i="12"/>
  <c r="E3290" i="12"/>
  <c r="E3289" i="12"/>
  <c r="E3288" i="12"/>
  <c r="E3287" i="12"/>
  <c r="E3286" i="12"/>
  <c r="E3285" i="12"/>
  <c r="E3284" i="12"/>
  <c r="E3283" i="12"/>
  <c r="E3279" i="12"/>
  <c r="E3275" i="12"/>
  <c r="E3274" i="12"/>
  <c r="E3273" i="12"/>
  <c r="E3272" i="12"/>
  <c r="E3271" i="12"/>
  <c r="E3266" i="12"/>
  <c r="E3265" i="12"/>
  <c r="E3264" i="12"/>
  <c r="E3263" i="12"/>
  <c r="E3262" i="12"/>
  <c r="E3261" i="12"/>
  <c r="E3260" i="12"/>
  <c r="E3259" i="12"/>
  <c r="E3258" i="12"/>
  <c r="E3254" i="12"/>
  <c r="E3253" i="12"/>
  <c r="E3252" i="12"/>
  <c r="E3251" i="12"/>
  <c r="E3250" i="12"/>
  <c r="E3249" i="12"/>
  <c r="E3248" i="12"/>
  <c r="E3247" i="12"/>
  <c r="E3246" i="12"/>
  <c r="E3240" i="12"/>
  <c r="E3239" i="12"/>
  <c r="E3238" i="12"/>
  <c r="E3237" i="12"/>
  <c r="E3236" i="12"/>
  <c r="E3235" i="12"/>
  <c r="E3231" i="12"/>
  <c r="E3230" i="12"/>
  <c r="E3229" i="12"/>
  <c r="E3228" i="12"/>
  <c r="E3227" i="12"/>
  <c r="E3226" i="12"/>
  <c r="E3225" i="12"/>
  <c r="E3220" i="12"/>
  <c r="E3219" i="12"/>
  <c r="E3218" i="12"/>
  <c r="E3217" i="12"/>
  <c r="E3216" i="12"/>
  <c r="E3215" i="12"/>
  <c r="E3214" i="12"/>
  <c r="E3213" i="12"/>
  <c r="E3212" i="12"/>
  <c r="E3211" i="12"/>
  <c r="E3210" i="12"/>
  <c r="E3206" i="12"/>
  <c r="E3205" i="12"/>
  <c r="E3204" i="12"/>
  <c r="E3203" i="12"/>
  <c r="E3198" i="12"/>
  <c r="E3197" i="12"/>
  <c r="E3196" i="12"/>
  <c r="E3195" i="12"/>
  <c r="E3190" i="12"/>
  <c r="E3189" i="12"/>
  <c r="E3188" i="12"/>
  <c r="E3187" i="12"/>
  <c r="E3186" i="12"/>
  <c r="E3185" i="12"/>
  <c r="E3181" i="12"/>
  <c r="E3180" i="12"/>
  <c r="E3179" i="12"/>
  <c r="E3178" i="12"/>
  <c r="E3177" i="12"/>
  <c r="E3176" i="12"/>
  <c r="E3175" i="12"/>
  <c r="E3174" i="12"/>
  <c r="E3173" i="12"/>
  <c r="E3172" i="12"/>
  <c r="E3171" i="12"/>
  <c r="E3170" i="12"/>
  <c r="E3169" i="12"/>
  <c r="E3168" i="12"/>
  <c r="E3167" i="12"/>
  <c r="E3166" i="12"/>
  <c r="E3165" i="12"/>
  <c r="E3164" i="12"/>
  <c r="E3163" i="12"/>
  <c r="E3162" i="12"/>
  <c r="E3161" i="12"/>
  <c r="E3160" i="12"/>
  <c r="E3159" i="12"/>
  <c r="E3158" i="12"/>
  <c r="E3157" i="12"/>
  <c r="E3156" i="12"/>
  <c r="E3155" i="12"/>
  <c r="E3154" i="12"/>
  <c r="E3153" i="12"/>
  <c r="E3152" i="12"/>
  <c r="E3151" i="12"/>
  <c r="E3147" i="12"/>
  <c r="E3146" i="12"/>
  <c r="E3145" i="12"/>
  <c r="E3144" i="12"/>
  <c r="E3143" i="12"/>
  <c r="E3139" i="12"/>
  <c r="E3135" i="12"/>
  <c r="E3134" i="12"/>
  <c r="E3133" i="12"/>
  <c r="E3132" i="12"/>
  <c r="E3131" i="12"/>
  <c r="E3130" i="12"/>
  <c r="E3129" i="12"/>
  <c r="E3128" i="12"/>
  <c r="E3127" i="12"/>
  <c r="E3126" i="12"/>
  <c r="E3125" i="12"/>
  <c r="E3124" i="12"/>
  <c r="E3123" i="12"/>
  <c r="E3122" i="12"/>
  <c r="E3121" i="12"/>
  <c r="E3120" i="12"/>
  <c r="E3119" i="12"/>
  <c r="E3118" i="12"/>
  <c r="E3114" i="12"/>
  <c r="E3113" i="12"/>
  <c r="E3112" i="12"/>
  <c r="E3111" i="12"/>
  <c r="E3110" i="12"/>
  <c r="E3109" i="12"/>
  <c r="E3108" i="12"/>
  <c r="E3103" i="12"/>
  <c r="E3102" i="12"/>
  <c r="E3101" i="12"/>
  <c r="E3096" i="12"/>
  <c r="E3095" i="12"/>
  <c r="E3094" i="12"/>
  <c r="E3093" i="12"/>
  <c r="E3092" i="12"/>
  <c r="E3091" i="12"/>
  <c r="E3090" i="12"/>
  <c r="E3089" i="12"/>
  <c r="E3088" i="12"/>
  <c r="E3087" i="12"/>
  <c r="E3086" i="12"/>
  <c r="E3085" i="12"/>
  <c r="E3084" i="12"/>
  <c r="E3083" i="12"/>
  <c r="E3082" i="12"/>
  <c r="E3081" i="12"/>
  <c r="E3080" i="12"/>
  <c r="E3079" i="12"/>
  <c r="E3078" i="12"/>
  <c r="E3077" i="12"/>
  <c r="E3076" i="12"/>
  <c r="E3075" i="12"/>
  <c r="E3074" i="12"/>
  <c r="E3073" i="12"/>
  <c r="E3072" i="12"/>
  <c r="E3071" i="12"/>
  <c r="E3070" i="12"/>
  <c r="E3069" i="12"/>
  <c r="E3068" i="12"/>
  <c r="E3067" i="12"/>
  <c r="E3066" i="12"/>
  <c r="E3065" i="12"/>
  <c r="E3064" i="12"/>
  <c r="E3063" i="12"/>
  <c r="E3062" i="12"/>
  <c r="E3061" i="12"/>
  <c r="E3060" i="12"/>
  <c r="E3054" i="12"/>
  <c r="E3050" i="12"/>
  <c r="E3049" i="12"/>
  <c r="E3048" i="12"/>
  <c r="E3043" i="12"/>
  <c r="E3042" i="12"/>
  <c r="E3041" i="12"/>
  <c r="E3040" i="12"/>
  <c r="E3039" i="12"/>
  <c r="E3038" i="12"/>
  <c r="E3037" i="12"/>
  <c r="E3036" i="12"/>
  <c r="E3031" i="12"/>
  <c r="E3030" i="12"/>
  <c r="E3029" i="12"/>
  <c r="E3028" i="12"/>
  <c r="E3027" i="12"/>
  <c r="E3026" i="12"/>
  <c r="E3025" i="12"/>
  <c r="E3024" i="12"/>
  <c r="E3023" i="12"/>
  <c r="E3022" i="12"/>
  <c r="E3018" i="12"/>
  <c r="E3017" i="12"/>
  <c r="E3016" i="12"/>
  <c r="E3015" i="12"/>
  <c r="E3011" i="12"/>
  <c r="E3010" i="12"/>
  <c r="E3009" i="12"/>
  <c r="E3008" i="12"/>
  <c r="E3003" i="12"/>
  <c r="E3002" i="12"/>
  <c r="E2997" i="12"/>
  <c r="E2996" i="12"/>
  <c r="E2995" i="12"/>
  <c r="E2994" i="12"/>
  <c r="E2989" i="12"/>
  <c r="E2988" i="12"/>
  <c r="E2987" i="12"/>
  <c r="E2982" i="12"/>
  <c r="E2981" i="12"/>
  <c r="E2980" i="12"/>
  <c r="E2979" i="12"/>
  <c r="E2978" i="12"/>
  <c r="E2977" i="12"/>
  <c r="E2976" i="12"/>
  <c r="E2975" i="12"/>
  <c r="E2974" i="12"/>
  <c r="E2973" i="12"/>
  <c r="E2972" i="12"/>
  <c r="E2971" i="12"/>
  <c r="E2970" i="12"/>
  <c r="E2969" i="12"/>
  <c r="E2968" i="12"/>
  <c r="E2967" i="12"/>
  <c r="E2966" i="12"/>
  <c r="E2965" i="12"/>
  <c r="E2960" i="12"/>
  <c r="E2959" i="12"/>
  <c r="E2958" i="12"/>
  <c r="E2957" i="12"/>
  <c r="E2950" i="12"/>
  <c r="E2949" i="12"/>
  <c r="E2948" i="12"/>
  <c r="E2947" i="12"/>
  <c r="E2946" i="12"/>
  <c r="E2945" i="12"/>
  <c r="E2944" i="12"/>
  <c r="E2943" i="12"/>
  <c r="E2942" i="12"/>
  <c r="E2941" i="12"/>
  <c r="E2936" i="12"/>
  <c r="E2935" i="12"/>
  <c r="E2930" i="12"/>
  <c r="E2929" i="12"/>
  <c r="E2928" i="12"/>
  <c r="E2927" i="12"/>
  <c r="E2926" i="12"/>
  <c r="E2925" i="12"/>
  <c r="E2924" i="12"/>
  <c r="E2920" i="12"/>
  <c r="E2919" i="12"/>
  <c r="E2918" i="12"/>
  <c r="E2917" i="12"/>
  <c r="E2916" i="12"/>
  <c r="E2915" i="12"/>
  <c r="E2910" i="12"/>
  <c r="E2909" i="12"/>
  <c r="E2903" i="12"/>
  <c r="E2902" i="12"/>
  <c r="E2897" i="12"/>
  <c r="E2896" i="12"/>
  <c r="E2895" i="12"/>
  <c r="E2894" i="12"/>
  <c r="E2893" i="12"/>
  <c r="E2892" i="12"/>
  <c r="E2891" i="12"/>
  <c r="E2890" i="12"/>
  <c r="E2889" i="12"/>
  <c r="E2888" i="12"/>
  <c r="E2887" i="12"/>
  <c r="E2883" i="12"/>
  <c r="E2882" i="12"/>
  <c r="E2881" i="12"/>
  <c r="E2880" i="12"/>
  <c r="E2879" i="12"/>
  <c r="E2878" i="12"/>
  <c r="E2877" i="12"/>
  <c r="E2876" i="12"/>
  <c r="E2875" i="12"/>
  <c r="E2874" i="12"/>
  <c r="E2873" i="12"/>
  <c r="E2872" i="12"/>
  <c r="E2871" i="12"/>
  <c r="E2870" i="12"/>
  <c r="E2869" i="12"/>
  <c r="E2868" i="12"/>
  <c r="E2867" i="12"/>
  <c r="E2866" i="12"/>
  <c r="E2865" i="12"/>
  <c r="E2860" i="12"/>
  <c r="E2859" i="12"/>
  <c r="E2858" i="12"/>
  <c r="E2857" i="12"/>
  <c r="E2856" i="12"/>
  <c r="E2855" i="12"/>
  <c r="E2854" i="12"/>
  <c r="E2853" i="12"/>
  <c r="E2852" i="12"/>
  <c r="E2851" i="12"/>
  <c r="E2850" i="12"/>
  <c r="E2849" i="12"/>
  <c r="E2848" i="12"/>
  <c r="E2847" i="12"/>
  <c r="E2846" i="12"/>
  <c r="E2845" i="12"/>
  <c r="E2844" i="12"/>
  <c r="E2843" i="12"/>
  <c r="E2842" i="12"/>
  <c r="E2841" i="12"/>
  <c r="E2840" i="12"/>
  <c r="E2839" i="12"/>
  <c r="E2838" i="12"/>
  <c r="E2837" i="12"/>
  <c r="E2836" i="12"/>
  <c r="E2835" i="12"/>
  <c r="E2834" i="12"/>
  <c r="E2833" i="12"/>
  <c r="E2832" i="12"/>
  <c r="E2831" i="12"/>
  <c r="E2830" i="12"/>
  <c r="E2829" i="12"/>
  <c r="E2828" i="12"/>
  <c r="E2827" i="12"/>
  <c r="E2826" i="12"/>
  <c r="E2822" i="12"/>
  <c r="E2821" i="12"/>
  <c r="E2820" i="12"/>
  <c r="E2819" i="12"/>
  <c r="E2818" i="12"/>
  <c r="E2817" i="12"/>
  <c r="E2816" i="12"/>
  <c r="E2815" i="12"/>
  <c r="E2814" i="12"/>
  <c r="E2809" i="12"/>
  <c r="E2808" i="12"/>
  <c r="E2807" i="12"/>
  <c r="E2806" i="12"/>
  <c r="E2805" i="12"/>
  <c r="E2804" i="12"/>
  <c r="E2803" i="12"/>
  <c r="E2797" i="12"/>
  <c r="E2796" i="12"/>
  <c r="E2795" i="12"/>
  <c r="E2794" i="12"/>
  <c r="E2793" i="12"/>
  <c r="E2792" i="12"/>
  <c r="E2791" i="12"/>
  <c r="E2786" i="12"/>
  <c r="E2785" i="12"/>
  <c r="E2784" i="12"/>
  <c r="E2783" i="12"/>
  <c r="E2782" i="12"/>
  <c r="E2781" i="12"/>
  <c r="E2780" i="12"/>
  <c r="E2779" i="12"/>
  <c r="E2778" i="12"/>
  <c r="E2777" i="12"/>
  <c r="E2776" i="12"/>
  <c r="E2775" i="12"/>
  <c r="E2774" i="12"/>
  <c r="E2773" i="12"/>
  <c r="E2772" i="12"/>
  <c r="E2771" i="12"/>
  <c r="E2770" i="12"/>
  <c r="E2765" i="12"/>
  <c r="E2764" i="12"/>
  <c r="E2763" i="12"/>
  <c r="E2762" i="12"/>
  <c r="E2761" i="12"/>
  <c r="E2760" i="12"/>
  <c r="E2759" i="12"/>
  <c r="E2758" i="12"/>
  <c r="E2757" i="12"/>
  <c r="E2752" i="12"/>
  <c r="E2751" i="12"/>
  <c r="E2750" i="12"/>
  <c r="E2749" i="12"/>
  <c r="E2748" i="12"/>
  <c r="E2747" i="12"/>
  <c r="E2746" i="12"/>
  <c r="E2741" i="12"/>
  <c r="E2740" i="12"/>
  <c r="E2739" i="12"/>
  <c r="E2738" i="12"/>
  <c r="E2737" i="12"/>
  <c r="E2736" i="12"/>
  <c r="E2735" i="12"/>
  <c r="E2731" i="12"/>
  <c r="E2730" i="12"/>
  <c r="E2729" i="12"/>
  <c r="E2728" i="12"/>
  <c r="E2727" i="12"/>
  <c r="E2726" i="12"/>
  <c r="E2725" i="12"/>
  <c r="E2724" i="12"/>
  <c r="E2723" i="12"/>
  <c r="E2719" i="12"/>
  <c r="E2718" i="12"/>
  <c r="E2717" i="12"/>
  <c r="E2716" i="12"/>
  <c r="E2715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55" i="12"/>
  <c r="E2654" i="12"/>
  <c r="E2649" i="12"/>
  <c r="E2648" i="12"/>
  <c r="E2647" i="12"/>
  <c r="E2646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09" i="12"/>
  <c r="E2608" i="12"/>
  <c r="E2607" i="12"/>
  <c r="E2606" i="12"/>
  <c r="E2605" i="12"/>
  <c r="E2604" i="12"/>
  <c r="E2603" i="12"/>
  <c r="E2602" i="12"/>
  <c r="E2601" i="12"/>
  <c r="E2596" i="12"/>
  <c r="E2595" i="12"/>
  <c r="E2594" i="12"/>
  <c r="E2593" i="12"/>
  <c r="E2589" i="12"/>
  <c r="E2588" i="12"/>
  <c r="E2587" i="12"/>
  <c r="E2586" i="12"/>
  <c r="E2585" i="12"/>
  <c r="E2584" i="12"/>
  <c r="E2583" i="12"/>
  <c r="E2579" i="12"/>
  <c r="E2578" i="12"/>
  <c r="E2577" i="12"/>
  <c r="E2576" i="12"/>
  <c r="E2575" i="12"/>
  <c r="E2571" i="12"/>
  <c r="E2570" i="12"/>
  <c r="E2569" i="12"/>
  <c r="E2568" i="12"/>
  <c r="E2567" i="12"/>
  <c r="E2562" i="12"/>
  <c r="E2561" i="12"/>
  <c r="E2557" i="12"/>
  <c r="E2556" i="12"/>
  <c r="E2555" i="12"/>
  <c r="E2554" i="12"/>
  <c r="E2553" i="12"/>
  <c r="E2552" i="12"/>
  <c r="E2551" i="12"/>
  <c r="E2550" i="12"/>
  <c r="E2546" i="12"/>
  <c r="E2545" i="12"/>
  <c r="E2544" i="12"/>
  <c r="E2539" i="12"/>
  <c r="E2538" i="12"/>
  <c r="E2537" i="12"/>
  <c r="E2536" i="12"/>
  <c r="E2532" i="12"/>
  <c r="E2531" i="12"/>
  <c r="E2530" i="12"/>
  <c r="E2529" i="12"/>
  <c r="E2528" i="12"/>
  <c r="E2527" i="12"/>
  <c r="E2526" i="12"/>
  <c r="E2525" i="12"/>
  <c r="E2524" i="12"/>
  <c r="E2520" i="12"/>
  <c r="E2519" i="12"/>
  <c r="E2518" i="12"/>
  <c r="E2517" i="12"/>
  <c r="E2516" i="12"/>
  <c r="E2515" i="12"/>
  <c r="E2514" i="12"/>
  <c r="E2510" i="12"/>
  <c r="E2509" i="12"/>
  <c r="E2505" i="12"/>
  <c r="E2504" i="12"/>
  <c r="E2500" i="12"/>
  <c r="E2499" i="12"/>
  <c r="E2498" i="12"/>
  <c r="E2497" i="12"/>
  <c r="E2496" i="12"/>
  <c r="E2495" i="12"/>
  <c r="E2494" i="12"/>
  <c r="E2493" i="12"/>
  <c r="E2492" i="12"/>
  <c r="E2487" i="12"/>
  <c r="E2486" i="12"/>
  <c r="E2485" i="12"/>
  <c r="E2484" i="12"/>
  <c r="E2483" i="12"/>
  <c r="E2482" i="12"/>
  <c r="E2481" i="12"/>
  <c r="E2480" i="12"/>
  <c r="E2476" i="12"/>
  <c r="E2475" i="12"/>
  <c r="E2474" i="12"/>
  <c r="E2473" i="12"/>
  <c r="E2472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49" i="12"/>
  <c r="E2448" i="12"/>
  <c r="E2447" i="12"/>
  <c r="E2446" i="12"/>
  <c r="E2445" i="12"/>
  <c r="E2444" i="12"/>
  <c r="E2443" i="12"/>
  <c r="E2442" i="12"/>
  <c r="E2436" i="12"/>
  <c r="E2435" i="12"/>
  <c r="E2434" i="12"/>
  <c r="E2433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2" i="12"/>
  <c r="E2391" i="12"/>
  <c r="E2390" i="12"/>
  <c r="E2386" i="12"/>
  <c r="E2385" i="12"/>
  <c r="E2384" i="12"/>
  <c r="E2383" i="12"/>
  <c r="E2382" i="12"/>
  <c r="E2381" i="12"/>
  <c r="E2380" i="12"/>
  <c r="E2379" i="12"/>
  <c r="E2375" i="12"/>
  <c r="E2374" i="12"/>
  <c r="E2373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2" i="12"/>
  <c r="E2351" i="12"/>
  <c r="E2350" i="12"/>
  <c r="E2349" i="12"/>
  <c r="E2348" i="12"/>
  <c r="E2347" i="12"/>
  <c r="E2346" i="12"/>
  <c r="E2345" i="12"/>
  <c r="E2344" i="12"/>
  <c r="E2343" i="12"/>
  <c r="E2339" i="12"/>
  <c r="E2338" i="12"/>
  <c r="E2337" i="12"/>
  <c r="E2336" i="12"/>
  <c r="E2335" i="12"/>
  <c r="E2334" i="12"/>
  <c r="E2333" i="12"/>
  <c r="E2329" i="12"/>
  <c r="E2328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09" i="12"/>
  <c r="E2308" i="12"/>
  <c r="E2307" i="12"/>
  <c r="E2306" i="12"/>
  <c r="E2305" i="12"/>
  <c r="E2304" i="12"/>
  <c r="E2303" i="12"/>
  <c r="E2302" i="12"/>
  <c r="E2297" i="12"/>
  <c r="E2296" i="12"/>
  <c r="E2295" i="12"/>
  <c r="E2291" i="12"/>
  <c r="E2290" i="12"/>
  <c r="E2289" i="12"/>
  <c r="E2288" i="12"/>
  <c r="E2287" i="12"/>
  <c r="E2286" i="12"/>
  <c r="E2285" i="12"/>
  <c r="E2284" i="12"/>
  <c r="E2278" i="12"/>
  <c r="E2277" i="12"/>
  <c r="E2276" i="12"/>
  <c r="E2275" i="12"/>
  <c r="E2274" i="12"/>
  <c r="E2273" i="12"/>
  <c r="E2272" i="12"/>
  <c r="E2271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2" i="12"/>
  <c r="E2251" i="12"/>
  <c r="E2250" i="12"/>
  <c r="E2249" i="12"/>
  <c r="E2248" i="12"/>
  <c r="E2247" i="12"/>
  <c r="E2246" i="12"/>
  <c r="E2245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27" i="12"/>
  <c r="E2226" i="12"/>
  <c r="E2225" i="12"/>
  <c r="E2224" i="12"/>
  <c r="E2223" i="12"/>
  <c r="E2222" i="12"/>
  <c r="E2221" i="12"/>
  <c r="E2220" i="12"/>
  <c r="E2219" i="12"/>
  <c r="E2215" i="12"/>
  <c r="E2214" i="12"/>
  <c r="E2213" i="12"/>
  <c r="E2212" i="12"/>
  <c r="E2211" i="12"/>
  <c r="E2210" i="12"/>
  <c r="E2209" i="12"/>
  <c r="E2205" i="12"/>
  <c r="E2204" i="12"/>
  <c r="E2203" i="12"/>
  <c r="E2199" i="12"/>
  <c r="E2198" i="12"/>
  <c r="E2197" i="12"/>
  <c r="E2196" i="12"/>
  <c r="E2195" i="12"/>
  <c r="E2194" i="12"/>
  <c r="E2190" i="12"/>
  <c r="E2189" i="12"/>
  <c r="E2188" i="12"/>
  <c r="E2187" i="12"/>
  <c r="E2186" i="12"/>
  <c r="E2185" i="12"/>
  <c r="E2184" i="12"/>
  <c r="E2183" i="12"/>
  <c r="E2178" i="12"/>
  <c r="E2177" i="12"/>
  <c r="E2176" i="12"/>
  <c r="E2175" i="12"/>
  <c r="E2170" i="12"/>
  <c r="E2169" i="12"/>
  <c r="E2168" i="12"/>
  <c r="E2167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0" i="12"/>
  <c r="E2139" i="12"/>
  <c r="E2138" i="12"/>
  <c r="E2137" i="12"/>
  <c r="E2136" i="12"/>
  <c r="E2135" i="12"/>
  <c r="E2134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3" i="12"/>
  <c r="E2112" i="12"/>
  <c r="E2111" i="12"/>
  <c r="E2110" i="12"/>
  <c r="E2109" i="12"/>
  <c r="E2108" i="12"/>
  <c r="E2107" i="12"/>
  <c r="E2106" i="12"/>
  <c r="E2101" i="12"/>
  <c r="E2100" i="12"/>
  <c r="E2099" i="12"/>
  <c r="E2098" i="12"/>
  <c r="E2097" i="12"/>
  <c r="E2096" i="12"/>
  <c r="E2095" i="12"/>
  <c r="E2094" i="12"/>
  <c r="E2093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1" i="12"/>
  <c r="E2070" i="12"/>
  <c r="E2069" i="12"/>
  <c r="E2065" i="12"/>
  <c r="E2064" i="12"/>
  <c r="E2063" i="12"/>
  <c r="E2062" i="12"/>
  <c r="E2061" i="12"/>
  <c r="E2060" i="12"/>
  <c r="E2059" i="12"/>
  <c r="E2058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3" i="12"/>
  <c r="E2032" i="12"/>
  <c r="E2031" i="12"/>
  <c r="E2030" i="12"/>
  <c r="E2029" i="12"/>
  <c r="E2028" i="12"/>
  <c r="E2027" i="12"/>
  <c r="E2026" i="12"/>
  <c r="E2021" i="12"/>
  <c r="E2020" i="12"/>
  <c r="E2019" i="12"/>
  <c r="E2018" i="12"/>
  <c r="E2017" i="12"/>
  <c r="E2016" i="12"/>
  <c r="E2015" i="12"/>
  <c r="E2014" i="12"/>
  <c r="E2010" i="12"/>
  <c r="E2009" i="12"/>
  <c r="E2008" i="12"/>
  <c r="E2007" i="12"/>
  <c r="E2006" i="12"/>
  <c r="E2002" i="12"/>
  <c r="E2001" i="12"/>
  <c r="E2000" i="12"/>
  <c r="E1999" i="12"/>
  <c r="E1995" i="12"/>
  <c r="E1994" i="12"/>
  <c r="E1993" i="12"/>
  <c r="E1992" i="12"/>
  <c r="E1991" i="12"/>
  <c r="E1990" i="12"/>
  <c r="E1989" i="12"/>
  <c r="E1988" i="12"/>
  <c r="E1984" i="12"/>
  <c r="E1983" i="12"/>
  <c r="E1982" i="12"/>
  <c r="E1978" i="12"/>
  <c r="E1977" i="12"/>
  <c r="E1976" i="12"/>
  <c r="E1975" i="12"/>
  <c r="E1974" i="12"/>
  <c r="E1973" i="12"/>
  <c r="E1972" i="12"/>
  <c r="E1968" i="12"/>
  <c r="E1967" i="12"/>
  <c r="E1966" i="12"/>
  <c r="E1965" i="12"/>
  <c r="E1964" i="12"/>
  <c r="E1963" i="12"/>
  <c r="E1962" i="12"/>
  <c r="E1957" i="12"/>
  <c r="E1956" i="12"/>
  <c r="E1955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1" i="12"/>
  <c r="E1930" i="12"/>
  <c r="E1929" i="12"/>
  <c r="E1928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09" i="12"/>
  <c r="E1908" i="12"/>
  <c r="E1907" i="12"/>
  <c r="E1903" i="12"/>
  <c r="E1902" i="12"/>
  <c r="E1901" i="12"/>
  <c r="E1897" i="12"/>
  <c r="E1896" i="12"/>
  <c r="E1895" i="12"/>
  <c r="E1891" i="12"/>
  <c r="E1890" i="12"/>
  <c r="E1889" i="12"/>
  <c r="E1888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68" i="12"/>
  <c r="E1867" i="12"/>
  <c r="E1866" i="12"/>
  <c r="E1865" i="12"/>
  <c r="E1864" i="12"/>
  <c r="E1863" i="12"/>
  <c r="E1859" i="12"/>
  <c r="E1858" i="12"/>
  <c r="E1857" i="12"/>
  <c r="E1853" i="12"/>
  <c r="E1852" i="12"/>
  <c r="E1851" i="12"/>
  <c r="E1847" i="12"/>
  <c r="E1846" i="12"/>
  <c r="E1845" i="12"/>
  <c r="E1841" i="12"/>
  <c r="E1840" i="12"/>
  <c r="E1839" i="12"/>
  <c r="E1835" i="12"/>
  <c r="E1834" i="12"/>
  <c r="E1833" i="12"/>
  <c r="E1828" i="12"/>
  <c r="E1827" i="12"/>
  <c r="E1826" i="12"/>
  <c r="E1825" i="12"/>
  <c r="E1824" i="12"/>
  <c r="E1823" i="12"/>
  <c r="E1822" i="12"/>
  <c r="E1821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2" i="12"/>
  <c r="E1801" i="12"/>
  <c r="E1800" i="12"/>
  <c r="E1799" i="12"/>
  <c r="E1798" i="12"/>
  <c r="E1797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79" i="12"/>
  <c r="E1778" i="12"/>
  <c r="E1777" i="12"/>
  <c r="E1776" i="12"/>
  <c r="E1775" i="12"/>
  <c r="E1774" i="12"/>
  <c r="E1769" i="12"/>
  <c r="E1768" i="12"/>
  <c r="E1767" i="12"/>
  <c r="E1766" i="12"/>
  <c r="E1765" i="12"/>
  <c r="E1764" i="12"/>
  <c r="E1757" i="12"/>
  <c r="E1756" i="12"/>
  <c r="E1755" i="12"/>
  <c r="E1754" i="12"/>
  <c r="E1753" i="12"/>
  <c r="E1752" i="12"/>
  <c r="E1740" i="12"/>
  <c r="E1739" i="12"/>
  <c r="E1738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4" i="12"/>
  <c r="E1713" i="12"/>
  <c r="E1712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1" i="12"/>
  <c r="E1690" i="12"/>
  <c r="E1689" i="12"/>
  <c r="E1684" i="12"/>
  <c r="E1683" i="12"/>
  <c r="E1682" i="12"/>
  <c r="E1681" i="12"/>
  <c r="E1680" i="12"/>
  <c r="E1679" i="12"/>
  <c r="E1678" i="12"/>
  <c r="E1677" i="12"/>
  <c r="E1676" i="12"/>
  <c r="E1675" i="12"/>
  <c r="E1671" i="12"/>
  <c r="E1670" i="12"/>
  <c r="E1669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47" i="12"/>
  <c r="E1646" i="12"/>
  <c r="E1645" i="12"/>
  <c r="E1644" i="12"/>
  <c r="E1643" i="12"/>
  <c r="E1642" i="12"/>
  <c r="E1638" i="12"/>
  <c r="E1635" i="12"/>
  <c r="E1634" i="12"/>
  <c r="E1633" i="12"/>
  <c r="E1632" i="12"/>
  <c r="E1631" i="12"/>
  <c r="E1630" i="12"/>
  <c r="E1629" i="12"/>
  <c r="E1628" i="12"/>
  <c r="E1627" i="12"/>
  <c r="E1623" i="12"/>
  <c r="E1622" i="12"/>
  <c r="E1621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0" i="12"/>
  <c r="E1599" i="12"/>
  <c r="E1598" i="12"/>
  <c r="E1597" i="12"/>
  <c r="E1596" i="12"/>
  <c r="E1592" i="12"/>
  <c r="E1591" i="12"/>
  <c r="E1590" i="12"/>
  <c r="E1586" i="12"/>
  <c r="E1585" i="12"/>
  <c r="E1584" i="12"/>
  <c r="E1580" i="12"/>
  <c r="E1579" i="12"/>
  <c r="E1578" i="12"/>
  <c r="E1574" i="12"/>
  <c r="E1573" i="12"/>
  <c r="E1572" i="12"/>
  <c r="E1564" i="12"/>
  <c r="E1563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3" i="12"/>
  <c r="E1522" i="12"/>
  <c r="E1521" i="12"/>
  <c r="E1517" i="12"/>
  <c r="E1516" i="12"/>
  <c r="E1515" i="12"/>
  <c r="E1514" i="12"/>
  <c r="E1513" i="12"/>
  <c r="E1512" i="12"/>
  <c r="E1511" i="12"/>
  <c r="E1510" i="12"/>
  <c r="E1509" i="12"/>
  <c r="E1508" i="12"/>
  <c r="E1500" i="12"/>
  <c r="E1499" i="12"/>
  <c r="E1494" i="12"/>
  <c r="E1493" i="12"/>
  <c r="E1492" i="12"/>
  <c r="E1491" i="12"/>
  <c r="E1487" i="12"/>
  <c r="E1486" i="12"/>
  <c r="E1485" i="12"/>
  <c r="E1481" i="12"/>
  <c r="E1478" i="12"/>
  <c r="E1477" i="12"/>
  <c r="E1476" i="12"/>
  <c r="E1475" i="12"/>
  <c r="E1474" i="12"/>
  <c r="E1473" i="12"/>
  <c r="E1472" i="12"/>
  <c r="E1471" i="12"/>
  <c r="E1470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47" i="12"/>
  <c r="E1446" i="12"/>
  <c r="E1445" i="12"/>
  <c r="E1444" i="12"/>
  <c r="E1443" i="12"/>
  <c r="E1442" i="12"/>
  <c r="E1438" i="12"/>
  <c r="E1437" i="12"/>
  <c r="E1436" i="12"/>
  <c r="E1435" i="12"/>
  <c r="E1434" i="12"/>
  <c r="E1433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0" i="12"/>
  <c r="E1409" i="12"/>
  <c r="E1405" i="12"/>
  <c r="E1404" i="12"/>
  <c r="E1403" i="12"/>
  <c r="E1398" i="12"/>
  <c r="E1397" i="12"/>
  <c r="E1396" i="12"/>
  <c r="E1395" i="12"/>
  <c r="E1394" i="12"/>
  <c r="E1393" i="12"/>
  <c r="E1392" i="12"/>
  <c r="E1391" i="12"/>
  <c r="E1390" i="12"/>
  <c r="E1386" i="12"/>
  <c r="E1382" i="12"/>
  <c r="E1381" i="12"/>
  <c r="E1380" i="12"/>
  <c r="E1376" i="12"/>
  <c r="E1375" i="12"/>
  <c r="E1374" i="12"/>
  <c r="E1373" i="12"/>
  <c r="E1369" i="12"/>
  <c r="E1368" i="12"/>
  <c r="E1367" i="12"/>
  <c r="E1366" i="12"/>
  <c r="E1365" i="12"/>
  <c r="E1361" i="12"/>
  <c r="E1360" i="12"/>
  <c r="E1359" i="12"/>
  <c r="E1358" i="12"/>
  <c r="E1357" i="12"/>
  <c r="E1356" i="12"/>
  <c r="E1355" i="12"/>
  <c r="E1354" i="12"/>
  <c r="E1353" i="12"/>
  <c r="E1349" i="12"/>
  <c r="E1348" i="12"/>
  <c r="E1347" i="12"/>
  <c r="E1346" i="12"/>
  <c r="E1345" i="12"/>
  <c r="E1344" i="12"/>
  <c r="E1339" i="12"/>
  <c r="E1338" i="12"/>
  <c r="E1337" i="12"/>
  <c r="E1336" i="12"/>
  <c r="E1335" i="12"/>
  <c r="E1334" i="12"/>
  <c r="E1330" i="12"/>
  <c r="E1329" i="12"/>
  <c r="E1328" i="12"/>
  <c r="E1327" i="12"/>
  <c r="E1326" i="12"/>
  <c r="E1325" i="12"/>
  <c r="E1321" i="12"/>
  <c r="E1320" i="12"/>
  <c r="E1319" i="12"/>
  <c r="E1315" i="12"/>
  <c r="E1314" i="12"/>
  <c r="E1313" i="12"/>
  <c r="E1309" i="12"/>
  <c r="E1308" i="12"/>
  <c r="E1307" i="12"/>
  <c r="E1306" i="12"/>
  <c r="E1302" i="12"/>
  <c r="E1301" i="12"/>
  <c r="E1300" i="12"/>
  <c r="E1295" i="12"/>
  <c r="E1294" i="12"/>
  <c r="E1293" i="12"/>
  <c r="E1292" i="12"/>
  <c r="E1291" i="12"/>
  <c r="E1290" i="12"/>
  <c r="E1289" i="12"/>
  <c r="E1288" i="12"/>
  <c r="E1287" i="12"/>
  <c r="E1286" i="12"/>
  <c r="E1282" i="12"/>
  <c r="E1281" i="12"/>
  <c r="E1280" i="12"/>
  <c r="E1279" i="12"/>
  <c r="E1278" i="12"/>
  <c r="E1277" i="12"/>
  <c r="E1272" i="12"/>
  <c r="E1271" i="12"/>
  <c r="E1270" i="12"/>
  <c r="E1269" i="12"/>
  <c r="E1268" i="12"/>
  <c r="E1267" i="12"/>
  <c r="E1266" i="12"/>
  <c r="E1261" i="12"/>
  <c r="E1260" i="12"/>
  <c r="E1259" i="12"/>
  <c r="E1258" i="12"/>
  <c r="E1253" i="12"/>
  <c r="E1252" i="12"/>
  <c r="E1248" i="12"/>
  <c r="E1247" i="12"/>
  <c r="E1246" i="12"/>
  <c r="E1245" i="12"/>
  <c r="E1244" i="12"/>
  <c r="E1243" i="12"/>
  <c r="E1239" i="12"/>
  <c r="E1238" i="12"/>
  <c r="E1237" i="12"/>
  <c r="E1233" i="12"/>
  <c r="E1232" i="12"/>
  <c r="E1231" i="12"/>
  <c r="E1230" i="12"/>
  <c r="E1229" i="12"/>
  <c r="E1228" i="12"/>
  <c r="E1227" i="12"/>
  <c r="E1222" i="12"/>
  <c r="E1221" i="12"/>
  <c r="E1220" i="12"/>
  <c r="E1219" i="12"/>
  <c r="E1218" i="12"/>
  <c r="E1214" i="12"/>
  <c r="E1213" i="12"/>
  <c r="E1212" i="12"/>
  <c r="E1211" i="12"/>
  <c r="E1210" i="12"/>
  <c r="E1209" i="12"/>
  <c r="E1205" i="12"/>
  <c r="E1204" i="12"/>
  <c r="E1203" i="12"/>
  <c r="E1202" i="12"/>
  <c r="E1201" i="12"/>
  <c r="E1200" i="12"/>
  <c r="E1199" i="12"/>
  <c r="E1195" i="12"/>
  <c r="E1194" i="12"/>
  <c r="E1193" i="12"/>
  <c r="E1192" i="12"/>
  <c r="H1191" i="12"/>
  <c r="I1191" i="12" s="1"/>
  <c r="J1191" i="12" s="1"/>
  <c r="E1191" i="12"/>
  <c r="E1177" i="12"/>
  <c r="E1176" i="12"/>
  <c r="E1175" i="12"/>
  <c r="E1174" i="12"/>
  <c r="E1173" i="12"/>
  <c r="E1172" i="12"/>
  <c r="E1168" i="12"/>
  <c r="E1167" i="12"/>
  <c r="E1166" i="12"/>
  <c r="E1165" i="12"/>
  <c r="E1164" i="12"/>
  <c r="E1163" i="12"/>
  <c r="E1162" i="12"/>
  <c r="E1161" i="12"/>
  <c r="E1160" i="12"/>
  <c r="E1159" i="12"/>
  <c r="E1155" i="12"/>
  <c r="E1154" i="12"/>
  <c r="E1153" i="12"/>
  <c r="E1152" i="12"/>
  <c r="E1148" i="12"/>
  <c r="E1147" i="12"/>
  <c r="E1146" i="12"/>
  <c r="E1142" i="12"/>
  <c r="E1141" i="12"/>
  <c r="E1140" i="12"/>
  <c r="E1139" i="12"/>
  <c r="E1138" i="12"/>
  <c r="E1137" i="12"/>
  <c r="E1136" i="12"/>
  <c r="E1132" i="12"/>
  <c r="E1131" i="12"/>
  <c r="E1130" i="12"/>
  <c r="E1129" i="12"/>
  <c r="E1128" i="12"/>
  <c r="E1127" i="12"/>
  <c r="E1126" i="12"/>
  <c r="E1125" i="12"/>
  <c r="E1120" i="12"/>
  <c r="E1119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0" i="12"/>
  <c r="E1099" i="12"/>
  <c r="E1098" i="12"/>
  <c r="E1097" i="12"/>
  <c r="E1096" i="12"/>
  <c r="E1095" i="12"/>
  <c r="E1094" i="12"/>
  <c r="E1090" i="12"/>
  <c r="E1089" i="12"/>
  <c r="E1088" i="12"/>
  <c r="E1083" i="12"/>
  <c r="E1082" i="12"/>
  <c r="E1078" i="12"/>
  <c r="E1077" i="12"/>
  <c r="E1076" i="12"/>
  <c r="E1075" i="12"/>
  <c r="E1074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0" i="12"/>
  <c r="E1039" i="12"/>
  <c r="E1038" i="12"/>
  <c r="E1037" i="12"/>
  <c r="E1033" i="12"/>
  <c r="E1032" i="12"/>
  <c r="E1031" i="12"/>
  <c r="E1030" i="12"/>
  <c r="E1029" i="12"/>
  <c r="E1024" i="12"/>
  <c r="E1023" i="12"/>
  <c r="E1018" i="12"/>
  <c r="E1017" i="12"/>
  <c r="E1016" i="12"/>
  <c r="E1015" i="12"/>
  <c r="E1014" i="12"/>
  <c r="E1013" i="12"/>
  <c r="E1012" i="12"/>
  <c r="E1011" i="12"/>
  <c r="E1006" i="12"/>
  <c r="E1005" i="12"/>
  <c r="E1004" i="12"/>
  <c r="E1003" i="12"/>
  <c r="E1002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1" i="12"/>
  <c r="E980" i="12"/>
  <c r="E979" i="12"/>
  <c r="E978" i="12"/>
  <c r="E977" i="12"/>
  <c r="E973" i="12"/>
  <c r="E972" i="12"/>
  <c r="E971" i="12"/>
  <c r="E970" i="12"/>
  <c r="E966" i="12"/>
  <c r="E965" i="12"/>
  <c r="E964" i="12"/>
  <c r="E963" i="12"/>
  <c r="E962" i="12"/>
  <c r="E961" i="12"/>
  <c r="E960" i="12"/>
  <c r="E959" i="12"/>
  <c r="E958" i="12"/>
  <c r="E954" i="12"/>
  <c r="E953" i="12"/>
  <c r="E952" i="12"/>
  <c r="E951" i="12"/>
  <c r="E950" i="12"/>
  <c r="E949" i="12"/>
  <c r="E948" i="12"/>
  <c r="E947" i="12"/>
  <c r="E946" i="12"/>
  <c r="E945" i="12"/>
  <c r="E941" i="12"/>
  <c r="E940" i="12"/>
  <c r="E935" i="12"/>
  <c r="E934" i="12"/>
  <c r="E933" i="12"/>
  <c r="E932" i="12"/>
  <c r="E931" i="12"/>
  <c r="E930" i="12"/>
  <c r="E929" i="12"/>
  <c r="E928" i="12"/>
  <c r="E927" i="12"/>
  <c r="E926" i="12"/>
  <c r="E925" i="12"/>
  <c r="H918" i="12"/>
  <c r="E918" i="12"/>
  <c r="H917" i="12"/>
  <c r="E917" i="12"/>
  <c r="E913" i="12"/>
  <c r="E912" i="12"/>
  <c r="E911" i="12"/>
  <c r="E910" i="12"/>
  <c r="E909" i="12"/>
  <c r="E905" i="12"/>
  <c r="E904" i="12"/>
  <c r="E903" i="12"/>
  <c r="E902" i="12"/>
  <c r="E901" i="12"/>
  <c r="E900" i="12"/>
  <c r="E899" i="12"/>
  <c r="E898" i="12"/>
  <c r="E893" i="12"/>
  <c r="E892" i="12"/>
  <c r="E891" i="12"/>
  <c r="E887" i="12"/>
  <c r="E886" i="12"/>
  <c r="E885" i="12"/>
  <c r="E884" i="12"/>
  <c r="E877" i="12"/>
  <c r="E876" i="12"/>
  <c r="E875" i="12"/>
  <c r="E871" i="12"/>
  <c r="E870" i="12"/>
  <c r="E869" i="12"/>
  <c r="E868" i="12"/>
  <c r="E867" i="12"/>
  <c r="E866" i="12"/>
  <c r="E865" i="12"/>
  <c r="E864" i="12"/>
  <c r="E863" i="12"/>
  <c r="E859" i="12"/>
  <c r="E858" i="12"/>
  <c r="E857" i="12"/>
  <c r="E856" i="12"/>
  <c r="H855" i="12"/>
  <c r="I855" i="12" s="1"/>
  <c r="E855" i="12"/>
  <c r="E854" i="12"/>
  <c r="E853" i="12"/>
  <c r="E852" i="12"/>
  <c r="E851" i="12"/>
  <c r="E847" i="12"/>
  <c r="E846" i="12"/>
  <c r="E845" i="12"/>
  <c r="E844" i="12"/>
  <c r="E843" i="12"/>
  <c r="E839" i="12"/>
  <c r="E838" i="12"/>
  <c r="E837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F804" i="12"/>
  <c r="E804" i="12" s="1"/>
  <c r="F803" i="12"/>
  <c r="E803" i="12" s="1"/>
  <c r="E798" i="12"/>
  <c r="E793" i="12"/>
  <c r="E792" i="12"/>
  <c r="E788" i="12"/>
  <c r="E784" i="12"/>
  <c r="E783" i="12"/>
  <c r="E782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58" i="12"/>
  <c r="E757" i="12"/>
  <c r="E756" i="12"/>
  <c r="E751" i="12"/>
  <c r="E750" i="12"/>
  <c r="E749" i="12"/>
  <c r="E748" i="12"/>
  <c r="E747" i="12"/>
  <c r="E743" i="12"/>
  <c r="E739" i="12"/>
  <c r="E738" i="12"/>
  <c r="E737" i="12"/>
  <c r="E736" i="12"/>
  <c r="E735" i="12"/>
  <c r="E734" i="12"/>
  <c r="E730" i="12"/>
  <c r="E729" i="12"/>
  <c r="E728" i="12"/>
  <c r="E727" i="12"/>
  <c r="E726" i="12"/>
  <c r="E725" i="12"/>
  <c r="E724" i="12"/>
  <c r="E723" i="12"/>
  <c r="E722" i="12"/>
  <c r="E721" i="12"/>
  <c r="E717" i="12"/>
  <c r="E716" i="12"/>
  <c r="E715" i="12"/>
  <c r="E710" i="12"/>
  <c r="E709" i="12"/>
  <c r="E705" i="12"/>
  <c r="E704" i="12"/>
  <c r="E703" i="12"/>
  <c r="E702" i="12"/>
  <c r="E698" i="12"/>
  <c r="E697" i="12"/>
  <c r="E696" i="12"/>
  <c r="E695" i="12"/>
  <c r="E691" i="12"/>
  <c r="E690" i="12"/>
  <c r="E689" i="12"/>
  <c r="E688" i="12"/>
  <c r="E684" i="12"/>
  <c r="E683" i="12"/>
  <c r="E682" i="12"/>
  <c r="E681" i="12"/>
  <c r="E673" i="12"/>
  <c r="E672" i="12"/>
  <c r="E671" i="12"/>
  <c r="E670" i="12"/>
  <c r="E669" i="12"/>
  <c r="E664" i="12"/>
  <c r="E663" i="12"/>
  <c r="E662" i="12"/>
  <c r="E661" i="12"/>
  <c r="E660" i="12"/>
  <c r="E655" i="12"/>
  <c r="E654" i="12"/>
  <c r="E653" i="12"/>
  <c r="E652" i="12"/>
  <c r="E651" i="12"/>
  <c r="E650" i="12"/>
  <c r="E649" i="12"/>
  <c r="E648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28" i="12"/>
  <c r="E627" i="12"/>
  <c r="E626" i="12"/>
  <c r="E625" i="12"/>
  <c r="E624" i="12"/>
  <c r="E623" i="12"/>
  <c r="E619" i="12"/>
  <c r="E618" i="12"/>
  <c r="E617" i="12"/>
  <c r="E616" i="12"/>
  <c r="E615" i="12"/>
  <c r="E614" i="12"/>
  <c r="E613" i="12"/>
  <c r="E612" i="12"/>
  <c r="E611" i="12"/>
  <c r="E606" i="12"/>
  <c r="E605" i="12"/>
  <c r="E604" i="12"/>
  <c r="E603" i="12"/>
  <c r="E599" i="12"/>
  <c r="E598" i="12"/>
  <c r="E597" i="12"/>
  <c r="E596" i="12"/>
  <c r="E590" i="12"/>
  <c r="E585" i="12"/>
  <c r="E584" i="12"/>
  <c r="E580" i="12"/>
  <c r="E579" i="12"/>
  <c r="E578" i="12"/>
  <c r="E574" i="12"/>
  <c r="E573" i="12"/>
  <c r="E572" i="12"/>
  <c r="E571" i="12"/>
  <c r="E570" i="12"/>
  <c r="E569" i="12"/>
  <c r="E565" i="12"/>
  <c r="E564" i="12"/>
  <c r="E563" i="12"/>
  <c r="E562" i="12"/>
  <c r="E561" i="12"/>
  <c r="E560" i="12"/>
  <c r="E556" i="12"/>
  <c r="E555" i="12"/>
  <c r="E554" i="12"/>
  <c r="E550" i="12"/>
  <c r="E549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23" i="12"/>
  <c r="E518" i="12"/>
  <c r="E517" i="12"/>
  <c r="E516" i="12"/>
  <c r="E515" i="12"/>
  <c r="E514" i="12"/>
  <c r="E513" i="12"/>
  <c r="E509" i="12"/>
  <c r="E508" i="12"/>
  <c r="E507" i="12"/>
  <c r="E506" i="12"/>
  <c r="E505" i="12"/>
  <c r="E504" i="12"/>
  <c r="E500" i="12"/>
  <c r="E499" i="12"/>
  <c r="E498" i="12"/>
  <c r="E497" i="12"/>
  <c r="E496" i="12"/>
  <c r="E495" i="12"/>
  <c r="E494" i="12"/>
  <c r="E493" i="12"/>
  <c r="E492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52" i="12"/>
  <c r="E451" i="12"/>
  <c r="E450" i="12"/>
  <c r="E449" i="12"/>
  <c r="E445" i="12"/>
  <c r="E444" i="12"/>
  <c r="E443" i="12"/>
  <c r="E442" i="12"/>
  <c r="E441" i="12"/>
  <c r="E440" i="12"/>
  <c r="E439" i="12"/>
  <c r="E438" i="12"/>
  <c r="E437" i="12"/>
  <c r="E436" i="12"/>
  <c r="E435" i="12"/>
  <c r="E431" i="12"/>
  <c r="E430" i="12"/>
  <c r="E429" i="12"/>
  <c r="E428" i="12"/>
  <c r="E427" i="12"/>
  <c r="E423" i="12"/>
  <c r="E422" i="12"/>
  <c r="E421" i="12"/>
  <c r="E420" i="12"/>
  <c r="E419" i="12"/>
  <c r="E418" i="12"/>
  <c r="E417" i="12"/>
  <c r="E416" i="12"/>
  <c r="E415" i="12"/>
  <c r="E410" i="12"/>
  <c r="E409" i="12"/>
  <c r="E404" i="12"/>
  <c r="E403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J381" i="12"/>
  <c r="J380" i="12"/>
  <c r="E375" i="12"/>
  <c r="J367" i="12"/>
  <c r="E367" i="12"/>
  <c r="J366" i="12"/>
  <c r="E366" i="12"/>
  <c r="J365" i="12"/>
  <c r="E365" i="12"/>
  <c r="E361" i="12"/>
  <c r="E360" i="12"/>
  <c r="E359" i="12"/>
  <c r="E358" i="12"/>
  <c r="E357" i="12"/>
  <c r="E356" i="12"/>
  <c r="E355" i="12"/>
  <c r="E354" i="12"/>
  <c r="K353" i="12"/>
  <c r="E353" i="12"/>
  <c r="E344" i="12"/>
  <c r="E343" i="12"/>
  <c r="E342" i="12"/>
  <c r="E341" i="12"/>
  <c r="E340" i="12"/>
  <c r="E339" i="12"/>
  <c r="E338" i="12"/>
  <c r="E333" i="12"/>
  <c r="E332" i="12"/>
  <c r="E331" i="12"/>
  <c r="E330" i="12"/>
  <c r="E329" i="12"/>
  <c r="E328" i="12"/>
  <c r="E327" i="12"/>
  <c r="E326" i="12"/>
  <c r="J325" i="12"/>
  <c r="E325" i="12"/>
  <c r="J324" i="12"/>
  <c r="E324" i="12"/>
  <c r="E323" i="12"/>
  <c r="E322" i="12"/>
  <c r="K305" i="12"/>
  <c r="E305" i="12"/>
  <c r="K304" i="12"/>
  <c r="E304" i="12"/>
  <c r="K299" i="12"/>
  <c r="E299" i="12"/>
  <c r="E298" i="12"/>
  <c r="E297" i="12"/>
  <c r="E292" i="12"/>
  <c r="E291" i="12"/>
  <c r="E290" i="12"/>
  <c r="E289" i="12"/>
  <c r="E288" i="12"/>
  <c r="E287" i="12"/>
  <c r="E286" i="12"/>
  <c r="E285" i="12"/>
  <c r="E284" i="12"/>
  <c r="E279" i="12"/>
  <c r="E278" i="12"/>
  <c r="E277" i="12"/>
  <c r="E276" i="12"/>
  <c r="E275" i="12"/>
  <c r="E274" i="12"/>
  <c r="E273" i="12"/>
  <c r="E272" i="12"/>
  <c r="E271" i="12"/>
  <c r="E270" i="12"/>
  <c r="E260" i="12"/>
  <c r="E259" i="12"/>
  <c r="E258" i="12"/>
  <c r="E257" i="12"/>
  <c r="E256" i="12"/>
  <c r="E255" i="12"/>
  <c r="E254" i="12"/>
  <c r="E249" i="12"/>
  <c r="E248" i="12"/>
  <c r="E247" i="12"/>
  <c r="E246" i="12"/>
  <c r="E245" i="12"/>
  <c r="K244" i="12"/>
  <c r="E244" i="12"/>
  <c r="K243" i="12"/>
  <c r="E243" i="12"/>
  <c r="K242" i="12"/>
  <c r="E242" i="12"/>
  <c r="E241" i="12"/>
  <c r="E236" i="12"/>
  <c r="K235" i="12"/>
  <c r="E235" i="12"/>
  <c r="K234" i="12"/>
  <c r="E234" i="12"/>
  <c r="K233" i="12"/>
  <c r="E233" i="12"/>
  <c r="E228" i="12"/>
  <c r="E227" i="12"/>
  <c r="E226" i="12"/>
  <c r="J225" i="12"/>
  <c r="E225" i="12"/>
  <c r="E224" i="12"/>
  <c r="E223" i="12"/>
  <c r="E222" i="12"/>
  <c r="E221" i="12"/>
  <c r="E220" i="12"/>
  <c r="E214" i="12"/>
  <c r="E213" i="12"/>
  <c r="K208" i="12"/>
  <c r="E208" i="12"/>
  <c r="E207" i="12"/>
  <c r="E206" i="12"/>
  <c r="E201" i="12"/>
  <c r="E200" i="12"/>
  <c r="E199" i="12"/>
  <c r="E198" i="12"/>
  <c r="E193" i="12"/>
  <c r="E192" i="12"/>
  <c r="E191" i="12"/>
  <c r="E190" i="12"/>
  <c r="E189" i="12"/>
  <c r="E188" i="12"/>
  <c r="L187" i="12"/>
  <c r="K187" i="12"/>
  <c r="E187" i="12"/>
  <c r="E186" i="12"/>
  <c r="E185" i="12"/>
  <c r="E184" i="12"/>
  <c r="E183" i="12"/>
  <c r="E182" i="12"/>
  <c r="E177" i="12"/>
  <c r="E176" i="12"/>
  <c r="E175" i="12"/>
  <c r="E174" i="12"/>
  <c r="E173" i="12"/>
  <c r="K172" i="12"/>
  <c r="E172" i="12"/>
  <c r="K171" i="12"/>
  <c r="E171" i="12"/>
  <c r="E170" i="12"/>
  <c r="E169" i="12"/>
  <c r="E164" i="12"/>
  <c r="E163" i="12"/>
  <c r="E162" i="12"/>
  <c r="E161" i="12"/>
  <c r="E156" i="12"/>
  <c r="E155" i="12"/>
  <c r="E154" i="12"/>
  <c r="E153" i="12"/>
  <c r="E152" i="12"/>
  <c r="E151" i="12"/>
  <c r="E150" i="12"/>
  <c r="E149" i="12"/>
  <c r="K148" i="12"/>
  <c r="E148" i="12"/>
  <c r="E140" i="12"/>
  <c r="E139" i="12"/>
  <c r="E138" i="12"/>
  <c r="E137" i="12"/>
  <c r="E136" i="12"/>
  <c r="E135" i="12"/>
  <c r="E134" i="12"/>
  <c r="E133" i="12"/>
  <c r="E132" i="12"/>
  <c r="E124" i="12"/>
  <c r="E123" i="12"/>
  <c r="E122" i="12"/>
  <c r="E121" i="12"/>
  <c r="E120" i="12"/>
  <c r="E119" i="12"/>
  <c r="E118" i="12"/>
  <c r="E117" i="12"/>
  <c r="E116" i="12"/>
  <c r="E105" i="12"/>
  <c r="E104" i="12"/>
  <c r="E103" i="12"/>
  <c r="E102" i="12"/>
  <c r="E101" i="12"/>
  <c r="E100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71" i="12"/>
  <c r="E70" i="12"/>
  <c r="E69" i="12"/>
  <c r="E68" i="12"/>
  <c r="E58" i="12"/>
  <c r="E57" i="12"/>
  <c r="E56" i="12"/>
  <c r="E55" i="12"/>
  <c r="E54" i="12"/>
  <c r="E53" i="12"/>
  <c r="E52" i="12"/>
  <c r="E38" i="12"/>
  <c r="E37" i="12"/>
  <c r="E36" i="12"/>
  <c r="E28" i="12"/>
  <c r="E27" i="12"/>
  <c r="E26" i="12"/>
  <c r="E25" i="12"/>
  <c r="E24" i="12"/>
  <c r="E23" i="12"/>
  <c r="E22" i="12"/>
  <c r="E21" i="12"/>
  <c r="E20" i="12"/>
  <c r="E19" i="12"/>
  <c r="E11" i="12"/>
  <c r="E10" i="12"/>
  <c r="E9" i="12"/>
  <c r="E8" i="12"/>
  <c r="E7" i="12"/>
  <c r="E6" i="12"/>
  <c r="E5" i="12"/>
  <c r="E4" i="12"/>
  <c r="E3" i="12"/>
  <c r="E2181" i="3"/>
  <c r="E2176" i="3"/>
  <c r="E2172" i="3"/>
  <c r="E2171" i="3"/>
  <c r="E2170" i="3"/>
  <c r="E2169" i="3"/>
  <c r="E2154" i="3"/>
  <c r="E2153" i="3"/>
  <c r="E2148" i="3"/>
  <c r="E2147" i="3"/>
  <c r="E2146" i="3"/>
  <c r="E2145" i="3"/>
  <c r="E2144" i="3"/>
  <c r="E2143" i="3"/>
  <c r="E2139" i="3"/>
  <c r="E2138" i="3"/>
  <c r="E2137" i="3"/>
  <c r="E2132" i="3"/>
  <c r="E2131" i="3"/>
  <c r="E2130" i="3"/>
  <c r="E2126" i="3"/>
  <c r="E2125" i="3"/>
  <c r="E2124" i="3"/>
  <c r="E2118" i="3"/>
  <c r="E2117" i="3"/>
  <c r="E2116" i="3"/>
  <c r="E2115" i="3"/>
  <c r="E2114" i="3"/>
  <c r="E2113" i="3"/>
  <c r="E2112" i="3"/>
  <c r="E2107" i="3"/>
  <c r="E2106" i="3"/>
  <c r="E2105" i="3"/>
  <c r="E2104" i="3"/>
  <c r="E2103" i="3"/>
  <c r="E2102" i="3"/>
  <c r="E2101" i="3"/>
  <c r="E2096" i="3"/>
  <c r="E2083" i="3"/>
  <c r="E2082" i="3"/>
  <c r="E2081" i="3"/>
  <c r="E2080" i="3"/>
  <c r="E2079" i="3"/>
  <c r="E2078" i="3"/>
  <c r="E2077" i="3"/>
  <c r="E2072" i="3"/>
  <c r="E2071" i="3"/>
  <c r="E2070" i="3"/>
  <c r="E2066" i="3"/>
  <c r="E2065" i="3"/>
  <c r="E2064" i="3"/>
  <c r="E2063" i="3"/>
  <c r="E2058" i="3"/>
  <c r="E2057" i="3"/>
  <c r="E2053" i="3"/>
  <c r="E2052" i="3"/>
  <c r="E2051" i="3"/>
  <c r="E2050" i="3"/>
  <c r="E2046" i="3"/>
  <c r="E2045" i="3"/>
  <c r="E2044" i="3"/>
  <c r="E2043" i="3"/>
  <c r="E2042" i="3"/>
  <c r="E2041" i="3"/>
  <c r="E2037" i="3"/>
  <c r="E2036" i="3"/>
  <c r="E2035" i="3"/>
  <c r="E2034" i="3"/>
  <c r="E2030" i="3"/>
  <c r="E2029" i="3"/>
  <c r="E2028" i="3"/>
  <c r="E2027" i="3"/>
  <c r="E2022" i="3"/>
  <c r="E2021" i="3"/>
  <c r="E2020" i="3"/>
  <c r="E2007" i="3"/>
  <c r="E2006" i="3"/>
  <c r="E2005" i="3"/>
  <c r="E2001" i="3"/>
  <c r="E2000" i="3"/>
  <c r="E1999" i="3"/>
  <c r="E1981" i="3"/>
  <c r="E1980" i="3"/>
  <c r="E1979" i="3"/>
  <c r="E1975" i="3"/>
  <c r="E1974" i="3"/>
  <c r="E1973" i="3"/>
  <c r="E1969" i="3"/>
  <c r="E1968" i="3"/>
  <c r="E1967" i="3"/>
  <c r="E1966" i="3"/>
  <c r="E1965" i="3"/>
  <c r="E1959" i="3"/>
  <c r="E1958" i="3"/>
  <c r="E1957" i="3"/>
  <c r="E1952" i="3"/>
  <c r="E1951" i="3"/>
  <c r="E1950" i="3"/>
  <c r="E1949" i="3"/>
  <c r="E1948" i="3"/>
  <c r="E1947" i="3"/>
  <c r="E1946" i="3"/>
  <c r="E1945" i="3"/>
  <c r="E1944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2" i="3"/>
  <c r="E1911" i="3"/>
  <c r="E1910" i="3"/>
  <c r="E1906" i="3"/>
  <c r="E1905" i="3"/>
  <c r="E1904" i="3"/>
  <c r="E1899" i="3"/>
  <c r="E1898" i="3"/>
  <c r="E1897" i="3"/>
  <c r="E1896" i="3"/>
  <c r="E1895" i="3"/>
  <c r="E1891" i="3"/>
  <c r="E1890" i="3"/>
  <c r="E1889" i="3"/>
  <c r="E1888" i="3"/>
  <c r="E1887" i="3"/>
  <c r="E1886" i="3"/>
  <c r="E1885" i="3"/>
  <c r="E1884" i="3"/>
  <c r="E1883" i="3"/>
  <c r="E1878" i="3"/>
  <c r="E1877" i="3"/>
  <c r="E1876" i="3"/>
  <c r="E1872" i="3"/>
  <c r="E1871" i="3"/>
  <c r="E1870" i="3"/>
  <c r="E1866" i="3"/>
  <c r="E1865" i="3"/>
  <c r="E1864" i="3"/>
  <c r="E1859" i="3"/>
  <c r="E1858" i="3"/>
  <c r="E1857" i="3"/>
  <c r="E1856" i="3"/>
  <c r="E1852" i="3"/>
  <c r="E1851" i="3"/>
  <c r="E1850" i="3"/>
  <c r="E1846" i="3"/>
  <c r="E1845" i="3"/>
  <c r="E1844" i="3"/>
  <c r="E1843" i="3"/>
  <c r="E1842" i="3"/>
  <c r="E1841" i="3"/>
  <c r="E1836" i="3"/>
  <c r="E1835" i="3"/>
  <c r="E1834" i="3"/>
  <c r="E1829" i="3"/>
  <c r="E1828" i="3"/>
  <c r="E1827" i="3"/>
  <c r="E1823" i="3"/>
  <c r="E1822" i="3"/>
  <c r="E1821" i="3"/>
  <c r="E1820" i="3"/>
  <c r="E1819" i="3"/>
  <c r="E1818" i="3"/>
  <c r="E1817" i="3"/>
  <c r="E1816" i="3"/>
  <c r="E1815" i="3"/>
  <c r="E1810" i="3"/>
  <c r="E1809" i="3"/>
  <c r="E1805" i="3"/>
  <c r="E1804" i="3"/>
  <c r="E1803" i="3"/>
  <c r="E1802" i="3"/>
  <c r="E1801" i="3"/>
  <c r="E1800" i="3"/>
  <c r="E1796" i="3"/>
  <c r="E1795" i="3"/>
  <c r="E1794" i="3"/>
  <c r="E1793" i="3"/>
  <c r="E1792" i="3"/>
  <c r="E1791" i="3"/>
  <c r="E1787" i="3"/>
  <c r="E1786" i="3"/>
  <c r="E1785" i="3"/>
  <c r="E1784" i="3"/>
  <c r="E1783" i="3"/>
  <c r="E1778" i="3"/>
  <c r="E1777" i="3"/>
  <c r="E1776" i="3"/>
  <c r="E1772" i="3"/>
  <c r="E1771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2" i="3"/>
  <c r="E1751" i="3"/>
  <c r="E1750" i="3"/>
  <c r="E1746" i="3"/>
  <c r="E1745" i="3"/>
  <c r="E1744" i="3"/>
  <c r="E1743" i="3"/>
  <c r="E1739" i="3"/>
  <c r="E1738" i="3"/>
  <c r="E1737" i="3"/>
  <c r="E1736" i="3"/>
  <c r="E1732" i="3"/>
  <c r="E1731" i="3"/>
  <c r="E1730" i="3"/>
  <c r="E1726" i="3"/>
  <c r="E1725" i="3"/>
  <c r="E1724" i="3"/>
  <c r="E1720" i="3"/>
  <c r="E1719" i="3"/>
  <c r="E1718" i="3"/>
  <c r="E1714" i="3"/>
  <c r="E1713" i="3"/>
  <c r="E1712" i="3"/>
  <c r="E1711" i="3"/>
  <c r="E1710" i="3"/>
  <c r="E1709" i="3"/>
  <c r="E1708" i="3"/>
  <c r="E1707" i="3"/>
  <c r="E1706" i="3"/>
  <c r="E1702" i="3"/>
  <c r="E1701" i="3"/>
  <c r="E1700" i="3"/>
  <c r="E1699" i="3"/>
  <c r="E1698" i="3"/>
  <c r="E1697" i="3"/>
  <c r="E1692" i="3"/>
  <c r="E1691" i="3"/>
  <c r="E1690" i="3"/>
  <c r="E1686" i="3"/>
  <c r="E1685" i="3"/>
  <c r="E1684" i="3"/>
  <c r="E1683" i="3"/>
  <c r="E1679" i="3"/>
  <c r="E1678" i="3"/>
  <c r="E1677" i="3"/>
  <c r="E1673" i="3"/>
  <c r="E1672" i="3"/>
  <c r="E1671" i="3"/>
  <c r="E1670" i="3"/>
  <c r="E1665" i="3"/>
  <c r="E1664" i="3"/>
  <c r="E1663" i="3"/>
  <c r="E1662" i="3"/>
  <c r="E1661" i="3"/>
  <c r="E1660" i="3"/>
  <c r="E1656" i="3"/>
  <c r="E1655" i="3"/>
  <c r="E1654" i="3"/>
  <c r="E1650" i="3"/>
  <c r="E1649" i="3"/>
  <c r="E1648" i="3"/>
  <c r="H1644" i="3"/>
  <c r="I1644" i="3" s="1"/>
  <c r="E1644" i="3"/>
  <c r="E1643" i="3"/>
  <c r="E1642" i="3"/>
  <c r="E1638" i="3"/>
  <c r="E1637" i="3"/>
  <c r="E1636" i="3"/>
  <c r="E1635" i="3"/>
  <c r="E1634" i="3"/>
  <c r="E1633" i="3"/>
  <c r="E1632" i="3"/>
  <c r="E1631" i="3"/>
  <c r="E1630" i="3"/>
  <c r="E1625" i="3"/>
  <c r="E1624" i="3"/>
  <c r="E1623" i="3"/>
  <c r="E1619" i="3"/>
  <c r="E1618" i="3"/>
  <c r="E1617" i="3"/>
  <c r="E1612" i="3"/>
  <c r="E1611" i="3"/>
  <c r="E1610" i="3"/>
  <c r="E1606" i="3"/>
  <c r="E1605" i="3"/>
  <c r="E1604" i="3"/>
  <c r="E1600" i="3"/>
  <c r="E1599" i="3"/>
  <c r="E1598" i="3"/>
  <c r="E1593" i="3"/>
  <c r="E1592" i="3"/>
  <c r="E1591" i="3"/>
  <c r="H1590" i="3"/>
  <c r="E1590" i="3"/>
  <c r="E1583" i="3"/>
  <c r="E1582" i="3"/>
  <c r="E1581" i="3"/>
  <c r="E1580" i="3"/>
  <c r="E1579" i="3"/>
  <c r="E1578" i="3"/>
  <c r="E1568" i="3"/>
  <c r="E1567" i="3"/>
  <c r="E1566" i="3"/>
  <c r="E1562" i="3"/>
  <c r="E1561" i="3"/>
  <c r="E1560" i="3"/>
  <c r="E1559" i="3"/>
  <c r="E1554" i="3"/>
  <c r="E1553" i="3"/>
  <c r="E1552" i="3"/>
  <c r="E1549" i="3"/>
  <c r="E1548" i="3"/>
  <c r="E1547" i="3"/>
  <c r="E1542" i="3"/>
  <c r="E1541" i="3"/>
  <c r="E1540" i="3"/>
  <c r="E1539" i="3"/>
  <c r="E1538" i="3"/>
  <c r="E1537" i="3"/>
  <c r="E1536" i="3"/>
  <c r="E1535" i="3"/>
  <c r="E1534" i="3"/>
  <c r="E1533" i="3"/>
  <c r="E1528" i="3"/>
  <c r="E1527" i="3"/>
  <c r="E1526" i="3"/>
  <c r="E1525" i="3"/>
  <c r="E1524" i="3"/>
  <c r="E1523" i="3"/>
  <c r="E1522" i="3"/>
  <c r="E1521" i="3"/>
  <c r="E1517" i="3"/>
  <c r="E1516" i="3"/>
  <c r="E1515" i="3"/>
  <c r="E1510" i="3"/>
  <c r="E1509" i="3"/>
  <c r="E1508" i="3"/>
  <c r="E1507" i="3"/>
  <c r="E1500" i="3"/>
  <c r="E1499" i="3"/>
  <c r="E1498" i="3"/>
  <c r="E1497" i="3"/>
  <c r="E1496" i="3"/>
  <c r="E1491" i="3"/>
  <c r="E1490" i="3"/>
  <c r="E1489" i="3"/>
  <c r="E1484" i="3"/>
  <c r="E1483" i="3"/>
  <c r="E1482" i="3"/>
  <c r="E1475" i="3"/>
  <c r="E1474" i="3"/>
  <c r="E1473" i="3"/>
  <c r="E1472" i="3"/>
  <c r="E1471" i="3"/>
  <c r="E1467" i="3"/>
  <c r="E1466" i="3"/>
  <c r="E1465" i="3"/>
  <c r="E1457" i="3"/>
  <c r="E1456" i="3"/>
  <c r="E1455" i="3"/>
  <c r="E1454" i="3"/>
  <c r="E1453" i="3"/>
  <c r="E1446" i="3"/>
  <c r="E1445" i="3"/>
  <c r="E1444" i="3"/>
  <c r="E1440" i="3"/>
  <c r="E1439" i="3"/>
  <c r="E1438" i="3"/>
  <c r="E1430" i="3"/>
  <c r="E1429" i="3"/>
  <c r="E1428" i="3"/>
  <c r="E1427" i="3"/>
  <c r="E1426" i="3"/>
  <c r="E1416" i="3"/>
  <c r="E1415" i="3"/>
  <c r="E1414" i="3"/>
  <c r="E1403" i="3"/>
  <c r="E1402" i="3"/>
  <c r="E1401" i="3"/>
  <c r="E1396" i="3"/>
  <c r="E1395" i="3"/>
  <c r="E1394" i="3"/>
  <c r="E1385" i="3"/>
  <c r="E1384" i="3"/>
  <c r="E1383" i="3"/>
  <c r="E1377" i="3"/>
  <c r="E1376" i="3"/>
  <c r="E1375" i="3"/>
  <c r="E1374" i="3"/>
  <c r="E1373" i="3"/>
  <c r="E1372" i="3"/>
  <c r="E1365" i="3"/>
  <c r="E1354" i="3"/>
  <c r="E1353" i="3"/>
  <c r="E1352" i="3"/>
  <c r="E1348" i="3"/>
  <c r="E1347" i="3"/>
  <c r="E1346" i="3"/>
  <c r="E1341" i="3"/>
  <c r="E1340" i="3"/>
  <c r="E1339" i="3"/>
  <c r="E1324" i="3"/>
  <c r="E1323" i="3"/>
  <c r="E1322" i="3"/>
  <c r="E1316" i="3"/>
  <c r="E1315" i="3"/>
  <c r="E1314" i="3"/>
  <c r="E1310" i="3"/>
  <c r="J1309" i="3"/>
  <c r="E1309" i="3"/>
  <c r="E1308" i="3"/>
  <c r="E1307" i="3"/>
  <c r="E1306" i="3"/>
  <c r="J1305" i="3"/>
  <c r="E1305" i="3"/>
  <c r="E1304" i="3"/>
  <c r="J1303" i="3"/>
  <c r="E1303" i="3"/>
  <c r="J1302" i="3"/>
  <c r="E1302" i="3"/>
  <c r="E1288" i="3"/>
  <c r="E1287" i="3"/>
  <c r="E1286" i="3"/>
  <c r="E1276" i="3"/>
  <c r="E1275" i="3"/>
  <c r="E1274" i="3"/>
  <c r="E1273" i="3"/>
  <c r="E1272" i="3"/>
  <c r="E1271" i="3"/>
  <c r="E1270" i="3"/>
  <c r="E1239" i="3"/>
  <c r="J1224" i="3"/>
  <c r="I1223" i="3"/>
  <c r="H1223" i="3"/>
  <c r="H1131" i="3"/>
  <c r="I1131" i="3" s="1"/>
  <c r="H995" i="3"/>
  <c r="G920" i="3"/>
  <c r="G908" i="3"/>
  <c r="G907" i="3"/>
  <c r="G906" i="3"/>
  <c r="G905" i="3"/>
  <c r="G860" i="3"/>
  <c r="H845" i="3"/>
  <c r="G830" i="3"/>
  <c r="G817" i="3"/>
  <c r="G816" i="3"/>
  <c r="G815" i="3"/>
  <c r="G800" i="3"/>
  <c r="G755" i="3"/>
  <c r="G739" i="3"/>
  <c r="I680" i="3"/>
  <c r="G680" i="3"/>
  <c r="J679" i="3"/>
  <c r="K679" i="3" s="1"/>
  <c r="K680" i="3" s="1"/>
  <c r="H679" i="3"/>
  <c r="G664" i="3"/>
  <c r="G649" i="3"/>
  <c r="L606" i="3"/>
  <c r="J606" i="3"/>
  <c r="H606" i="3"/>
  <c r="L605" i="3"/>
  <c r="J605" i="3"/>
  <c r="H605" i="3"/>
  <c r="L604" i="3"/>
  <c r="J604" i="3"/>
  <c r="H604" i="3"/>
  <c r="H608" i="3" s="1"/>
  <c r="J559" i="3"/>
  <c r="J561" i="3" s="1"/>
  <c r="H559" i="3"/>
  <c r="H561" i="3" s="1"/>
  <c r="I545" i="3"/>
  <c r="G545" i="3"/>
  <c r="J544" i="3"/>
  <c r="H544" i="3"/>
  <c r="J529" i="3"/>
  <c r="K529" i="3" s="1"/>
  <c r="L529" i="3" s="1"/>
  <c r="H529" i="3"/>
  <c r="J514" i="3"/>
  <c r="H514" i="3"/>
  <c r="G503" i="3"/>
  <c r="I502" i="3"/>
  <c r="G502" i="3"/>
  <c r="I501" i="3"/>
  <c r="J500" i="3"/>
  <c r="K500" i="3" s="1"/>
  <c r="L500" i="3" s="1"/>
  <c r="H500" i="3"/>
  <c r="J499" i="3"/>
  <c r="H499" i="3"/>
  <c r="J484" i="3"/>
  <c r="K484" i="3" s="1"/>
  <c r="L484" i="3" s="1"/>
  <c r="H484" i="3"/>
  <c r="N470" i="3"/>
  <c r="M470" i="3"/>
  <c r="J470" i="3"/>
  <c r="K470" i="3" s="1"/>
  <c r="L470" i="3" s="1"/>
  <c r="H470" i="3"/>
  <c r="N469" i="3"/>
  <c r="M469" i="3"/>
  <c r="J469" i="3"/>
  <c r="K469" i="3" s="1"/>
  <c r="L469" i="3" s="1"/>
  <c r="H469" i="3"/>
  <c r="G454" i="3"/>
  <c r="H454" i="3" s="1"/>
  <c r="K439" i="3"/>
  <c r="L439" i="3" s="1"/>
  <c r="J439" i="3"/>
  <c r="H439" i="3"/>
  <c r="J427" i="3"/>
  <c r="K427" i="3" s="1"/>
  <c r="L427" i="3" s="1"/>
  <c r="H427" i="3"/>
  <c r="J424" i="3"/>
  <c r="K424" i="3" s="1"/>
  <c r="L424" i="3" s="1"/>
  <c r="H424" i="3"/>
  <c r="J409" i="3"/>
  <c r="K409" i="3" s="1"/>
  <c r="L409" i="3" s="1"/>
  <c r="H409" i="3"/>
  <c r="H399" i="3"/>
  <c r="H400" i="3" s="1"/>
  <c r="J398" i="3"/>
  <c r="K398" i="3" s="1"/>
  <c r="L398" i="3" s="1"/>
  <c r="H398" i="3"/>
  <c r="J394" i="3"/>
  <c r="H394" i="3"/>
  <c r="I381" i="3"/>
  <c r="I382" i="3" s="1"/>
  <c r="J379" i="3"/>
  <c r="K379" i="3" s="1"/>
  <c r="K380" i="3" s="1"/>
  <c r="H379" i="3"/>
  <c r="J366" i="3"/>
  <c r="H366" i="3"/>
  <c r="K366" i="3" s="1"/>
  <c r="K367" i="3" s="1"/>
  <c r="K364" i="3"/>
  <c r="L364" i="3" s="1"/>
  <c r="J364" i="3"/>
  <c r="H364" i="3"/>
  <c r="J349" i="3"/>
  <c r="J351" i="3" s="1"/>
  <c r="J352" i="3" s="1"/>
  <c r="H349" i="3"/>
  <c r="J341" i="3"/>
  <c r="K341" i="3" s="1"/>
  <c r="L341" i="3" s="1"/>
  <c r="H341" i="3"/>
  <c r="J340" i="3"/>
  <c r="H340" i="3"/>
  <c r="K340" i="3" s="1"/>
  <c r="L340" i="3" s="1"/>
  <c r="I337" i="3"/>
  <c r="I338" i="3" s="1"/>
  <c r="L335" i="3"/>
  <c r="K335" i="3"/>
  <c r="J335" i="3"/>
  <c r="H335" i="3"/>
  <c r="L334" i="3"/>
  <c r="K334" i="3"/>
  <c r="J334" i="3"/>
  <c r="H334" i="3"/>
  <c r="H321" i="3"/>
  <c r="H322" i="3" s="1"/>
  <c r="J307" i="3"/>
  <c r="J308" i="3" s="1"/>
  <c r="J304" i="3"/>
  <c r="H304" i="3"/>
  <c r="I294" i="3"/>
  <c r="I295" i="3" s="1"/>
  <c r="I290" i="3"/>
  <c r="I291" i="3" s="1"/>
  <c r="J289" i="3"/>
  <c r="H289" i="3"/>
  <c r="H283" i="3"/>
  <c r="H284" i="3" s="1"/>
  <c r="J280" i="3"/>
  <c r="K280" i="3" s="1"/>
  <c r="L280" i="3" s="1"/>
  <c r="H280" i="3"/>
  <c r="J278" i="3"/>
  <c r="K278" i="3" s="1"/>
  <c r="L278" i="3" s="1"/>
  <c r="H278" i="3"/>
  <c r="J274" i="3"/>
  <c r="K274" i="3" s="1"/>
  <c r="L274" i="3" s="1"/>
  <c r="H262" i="3"/>
  <c r="H261" i="3"/>
  <c r="J249" i="3"/>
  <c r="H249" i="3"/>
  <c r="J248" i="3"/>
  <c r="H248" i="3"/>
  <c r="J244" i="3"/>
  <c r="H244" i="3"/>
  <c r="J229" i="3"/>
  <c r="K229" i="3" s="1"/>
  <c r="L229" i="3" s="1"/>
  <c r="H229" i="3"/>
  <c r="J216" i="3"/>
  <c r="H216" i="3"/>
  <c r="J215" i="3"/>
  <c r="H215" i="3"/>
  <c r="J214" i="3"/>
  <c r="H214" i="3"/>
  <c r="H217" i="3" s="1"/>
  <c r="J199" i="3"/>
  <c r="H201" i="3" s="1"/>
  <c r="H202" i="3" s="1"/>
  <c r="H199" i="3"/>
  <c r="J186" i="3"/>
  <c r="H186" i="3"/>
  <c r="J185" i="3"/>
  <c r="J188" i="3" s="1"/>
  <c r="H185" i="3"/>
  <c r="J184" i="3"/>
  <c r="H184" i="3"/>
  <c r="H171" i="3"/>
  <c r="H172" i="3" s="1"/>
  <c r="J169" i="3"/>
  <c r="H169" i="3"/>
  <c r="J154" i="3"/>
  <c r="H154" i="3"/>
  <c r="J139" i="3"/>
  <c r="H141" i="3" s="1"/>
  <c r="H142" i="3" s="1"/>
  <c r="J126" i="3"/>
  <c r="H126" i="3"/>
  <c r="J125" i="3"/>
  <c r="J128" i="3" s="1"/>
  <c r="H125" i="3"/>
  <c r="J124" i="3"/>
  <c r="H124" i="3"/>
  <c r="H112" i="3"/>
  <c r="K110" i="3"/>
  <c r="J110" i="3"/>
  <c r="H110" i="3"/>
  <c r="L109" i="3"/>
  <c r="K109" i="3"/>
  <c r="J109" i="3"/>
  <c r="J112" i="3" s="1"/>
  <c r="H109" i="3"/>
  <c r="J95" i="3"/>
  <c r="H95" i="3"/>
  <c r="J94" i="3"/>
  <c r="H94" i="3"/>
  <c r="H97" i="3" s="1"/>
  <c r="J79" i="3"/>
  <c r="H81" i="3" s="1"/>
  <c r="H82" i="3" s="1"/>
  <c r="H79" i="3"/>
  <c r="J67" i="3"/>
  <c r="H67" i="3"/>
  <c r="J66" i="3"/>
  <c r="H66" i="3"/>
  <c r="J65" i="3"/>
  <c r="H65" i="3"/>
  <c r="J64" i="3"/>
  <c r="J69" i="3" s="1"/>
  <c r="H64" i="3"/>
  <c r="J49" i="3"/>
  <c r="H51" i="3" s="1"/>
  <c r="H52" i="3" s="1"/>
  <c r="J34" i="3"/>
  <c r="H36" i="3" s="1"/>
  <c r="H37" i="3" s="1"/>
  <c r="J19" i="3"/>
  <c r="H21" i="3" s="1"/>
  <c r="H22" i="3" s="1"/>
  <c r="H7" i="3"/>
  <c r="K5" i="3"/>
  <c r="J5" i="3"/>
  <c r="K4" i="3"/>
  <c r="J4" i="3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5" i="2"/>
  <c r="E5744" i="2"/>
  <c r="E5743" i="2"/>
  <c r="E5742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3" i="2"/>
  <c r="E5722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77" i="2"/>
  <c r="E5676" i="2"/>
  <c r="E5667" i="2"/>
  <c r="E5662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27" i="2"/>
  <c r="E5626" i="2"/>
  <c r="E5625" i="2"/>
  <c r="E5624" i="2"/>
  <c r="E5623" i="2"/>
  <c r="E5622" i="2"/>
  <c r="E5621" i="2"/>
  <c r="E5620" i="2"/>
  <c r="E5619" i="2"/>
  <c r="E5618" i="2"/>
  <c r="E5617" i="2"/>
  <c r="E5613" i="2"/>
  <c r="E5612" i="2"/>
  <c r="E5611" i="2"/>
  <c r="E5610" i="2"/>
  <c r="E5609" i="2"/>
  <c r="E5608" i="2"/>
  <c r="E5603" i="2"/>
  <c r="E5602" i="2"/>
  <c r="E5601" i="2"/>
  <c r="E5600" i="2"/>
  <c r="E5599" i="2"/>
  <c r="E5598" i="2"/>
  <c r="E5597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3" i="2"/>
  <c r="E5542" i="2"/>
  <c r="E5541" i="2"/>
  <c r="E5540" i="2"/>
  <c r="E5539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5" i="2"/>
  <c r="E5494" i="2"/>
  <c r="E5490" i="2"/>
  <c r="E5489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2" i="2"/>
  <c r="E5458" i="2"/>
  <c r="E5457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2" i="2"/>
  <c r="E5411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19" i="2"/>
  <c r="E5318" i="2"/>
  <c r="E5317" i="2"/>
  <c r="E5316" i="2"/>
  <c r="E5312" i="2"/>
  <c r="E5311" i="2"/>
  <c r="E5310" i="2"/>
  <c r="E5309" i="2"/>
  <c r="E5304" i="2"/>
  <c r="E5303" i="2"/>
  <c r="E5302" i="2"/>
  <c r="E5301" i="2"/>
  <c r="E5300" i="2"/>
  <c r="E5299" i="2"/>
  <c r="E5298" i="2"/>
  <c r="E5297" i="2"/>
  <c r="E5296" i="2"/>
  <c r="E5295" i="2"/>
  <c r="E5291" i="2"/>
  <c r="E5287" i="2"/>
  <c r="E5286" i="2"/>
  <c r="E5285" i="2"/>
  <c r="E5284" i="2"/>
  <c r="E5283" i="2"/>
  <c r="E5282" i="2"/>
  <c r="E5281" i="2"/>
  <c r="E5280" i="2"/>
  <c r="E5276" i="2"/>
  <c r="E5272" i="2"/>
  <c r="E5271" i="2"/>
  <c r="E5270" i="2"/>
  <c r="E5269" i="2"/>
  <c r="E5268" i="2"/>
  <c r="E5263" i="2"/>
  <c r="E5262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3" i="2"/>
  <c r="E5212" i="2"/>
  <c r="E5211" i="2"/>
  <c r="E5210" i="2"/>
  <c r="E5209" i="2"/>
  <c r="E5208" i="2"/>
  <c r="E5207" i="2"/>
  <c r="E5206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69" i="2"/>
  <c r="E5168" i="2"/>
  <c r="E5167" i="2"/>
  <c r="E5166" i="2"/>
  <c r="E5165" i="2"/>
  <c r="E5164" i="2"/>
  <c r="E5163" i="2"/>
  <c r="E5162" i="2"/>
  <c r="E5161" i="2"/>
  <c r="E5160" i="2"/>
  <c r="E5159" i="2"/>
  <c r="E5154" i="2"/>
  <c r="E5153" i="2"/>
  <c r="E5148" i="2"/>
  <c r="E5147" i="2"/>
  <c r="E5146" i="2"/>
  <c r="E5145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1" i="2"/>
  <c r="E5066" i="2"/>
  <c r="E5065" i="2"/>
  <c r="E5064" i="2"/>
  <c r="E5063" i="2"/>
  <c r="E5062" i="2"/>
  <c r="E5061" i="2"/>
  <c r="E5060" i="2"/>
  <c r="E5059" i="2"/>
  <c r="E5058" i="2"/>
  <c r="E5054" i="2"/>
  <c r="E5053" i="2"/>
  <c r="E5052" i="2"/>
  <c r="E5051" i="2"/>
  <c r="E5050" i="2"/>
  <c r="E5049" i="2"/>
  <c r="E5048" i="2"/>
  <c r="E5047" i="2"/>
  <c r="E5042" i="2"/>
  <c r="E5041" i="2"/>
  <c r="E5040" i="2"/>
  <c r="E5039" i="2"/>
  <c r="E5035" i="2"/>
  <c r="E5034" i="2"/>
  <c r="E5033" i="2"/>
  <c r="E5032" i="2"/>
  <c r="E5028" i="2"/>
  <c r="E5027" i="2"/>
  <c r="E5026" i="2"/>
  <c r="E5025" i="2"/>
  <c r="E5021" i="2"/>
  <c r="E5020" i="2"/>
  <c r="E5019" i="2"/>
  <c r="E5018" i="2"/>
  <c r="E5017" i="2"/>
  <c r="E5016" i="2"/>
  <c r="E5015" i="2"/>
  <c r="E5014" i="2"/>
  <c r="E5009" i="2"/>
  <c r="E5008" i="2"/>
  <c r="E5004" i="2"/>
  <c r="E5003" i="2"/>
  <c r="E5002" i="2"/>
  <c r="E5001" i="2"/>
  <c r="E5000" i="2"/>
  <c r="E4999" i="2"/>
  <c r="E4994" i="2"/>
  <c r="E4993" i="2"/>
  <c r="E4992" i="2"/>
  <c r="E4991" i="2"/>
  <c r="E4990" i="2"/>
  <c r="E4989" i="2"/>
  <c r="E4985" i="2"/>
  <c r="E4984" i="2"/>
  <c r="E4983" i="2"/>
  <c r="E4982" i="2"/>
  <c r="E4981" i="2"/>
  <c r="E4980" i="2"/>
  <c r="E4979" i="2"/>
  <c r="E4978" i="2"/>
  <c r="E4977" i="2"/>
  <c r="E4957" i="2"/>
  <c r="E4956" i="2"/>
  <c r="E4955" i="2"/>
  <c r="E4954" i="2"/>
  <c r="E4953" i="2"/>
  <c r="E4952" i="2"/>
  <c r="E4947" i="2"/>
  <c r="E4946" i="2"/>
  <c r="E4945" i="2"/>
  <c r="E4944" i="2"/>
  <c r="E4943" i="2"/>
  <c r="E4942" i="2"/>
  <c r="E4922" i="2"/>
  <c r="E4921" i="2"/>
  <c r="E4920" i="2"/>
  <c r="E4919" i="2"/>
  <c r="E4918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86" i="2"/>
  <c r="E4885" i="2"/>
  <c r="E4884" i="2"/>
  <c r="E4883" i="2"/>
  <c r="E4882" i="2"/>
  <c r="E4881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6" i="2"/>
  <c r="E4835" i="2"/>
  <c r="E4831" i="2"/>
  <c r="E4830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09" i="2"/>
  <c r="E4808" i="2"/>
  <c r="E4804" i="2"/>
  <c r="E4803" i="2"/>
  <c r="E4799" i="2"/>
  <c r="E4798" i="2"/>
  <c r="E4797" i="2"/>
  <c r="E4796" i="2"/>
  <c r="E4795" i="2"/>
  <c r="E4794" i="2"/>
  <c r="E4793" i="2"/>
  <c r="E4789" i="2"/>
  <c r="E4788" i="2"/>
  <c r="E4787" i="2"/>
  <c r="E4783" i="2"/>
  <c r="E4782" i="2"/>
  <c r="E4778" i="2"/>
  <c r="E4777" i="2"/>
  <c r="E4776" i="2"/>
  <c r="E4775" i="2"/>
  <c r="E4774" i="2"/>
  <c r="E4773" i="2"/>
  <c r="E4772" i="2"/>
  <c r="E4771" i="2"/>
  <c r="E4770" i="2"/>
  <c r="E4769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49" i="2"/>
  <c r="E4748" i="2"/>
  <c r="E4747" i="2"/>
  <c r="E4746" i="2"/>
  <c r="E4745" i="2"/>
  <c r="E4744" i="2"/>
  <c r="E4743" i="2"/>
  <c r="E4742" i="2"/>
  <c r="E4741" i="2"/>
  <c r="E4736" i="2"/>
  <c r="E4735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I4717" i="2"/>
  <c r="J4717" i="2" s="1"/>
  <c r="H4717" i="2"/>
  <c r="E4717" i="2"/>
  <c r="E4716" i="2"/>
  <c r="E4715" i="2"/>
  <c r="E4714" i="2"/>
  <c r="E4713" i="2"/>
  <c r="E4708" i="2"/>
  <c r="E4707" i="2"/>
  <c r="E4703" i="2"/>
  <c r="E4702" i="2"/>
  <c r="E4701" i="2"/>
  <c r="E4700" i="2"/>
  <c r="E4695" i="2"/>
  <c r="E4694" i="2"/>
  <c r="E4693" i="2"/>
  <c r="E4692" i="2"/>
  <c r="E4691" i="2"/>
  <c r="E4690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6" i="2"/>
  <c r="E4665" i="2"/>
  <c r="E4661" i="2"/>
  <c r="E4660" i="2"/>
  <c r="E4659" i="2"/>
  <c r="E4655" i="2"/>
  <c r="E4654" i="2"/>
  <c r="E4650" i="2"/>
  <c r="E4649" i="2"/>
  <c r="E4645" i="2"/>
  <c r="E4644" i="2"/>
  <c r="E4643" i="2"/>
  <c r="E4642" i="2"/>
  <c r="E4641" i="2"/>
  <c r="E4640" i="2"/>
  <c r="E4639" i="2"/>
  <c r="E4638" i="2"/>
  <c r="E4637" i="2"/>
  <c r="E4633" i="2"/>
  <c r="E4632" i="2"/>
  <c r="E4631" i="2"/>
  <c r="E4630" i="2"/>
  <c r="E4629" i="2"/>
  <c r="E4625" i="2"/>
  <c r="E4624" i="2"/>
  <c r="E4623" i="2"/>
  <c r="E4622" i="2"/>
  <c r="E4621" i="2"/>
  <c r="E4620" i="2"/>
  <c r="E4616" i="2"/>
  <c r="E4615" i="2"/>
  <c r="E4614" i="2"/>
  <c r="E4613" i="2"/>
  <c r="E4612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76" i="2"/>
  <c r="E4575" i="2"/>
  <c r="E4574" i="2"/>
  <c r="E4573" i="2"/>
  <c r="E4572" i="2"/>
  <c r="E4571" i="2"/>
  <c r="E4570" i="2"/>
  <c r="E4569" i="2"/>
  <c r="E4568" i="2"/>
  <c r="E4567" i="2"/>
  <c r="E4563" i="2"/>
  <c r="E4562" i="2"/>
  <c r="E4557" i="2"/>
  <c r="E4553" i="2"/>
  <c r="E4552" i="2"/>
  <c r="E4551" i="2"/>
  <c r="E4546" i="2"/>
  <c r="E4545" i="2"/>
  <c r="E4544" i="2"/>
  <c r="E4543" i="2"/>
  <c r="E4539" i="2"/>
  <c r="E4538" i="2"/>
  <c r="E4537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0" i="2"/>
  <c r="E4509" i="2"/>
  <c r="E4508" i="2"/>
  <c r="E4507" i="2"/>
  <c r="E4506" i="2"/>
  <c r="E4505" i="2"/>
  <c r="E4504" i="2"/>
  <c r="E4503" i="2"/>
  <c r="E4502" i="2"/>
  <c r="E4501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2" i="2"/>
  <c r="E4461" i="2"/>
  <c r="E4460" i="2"/>
  <c r="E4459" i="2"/>
  <c r="E4455" i="2"/>
  <c r="E4449" i="2"/>
  <c r="E4448" i="2"/>
  <c r="E4447" i="2"/>
  <c r="E4446" i="2"/>
  <c r="E4442" i="2"/>
  <c r="E4441" i="2"/>
  <c r="E4440" i="2"/>
  <c r="E4439" i="2"/>
  <c r="E4438" i="2"/>
  <c r="E4437" i="2"/>
  <c r="E4436" i="2"/>
  <c r="E4435" i="2"/>
  <c r="E4434" i="2"/>
  <c r="E4433" i="2"/>
  <c r="E4428" i="2"/>
  <c r="E4427" i="2"/>
  <c r="E4426" i="2"/>
  <c r="E4421" i="2"/>
  <c r="E4420" i="2"/>
  <c r="E4419" i="2"/>
  <c r="E4418" i="2"/>
  <c r="E4417" i="2"/>
  <c r="E4416" i="2"/>
  <c r="E4415" i="2"/>
  <c r="E4414" i="2"/>
  <c r="E4413" i="2"/>
  <c r="E4408" i="2"/>
  <c r="E4407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1" i="2"/>
  <c r="E4380" i="2"/>
  <c r="E4379" i="2"/>
  <c r="E4378" i="2"/>
  <c r="E4374" i="2"/>
  <c r="E4373" i="2"/>
  <c r="E4372" i="2"/>
  <c r="E4368" i="2"/>
  <c r="E4367" i="2"/>
  <c r="E4366" i="2"/>
  <c r="E4365" i="2"/>
  <c r="E4361" i="2"/>
  <c r="E4360" i="2"/>
  <c r="E4359" i="2"/>
  <c r="E4358" i="2"/>
  <c r="E4354" i="2"/>
  <c r="E4353" i="2"/>
  <c r="E4352" i="2"/>
  <c r="E4351" i="2"/>
  <c r="E4350" i="2"/>
  <c r="E4349" i="2"/>
  <c r="E4348" i="2"/>
  <c r="E4347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27" i="2"/>
  <c r="E4326" i="2"/>
  <c r="E4322" i="2"/>
  <c r="E4321" i="2"/>
  <c r="E4320" i="2"/>
  <c r="E4319" i="2"/>
  <c r="E4318" i="2"/>
  <c r="E4317" i="2"/>
  <c r="E4316" i="2"/>
  <c r="E4315" i="2"/>
  <c r="E4314" i="2"/>
  <c r="E4313" i="2"/>
  <c r="E4307" i="2"/>
  <c r="E4306" i="2"/>
  <c r="E4301" i="2"/>
  <c r="E4300" i="2"/>
  <c r="E4299" i="2"/>
  <c r="E4294" i="2"/>
  <c r="E4293" i="2"/>
  <c r="E4292" i="2"/>
  <c r="E4291" i="2"/>
  <c r="E4290" i="2"/>
  <c r="E4289" i="2"/>
  <c r="E4285" i="2"/>
  <c r="E4284" i="2"/>
  <c r="E4283" i="2"/>
  <c r="E4282" i="2"/>
  <c r="E4278" i="2"/>
  <c r="E4277" i="2"/>
  <c r="E4276" i="2"/>
  <c r="E4275" i="2"/>
  <c r="E4270" i="2"/>
  <c r="E4269" i="2"/>
  <c r="E4268" i="2"/>
  <c r="E4267" i="2"/>
  <c r="E4266" i="2"/>
  <c r="E4265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5" i="2"/>
  <c r="E4244" i="2"/>
  <c r="E4243" i="2"/>
  <c r="E4242" i="2"/>
  <c r="E4241" i="2"/>
  <c r="E4240" i="2"/>
  <c r="E4239" i="2"/>
  <c r="E4235" i="2"/>
  <c r="E4234" i="2"/>
  <c r="E4233" i="2"/>
  <c r="E4232" i="2"/>
  <c r="E4231" i="2"/>
  <c r="E4230" i="2"/>
  <c r="E4225" i="2"/>
  <c r="E4224" i="2"/>
  <c r="E4223" i="2"/>
  <c r="E4222" i="2"/>
  <c r="E4218" i="2"/>
  <c r="E4217" i="2"/>
  <c r="E4216" i="2"/>
  <c r="E4215" i="2"/>
  <c r="E4211" i="2"/>
  <c r="E4210" i="2"/>
  <c r="E4209" i="2"/>
  <c r="E4208" i="2"/>
  <c r="E4207" i="2"/>
  <c r="E4206" i="2"/>
  <c r="E4202" i="2"/>
  <c r="E4201" i="2"/>
  <c r="E4200" i="2"/>
  <c r="E4199" i="2"/>
  <c r="E4198" i="2"/>
  <c r="E4197" i="2"/>
  <c r="E4196" i="2"/>
  <c r="E4195" i="2"/>
  <c r="E4194" i="2"/>
  <c r="E4189" i="2"/>
  <c r="E4188" i="2"/>
  <c r="E4187" i="2"/>
  <c r="E4186" i="2"/>
  <c r="E4185" i="2"/>
  <c r="E4184" i="2"/>
  <c r="E4179" i="2"/>
  <c r="E4178" i="2"/>
  <c r="E4174" i="2"/>
  <c r="E4173" i="2"/>
  <c r="E4169" i="2"/>
  <c r="E4168" i="2"/>
  <c r="E4164" i="2"/>
  <c r="E4163" i="2"/>
  <c r="E4156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1" i="2"/>
  <c r="E4120" i="2"/>
  <c r="E4116" i="2"/>
  <c r="E4115" i="2"/>
  <c r="E4114" i="2"/>
  <c r="E4113" i="2"/>
  <c r="E4112" i="2"/>
  <c r="E4111" i="2"/>
  <c r="E4110" i="2"/>
  <c r="E4105" i="2"/>
  <c r="E4104" i="2"/>
  <c r="E4103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2" i="2"/>
  <c r="E4081" i="2"/>
  <c r="E4080" i="2"/>
  <c r="E4079" i="2"/>
  <c r="E4078" i="2"/>
  <c r="E4072" i="2"/>
  <c r="E4071" i="2"/>
  <c r="E4070" i="2"/>
  <c r="E4069" i="2"/>
  <c r="E4068" i="2"/>
  <c r="E4067" i="2"/>
  <c r="E4066" i="2"/>
  <c r="E4062" i="2"/>
  <c r="E4060" i="2"/>
  <c r="E4059" i="2"/>
  <c r="E4058" i="2"/>
  <c r="E4054" i="2"/>
  <c r="E4053" i="2"/>
  <c r="E4052" i="2"/>
  <c r="E4051" i="2"/>
  <c r="E4050" i="2"/>
  <c r="E4046" i="2"/>
  <c r="E4044" i="2"/>
  <c r="E4043" i="2"/>
  <c r="E4042" i="2"/>
  <c r="E4038" i="2"/>
  <c r="E4037" i="2"/>
  <c r="E4036" i="2"/>
  <c r="E4035" i="2"/>
  <c r="E4034" i="2"/>
  <c r="E4033" i="2"/>
  <c r="E4032" i="2"/>
  <c r="E4028" i="2"/>
  <c r="E4027" i="2"/>
  <c r="E4026" i="2"/>
  <c r="E4025" i="2"/>
  <c r="E4024" i="2"/>
  <c r="E4020" i="2"/>
  <c r="E4019" i="2"/>
  <c r="E4018" i="2"/>
  <c r="E4017" i="2"/>
  <c r="E4016" i="2"/>
  <c r="E4012" i="2"/>
  <c r="E4011" i="2"/>
  <c r="E4010" i="2"/>
  <c r="E4006" i="2"/>
  <c r="E4005" i="2"/>
  <c r="E4001" i="2"/>
  <c r="O4000" i="2"/>
  <c r="E4000" i="2"/>
  <c r="O3999" i="2"/>
  <c r="E3999" i="2"/>
  <c r="O3994" i="2"/>
  <c r="E3994" i="2"/>
  <c r="E3990" i="2"/>
  <c r="E3989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O3964" i="2"/>
  <c r="O3963" i="2"/>
  <c r="E3963" i="2"/>
  <c r="O3962" i="2"/>
  <c r="E3962" i="2"/>
  <c r="O3961" i="2"/>
  <c r="E3961" i="2"/>
  <c r="O3960" i="2"/>
  <c r="E3960" i="2"/>
  <c r="O3959" i="2"/>
  <c r="E3959" i="2"/>
  <c r="O3958" i="2"/>
  <c r="E3958" i="2"/>
  <c r="E3954" i="2"/>
  <c r="E3953" i="2"/>
  <c r="E3952" i="2"/>
  <c r="E3951" i="2"/>
  <c r="E3947" i="2"/>
  <c r="E3946" i="2"/>
  <c r="E3945" i="2"/>
  <c r="E3944" i="2"/>
  <c r="E3940" i="2"/>
  <c r="E3939" i="2"/>
  <c r="E3938" i="2"/>
  <c r="O3937" i="2"/>
  <c r="E3937" i="2"/>
  <c r="E3933" i="2"/>
  <c r="E3932" i="2"/>
  <c r="E3931" i="2"/>
  <c r="E3930" i="2"/>
  <c r="E3920" i="2"/>
  <c r="E3919" i="2"/>
  <c r="E3918" i="2"/>
  <c r="E3917" i="2"/>
  <c r="E3916" i="2"/>
  <c r="E3915" i="2"/>
  <c r="E3911" i="2"/>
  <c r="E3910" i="2"/>
  <c r="E3909" i="2"/>
  <c r="E3908" i="2"/>
  <c r="E3907" i="2"/>
  <c r="O3906" i="2"/>
  <c r="E3906" i="2"/>
  <c r="E3905" i="2"/>
  <c r="E3904" i="2"/>
  <c r="O3903" i="2"/>
  <c r="E3903" i="2"/>
  <c r="E3899" i="2"/>
  <c r="E3898" i="2"/>
  <c r="E3894" i="2"/>
  <c r="E3893" i="2"/>
  <c r="E3892" i="2"/>
  <c r="E3891" i="2"/>
  <c r="E3890" i="2"/>
  <c r="E3889" i="2"/>
  <c r="E3885" i="2"/>
  <c r="E3884" i="2"/>
  <c r="E3883" i="2"/>
  <c r="E3882" i="2"/>
  <c r="E3881" i="2"/>
  <c r="E3876" i="2"/>
  <c r="O3875" i="2"/>
  <c r="E3875" i="2"/>
  <c r="O3874" i="2"/>
  <c r="E3874" i="2"/>
  <c r="O3873" i="2"/>
  <c r="E3873" i="2"/>
  <c r="O3872" i="2"/>
  <c r="E3872" i="2"/>
  <c r="O3871" i="2"/>
  <c r="E3871" i="2"/>
  <c r="O3870" i="2"/>
  <c r="E3870" i="2"/>
  <c r="O3869" i="2"/>
  <c r="E3869" i="2"/>
  <c r="O3868" i="2"/>
  <c r="E3868" i="2"/>
  <c r="E3864" i="2"/>
  <c r="E3863" i="2"/>
  <c r="E3862" i="2"/>
  <c r="E3861" i="2"/>
  <c r="E3860" i="2"/>
  <c r="E3847" i="2"/>
  <c r="E3846" i="2"/>
  <c r="E3841" i="2"/>
  <c r="E3840" i="2"/>
  <c r="E3839" i="2"/>
  <c r="E3838" i="2"/>
  <c r="E3837" i="2"/>
  <c r="E3833" i="2"/>
  <c r="E3832" i="2"/>
  <c r="E3831" i="2"/>
  <c r="E3830" i="2"/>
  <c r="E3829" i="2"/>
  <c r="E3828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1" i="2"/>
  <c r="E3800" i="2"/>
  <c r="E3799" i="2"/>
  <c r="O3798" i="2"/>
  <c r="E3798" i="2"/>
  <c r="E3793" i="2"/>
  <c r="E3792" i="2"/>
  <c r="E3791" i="2"/>
  <c r="E3790" i="2"/>
  <c r="E3783" i="2"/>
  <c r="E3782" i="2"/>
  <c r="E3781" i="2"/>
  <c r="E3780" i="2"/>
  <c r="E3779" i="2"/>
  <c r="E3778" i="2"/>
  <c r="E3777" i="2"/>
  <c r="E3776" i="2"/>
  <c r="O3772" i="2"/>
  <c r="E3772" i="2"/>
  <c r="E3771" i="2"/>
  <c r="O3770" i="2"/>
  <c r="E3770" i="2"/>
  <c r="E3765" i="2"/>
  <c r="E3764" i="2"/>
  <c r="E3763" i="2"/>
  <c r="E3762" i="2"/>
  <c r="E3761" i="2"/>
  <c r="E3760" i="2"/>
  <c r="E3759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5" i="2"/>
  <c r="E3734" i="2"/>
  <c r="E3733" i="2"/>
  <c r="O3732" i="2"/>
  <c r="E3732" i="2"/>
  <c r="E3731" i="2"/>
  <c r="O3730" i="2"/>
  <c r="E3730" i="2"/>
  <c r="E3726" i="2"/>
  <c r="E3725" i="2"/>
  <c r="E3724" i="2"/>
  <c r="E3723" i="2"/>
  <c r="E3722" i="2"/>
  <c r="E3721" i="2"/>
  <c r="E3720" i="2"/>
  <c r="E3719" i="2"/>
  <c r="E3718" i="2"/>
  <c r="E3717" i="2"/>
  <c r="O3713" i="2"/>
  <c r="E3713" i="2"/>
  <c r="E3709" i="2"/>
  <c r="E3708" i="2"/>
  <c r="E3707" i="2"/>
  <c r="E3706" i="2"/>
  <c r="E3705" i="2"/>
  <c r="E3704" i="2"/>
  <c r="E3700" i="2"/>
  <c r="E3699" i="2"/>
  <c r="E3698" i="2"/>
  <c r="E3697" i="2"/>
  <c r="E3692" i="2"/>
  <c r="O3691" i="2"/>
  <c r="E3691" i="2"/>
  <c r="E3687" i="2"/>
  <c r="E3686" i="2"/>
  <c r="E3685" i="2"/>
  <c r="E3684" i="2"/>
  <c r="E3683" i="2"/>
  <c r="E3682" i="2"/>
  <c r="E3677" i="2"/>
  <c r="E3676" i="2"/>
  <c r="E3675" i="2"/>
  <c r="E3674" i="2"/>
  <c r="E3673" i="2"/>
  <c r="E3672" i="2"/>
  <c r="E3667" i="2"/>
  <c r="E3666" i="2"/>
  <c r="E3665" i="2"/>
  <c r="E3664" i="2"/>
  <c r="E3663" i="2"/>
  <c r="E3659" i="2"/>
  <c r="E3658" i="2"/>
  <c r="E3657" i="2"/>
  <c r="E3656" i="2"/>
  <c r="E3655" i="2"/>
  <c r="O3654" i="2"/>
  <c r="E3654" i="2"/>
  <c r="E3649" i="2"/>
  <c r="E3648" i="2"/>
  <c r="E3647" i="2"/>
  <c r="E3646" i="2"/>
  <c r="E3645" i="2"/>
  <c r="E3644" i="2"/>
  <c r="E3638" i="2"/>
  <c r="E3637" i="2"/>
  <c r="E3636" i="2"/>
  <c r="E3635" i="2"/>
  <c r="E3634" i="2"/>
  <c r="E3627" i="2"/>
  <c r="E3626" i="2"/>
  <c r="E3625" i="2"/>
  <c r="E3624" i="2"/>
  <c r="E3617" i="2"/>
  <c r="E3616" i="2"/>
  <c r="E3615" i="2"/>
  <c r="E3614" i="2"/>
  <c r="E3613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70" i="2"/>
  <c r="E3566" i="2"/>
  <c r="E3565" i="2"/>
  <c r="E3564" i="2"/>
  <c r="E3563" i="2"/>
  <c r="E3562" i="2"/>
  <c r="E3561" i="2"/>
  <c r="E3560" i="2"/>
  <c r="E3559" i="2"/>
  <c r="E3558" i="2"/>
  <c r="E3557" i="2"/>
  <c r="E3552" i="2"/>
  <c r="E3551" i="2"/>
  <c r="E3550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O3475" i="2"/>
  <c r="O3474" i="2"/>
  <c r="O3464" i="2"/>
  <c r="E3460" i="2"/>
  <c r="E3459" i="2"/>
  <c r="E3458" i="2"/>
  <c r="E3457" i="2"/>
  <c r="E3456" i="2"/>
  <c r="E3455" i="2"/>
  <c r="O3454" i="2"/>
  <c r="E3454" i="2"/>
  <c r="O3453" i="2"/>
  <c r="E3453" i="2"/>
  <c r="O3452" i="2"/>
  <c r="E3452" i="2"/>
  <c r="O3451" i="2"/>
  <c r="E3451" i="2"/>
  <c r="O3450" i="2"/>
  <c r="E3450" i="2"/>
  <c r="O3449" i="2"/>
  <c r="E3449" i="2"/>
  <c r="O3448" i="2"/>
  <c r="E3448" i="2"/>
  <c r="O3447" i="2"/>
  <c r="E3447" i="2"/>
  <c r="O3446" i="2"/>
  <c r="E3446" i="2"/>
  <c r="O3445" i="2"/>
  <c r="E3445" i="2"/>
  <c r="O3444" i="2"/>
  <c r="E3444" i="2"/>
  <c r="O3443" i="2"/>
  <c r="E3443" i="2"/>
  <c r="O3442" i="2"/>
  <c r="E3442" i="2"/>
  <c r="O3441" i="2"/>
  <c r="E3441" i="2"/>
  <c r="O3440" i="2"/>
  <c r="E3440" i="2"/>
  <c r="O3439" i="2"/>
  <c r="E3439" i="2"/>
  <c r="O3438" i="2"/>
  <c r="E3438" i="2"/>
  <c r="O3437" i="2"/>
  <c r="E3437" i="2"/>
  <c r="O3436" i="2"/>
  <c r="E3436" i="2"/>
  <c r="O3435" i="2"/>
  <c r="E3435" i="2"/>
  <c r="O3434" i="2"/>
  <c r="E3434" i="2"/>
  <c r="O3433" i="2"/>
  <c r="E3433" i="2"/>
  <c r="O3432" i="2"/>
  <c r="E3432" i="2"/>
  <c r="E3410" i="2"/>
  <c r="E3409" i="2"/>
  <c r="E3408" i="2"/>
  <c r="E3407" i="2"/>
  <c r="E3406" i="2"/>
  <c r="H3405" i="2"/>
  <c r="E3405" i="2"/>
  <c r="E3401" i="2"/>
  <c r="E3400" i="2"/>
  <c r="E3399" i="2"/>
  <c r="J3398" i="2"/>
  <c r="E3398" i="2"/>
  <c r="E3393" i="2"/>
  <c r="E3392" i="2"/>
  <c r="E3391" i="2"/>
  <c r="E3390" i="2"/>
  <c r="E3385" i="2"/>
  <c r="E3384" i="2"/>
  <c r="E3383" i="2"/>
  <c r="E3382" i="2"/>
  <c r="E3381" i="2"/>
  <c r="O3380" i="2"/>
  <c r="E3380" i="2"/>
  <c r="J3376" i="2"/>
  <c r="E3376" i="2"/>
  <c r="J3375" i="2"/>
  <c r="E3375" i="2"/>
  <c r="J3374" i="2"/>
  <c r="E3374" i="2"/>
  <c r="J3373" i="2"/>
  <c r="E3373" i="2"/>
  <c r="J3372" i="2"/>
  <c r="E3372" i="2"/>
  <c r="J3371" i="2"/>
  <c r="E3371" i="2"/>
  <c r="J3370" i="2"/>
  <c r="E3370" i="2"/>
  <c r="J3369" i="2"/>
  <c r="E3369" i="2"/>
  <c r="J3368" i="2"/>
  <c r="E3368" i="2"/>
  <c r="J3367" i="2"/>
  <c r="E3367" i="2"/>
  <c r="J3366" i="2"/>
  <c r="E3366" i="2"/>
  <c r="J3365" i="2"/>
  <c r="E3365" i="2"/>
  <c r="J3364" i="2"/>
  <c r="E3364" i="2"/>
  <c r="E3360" i="2"/>
  <c r="E3359" i="2"/>
  <c r="E3358" i="2"/>
  <c r="E3357" i="2"/>
  <c r="E3356" i="2"/>
  <c r="E3355" i="2"/>
  <c r="E3354" i="2"/>
  <c r="E3353" i="2"/>
  <c r="O3352" i="2"/>
  <c r="E3352" i="2"/>
  <c r="O3351" i="2"/>
  <c r="E3351" i="2"/>
  <c r="O3350" i="2"/>
  <c r="E3350" i="2"/>
  <c r="O3349" i="2"/>
  <c r="E3349" i="2"/>
  <c r="O3348" i="2"/>
  <c r="E3348" i="2"/>
  <c r="O3347" i="2"/>
  <c r="E3347" i="2"/>
  <c r="O3346" i="2"/>
  <c r="E3346" i="2"/>
  <c r="O3345" i="2"/>
  <c r="E3345" i="2"/>
  <c r="O3344" i="2"/>
  <c r="E3344" i="2"/>
  <c r="O3343" i="2"/>
  <c r="E3343" i="2"/>
  <c r="O3342" i="2"/>
  <c r="E3342" i="2"/>
  <c r="O3341" i="2"/>
  <c r="E3341" i="2"/>
  <c r="O3340" i="2"/>
  <c r="E3340" i="2"/>
  <c r="O3339" i="2"/>
  <c r="E3339" i="2"/>
  <c r="O3338" i="2"/>
  <c r="E3338" i="2"/>
  <c r="O3337" i="2"/>
  <c r="E3337" i="2"/>
  <c r="O3336" i="2"/>
  <c r="E3336" i="2"/>
  <c r="O3335" i="2"/>
  <c r="E3335" i="2"/>
  <c r="O3334" i="2"/>
  <c r="E3334" i="2"/>
  <c r="O3333" i="2"/>
  <c r="E3333" i="2"/>
  <c r="O3332" i="2"/>
  <c r="E3332" i="2"/>
  <c r="E3327" i="2"/>
  <c r="E3326" i="2"/>
  <c r="E3325" i="2"/>
  <c r="E3324" i="2"/>
  <c r="E3323" i="2"/>
  <c r="E3318" i="2"/>
  <c r="E3317" i="2"/>
  <c r="E3316" i="2"/>
  <c r="E3315" i="2"/>
  <c r="E3314" i="2"/>
  <c r="E3313" i="2"/>
  <c r="O3312" i="2"/>
  <c r="E3312" i="2"/>
  <c r="E3311" i="2"/>
  <c r="O3310" i="2"/>
  <c r="E3310" i="2"/>
  <c r="O3309" i="2"/>
  <c r="E3309" i="2"/>
  <c r="E3308" i="2"/>
  <c r="O3307" i="2"/>
  <c r="E3307" i="2"/>
  <c r="K3306" i="2"/>
  <c r="L3306" i="2" s="1"/>
  <c r="M3306" i="2" s="1"/>
  <c r="N3306" i="2" s="1"/>
  <c r="E3306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J3281" i="2"/>
  <c r="E3281" i="2"/>
  <c r="E3280" i="2"/>
  <c r="E3279" i="2"/>
  <c r="E3278" i="2"/>
  <c r="E3277" i="2"/>
  <c r="E3272" i="2"/>
  <c r="E3271" i="2"/>
  <c r="E3270" i="2"/>
  <c r="E3269" i="2"/>
  <c r="E3268" i="2"/>
  <c r="E3267" i="2"/>
  <c r="E3266" i="2"/>
  <c r="E3265" i="2"/>
  <c r="E3264" i="2"/>
  <c r="E3263" i="2"/>
  <c r="E3262" i="2"/>
  <c r="J3261" i="2"/>
  <c r="E3261" i="2"/>
  <c r="J3260" i="2"/>
  <c r="E3260" i="2"/>
  <c r="J3259" i="2"/>
  <c r="E3259" i="2"/>
  <c r="J3258" i="2"/>
  <c r="E3258" i="2"/>
  <c r="J3257" i="2"/>
  <c r="E3257" i="2"/>
  <c r="J3256" i="2"/>
  <c r="E3256" i="2"/>
  <c r="J3255" i="2"/>
  <c r="E3255" i="2"/>
  <c r="E3254" i="2"/>
  <c r="E3253" i="2"/>
  <c r="E3252" i="2"/>
  <c r="E3247" i="2"/>
  <c r="E3246" i="2"/>
  <c r="E3245" i="2"/>
  <c r="E3244" i="2"/>
  <c r="E3243" i="2"/>
  <c r="O3238" i="2"/>
  <c r="E3238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J3217" i="2"/>
  <c r="E3217" i="2"/>
  <c r="J3216" i="2"/>
  <c r="E3216" i="2"/>
  <c r="J3215" i="2"/>
  <c r="E3215" i="2"/>
  <c r="J3214" i="2"/>
  <c r="E3214" i="2"/>
  <c r="J3213" i="2"/>
  <c r="E3213" i="2"/>
  <c r="J3212" i="2"/>
  <c r="E3212" i="2"/>
  <c r="J3211" i="2"/>
  <c r="E3211" i="2"/>
  <c r="J3205" i="2"/>
  <c r="E3205" i="2"/>
  <c r="E3204" i="2"/>
  <c r="E3203" i="2"/>
  <c r="E3202" i="2"/>
  <c r="E3201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1" i="2"/>
  <c r="E3180" i="2"/>
  <c r="E3174" i="2"/>
  <c r="E3173" i="2"/>
  <c r="E3172" i="2"/>
  <c r="E3171" i="2"/>
  <c r="E3166" i="2"/>
  <c r="E3165" i="2"/>
  <c r="E3164" i="2"/>
  <c r="E3163" i="2"/>
  <c r="E3162" i="2"/>
  <c r="E3161" i="2"/>
  <c r="E3160" i="2"/>
  <c r="E3159" i="2"/>
  <c r="E3158" i="2"/>
  <c r="E3157" i="2"/>
  <c r="E3156" i="2"/>
  <c r="E3152" i="2"/>
  <c r="E3151" i="2"/>
  <c r="E3150" i="2"/>
  <c r="E3149" i="2"/>
  <c r="E3148" i="2"/>
  <c r="E3143" i="2"/>
  <c r="E3138" i="2"/>
  <c r="O3137" i="2"/>
  <c r="E3137" i="2"/>
  <c r="O3136" i="2"/>
  <c r="E3136" i="2"/>
  <c r="O3135" i="2"/>
  <c r="E3135" i="2"/>
  <c r="O3134" i="2"/>
  <c r="E3134" i="2"/>
  <c r="O3133" i="2"/>
  <c r="E3133" i="2"/>
  <c r="O3132" i="2"/>
  <c r="E3132" i="2"/>
  <c r="O3131" i="2"/>
  <c r="E3131" i="2"/>
  <c r="O3130" i="2"/>
  <c r="E3130" i="2"/>
  <c r="O3129" i="2"/>
  <c r="E3129" i="2"/>
  <c r="O3128" i="2"/>
  <c r="E3128" i="2"/>
  <c r="O3127" i="2"/>
  <c r="E3127" i="2"/>
  <c r="E3122" i="2"/>
  <c r="E3121" i="2"/>
  <c r="O3120" i="2"/>
  <c r="E3120" i="2"/>
  <c r="O3119" i="2"/>
  <c r="E3119" i="2"/>
  <c r="O3118" i="2"/>
  <c r="E3118" i="2"/>
  <c r="O3117" i="2"/>
  <c r="E3117" i="2"/>
  <c r="O3116" i="2"/>
  <c r="E3116" i="2"/>
  <c r="O3115" i="2"/>
  <c r="E3115" i="2"/>
  <c r="O3114" i="2"/>
  <c r="E3114" i="2"/>
  <c r="O3113" i="2"/>
  <c r="E3113" i="2"/>
  <c r="O3112" i="2"/>
  <c r="E3112" i="2"/>
  <c r="O3111" i="2"/>
  <c r="E3111" i="2"/>
  <c r="E3097" i="2"/>
  <c r="E3096" i="2"/>
  <c r="E3095" i="2"/>
  <c r="E3091" i="2"/>
  <c r="E3090" i="2"/>
  <c r="E3089" i="2"/>
  <c r="E3088" i="2"/>
  <c r="E3087" i="2"/>
  <c r="E3086" i="2"/>
  <c r="E3085" i="2"/>
  <c r="O3084" i="2"/>
  <c r="E3084" i="2"/>
  <c r="O3083" i="2"/>
  <c r="E3083" i="2"/>
  <c r="O3082" i="2"/>
  <c r="E3082" i="2"/>
  <c r="O3081" i="2"/>
  <c r="E3081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57" i="2"/>
  <c r="E3056" i="2"/>
  <c r="E3055" i="2"/>
  <c r="E3054" i="2"/>
  <c r="E3053" i="2"/>
  <c r="E3052" i="2"/>
  <c r="E3051" i="2"/>
  <c r="E3050" i="2"/>
  <c r="E3049" i="2"/>
  <c r="E3048" i="2"/>
  <c r="E3047" i="2"/>
  <c r="E3040" i="2"/>
  <c r="E3034" i="2"/>
  <c r="E3033" i="2"/>
  <c r="E3032" i="2"/>
  <c r="E3031" i="2"/>
  <c r="E3030" i="2"/>
  <c r="E3029" i="2"/>
  <c r="E3028" i="2"/>
  <c r="E3027" i="2"/>
  <c r="E3026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2992" i="2"/>
  <c r="E2991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25" i="2"/>
  <c r="E2924" i="2"/>
  <c r="E2923" i="2"/>
  <c r="E2922" i="2"/>
  <c r="E2921" i="2"/>
  <c r="K2920" i="2"/>
  <c r="E2920" i="2"/>
  <c r="K2919" i="2"/>
  <c r="E2919" i="2"/>
  <c r="K2918" i="2"/>
  <c r="E2918" i="2"/>
  <c r="K2917" i="2"/>
  <c r="E2917" i="2"/>
  <c r="H2748" i="2"/>
  <c r="H2720" i="2"/>
  <c r="H2680" i="2"/>
  <c r="H2679" i="2"/>
  <c r="G2640" i="2"/>
  <c r="J2627" i="2"/>
  <c r="H2596" i="2"/>
  <c r="H2595" i="2"/>
  <c r="H2594" i="2"/>
  <c r="I2506" i="2"/>
  <c r="J2037" i="2"/>
  <c r="K2037" i="2" s="1"/>
  <c r="J2036" i="2"/>
  <c r="K2036" i="2" s="1"/>
  <c r="J2005" i="2"/>
  <c r="K2005" i="2" s="1"/>
  <c r="L2005" i="2" s="1"/>
  <c r="K1993" i="2"/>
  <c r="L1993" i="2" s="1"/>
  <c r="J1990" i="2"/>
  <c r="K1990" i="2" s="1"/>
  <c r="L1990" i="2" s="1"/>
  <c r="J1975" i="2"/>
  <c r="K1975" i="2" s="1"/>
  <c r="L1975" i="2" s="1"/>
  <c r="J1960" i="2"/>
  <c r="K1960" i="2" s="1"/>
  <c r="L1960" i="2" s="1"/>
  <c r="J1902" i="2"/>
  <c r="K1902" i="2" s="1"/>
  <c r="J1900" i="2"/>
  <c r="K1900" i="2" s="1"/>
  <c r="J1870" i="2"/>
  <c r="K1870" i="2" s="1"/>
  <c r="L1870" i="2" s="1"/>
  <c r="G1721" i="2"/>
  <c r="G1692" i="2"/>
  <c r="G1691" i="2"/>
  <c r="G1690" i="2"/>
  <c r="G1606" i="2"/>
  <c r="G1579" i="2"/>
  <c r="G1578" i="2"/>
  <c r="G1577" i="2"/>
  <c r="G1576" i="2"/>
  <c r="G1575" i="2"/>
  <c r="G1574" i="2"/>
  <c r="G1573" i="2"/>
  <c r="G1572" i="2"/>
  <c r="G1571" i="2"/>
  <c r="G1536" i="2"/>
  <c r="G1509" i="2"/>
  <c r="G1508" i="2"/>
  <c r="G1507" i="2"/>
  <c r="G1506" i="2"/>
  <c r="G1491" i="2"/>
  <c r="G1478" i="2"/>
  <c r="G1477" i="2"/>
  <c r="G1476" i="2"/>
  <c r="G1463" i="2"/>
  <c r="G1462" i="2"/>
  <c r="G1461" i="2"/>
  <c r="G1448" i="2"/>
  <c r="G1447" i="2"/>
  <c r="G1446" i="2"/>
  <c r="G1401" i="2"/>
  <c r="G1389" i="2"/>
  <c r="G1388" i="2"/>
  <c r="G1387" i="2"/>
  <c r="G1386" i="2"/>
  <c r="G1361" i="2"/>
  <c r="G1360" i="2"/>
  <c r="G1359" i="2"/>
  <c r="J1358" i="2"/>
  <c r="G1358" i="2"/>
  <c r="J1357" i="2"/>
  <c r="G1357" i="2"/>
  <c r="J1356" i="2"/>
  <c r="G1356" i="2"/>
  <c r="G1330" i="2"/>
  <c r="G1329" i="2"/>
  <c r="G1328" i="2"/>
  <c r="G1327" i="2"/>
  <c r="G1326" i="2"/>
  <c r="G1281" i="2"/>
  <c r="G1224" i="2"/>
  <c r="G1086" i="2"/>
  <c r="H1056" i="2"/>
  <c r="H1041" i="2"/>
  <c r="G1004" i="2"/>
  <c r="G1003" i="2"/>
  <c r="G1002" i="2"/>
  <c r="G1001" i="2"/>
  <c r="G1000" i="2"/>
  <c r="G999" i="2"/>
  <c r="G998" i="2"/>
  <c r="G997" i="2"/>
  <c r="G996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846" i="2"/>
  <c r="J831" i="2"/>
  <c r="J834" i="2" s="1"/>
  <c r="H831" i="2"/>
  <c r="H834" i="2" s="1"/>
  <c r="J788" i="2"/>
  <c r="H788" i="2"/>
  <c r="H791" i="2" s="1"/>
  <c r="I773" i="2"/>
  <c r="I772" i="2"/>
  <c r="J771" i="2"/>
  <c r="H771" i="2"/>
  <c r="J756" i="2"/>
  <c r="H756" i="2"/>
  <c r="J741" i="2"/>
  <c r="H741" i="2"/>
  <c r="H742" i="2" s="1"/>
  <c r="J730" i="2"/>
  <c r="H730" i="2"/>
  <c r="J729" i="2"/>
  <c r="J733" i="2" s="1"/>
  <c r="H729" i="2"/>
  <c r="H733" i="2" s="1"/>
  <c r="J726" i="2"/>
  <c r="H726" i="2"/>
  <c r="H727" i="2" s="1"/>
  <c r="J683" i="2"/>
  <c r="H683" i="2"/>
  <c r="J681" i="2"/>
  <c r="H681" i="2"/>
  <c r="J666" i="2"/>
  <c r="H666" i="2"/>
  <c r="J651" i="2"/>
  <c r="H651" i="2"/>
  <c r="J642" i="2"/>
  <c r="H642" i="2"/>
  <c r="J641" i="2"/>
  <c r="H641" i="2"/>
  <c r="J639" i="2"/>
  <c r="H639" i="2"/>
  <c r="J636" i="2"/>
  <c r="H636" i="2"/>
  <c r="J625" i="2"/>
  <c r="H625" i="2"/>
  <c r="J621" i="2"/>
  <c r="H621" i="2"/>
  <c r="J612" i="2"/>
  <c r="H612" i="2"/>
  <c r="J611" i="2"/>
  <c r="H611" i="2"/>
  <c r="J610" i="2"/>
  <c r="H610" i="2"/>
  <c r="M608" i="2"/>
  <c r="J608" i="2"/>
  <c r="H608" i="2"/>
  <c r="M607" i="2"/>
  <c r="J607" i="2"/>
  <c r="H607" i="2"/>
  <c r="M606" i="2"/>
  <c r="J606" i="2"/>
  <c r="H606" i="2"/>
  <c r="J594" i="2"/>
  <c r="H594" i="2"/>
  <c r="M591" i="2"/>
  <c r="J591" i="2"/>
  <c r="H591" i="2"/>
  <c r="J576" i="2"/>
  <c r="H576" i="2"/>
  <c r="M562" i="2"/>
  <c r="J562" i="2"/>
  <c r="H562" i="2"/>
  <c r="M561" i="2"/>
  <c r="J561" i="2"/>
  <c r="H561" i="2"/>
  <c r="J546" i="2"/>
  <c r="H546" i="2"/>
  <c r="I536" i="2"/>
  <c r="G536" i="2"/>
  <c r="J535" i="2"/>
  <c r="H535" i="2"/>
  <c r="J533" i="2"/>
  <c r="K533" i="2" s="1"/>
  <c r="H533" i="2"/>
  <c r="J531" i="2"/>
  <c r="K531" i="2" s="1"/>
  <c r="H531" i="2"/>
  <c r="J516" i="2"/>
  <c r="H516" i="2"/>
  <c r="J503" i="2"/>
  <c r="H503" i="2"/>
  <c r="J501" i="2"/>
  <c r="H501" i="2"/>
  <c r="J487" i="2"/>
  <c r="H487" i="2"/>
  <c r="J486" i="2"/>
  <c r="H486" i="2"/>
  <c r="J471" i="2"/>
  <c r="H471" i="2"/>
  <c r="I457" i="2"/>
  <c r="I458" i="2" s="1"/>
  <c r="J456" i="2"/>
  <c r="H456" i="2"/>
  <c r="I442" i="2"/>
  <c r="J442" i="2" s="1"/>
  <c r="J441" i="2"/>
  <c r="H441" i="2"/>
  <c r="J426" i="2"/>
  <c r="H426" i="2"/>
  <c r="J413" i="2"/>
  <c r="H413" i="2"/>
  <c r="J412" i="2"/>
  <c r="H412" i="2"/>
  <c r="J411" i="2"/>
  <c r="H411" i="2"/>
  <c r="J399" i="2"/>
  <c r="H399" i="2"/>
  <c r="M397" i="2"/>
  <c r="J397" i="2"/>
  <c r="H397" i="2"/>
  <c r="M396" i="2"/>
  <c r="J396" i="2"/>
  <c r="H396" i="2"/>
  <c r="J381" i="2"/>
  <c r="H381" i="2"/>
  <c r="J370" i="2"/>
  <c r="H370" i="2"/>
  <c r="J369" i="2"/>
  <c r="H369" i="2"/>
  <c r="M368" i="2"/>
  <c r="L368" i="2"/>
  <c r="J368" i="2"/>
  <c r="H368" i="2"/>
  <c r="J367" i="2"/>
  <c r="H367" i="2"/>
  <c r="M366" i="2"/>
  <c r="L366" i="2"/>
  <c r="J366" i="2"/>
  <c r="H366" i="2"/>
  <c r="M353" i="2"/>
  <c r="L353" i="2"/>
  <c r="J353" i="2"/>
  <c r="H353" i="2"/>
  <c r="M352" i="2"/>
  <c r="L352" i="2"/>
  <c r="J352" i="2"/>
  <c r="H352" i="2"/>
  <c r="J351" i="2"/>
  <c r="H351" i="2"/>
  <c r="J336" i="2"/>
  <c r="H336" i="2"/>
  <c r="J321" i="2"/>
  <c r="H321" i="2"/>
  <c r="I309" i="2"/>
  <c r="I310" i="2" s="1"/>
  <c r="I312" i="2" s="1"/>
  <c r="I313" i="2" s="1"/>
  <c r="J307" i="2"/>
  <c r="H307" i="2"/>
  <c r="J306" i="2"/>
  <c r="H306" i="2"/>
  <c r="J296" i="2"/>
  <c r="K296" i="2" s="1"/>
  <c r="L296" i="2" s="1"/>
  <c r="I292" i="2"/>
  <c r="J291" i="2"/>
  <c r="K291" i="2" s="1"/>
  <c r="L291" i="2" s="1"/>
  <c r="J279" i="2"/>
  <c r="H279" i="2"/>
  <c r="J278" i="2"/>
  <c r="H278" i="2"/>
  <c r="J277" i="2"/>
  <c r="H277" i="2"/>
  <c r="J276" i="2"/>
  <c r="H276" i="2"/>
  <c r="I262" i="2"/>
  <c r="J261" i="2"/>
  <c r="H261" i="2"/>
  <c r="J246" i="2"/>
  <c r="H246" i="2"/>
  <c r="L231" i="2"/>
  <c r="L232" i="2" s="1"/>
  <c r="J231" i="2"/>
  <c r="H231" i="2"/>
  <c r="H217" i="2"/>
  <c r="H218" i="2" s="1"/>
  <c r="J216" i="2"/>
  <c r="H216" i="2"/>
  <c r="J202" i="2"/>
  <c r="H202" i="2"/>
  <c r="J201" i="2"/>
  <c r="H201" i="2"/>
  <c r="J189" i="2"/>
  <c r="H189" i="2"/>
  <c r="J186" i="2"/>
  <c r="H186" i="2"/>
  <c r="I173" i="2"/>
  <c r="H173" i="2"/>
  <c r="J171" i="2"/>
  <c r="H171" i="2"/>
  <c r="K156" i="2"/>
  <c r="J156" i="2"/>
  <c r="H156" i="2"/>
  <c r="M148" i="2"/>
  <c r="J148" i="2"/>
  <c r="H148" i="2"/>
  <c r="M147" i="2"/>
  <c r="J147" i="2"/>
  <c r="H147" i="2"/>
  <c r="M146" i="2"/>
  <c r="J146" i="2"/>
  <c r="H146" i="2"/>
  <c r="M145" i="2"/>
  <c r="J145" i="2"/>
  <c r="H145" i="2"/>
  <c r="M144" i="2"/>
  <c r="J144" i="2"/>
  <c r="H144" i="2"/>
  <c r="J141" i="2"/>
  <c r="H141" i="2"/>
  <c r="J140" i="2"/>
  <c r="H140" i="2"/>
  <c r="J139" i="2"/>
  <c r="H139" i="2"/>
  <c r="J126" i="2"/>
  <c r="H126" i="2"/>
  <c r="J125" i="2"/>
  <c r="H125" i="2"/>
  <c r="J124" i="2"/>
  <c r="H124" i="2"/>
  <c r="L110" i="2"/>
  <c r="K110" i="2"/>
  <c r="J110" i="2"/>
  <c r="H110" i="2"/>
  <c r="L109" i="2"/>
  <c r="K109" i="2"/>
  <c r="J109" i="2"/>
  <c r="J112" i="2" s="1"/>
  <c r="H114" i="2" s="1"/>
  <c r="H115" i="2" s="1"/>
  <c r="H109" i="2"/>
  <c r="H112" i="2" s="1"/>
  <c r="J100" i="2"/>
  <c r="H100" i="2"/>
  <c r="J99" i="2"/>
  <c r="H99" i="2"/>
  <c r="J98" i="2"/>
  <c r="H98" i="2"/>
  <c r="J97" i="2"/>
  <c r="H97" i="2"/>
  <c r="J96" i="2"/>
  <c r="H96" i="2"/>
  <c r="J95" i="2"/>
  <c r="H95" i="2"/>
  <c r="J94" i="2"/>
  <c r="H94" i="2"/>
  <c r="L81" i="2"/>
  <c r="K81" i="2"/>
  <c r="J81" i="2"/>
  <c r="H81" i="2"/>
  <c r="L80" i="2"/>
  <c r="K80" i="2"/>
  <c r="J80" i="2"/>
  <c r="J83" i="2" s="1"/>
  <c r="H80" i="2"/>
  <c r="H79" i="2"/>
  <c r="H70" i="2"/>
  <c r="J67" i="2"/>
  <c r="J66" i="2"/>
  <c r="J65" i="2"/>
  <c r="J64" i="2"/>
  <c r="L49" i="2"/>
  <c r="K49" i="2"/>
  <c r="H49" i="2"/>
  <c r="J34" i="2"/>
  <c r="H36" i="2" s="1"/>
  <c r="H37" i="2" s="1"/>
  <c r="H24" i="2"/>
  <c r="L22" i="2"/>
  <c r="J22" i="2"/>
  <c r="L21" i="2"/>
  <c r="J21" i="2"/>
  <c r="L20" i="2"/>
  <c r="J20" i="2"/>
  <c r="L19" i="2"/>
  <c r="J19" i="2"/>
  <c r="H8" i="2"/>
  <c r="J6" i="2"/>
  <c r="J5" i="2"/>
  <c r="J4" i="2"/>
  <c r="E4546" i="1"/>
  <c r="E4545" i="1"/>
  <c r="E4466" i="1"/>
  <c r="E4465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240" i="1"/>
  <c r="E4239" i="1"/>
  <c r="E4238" i="1"/>
  <c r="E4237" i="1"/>
  <c r="E4232" i="1"/>
  <c r="E4173" i="1"/>
  <c r="E4172" i="1"/>
  <c r="E4171" i="1"/>
  <c r="E4167" i="1"/>
  <c r="E4166" i="1"/>
  <c r="E4165" i="1"/>
  <c r="E4164" i="1"/>
  <c r="E4159" i="1"/>
  <c r="E4158" i="1"/>
  <c r="E4157" i="1"/>
  <c r="E4156" i="1"/>
  <c r="E4155" i="1"/>
  <c r="E4154" i="1"/>
  <c r="E4153" i="1"/>
  <c r="E4152" i="1"/>
  <c r="E4151" i="1"/>
  <c r="E4150" i="1"/>
  <c r="E4149" i="1"/>
  <c r="E4144" i="1"/>
  <c r="E4143" i="1"/>
  <c r="E4142" i="1"/>
  <c r="E4141" i="1"/>
  <c r="E4140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089" i="1"/>
  <c r="E4088" i="1"/>
  <c r="E4087" i="1"/>
  <c r="E4086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29" i="1"/>
  <c r="E4028" i="1"/>
  <c r="E4027" i="1"/>
  <c r="E4026" i="1"/>
  <c r="E4025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73" i="1"/>
  <c r="E3972" i="1"/>
  <c r="E3971" i="1"/>
  <c r="E3970" i="1"/>
  <c r="E3954" i="1"/>
  <c r="E3953" i="1"/>
  <c r="E3952" i="1"/>
  <c r="E3951" i="1"/>
  <c r="E3950" i="1"/>
  <c r="E3949" i="1"/>
  <c r="E3948" i="1"/>
  <c r="E3947" i="1"/>
  <c r="E3946" i="1"/>
  <c r="E3935" i="1"/>
  <c r="E3901" i="1"/>
  <c r="E3900" i="1"/>
  <c r="E3899" i="1"/>
  <c r="E3898" i="1"/>
  <c r="E3891" i="1"/>
  <c r="E3873" i="1"/>
  <c r="E3872" i="1"/>
  <c r="E3871" i="1"/>
  <c r="E3824" i="1"/>
  <c r="E3823" i="1"/>
  <c r="E3822" i="1"/>
  <c r="E3821" i="1"/>
  <c r="E3820" i="1"/>
  <c r="E3819" i="1"/>
  <c r="E3818" i="1"/>
  <c r="E3817" i="1"/>
  <c r="E3816" i="1"/>
  <c r="E3815" i="1"/>
  <c r="E3785" i="1"/>
  <c r="E3784" i="1"/>
  <c r="E3783" i="1"/>
  <c r="E3782" i="1"/>
  <c r="E3781" i="1"/>
  <c r="E3780" i="1"/>
  <c r="E3779" i="1"/>
  <c r="E3778" i="1"/>
  <c r="E3758" i="1"/>
  <c r="E3757" i="1"/>
  <c r="E3756" i="1"/>
  <c r="E3751" i="1"/>
  <c r="E3750" i="1"/>
  <c r="E3749" i="1"/>
  <c r="E3732" i="1"/>
  <c r="E3731" i="1"/>
  <c r="E3730" i="1"/>
  <c r="E3729" i="1"/>
  <c r="E3728" i="1"/>
  <c r="E3727" i="1"/>
  <c r="E3726" i="1"/>
  <c r="E3725" i="1"/>
  <c r="E3714" i="1"/>
  <c r="E3713" i="1"/>
  <c r="E3712" i="1"/>
  <c r="E3711" i="1"/>
  <c r="E3710" i="1"/>
  <c r="E3709" i="1"/>
  <c r="E3708" i="1"/>
  <c r="E3707" i="1"/>
  <c r="E3673" i="1"/>
  <c r="E3672" i="1"/>
  <c r="E3671" i="1"/>
  <c r="E3670" i="1"/>
  <c r="E3665" i="1"/>
  <c r="E3664" i="1"/>
  <c r="E3663" i="1"/>
  <c r="E3662" i="1"/>
  <c r="E3661" i="1"/>
  <c r="E3660" i="1"/>
  <c r="E3659" i="1"/>
  <c r="E3654" i="1"/>
  <c r="E3653" i="1"/>
  <c r="E3652" i="1"/>
  <c r="E3651" i="1"/>
  <c r="E3650" i="1"/>
  <c r="E3649" i="1"/>
  <c r="E3648" i="1"/>
  <c r="E3647" i="1"/>
  <c r="E3574" i="1"/>
  <c r="E3573" i="1"/>
  <c r="E3572" i="1"/>
  <c r="E3571" i="1"/>
  <c r="E3570" i="1"/>
  <c r="E3569" i="1"/>
  <c r="E3568" i="1"/>
  <c r="E3567" i="1"/>
  <c r="E3535" i="1"/>
  <c r="E3534" i="1"/>
  <c r="E3533" i="1"/>
  <c r="E3532" i="1"/>
  <c r="E3527" i="1"/>
  <c r="E3526" i="1"/>
  <c r="E3525" i="1"/>
  <c r="E3524" i="1"/>
  <c r="E3523" i="1"/>
  <c r="E3522" i="1"/>
  <c r="E3512" i="1"/>
  <c r="E3511" i="1"/>
  <c r="E3510" i="1"/>
  <c r="E3509" i="1"/>
  <c r="E3460" i="1"/>
  <c r="E3459" i="1"/>
  <c r="E3458" i="1"/>
  <c r="E3457" i="1"/>
  <c r="E3456" i="1"/>
  <c r="E3455" i="1"/>
  <c r="E3435" i="1"/>
  <c r="E3434" i="1"/>
  <c r="E3424" i="1"/>
  <c r="E3423" i="1"/>
  <c r="E3399" i="1"/>
  <c r="E3398" i="1"/>
  <c r="E3397" i="1"/>
  <c r="E3396" i="1"/>
  <c r="E3395" i="1"/>
  <c r="E3394" i="1"/>
  <c r="E3372" i="1"/>
  <c r="E3371" i="1"/>
  <c r="E3370" i="1"/>
  <c r="E3369" i="1"/>
  <c r="E3368" i="1"/>
  <c r="E3367" i="1"/>
  <c r="E3336" i="1"/>
  <c r="E3335" i="1"/>
  <c r="E3334" i="1"/>
  <c r="E3333" i="1"/>
  <c r="E3332" i="1"/>
  <c r="E3331" i="1"/>
  <c r="E3304" i="1"/>
  <c r="E3303" i="1"/>
  <c r="E3302" i="1"/>
  <c r="E3301" i="1"/>
  <c r="E3300" i="1"/>
  <c r="E3299" i="1"/>
  <c r="E3295" i="1"/>
  <c r="E3294" i="1"/>
  <c r="E3293" i="1"/>
  <c r="E3292" i="1"/>
  <c r="E3291" i="1"/>
  <c r="E3290" i="1"/>
  <c r="E3236" i="1"/>
  <c r="E3235" i="1"/>
  <c r="E3234" i="1"/>
  <c r="E3233" i="1"/>
  <c r="E3232" i="1"/>
  <c r="E3231" i="1"/>
  <c r="E3230" i="1"/>
  <c r="E3229" i="1"/>
  <c r="E3203" i="1"/>
  <c r="E3202" i="1"/>
  <c r="E3201" i="1"/>
  <c r="E3200" i="1"/>
  <c r="E3199" i="1"/>
  <c r="E3198" i="1"/>
  <c r="E3197" i="1"/>
  <c r="E3196" i="1"/>
  <c r="E3178" i="1"/>
  <c r="E3177" i="1"/>
  <c r="E3176" i="1"/>
  <c r="E3175" i="1"/>
  <c r="E3174" i="1"/>
  <c r="E3173" i="1"/>
  <c r="E3172" i="1"/>
  <c r="E3171" i="1"/>
  <c r="E3170" i="1"/>
  <c r="E3165" i="1"/>
  <c r="E3164" i="1"/>
  <c r="E3163" i="1"/>
  <c r="E3162" i="1"/>
  <c r="E3161" i="1"/>
  <c r="E3152" i="1"/>
  <c r="E3118" i="1"/>
  <c r="E3117" i="1"/>
  <c r="E3116" i="1"/>
  <c r="E3115" i="1"/>
  <c r="E3114" i="1"/>
  <c r="E3113" i="1"/>
  <c r="E3112" i="1"/>
  <c r="E3111" i="1"/>
  <c r="E3110" i="1"/>
  <c r="E3109" i="1"/>
  <c r="E3108" i="1"/>
  <c r="E3102" i="1"/>
  <c r="E3101" i="1"/>
  <c r="E3100" i="1"/>
  <c r="E3099" i="1"/>
  <c r="E3098" i="1"/>
  <c r="E3072" i="1"/>
  <c r="E3071" i="1"/>
  <c r="E3070" i="1"/>
  <c r="E3069" i="1"/>
  <c r="E3068" i="1"/>
  <c r="E3049" i="1"/>
  <c r="E3048" i="1"/>
  <c r="E3047" i="1"/>
  <c r="E3046" i="1"/>
  <c r="E3045" i="1"/>
  <c r="E3044" i="1"/>
  <c r="E3043" i="1"/>
  <c r="E3042" i="1"/>
  <c r="E3041" i="1"/>
  <c r="E3011" i="1"/>
  <c r="E3010" i="1"/>
  <c r="E3009" i="1"/>
  <c r="E3008" i="1"/>
  <c r="E3007" i="1"/>
  <c r="E2998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61" i="1"/>
  <c r="E2960" i="1"/>
  <c r="E2959" i="1"/>
  <c r="E2958" i="1"/>
  <c r="E2945" i="1"/>
  <c r="E2944" i="1"/>
  <c r="E2943" i="1"/>
  <c r="E2942" i="1"/>
  <c r="E2941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00" i="1"/>
  <c r="E2899" i="1"/>
  <c r="E2898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65" i="1"/>
  <c r="E2864" i="1"/>
  <c r="E2863" i="1"/>
  <c r="E2862" i="1"/>
  <c r="E2861" i="1"/>
  <c r="E2860" i="1"/>
  <c r="E2859" i="1"/>
  <c r="E2852" i="1"/>
  <c r="E2851" i="1"/>
  <c r="E2850" i="1"/>
  <c r="E2849" i="1"/>
  <c r="E2848" i="1"/>
  <c r="E2844" i="1"/>
  <c r="E2843" i="1"/>
  <c r="E2842" i="1"/>
  <c r="E2841" i="1"/>
  <c r="E2840" i="1"/>
  <c r="E2839" i="1"/>
  <c r="E2838" i="1"/>
  <c r="E2837" i="1"/>
  <c r="E2836" i="1"/>
  <c r="E2832" i="1"/>
  <c r="E2831" i="1"/>
  <c r="E2830" i="1"/>
  <c r="J2829" i="1"/>
  <c r="E2829" i="1"/>
  <c r="E2828" i="1"/>
  <c r="E2827" i="1"/>
  <c r="E2826" i="1"/>
  <c r="E2825" i="1"/>
  <c r="E2824" i="1"/>
  <c r="E2819" i="1"/>
  <c r="E2818" i="1"/>
  <c r="E2817" i="1"/>
  <c r="E2816" i="1"/>
  <c r="E2815" i="1"/>
  <c r="E2814" i="1"/>
  <c r="E2813" i="1"/>
  <c r="E2812" i="1"/>
  <c r="E2807" i="1"/>
  <c r="E2806" i="1"/>
  <c r="E2805" i="1"/>
  <c r="E2799" i="1"/>
  <c r="E2798" i="1"/>
  <c r="E2797" i="1"/>
  <c r="E2793" i="1"/>
  <c r="K2792" i="1"/>
  <c r="E2792" i="1"/>
  <c r="K2791" i="1"/>
  <c r="E2791" i="1"/>
  <c r="K2790" i="1"/>
  <c r="E2790" i="1"/>
  <c r="K2789" i="1"/>
  <c r="E2789" i="1"/>
  <c r="K2788" i="1"/>
  <c r="E2788" i="1"/>
  <c r="K2787" i="1"/>
  <c r="E2787" i="1"/>
  <c r="E2781" i="1"/>
  <c r="E2780" i="1"/>
  <c r="E2779" i="1"/>
  <c r="E2778" i="1"/>
  <c r="E2777" i="1"/>
  <c r="E2776" i="1"/>
  <c r="E2772" i="1"/>
  <c r="E2771" i="1"/>
  <c r="E2770" i="1"/>
  <c r="E2769" i="1"/>
  <c r="E2768" i="1"/>
  <c r="E2767" i="1"/>
  <c r="E2766" i="1"/>
  <c r="E2758" i="1"/>
  <c r="E2753" i="1"/>
  <c r="E2752" i="1"/>
  <c r="J2751" i="1"/>
  <c r="E2751" i="1"/>
  <c r="E2750" i="1"/>
  <c r="E2749" i="1"/>
  <c r="E2748" i="1"/>
  <c r="E2747" i="1"/>
  <c r="J2746" i="1"/>
  <c r="E2746" i="1"/>
  <c r="E2745" i="1"/>
  <c r="E2741" i="1"/>
  <c r="E2740" i="1"/>
  <c r="E2739" i="1"/>
  <c r="E2738" i="1"/>
  <c r="E2737" i="1"/>
  <c r="E2736" i="1"/>
  <c r="E2735" i="1"/>
  <c r="J2734" i="1"/>
  <c r="E2734" i="1"/>
  <c r="E2733" i="1"/>
  <c r="E2729" i="1"/>
  <c r="E2728" i="1"/>
  <c r="E2723" i="1"/>
  <c r="E2722" i="1"/>
  <c r="E2721" i="1"/>
  <c r="E2720" i="1"/>
  <c r="E2712" i="1"/>
  <c r="E2711" i="1"/>
  <c r="E2700" i="1"/>
  <c r="E2699" i="1"/>
  <c r="E2698" i="1"/>
  <c r="E2697" i="1"/>
  <c r="E2696" i="1"/>
  <c r="E2695" i="1"/>
  <c r="E2689" i="1"/>
  <c r="E2688" i="1"/>
  <c r="E2687" i="1"/>
  <c r="E2686" i="1"/>
  <c r="E2685" i="1"/>
  <c r="E2684" i="1"/>
  <c r="E2678" i="1"/>
  <c r="E2677" i="1"/>
  <c r="E2676" i="1"/>
  <c r="E2675" i="1"/>
  <c r="E2674" i="1"/>
  <c r="E2673" i="1"/>
  <c r="E2672" i="1"/>
  <c r="E2671" i="1"/>
  <c r="E2670" i="1"/>
  <c r="E2669" i="1"/>
  <c r="E2668" i="1"/>
  <c r="E2661" i="1"/>
  <c r="E2660" i="1"/>
  <c r="E2659" i="1"/>
  <c r="E2615" i="1"/>
  <c r="E2614" i="1"/>
  <c r="E2613" i="1"/>
  <c r="E2590" i="1"/>
  <c r="E2589" i="1"/>
  <c r="E2588" i="1"/>
  <c r="E2587" i="1"/>
  <c r="E2586" i="1"/>
  <c r="E2585" i="1"/>
  <c r="E2584" i="1"/>
  <c r="E2583" i="1"/>
  <c r="E2582" i="1"/>
  <c r="H2456" i="1"/>
  <c r="G2375" i="1"/>
  <c r="G2330" i="1"/>
  <c r="G2327" i="1"/>
  <c r="H2224" i="1"/>
  <c r="H2223" i="1"/>
  <c r="H2218" i="1"/>
  <c r="H2187" i="1"/>
  <c r="H2185" i="1"/>
  <c r="H2142" i="1"/>
  <c r="H2141" i="1"/>
  <c r="H2140" i="1"/>
  <c r="E1799" i="1"/>
  <c r="E1798" i="1"/>
  <c r="E1797" i="1"/>
  <c r="E1796" i="1"/>
  <c r="E1783" i="1"/>
  <c r="E1782" i="1"/>
  <c r="E1781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J1657" i="1"/>
  <c r="K1657" i="1" s="1"/>
  <c r="J1656" i="1"/>
  <c r="K1656" i="1" s="1"/>
  <c r="J1641" i="1"/>
  <c r="K1641" i="1" s="1"/>
  <c r="J1626" i="1"/>
  <c r="K1626" i="1" s="1"/>
  <c r="G1446" i="1"/>
  <c r="G1151" i="1"/>
  <c r="G1150" i="1"/>
  <c r="G1149" i="1"/>
  <c r="G1117" i="1"/>
  <c r="G1108" i="1"/>
  <c r="G1106" i="1"/>
  <c r="G1105" i="1"/>
  <c r="G1077" i="1"/>
  <c r="G1076" i="1"/>
  <c r="G1075" i="1"/>
  <c r="G1074" i="1"/>
  <c r="G1073" i="1"/>
  <c r="G1072" i="1"/>
  <c r="H1044" i="1"/>
  <c r="G997" i="1"/>
  <c r="G915" i="1"/>
  <c r="G914" i="1"/>
  <c r="G879" i="1"/>
  <c r="G878" i="1"/>
  <c r="J785" i="1"/>
  <c r="H785" i="1"/>
  <c r="H769" i="1"/>
  <c r="G756" i="1"/>
  <c r="J754" i="1"/>
  <c r="H754" i="1"/>
  <c r="G724" i="1"/>
  <c r="J717" i="1"/>
  <c r="H717" i="1"/>
  <c r="G680" i="1"/>
  <c r="J678" i="1"/>
  <c r="H678" i="1"/>
  <c r="J643" i="1"/>
  <c r="H643" i="1"/>
  <c r="J639" i="1"/>
  <c r="H639" i="1"/>
  <c r="J622" i="1"/>
  <c r="H622" i="1"/>
  <c r="H624" i="1" s="1"/>
  <c r="J573" i="1"/>
  <c r="H573" i="1"/>
  <c r="H574" i="1" s="1"/>
  <c r="J558" i="1"/>
  <c r="H558" i="1"/>
  <c r="J551" i="1"/>
  <c r="J552" i="1" s="1"/>
  <c r="H551" i="1"/>
  <c r="H552" i="1" s="1"/>
  <c r="G544" i="1"/>
  <c r="J543" i="1"/>
  <c r="H543" i="1"/>
  <c r="J528" i="1"/>
  <c r="H528" i="1"/>
  <c r="H514" i="1"/>
  <c r="J513" i="1"/>
  <c r="H513" i="1"/>
  <c r="J498" i="1"/>
  <c r="H498" i="1"/>
  <c r="J483" i="1"/>
  <c r="H483" i="1"/>
  <c r="J468" i="1"/>
  <c r="K468" i="1" s="1"/>
  <c r="L468" i="1" s="1"/>
  <c r="J456" i="1"/>
  <c r="H456" i="1"/>
  <c r="J455" i="1"/>
  <c r="H455" i="1"/>
  <c r="K453" i="1"/>
  <c r="L453" i="1" s="1"/>
  <c r="J440" i="1"/>
  <c r="H440" i="1"/>
  <c r="J438" i="1"/>
  <c r="H438" i="1"/>
  <c r="G424" i="1"/>
  <c r="J423" i="1"/>
  <c r="H423" i="1"/>
  <c r="G409" i="1"/>
  <c r="J408" i="1"/>
  <c r="H408" i="1"/>
  <c r="J396" i="1"/>
  <c r="K396" i="1" s="1"/>
  <c r="H396" i="1"/>
  <c r="J393" i="1"/>
  <c r="K393" i="1" s="1"/>
  <c r="H393" i="1"/>
  <c r="J378" i="1"/>
  <c r="H378" i="1"/>
  <c r="G364" i="1"/>
  <c r="J363" i="1"/>
  <c r="H363" i="1"/>
  <c r="J350" i="1"/>
  <c r="H350" i="1"/>
  <c r="J348" i="1"/>
  <c r="H348" i="1"/>
  <c r="G335" i="1"/>
  <c r="G336" i="1" s="1"/>
  <c r="J334" i="1"/>
  <c r="K334" i="1" s="1"/>
  <c r="L334" i="1" s="1"/>
  <c r="H334" i="1"/>
  <c r="J323" i="1"/>
  <c r="H323" i="1"/>
  <c r="J321" i="1"/>
  <c r="K321" i="1" s="1"/>
  <c r="L321" i="1" s="1"/>
  <c r="J319" i="1"/>
  <c r="H319" i="1"/>
  <c r="J304" i="1"/>
  <c r="J306" i="1" s="1"/>
  <c r="J307" i="1" s="1"/>
  <c r="J290" i="1"/>
  <c r="K290" i="1" s="1"/>
  <c r="H290" i="1"/>
  <c r="J289" i="1"/>
  <c r="H289" i="1"/>
  <c r="G278" i="1"/>
  <c r="G277" i="1"/>
  <c r="J275" i="1"/>
  <c r="H275" i="1"/>
  <c r="J274" i="1"/>
  <c r="H274" i="1"/>
  <c r="J259" i="1"/>
  <c r="H259" i="1"/>
  <c r="J244" i="1"/>
  <c r="K244" i="1" s="1"/>
  <c r="L244" i="1" s="1"/>
  <c r="H244" i="1"/>
  <c r="J230" i="1"/>
  <c r="H230" i="1"/>
  <c r="J229" i="1"/>
  <c r="H229" i="1"/>
  <c r="H216" i="1"/>
  <c r="K216" i="1" s="1"/>
  <c r="L216" i="1" s="1"/>
  <c r="J214" i="1"/>
  <c r="H214" i="1"/>
  <c r="J199" i="1"/>
  <c r="H199" i="1"/>
  <c r="G188" i="1"/>
  <c r="K186" i="1"/>
  <c r="L186" i="1" s="1"/>
  <c r="J185" i="1"/>
  <c r="H185" i="1"/>
  <c r="J184" i="1"/>
  <c r="H184" i="1"/>
  <c r="K169" i="1"/>
  <c r="K170" i="1" s="1"/>
  <c r="J169" i="1"/>
  <c r="H169" i="1"/>
  <c r="H171" i="1" s="1"/>
  <c r="H172" i="1" s="1"/>
  <c r="J156" i="1"/>
  <c r="H156" i="1"/>
  <c r="J154" i="1"/>
  <c r="K154" i="1" s="1"/>
  <c r="L154" i="1" s="1"/>
  <c r="M154" i="1" s="1"/>
  <c r="J139" i="1"/>
  <c r="H139" i="1"/>
  <c r="J124" i="1"/>
  <c r="H124" i="1"/>
  <c r="J111" i="1"/>
  <c r="H111" i="1"/>
  <c r="J110" i="1"/>
  <c r="H110" i="1"/>
  <c r="J109" i="1"/>
  <c r="H109" i="1"/>
  <c r="J96" i="1"/>
  <c r="H96" i="1"/>
  <c r="J95" i="1"/>
  <c r="H95" i="1"/>
  <c r="J94" i="1"/>
  <c r="H94" i="1"/>
  <c r="J81" i="1"/>
  <c r="H81" i="1"/>
  <c r="J80" i="1"/>
  <c r="H80" i="1"/>
  <c r="J79" i="1"/>
  <c r="H79" i="1"/>
  <c r="L66" i="1"/>
  <c r="K66" i="1"/>
  <c r="J66" i="1"/>
  <c r="H66" i="1"/>
  <c r="L65" i="1"/>
  <c r="K65" i="1"/>
  <c r="J65" i="1"/>
  <c r="H65" i="1"/>
  <c r="L64" i="1"/>
  <c r="K64" i="1"/>
  <c r="J64" i="1"/>
  <c r="J68" i="1" s="1"/>
  <c r="H64" i="1"/>
  <c r="H68" i="1" s="1"/>
  <c r="J49" i="1"/>
  <c r="H49" i="1"/>
  <c r="J36" i="1"/>
  <c r="H36" i="1"/>
  <c r="J35" i="1"/>
  <c r="H35" i="1"/>
  <c r="L34" i="1"/>
  <c r="J34" i="1"/>
  <c r="J39" i="1" s="1"/>
  <c r="H34" i="1"/>
  <c r="H39" i="1" s="1"/>
  <c r="J19" i="1"/>
  <c r="H19" i="1"/>
  <c r="H8" i="1"/>
  <c r="L6" i="1"/>
  <c r="J6" i="1"/>
  <c r="L5" i="1"/>
  <c r="J5" i="1"/>
  <c r="L4" i="1"/>
  <c r="J4" i="1"/>
  <c r="H114" i="1" l="1"/>
  <c r="K413" i="2"/>
  <c r="L413" i="2" s="1"/>
  <c r="K3255" i="2"/>
  <c r="L3255" i="2" s="1"/>
  <c r="H190" i="3"/>
  <c r="H156" i="3"/>
  <c r="K289" i="3"/>
  <c r="L289" i="3" s="1"/>
  <c r="H306" i="3"/>
  <c r="H307" i="3" s="1"/>
  <c r="K394" i="3"/>
  <c r="L394" i="3" s="1"/>
  <c r="J608" i="3"/>
  <c r="J97" i="3"/>
  <c r="H114" i="3"/>
  <c r="H115" i="3" s="1"/>
  <c r="K214" i="3"/>
  <c r="K215" i="3" s="1"/>
  <c r="J252" i="3"/>
  <c r="J454" i="3"/>
  <c r="K499" i="3"/>
  <c r="L499" i="3" s="1"/>
  <c r="K514" i="3"/>
  <c r="L514" i="3" s="1"/>
  <c r="K544" i="3"/>
  <c r="L544" i="3" s="1"/>
  <c r="L1302" i="3"/>
  <c r="M1302" i="3" s="1"/>
  <c r="N1302" i="3" s="1"/>
  <c r="L471" i="3"/>
  <c r="J7" i="3"/>
  <c r="H9" i="3" s="1"/>
  <c r="H10" i="3" s="1"/>
  <c r="H69" i="3"/>
  <c r="H71" i="3" s="1"/>
  <c r="H72" i="3" s="1"/>
  <c r="H128" i="3"/>
  <c r="H130" i="3" s="1"/>
  <c r="H131" i="3" s="1"/>
  <c r="H188" i="3"/>
  <c r="H252" i="3"/>
  <c r="K559" i="3"/>
  <c r="L559" i="3" s="1"/>
  <c r="J83" i="1"/>
  <c r="G20" i="1"/>
  <c r="G21" i="1" s="1"/>
  <c r="K144" i="2"/>
  <c r="K146" i="2"/>
  <c r="L146" i="2" s="1"/>
  <c r="K186" i="2"/>
  <c r="L186" i="2" s="1"/>
  <c r="K441" i="2"/>
  <c r="L441" i="2" s="1"/>
  <c r="K486" i="2"/>
  <c r="L486" i="2" s="1"/>
  <c r="K607" i="2"/>
  <c r="L607" i="2" s="1"/>
  <c r="K621" i="2"/>
  <c r="L621" i="2" s="1"/>
  <c r="K681" i="2"/>
  <c r="L681" i="2" s="1"/>
  <c r="K730" i="2"/>
  <c r="L171" i="2"/>
  <c r="L172" i="2" s="1"/>
  <c r="K216" i="2"/>
  <c r="K217" i="2" s="1"/>
  <c r="K148" i="2"/>
  <c r="L148" i="2" s="1"/>
  <c r="K487" i="2"/>
  <c r="L487" i="2" s="1"/>
  <c r="K610" i="2"/>
  <c r="L610" i="2" s="1"/>
  <c r="K625" i="2"/>
  <c r="L625" i="2" s="1"/>
  <c r="K639" i="2"/>
  <c r="L639" i="2" s="1"/>
  <c r="K642" i="2"/>
  <c r="L642" i="2" s="1"/>
  <c r="L1900" i="2"/>
  <c r="M1900" i="2" s="1"/>
  <c r="K771" i="2"/>
  <c r="L771" i="2" s="1"/>
  <c r="H248" i="2"/>
  <c r="H249" i="2" s="1"/>
  <c r="H250" i="2" s="1"/>
  <c r="J609" i="3"/>
  <c r="J610" i="3" s="1"/>
  <c r="H99" i="3"/>
  <c r="H100" i="3" s="1"/>
  <c r="J455" i="3"/>
  <c r="J456" i="3" s="1"/>
  <c r="J562" i="3"/>
  <c r="N278" i="3"/>
  <c r="M278" i="3"/>
  <c r="J217" i="3"/>
  <c r="H219" i="3" s="1"/>
  <c r="H220" i="3" s="1"/>
  <c r="K353" i="2"/>
  <c r="K717" i="1"/>
  <c r="K718" i="1" s="1"/>
  <c r="K543" i="1"/>
  <c r="L543" i="1" s="1"/>
  <c r="K2734" i="1"/>
  <c r="L2734" i="1" s="1"/>
  <c r="K426" i="2"/>
  <c r="L426" i="2" s="1"/>
  <c r="K606" i="2"/>
  <c r="L606" i="2" s="1"/>
  <c r="J8" i="2"/>
  <c r="H10" i="2" s="1"/>
  <c r="J102" i="2"/>
  <c r="H142" i="2"/>
  <c r="H143" i="2" s="1"/>
  <c r="J204" i="2"/>
  <c r="K471" i="2"/>
  <c r="L471" i="2" s="1"/>
  <c r="J24" i="2"/>
  <c r="H26" i="2" s="1"/>
  <c r="K561" i="2"/>
  <c r="L561" i="2" s="1"/>
  <c r="K788" i="2"/>
  <c r="L788" i="2" s="1"/>
  <c r="K562" i="2"/>
  <c r="L562" i="2" s="1"/>
  <c r="H234" i="2"/>
  <c r="H235" i="2" s="1"/>
  <c r="K276" i="2"/>
  <c r="L276" i="2" s="1"/>
  <c r="M276" i="2" s="1"/>
  <c r="K278" i="2"/>
  <c r="L278" i="2" s="1"/>
  <c r="K321" i="2"/>
  <c r="L321" i="2" s="1"/>
  <c r="M367" i="2"/>
  <c r="K368" i="2"/>
  <c r="K399" i="2"/>
  <c r="L399" i="2" s="1"/>
  <c r="K412" i="2"/>
  <c r="L412" i="2" s="1"/>
  <c r="K756" i="2"/>
  <c r="L756" i="2" s="1"/>
  <c r="K397" i="2"/>
  <c r="L397" i="2" s="1"/>
  <c r="K367" i="2"/>
  <c r="M369" i="2"/>
  <c r="K370" i="2"/>
  <c r="K396" i="2"/>
  <c r="L396" i="2" s="1"/>
  <c r="K411" i="2"/>
  <c r="L411" i="2" s="1"/>
  <c r="K503" i="2"/>
  <c r="L503" i="2" s="1"/>
  <c r="K535" i="2"/>
  <c r="L535" i="2" s="1"/>
  <c r="K576" i="2"/>
  <c r="L576" i="2" s="1"/>
  <c r="J150" i="2"/>
  <c r="H159" i="2"/>
  <c r="H160" i="2" s="1"/>
  <c r="H263" i="2"/>
  <c r="H264" i="2" s="1"/>
  <c r="K307" i="2"/>
  <c r="L307" i="2" s="1"/>
  <c r="M307" i="2" s="1"/>
  <c r="K456" i="2"/>
  <c r="L456" i="2" s="1"/>
  <c r="K501" i="2"/>
  <c r="L501" i="2" s="1"/>
  <c r="L505" i="2" s="1"/>
  <c r="K516" i="2"/>
  <c r="L516" i="2" s="1"/>
  <c r="K594" i="2"/>
  <c r="L594" i="2" s="1"/>
  <c r="K612" i="2"/>
  <c r="L612" i="2" s="1"/>
  <c r="K666" i="2"/>
  <c r="L666" i="2" s="1"/>
  <c r="K683" i="2"/>
  <c r="L683" i="2" s="1"/>
  <c r="H102" i="2"/>
  <c r="H128" i="2"/>
  <c r="K147" i="2"/>
  <c r="L147" i="2" s="1"/>
  <c r="K189" i="2"/>
  <c r="L189" i="2" s="1"/>
  <c r="K277" i="2"/>
  <c r="L277" i="2" s="1"/>
  <c r="K279" i="2"/>
  <c r="L279" i="2" s="1"/>
  <c r="K336" i="2"/>
  <c r="K337" i="2" s="1"/>
  <c r="K352" i="2"/>
  <c r="K366" i="2"/>
  <c r="K369" i="2"/>
  <c r="K381" i="2"/>
  <c r="L381" i="2" s="1"/>
  <c r="K546" i="2"/>
  <c r="L546" i="2" s="1"/>
  <c r="K591" i="2"/>
  <c r="L591" i="2" s="1"/>
  <c r="K608" i="2"/>
  <c r="L608" i="2" s="1"/>
  <c r="K611" i="2"/>
  <c r="L611" i="2" s="1"/>
  <c r="K636" i="2"/>
  <c r="L636" i="2" s="1"/>
  <c r="K641" i="2"/>
  <c r="L641" i="2" s="1"/>
  <c r="K651" i="2"/>
  <c r="L651" i="2" s="1"/>
  <c r="K729" i="2"/>
  <c r="K741" i="2"/>
  <c r="L741" i="2" s="1"/>
  <c r="L3364" i="2"/>
  <c r="M3364" i="2" s="1"/>
  <c r="J70" i="2"/>
  <c r="H83" i="2"/>
  <c r="J128" i="2"/>
  <c r="H150" i="2"/>
  <c r="H204" i="2"/>
  <c r="M291" i="2"/>
  <c r="M292" i="2" s="1"/>
  <c r="K306" i="2"/>
  <c r="L306" i="2" s="1"/>
  <c r="K351" i="2"/>
  <c r="J355" i="2" s="1"/>
  <c r="J356" i="2" s="1"/>
  <c r="K534" i="2"/>
  <c r="K726" i="2"/>
  <c r="L726" i="2" s="1"/>
  <c r="K831" i="2"/>
  <c r="L831" i="2" s="1"/>
  <c r="L3211" i="2"/>
  <c r="L3212" i="2" s="1"/>
  <c r="L489" i="2"/>
  <c r="H84" i="2"/>
  <c r="H85" i="2" s="1"/>
  <c r="K2038" i="2"/>
  <c r="L2038" i="2" s="1"/>
  <c r="L144" i="2"/>
  <c r="K145" i="2"/>
  <c r="L145" i="2" s="1"/>
  <c r="J727" i="2"/>
  <c r="J742" i="2"/>
  <c r="J791" i="2"/>
  <c r="M231" i="2"/>
  <c r="K110" i="1"/>
  <c r="L110" i="1" s="1"/>
  <c r="K274" i="1"/>
  <c r="K230" i="1"/>
  <c r="K378" i="1"/>
  <c r="L378" i="1" s="1"/>
  <c r="K498" i="1"/>
  <c r="L498" i="1" s="1"/>
  <c r="K348" i="1"/>
  <c r="L348" i="1" s="1"/>
  <c r="K363" i="1"/>
  <c r="L363" i="1" s="1"/>
  <c r="H51" i="1"/>
  <c r="H52" i="1" s="1"/>
  <c r="H98" i="1"/>
  <c r="K214" i="1"/>
  <c r="L214" i="1" s="1"/>
  <c r="K423" i="1"/>
  <c r="L423" i="1" s="1"/>
  <c r="K528" i="1"/>
  <c r="L528" i="1" s="1"/>
  <c r="K754" i="1"/>
  <c r="K755" i="1" s="1"/>
  <c r="J8" i="1"/>
  <c r="G10" i="1" s="1"/>
  <c r="G11" i="1" s="1"/>
  <c r="H40" i="1"/>
  <c r="K275" i="1"/>
  <c r="K277" i="1" s="1"/>
  <c r="K278" i="1" s="1"/>
  <c r="K408" i="1"/>
  <c r="L408" i="1" s="1"/>
  <c r="K440" i="1"/>
  <c r="K573" i="1"/>
  <c r="L573" i="1" s="1"/>
  <c r="K156" i="1"/>
  <c r="L156" i="1" s="1"/>
  <c r="K643" i="1"/>
  <c r="L643" i="1" s="1"/>
  <c r="K111" i="1"/>
  <c r="L111" i="1" s="1"/>
  <c r="K185" i="1"/>
  <c r="L185" i="1" s="1"/>
  <c r="K259" i="1"/>
  <c r="J261" i="1" s="1"/>
  <c r="J40" i="1"/>
  <c r="H83" i="1"/>
  <c r="J98" i="1"/>
  <c r="K229" i="1"/>
  <c r="K289" i="1"/>
  <c r="H293" i="1" s="1"/>
  <c r="H294" i="1" s="1"/>
  <c r="K323" i="1"/>
  <c r="L323" i="1" s="1"/>
  <c r="K350" i="1"/>
  <c r="L350" i="1" s="1"/>
  <c r="K438" i="1"/>
  <c r="K483" i="1"/>
  <c r="K484" i="1" s="1"/>
  <c r="K513" i="1"/>
  <c r="L513" i="1" s="1"/>
  <c r="K558" i="1"/>
  <c r="L558" i="1" s="1"/>
  <c r="K622" i="1"/>
  <c r="L622" i="1" s="1"/>
  <c r="K785" i="1"/>
  <c r="L785" i="1" s="1"/>
  <c r="H85" i="1"/>
  <c r="H86" i="1" s="1"/>
  <c r="K109" i="1"/>
  <c r="L109" i="1" s="1"/>
  <c r="H141" i="1"/>
  <c r="H142" i="1" s="1"/>
  <c r="K199" i="1"/>
  <c r="L199" i="1" s="1"/>
  <c r="K455" i="1"/>
  <c r="L455" i="1" s="1"/>
  <c r="K124" i="1"/>
  <c r="L124" i="1" s="1"/>
  <c r="K184" i="1"/>
  <c r="L184" i="1" s="1"/>
  <c r="K319" i="1"/>
  <c r="L319" i="1" s="1"/>
  <c r="K456" i="1"/>
  <c r="L456" i="1" s="1"/>
  <c r="K639" i="1"/>
  <c r="L639" i="1" s="1"/>
  <c r="K678" i="1"/>
  <c r="K679" i="1" s="1"/>
  <c r="M2787" i="1"/>
  <c r="M2788" i="1" s="1"/>
  <c r="M2789" i="1" s="1"/>
  <c r="H42" i="1"/>
  <c r="H43" i="1" s="1"/>
  <c r="H70" i="1"/>
  <c r="K397" i="1"/>
  <c r="J624" i="1"/>
  <c r="K551" i="1"/>
  <c r="L551" i="1" s="1"/>
  <c r="J114" i="1"/>
  <c r="K114" i="1" s="1"/>
  <c r="J574" i="1"/>
  <c r="H232" i="1" l="1"/>
  <c r="H233" i="1" s="1"/>
  <c r="K355" i="2"/>
  <c r="K356" i="2" s="1"/>
  <c r="H130" i="2"/>
  <c r="H131" i="2" s="1"/>
  <c r="K731" i="2"/>
  <c r="L731" i="2" s="1"/>
  <c r="H206" i="2"/>
  <c r="H207" i="2" s="1"/>
  <c r="K372" i="2"/>
  <c r="K373" i="2" s="1"/>
  <c r="H104" i="2"/>
  <c r="H105" i="2" s="1"/>
  <c r="L563" i="2"/>
  <c r="H100" i="1"/>
  <c r="H101" i="1" s="1"/>
  <c r="N291" i="2"/>
  <c r="K150" i="2"/>
  <c r="L458" i="1"/>
  <c r="L114" i="1"/>
  <c r="H44" i="1"/>
  <c r="H45" i="1" s="1"/>
  <c r="M185" i="1"/>
  <c r="N185" i="1" s="1"/>
  <c r="K442" i="1"/>
  <c r="L442" i="1" s="1"/>
  <c r="E6233" i="2" l="1"/>
</calcChain>
</file>

<file path=xl/comments1.xml><?xml version="1.0" encoding="utf-8"?>
<comments xmlns="http://schemas.openxmlformats.org/spreadsheetml/2006/main">
  <authors>
    <author>User</author>
  </authors>
  <commentList>
    <comment ref="G348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февраль 148 
март 196
апрель 100
май 226
890 июнь</t>
        </r>
      </text>
    </comment>
    <comment ref="G350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февраль 484
март 637
апрель 574
май 1082
3июнь 3602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G454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966 март</t>
        </r>
      </text>
    </comment>
  </commentList>
</comments>
</file>

<file path=xl/sharedStrings.xml><?xml version="1.0" encoding="utf-8"?>
<sst xmlns="http://schemas.openxmlformats.org/spreadsheetml/2006/main" count="31874" uniqueCount="4058">
  <si>
    <t>Дата</t>
  </si>
  <si>
    <t>Контрагент</t>
  </si>
  <si>
    <t>Ассортимент</t>
  </si>
  <si>
    <t>Тип цен</t>
  </si>
  <si>
    <t>Скидка</t>
  </si>
  <si>
    <t>Согласованная цена</t>
  </si>
  <si>
    <t>Златка</t>
  </si>
  <si>
    <t>Белскор</t>
  </si>
  <si>
    <t>Еврохаус</t>
  </si>
  <si>
    <t>Дива-торг</t>
  </si>
  <si>
    <t xml:space="preserve">Губка кухонная Бонус 5шт </t>
  </si>
  <si>
    <t>Салфетки для уборки вискозные Бонус 3шт</t>
  </si>
  <si>
    <t>Пакеты п/э для мусора БОНУС 45х55/35л 50шт (в ассортименте)</t>
  </si>
  <si>
    <t>5_21</t>
  </si>
  <si>
    <t>01.03.2013 - 31.03.2013</t>
  </si>
  <si>
    <t>Постторг</t>
  </si>
  <si>
    <t>BELLA PERFECTA ULTRA ROSE DEO FRESH 10+2 (Украина)</t>
  </si>
  <si>
    <t>BELLA PERFECTA ULTRA VIOLET DEO FRESH 10+2 (Украина)</t>
  </si>
  <si>
    <t>BELLA PERFECTA ULTRA BLUE 10+2 (Украина)</t>
  </si>
  <si>
    <t>BELLA PERFECTA ULTRA GREEN 10+2 (Украина)</t>
  </si>
  <si>
    <t>4_14</t>
  </si>
  <si>
    <t>ООО "Эрнис"</t>
  </si>
  <si>
    <t xml:space="preserve">  Салфетки для уборки вискозные Бонус 10 (20)</t>
  </si>
  <si>
    <t xml:space="preserve">  Пакеты для мусора 45х55/35л 50 (синие) (50)</t>
  </si>
  <si>
    <t xml:space="preserve">  Пакеты для мусора 45х55/35л 50 (черные) (50)</t>
  </si>
  <si>
    <t>06.03.13-25.03.13</t>
  </si>
  <si>
    <t>ОДО "Виталюр"</t>
  </si>
  <si>
    <t>Bella For Teens Ultra Energy deo 10 (30)</t>
  </si>
  <si>
    <t>Bella For Teens Ultra Relax deo 10 (30)</t>
  </si>
  <si>
    <t>Bella For Teens Ultra Sensitive 10 (30)</t>
  </si>
  <si>
    <t>2_предоплата</t>
  </si>
  <si>
    <t>01.03.13-12.03.13</t>
  </si>
  <si>
    <t>ООО "Алсем"</t>
  </si>
  <si>
    <t>ООО "Торгпин"</t>
  </si>
  <si>
    <t>ОДО "Закрама на Партизанском"</t>
  </si>
  <si>
    <t>ООО "Карст"</t>
  </si>
  <si>
    <t>ОАО "Брест-Юбилейный"</t>
  </si>
  <si>
    <t>ООО "Витист"</t>
  </si>
  <si>
    <t>ЗАО "Юнифуд"</t>
  </si>
  <si>
    <t>05.03.13 - 26.03.13</t>
  </si>
  <si>
    <t>Bella Panty Soft 20 (30) (РФ)</t>
  </si>
  <si>
    <t>Bella Panty Soft Air  20 (30)</t>
  </si>
  <si>
    <t xml:space="preserve"> г.Гродно, пр-т Космонавтов 81/1</t>
  </si>
  <si>
    <t>г.Борисов, ул.Гагарина 48</t>
  </si>
  <si>
    <t>г.Гомель, ул.Сухого,2</t>
  </si>
  <si>
    <t>г.Пинск, ул.Центральная, 23</t>
  </si>
  <si>
    <t>г.Гомель, ул.Мазурова 79</t>
  </si>
  <si>
    <t>г.Брест, ул.Московская 328</t>
  </si>
  <si>
    <t>27.02.13-31.03.13</t>
  </si>
  <si>
    <t>ПросторМаркет</t>
  </si>
  <si>
    <t>Простор-Трейд</t>
  </si>
  <si>
    <t>Bella Perfecta Ultra Rose Deo fresh extra soft 10+2, (30) (У)</t>
  </si>
  <si>
    <t>Bella Perfecta Ultra Violet Deo fresh silky drai 10+2, (30) (У)</t>
  </si>
  <si>
    <t>Bella Cotton  80+30%, подушечки косм. круглые (35)  (РФ)</t>
  </si>
  <si>
    <t>1_опт</t>
  </si>
  <si>
    <t>Баниар</t>
  </si>
  <si>
    <t>Салфетки для уборки вискозные Бонус 10шт</t>
  </si>
  <si>
    <t>Пергамент для выпечки Бонус 5м</t>
  </si>
  <si>
    <t>Пленка пищевая полиэтиленовая Бонус 20м</t>
  </si>
  <si>
    <t>Фольга алюминиевая Бонус 5м</t>
  </si>
  <si>
    <t>Влажные салфетки SUPER FRESH для детей и мам 60</t>
  </si>
  <si>
    <t>Прокладки женские гигиенические ежедневные BELLA PANTY SOFT 20</t>
  </si>
  <si>
    <t>Прокладки женские гигиенические впитывающие BELLA CLASSIC NOVA DRAINETTE 10</t>
  </si>
  <si>
    <t>12.03.2013 - 10.04.2013</t>
  </si>
  <si>
    <t>18.03.2013 - 10.04.2013</t>
  </si>
  <si>
    <t>СООО "Златка"</t>
  </si>
  <si>
    <t>27.02.2013 - 19.03.2013</t>
  </si>
  <si>
    <t>с 18.03 по 09.04</t>
  </si>
  <si>
    <t>Bella Perfecta Ultra Blue extra soft 10+2, (30) (У)</t>
  </si>
  <si>
    <t>Bella Perfecta Ultra Green silky drai 10+2, (30) (У)</t>
  </si>
  <si>
    <t>4_14 кд</t>
  </si>
  <si>
    <t>Happy Junior 58, (12-25 кг),  (4)_</t>
  </si>
  <si>
    <t>Happy Maxi Plus 62, (9-20 кг),  (4)_</t>
  </si>
  <si>
    <t>Happy Midi 82 (5-9 кг),  (4)_</t>
  </si>
  <si>
    <t>Happy Maxi 70 (8-18 кг), (4)_</t>
  </si>
  <si>
    <t>13.02.13-13.03.13</t>
  </si>
  <si>
    <t>ШТУК</t>
  </si>
  <si>
    <t>Оборот</t>
  </si>
  <si>
    <t>Цена без скидки</t>
  </si>
  <si>
    <t>Оборот без скидки</t>
  </si>
  <si>
    <t>потери без НДС</t>
  </si>
  <si>
    <t>потери с НДС</t>
  </si>
  <si>
    <t>с 22.03.13 по 15.04.13</t>
  </si>
  <si>
    <t>Сеть</t>
  </si>
  <si>
    <t>Сроки</t>
  </si>
  <si>
    <t>Номенклатура</t>
  </si>
  <si>
    <t>Оборот без НДС</t>
  </si>
  <si>
    <t>Оборот без НДС без скидки</t>
  </si>
  <si>
    <t>Потери без НДС</t>
  </si>
  <si>
    <t>Потери с НДС</t>
  </si>
  <si>
    <t>Менеджер</t>
  </si>
  <si>
    <t xml:space="preserve">Златка </t>
  </si>
  <si>
    <t>Райский</t>
  </si>
  <si>
    <t>Губка/Салфетка/Пакеты</t>
  </si>
  <si>
    <t>К компенсации поставщиком</t>
  </si>
  <si>
    <t>Эрнис</t>
  </si>
  <si>
    <t>Зенько</t>
  </si>
  <si>
    <t>Салфетки/пакеты</t>
  </si>
  <si>
    <t>Виталюр</t>
  </si>
  <si>
    <t>For Teens 10</t>
  </si>
  <si>
    <t>Торгпин</t>
  </si>
  <si>
    <t>27.02.13-19.03.13</t>
  </si>
  <si>
    <t>Поставщик</t>
  </si>
  <si>
    <t>KPD</t>
  </si>
  <si>
    <t>TZMO</t>
  </si>
  <si>
    <t>25.03.13-29.04.13</t>
  </si>
  <si>
    <t>ГРИНрозница ООО (г. Минск)</t>
  </si>
  <si>
    <t>Bella Panty Soft 50+10 (12) (РФ)</t>
  </si>
  <si>
    <t>Bella Panty Soft Air 50+10 (12)</t>
  </si>
  <si>
    <t>ТОргпин</t>
  </si>
  <si>
    <t>Panty Soft 20</t>
  </si>
  <si>
    <t>27.03.13-29.04.13</t>
  </si>
  <si>
    <t>4/14</t>
  </si>
  <si>
    <t xml:space="preserve"> Pufies Fashion Collection Maxi 66 (7-18 кг), (2)</t>
  </si>
  <si>
    <t>БАНИАР СООО (г. Минск)</t>
  </si>
  <si>
    <t>ПросторМаркет СЗАО (г. Минск)</t>
  </si>
  <si>
    <t>Простор-Трейд СЗАО (г. Минск)</t>
  </si>
  <si>
    <t>Bella Panty Soft Deo Fresh  20 (30)</t>
  </si>
  <si>
    <t>Bella Classic Nova Maxi drainette 10+5 (16)</t>
  </si>
  <si>
    <t>01.04.2013 - 01.05.2013</t>
  </si>
  <si>
    <t>Златка СООО (г. Минск)</t>
  </si>
  <si>
    <t>Белскор ООО (г. Минск)</t>
  </si>
  <si>
    <t>Еврохаус ООО (г. Минск)</t>
  </si>
  <si>
    <t>Дива-Торг ОДО (г. Минск)</t>
  </si>
  <si>
    <t>28.02.13-31.03.13</t>
  </si>
  <si>
    <t>05.03.13-26.03.13</t>
  </si>
  <si>
    <t>Перфекта Ультра 10+2</t>
  </si>
  <si>
    <t>Пергамент/Пленка/Фольга Салфетки</t>
  </si>
  <si>
    <t>Рудаковская</t>
  </si>
  <si>
    <t>Простор</t>
  </si>
  <si>
    <t>Перфекта Ультра 10+2 + 80+30</t>
  </si>
  <si>
    <t>с 16.04.13 по 07.05.13</t>
  </si>
  <si>
    <t>АЛСЕМ ООО (г. Гродно)</t>
  </si>
  <si>
    <t>Торгпин ООО (г. Минск)</t>
  </si>
  <si>
    <t>КАРСТ ООО (г. Минск)</t>
  </si>
  <si>
    <t>Брест- Юбилейный ОАО (г. Брест)</t>
  </si>
  <si>
    <t>80% KPD</t>
  </si>
  <si>
    <t>80%KPD</t>
  </si>
  <si>
    <t>50/50+ 2521019 TZMO</t>
  </si>
  <si>
    <t>50% TZMO</t>
  </si>
  <si>
    <t>Период</t>
  </si>
  <si>
    <t>Сеть (все контрагенты)</t>
  </si>
  <si>
    <t>Продано, шт</t>
  </si>
  <si>
    <t>% скидки</t>
  </si>
  <si>
    <t>Цена со скидкой, BYR</t>
  </si>
  <si>
    <t>Отпускная цена, BYR</t>
  </si>
  <si>
    <t>Потери, BYR</t>
  </si>
  <si>
    <t>К компенсации KPD, USD</t>
  </si>
  <si>
    <t>К компенсации KPD, BYR</t>
  </si>
  <si>
    <t xml:space="preserve">  Губка кухонная Бонус 5 (40)</t>
  </si>
  <si>
    <t xml:space="preserve">  Салфетки для уборки вискозные Бонус 3 (65)</t>
  </si>
  <si>
    <t xml:space="preserve">  Пакеты для мусора 45х55/35л 50 (синие) (50)/  Пакеты для мусора 45х55/35л 50 (черные) (50)</t>
  </si>
  <si>
    <t>Эрнис ООО (г. Минск)</t>
  </si>
  <si>
    <t xml:space="preserve">  Фольга алюминиевая Бонус 5м (50)</t>
  </si>
  <si>
    <t xml:space="preserve">  Пленка пищевая п/э Бонус 20м (45)</t>
  </si>
  <si>
    <t xml:space="preserve">  Пергамент для выпечки Бонус 5м (55)</t>
  </si>
  <si>
    <t>Super Fresh 60</t>
  </si>
  <si>
    <t>Panty Soft 20 + Classic Nova 10</t>
  </si>
  <si>
    <t>Happy</t>
  </si>
  <si>
    <t>22.04.2013 - 22.05.2013</t>
  </si>
  <si>
    <t xml:space="preserve"> Pufies Fashion Collection Junior 54 (11-25 кг), (2)</t>
  </si>
  <si>
    <t xml:space="preserve"> Pufies Fashion Collection Midi 78 (4-9 кг), (2)</t>
  </si>
  <si>
    <t>КАМ</t>
  </si>
  <si>
    <t>Сумма</t>
  </si>
  <si>
    <t>Назначение</t>
  </si>
  <si>
    <t>Компенсация</t>
  </si>
  <si>
    <t>ПросторТрейд</t>
  </si>
  <si>
    <t>торец (600+576)*8500) апрель</t>
  </si>
  <si>
    <t>торец 600*8500 апрель</t>
  </si>
  <si>
    <t>ретробонус 4% (179) март</t>
  </si>
  <si>
    <t>ретробонус 4% (77) март</t>
  </si>
  <si>
    <t>FS</t>
  </si>
  <si>
    <t>Гринрозница</t>
  </si>
  <si>
    <t>торец 420*8600 апрель</t>
  </si>
  <si>
    <t>торец 520*8650 апрель</t>
  </si>
  <si>
    <t>рестробонус 4%</t>
  </si>
  <si>
    <t>с 29.04 по 21.05</t>
  </si>
  <si>
    <t xml:space="preserve">  Перчатки Бонус M (144)</t>
  </si>
  <si>
    <t xml:space="preserve">  Перчатки Бонус S (144)</t>
  </si>
  <si>
    <t>Закрама на Партизанском ОДО (г. Минск)</t>
  </si>
  <si>
    <t>ВИТИСТ ООО (г. Орша)</t>
  </si>
  <si>
    <t>Юнифуд ЗАО (г. Минск)</t>
  </si>
  <si>
    <t>25.04.13-31.05.13</t>
  </si>
  <si>
    <t xml:space="preserve">  Фольга алюминиевая Бонус 10м (50)</t>
  </si>
  <si>
    <t>Bella Perfecta Ultra Rose Deo fresh extra soft 20 (20) (У)</t>
  </si>
  <si>
    <t>Bella Perfecta Ultra Violet Deo fresh silky drai 20 (20) (У)</t>
  </si>
  <si>
    <t>Bella Panty aroma Energy 20 (21)</t>
  </si>
  <si>
    <t>Bella Panty aroma Fresh 20 (21)</t>
  </si>
  <si>
    <t>Bella Panty aroma Relax 20 (21)</t>
  </si>
  <si>
    <t>Bella Cotton 100+20, палочки в полиэт. (70) (РФ)</t>
  </si>
  <si>
    <t>26.04.2013 - 06.05.2013</t>
  </si>
  <si>
    <t>Март Инн Фуд ИООО</t>
  </si>
  <si>
    <t>Реклама на рулонку</t>
  </si>
  <si>
    <t>Рулонка</t>
  </si>
  <si>
    <t>ГринРозница</t>
  </si>
  <si>
    <t>Панти Софт 50+10</t>
  </si>
  <si>
    <t>Pufies Maxi 66</t>
  </si>
  <si>
    <t>Панти софт 20+ Слассик нова макси 10+5</t>
  </si>
  <si>
    <t>реклама Pufies</t>
  </si>
  <si>
    <t>с 03.05 по 31.05</t>
  </si>
  <si>
    <t>Парфюм Трейд ООО (г. Минск)</t>
  </si>
  <si>
    <t>07.05.13-28.05.13</t>
  </si>
  <si>
    <t>Виталюр ОДО (г. Минск)</t>
  </si>
  <si>
    <t xml:space="preserve"> Pufies хенгеры</t>
  </si>
  <si>
    <t>Pufies</t>
  </si>
  <si>
    <t>КПД</t>
  </si>
  <si>
    <t>Март инн фуд</t>
  </si>
  <si>
    <t>17.05.13-31.05.13</t>
  </si>
  <si>
    <t>ТПГ Ост-Вест Юнион</t>
  </si>
  <si>
    <t>5% ретро бонус Пуфис</t>
  </si>
  <si>
    <t>доп места пуфис</t>
  </si>
  <si>
    <t>Евроторг</t>
  </si>
  <si>
    <t>2% ретробонус пуфис</t>
  </si>
  <si>
    <t>листовака Хэппи</t>
  </si>
  <si>
    <t>Белмаркеткомпания</t>
  </si>
  <si>
    <t>все поставщики</t>
  </si>
  <si>
    <t>Витист</t>
  </si>
  <si>
    <t>Юнифуд</t>
  </si>
  <si>
    <t>Брест Юбилейный</t>
  </si>
  <si>
    <t>Карст</t>
  </si>
  <si>
    <t>Алсем</t>
  </si>
  <si>
    <t>Закрама на партизанском</t>
  </si>
  <si>
    <t>ретро бонус</t>
  </si>
  <si>
    <t>торец 420*8700 май</t>
  </si>
  <si>
    <t>торец 120*8700 май</t>
  </si>
  <si>
    <t>торец 540*8700 май</t>
  </si>
  <si>
    <t>Bella For Teens Energy deo 20 (21)</t>
  </si>
  <si>
    <t>Bella For Teens Relax deo 20 (21)</t>
  </si>
  <si>
    <t>Bella For Teens Sensitive 20 (21)</t>
  </si>
  <si>
    <t>23.05.13-18.06.13</t>
  </si>
  <si>
    <t>27.05.13-30.06.13</t>
  </si>
  <si>
    <t xml:space="preserve">  Super Fresh (для детей и мам) 72 (12)</t>
  </si>
  <si>
    <t>ОМА  ООО (г. Минск)</t>
  </si>
  <si>
    <t>три торца  (3*600*8700)</t>
  </si>
  <si>
    <t>Ретробонус</t>
  </si>
  <si>
    <t>4% ретробонус просторам</t>
  </si>
  <si>
    <t>12.06.2013 - 03.07.2013</t>
  </si>
  <si>
    <t>КАМ_5</t>
  </si>
  <si>
    <t>Happy Junior 21, (12-25 кг),  (6)_</t>
  </si>
  <si>
    <t>Happy Maxi 27 (8-18 кг),  (6)_</t>
  </si>
  <si>
    <t>Happy Maxi Plus 25, (9-20 кг),  (6)_</t>
  </si>
  <si>
    <t>Премьерторг</t>
  </si>
  <si>
    <t>% отгрузки</t>
  </si>
  <si>
    <t>ГРинрозница</t>
  </si>
  <si>
    <t>Зенкьо</t>
  </si>
  <si>
    <t>Сеть Торгпин</t>
  </si>
  <si>
    <t>Перчатки</t>
  </si>
  <si>
    <t>Pufies Горка</t>
  </si>
  <si>
    <t>KPD торец</t>
  </si>
  <si>
    <t>полка KPD</t>
  </si>
  <si>
    <t>с 23.06 по 31.07</t>
  </si>
  <si>
    <t>Pufies Хенгеры</t>
  </si>
  <si>
    <t>торец Pufies 450*8670</t>
  </si>
  <si>
    <t>полки KPD</t>
  </si>
  <si>
    <t>КПД торец</t>
  </si>
  <si>
    <t>4%ретробонус KPD хохтовары</t>
  </si>
  <si>
    <t>KPD/Puf</t>
  </si>
  <si>
    <t>4% ретробонус салфетки + Pufies</t>
  </si>
  <si>
    <t>4% ретробонус TZMO</t>
  </si>
  <si>
    <t>Парфюмтрейд</t>
  </si>
  <si>
    <t>буклет фикосота</t>
  </si>
  <si>
    <t>25.06.2013 - 31.07.2013</t>
  </si>
  <si>
    <t>КАМ_6</t>
  </si>
  <si>
    <t xml:space="preserve">  Super Fresh (для детей и мам) 60 (12)</t>
  </si>
  <si>
    <t>БелМаркетКомпани ИООО (г. Гродно)</t>
  </si>
  <si>
    <t>БелМаркетКомпани ИООО (г. Жодино)</t>
  </si>
  <si>
    <t>БелМаркетКомпани ИООО (г. Минск)</t>
  </si>
  <si>
    <t>Арма ОАО (г. Могилев)</t>
  </si>
  <si>
    <t>Восход ОАО (г. Могилев)</t>
  </si>
  <si>
    <t>Северторг 44 ООО (г. Минск)</t>
  </si>
  <si>
    <t>Универсам Центральный ОАО (г. Жодино)</t>
  </si>
  <si>
    <t>24.06.13-31.07.13</t>
  </si>
  <si>
    <t>Кам4</t>
  </si>
  <si>
    <t xml:space="preserve">  Перчатки Бонус L (144)</t>
  </si>
  <si>
    <t xml:space="preserve">  Салфетка для уборки пола Бонус 1 (35)</t>
  </si>
  <si>
    <t>85307 март</t>
  </si>
  <si>
    <t>608876 март</t>
  </si>
  <si>
    <t>224475 март</t>
  </si>
  <si>
    <t>777626 март</t>
  </si>
  <si>
    <t>126867 март</t>
  </si>
  <si>
    <t>354874 март</t>
  </si>
  <si>
    <t>1365894 март</t>
  </si>
  <si>
    <t>листовка</t>
  </si>
  <si>
    <t>реклама Happy</t>
  </si>
  <si>
    <t>01.07.13-31.07.13</t>
  </si>
  <si>
    <t>Вест Ост Юнион ТПГ СООО (г. Минск)</t>
  </si>
  <si>
    <t>КАМ 2</t>
  </si>
  <si>
    <t>хенгеры пуфис Июнь</t>
  </si>
  <si>
    <t>Pufies ДМП</t>
  </si>
  <si>
    <t>KPD дмп</t>
  </si>
  <si>
    <t>Pufies FC</t>
  </si>
  <si>
    <t>80+30 вата</t>
  </si>
  <si>
    <t>For Teens 20</t>
  </si>
  <si>
    <t>ОМА</t>
  </si>
  <si>
    <t>Салфетки 72</t>
  </si>
  <si>
    <t>Панти Арома, вата, перфекта 20</t>
  </si>
  <si>
    <t>Вата + Хэппи</t>
  </si>
  <si>
    <t>09.07.13-10.08.13</t>
  </si>
  <si>
    <t>КАМ 4</t>
  </si>
  <si>
    <t>НТС</t>
  </si>
  <si>
    <t>3% ретробонус пуфис</t>
  </si>
  <si>
    <t>18.07.13-12.08.13</t>
  </si>
  <si>
    <t>Bella Classic Nova DEO drainette 10 (32) РФ</t>
  </si>
  <si>
    <t>Bella Nova DEO softiplait Air  10 (32) (РФ)</t>
  </si>
  <si>
    <t>КПД торец влажные салфетки</t>
  </si>
  <si>
    <t>торец Pufies 450*8800</t>
  </si>
  <si>
    <t>4% ретробонус FS</t>
  </si>
  <si>
    <t>4% ретробонус KPD</t>
  </si>
  <si>
    <t>размещение в рекламной листвке</t>
  </si>
  <si>
    <t>29.07.13-31.08.13</t>
  </si>
  <si>
    <t>30.07.13-31.08.13</t>
  </si>
  <si>
    <t>Кам 1</t>
  </si>
  <si>
    <t>Белмаркет</t>
  </si>
  <si>
    <t>Салфетки 60</t>
  </si>
  <si>
    <t>Перчатки+Салфетки для поля+ слафетки60</t>
  </si>
  <si>
    <t>пуфис Хенгеры</t>
  </si>
  <si>
    <t>переоценка на акцию</t>
  </si>
  <si>
    <t>КПД ДМП</t>
  </si>
  <si>
    <t>ВЕСНА</t>
  </si>
  <si>
    <t>МТ</t>
  </si>
  <si>
    <t>ИНТЕРФАРМАКС</t>
  </si>
  <si>
    <t>потери биз НДС</t>
  </si>
  <si>
    <t xml:space="preserve"> 100 +20 палочки</t>
  </si>
  <si>
    <t>ТПГ Ост Вест Юнион</t>
  </si>
  <si>
    <t>13.08.13-31.08.13</t>
  </si>
  <si>
    <t>КАМ_1</t>
  </si>
  <si>
    <t xml:space="preserve"> Pufies Maxi 82 (7-18 кг) GIANT, (2)</t>
  </si>
  <si>
    <t xml:space="preserve"> Pufies Midi 96 (4-9 кг) GIANT, (2)</t>
  </si>
  <si>
    <t xml:space="preserve"> Pufies Junior 68 (11-25 кг) GIANT, (2)</t>
  </si>
  <si>
    <t>Евроторг ООО (ф-л г. Брест)</t>
  </si>
  <si>
    <t>Евроторг ООО (ф-л г. Витебск)</t>
  </si>
  <si>
    <t>Евроторг ООО (ф-л г. Гомель)</t>
  </si>
  <si>
    <t>Евроторг ООО (ф-л г. Гродно)</t>
  </si>
  <si>
    <t>Евроторг ООО (ф-л г. Могилев)</t>
  </si>
  <si>
    <t>Евроторг ООО(г. Минск)</t>
  </si>
  <si>
    <t>ретробонус</t>
  </si>
  <si>
    <t>Весна</t>
  </si>
  <si>
    <t>Ретробонус условия</t>
  </si>
  <si>
    <t>Ставка</t>
  </si>
  <si>
    <t>Доп маркетинг</t>
  </si>
  <si>
    <t>16.08.2013 - 09.09.2013</t>
  </si>
  <si>
    <t>Bella Panty Mini 30+6 (40)  (РФ)</t>
  </si>
  <si>
    <t>НТС СООО (г. Минск)</t>
  </si>
  <si>
    <t>КАМ_4</t>
  </si>
  <si>
    <t>ретробонус Pufies</t>
  </si>
  <si>
    <t>Парфюм Ультра</t>
  </si>
  <si>
    <t>метро</t>
  </si>
  <si>
    <t>журнал</t>
  </si>
  <si>
    <t>РапаМаркетинг (Грин розница)</t>
  </si>
  <si>
    <t>ДМП</t>
  </si>
  <si>
    <t>ДМП SAVEX</t>
  </si>
  <si>
    <t>листовка TZMO</t>
  </si>
  <si>
    <t>22.08.13-30.09.13</t>
  </si>
  <si>
    <t>26.08.2013 - 30.09.2013</t>
  </si>
  <si>
    <t>26/08/13-30/09/13</t>
  </si>
  <si>
    <t>Кам_1</t>
  </si>
  <si>
    <t>ЛИБРЕТИК СООО (г. Минск)</t>
  </si>
  <si>
    <t>27.08.2013 - 24.09.2013</t>
  </si>
  <si>
    <t xml:space="preserve"> Pufies Maxi Plus 74 (9-20 кг) GIANT, (2)</t>
  </si>
  <si>
    <t>с 03.09.13 по 23.09.13</t>
  </si>
  <si>
    <t>КАМ_2</t>
  </si>
  <si>
    <t>Bella Perfecta Ultra Blue extra soft 20, (20) (У)</t>
  </si>
  <si>
    <t>Bella Perfecta Ultra Green silky drai 20, (20) (У)</t>
  </si>
  <si>
    <t>5% ретробонус</t>
  </si>
  <si>
    <t>4% ретробонус</t>
  </si>
  <si>
    <t>02/09/13-22/09/13</t>
  </si>
  <si>
    <t>Юнифуд Филиал (г. Гродно)</t>
  </si>
  <si>
    <t>Super Fresh72</t>
  </si>
  <si>
    <t>DEO Classic Nova+Nova</t>
  </si>
  <si>
    <t>Пленка пищева</t>
  </si>
  <si>
    <t>Savex ДМП</t>
  </si>
  <si>
    <t>Весна ДМП</t>
  </si>
  <si>
    <t>2% по тогрузкам за лето</t>
  </si>
  <si>
    <t>3% по отгрузкам TZMO</t>
  </si>
  <si>
    <t>хенгеры</t>
  </si>
  <si>
    <t>% ретробонус</t>
  </si>
  <si>
    <t>% ретробонус ЛЦ</t>
  </si>
  <si>
    <t>% ретробонус ЮЛ</t>
  </si>
  <si>
    <t>ввод весна</t>
  </si>
  <si>
    <t>ввод Savex</t>
  </si>
  <si>
    <t>буклеты Pufies сеть</t>
  </si>
  <si>
    <t>буклеты Pufies солигорск</t>
  </si>
  <si>
    <t>роликс Savex</t>
  </si>
  <si>
    <t>3% от платежей</t>
  </si>
  <si>
    <t>19.09.13 -31.10.13</t>
  </si>
  <si>
    <t>Ср-во для мытья посуды "Капля VOX лимон" 500г (15)</t>
  </si>
  <si>
    <t>Ср-во для мытья посуды "Капля VOX олива и цитрус" 500г (15)</t>
  </si>
  <si>
    <t>Ср-во для мытья посуды "Капля VOX хлопок и ромашка" 500г (15)</t>
  </si>
  <si>
    <t>Ср-во для мытья посуды "Капля VOX свежесть" 500г (15)</t>
  </si>
  <si>
    <t xml:space="preserve"> Savex 2 в 1 Fresh Emerald Blossom (для машинной стирки), 2кг,  (8)</t>
  </si>
  <si>
    <t xml:space="preserve"> Savex 2 в 1 InLove Color (для машинной стирки), 2кг,  (8)</t>
  </si>
  <si>
    <t>23.09.2013 - 14.10.2013</t>
  </si>
  <si>
    <t>Март Инн Фуд Филиал (г. Волковыск)</t>
  </si>
  <si>
    <t>Bella Cotton  100+20%, подушечки косм. круглые (40) (РФ)</t>
  </si>
  <si>
    <t>Bella Normal 20 (24)</t>
  </si>
  <si>
    <t>Автозаводской  ЗАО   (г.Минск)</t>
  </si>
  <si>
    <t>23.09.2013-31.10.2013</t>
  </si>
  <si>
    <t>25.09.2013.-31.10.2013</t>
  </si>
  <si>
    <t xml:space="preserve"> Pufies Midi 82 (4-9 кг), (2)</t>
  </si>
  <si>
    <t xml:space="preserve"> Pufies Maxi 70 (7-18 кг), (2)</t>
  </si>
  <si>
    <t xml:space="preserve"> Pufies Junior 58 (11-25 кг), (2)</t>
  </si>
  <si>
    <t>торец</t>
  </si>
  <si>
    <t>торец Pufies</t>
  </si>
  <si>
    <t>листовка Pufies</t>
  </si>
  <si>
    <t>ДМП Савекс</t>
  </si>
  <si>
    <t>08.10.2013 - 06.11.2013</t>
  </si>
  <si>
    <t xml:space="preserve"> Teo Bebe  Aloe Vera 2,4кг, (6)</t>
  </si>
  <si>
    <t xml:space="preserve"> Teo Bebe  Camomile 2,4кг, (6)</t>
  </si>
  <si>
    <t>Мацкевич</t>
  </si>
  <si>
    <t>Март Инн Фуд ИООО (г. Минск)</t>
  </si>
  <si>
    <t>Премьерторг ЧУП (г. Минск)</t>
  </si>
  <si>
    <t>БелВиллесден ИЧУПКП (г. Минск)</t>
  </si>
  <si>
    <t>ВестерБелторг ООО (г. Минск)</t>
  </si>
  <si>
    <t>ПРАКТИК УК ООО (г. Гомель)</t>
  </si>
  <si>
    <t>СРТ ОАО (г. Минск)</t>
  </si>
  <si>
    <t>Омега -ТП ООО (г. Минск)</t>
  </si>
  <si>
    <t>Дабрабыт ОАОТ (г. Гомель)</t>
  </si>
  <si>
    <t>09.10.2013.-31.10.2013</t>
  </si>
  <si>
    <t>+</t>
  </si>
  <si>
    <t>ДМП Pufies</t>
  </si>
  <si>
    <t>ДМП KKPD</t>
  </si>
  <si>
    <t>Vesna</t>
  </si>
  <si>
    <t>2% реализации</t>
  </si>
  <si>
    <t>Юбилейный Брест</t>
  </si>
  <si>
    <t>3% TZMO</t>
  </si>
  <si>
    <t>22.10.2013 - 18.11.2013</t>
  </si>
  <si>
    <t>24.10.2013 - 30.11.2013</t>
  </si>
  <si>
    <t>28.10.13-1.12.13</t>
  </si>
  <si>
    <t>ДМП Savex</t>
  </si>
  <si>
    <t>ДМП KPD</t>
  </si>
  <si>
    <t>подушки</t>
  </si>
  <si>
    <t>31.10.2013 - 12.11.2013</t>
  </si>
  <si>
    <t>Простормаркет</t>
  </si>
  <si>
    <t>Простортрейд</t>
  </si>
  <si>
    <t>листовка FS</t>
  </si>
  <si>
    <t>2% рестробонус</t>
  </si>
  <si>
    <t xml:space="preserve">  Super Fresh (для всей семьи) 60 (12)</t>
  </si>
  <si>
    <t>19.11.-09.12</t>
  </si>
  <si>
    <t>18.11.13-02.12.13</t>
  </si>
  <si>
    <t>Издательский дом Гревцова ООО (г.Минск)</t>
  </si>
  <si>
    <t>25/11/-09/12</t>
  </si>
  <si>
    <t>хенгеры Pufies</t>
  </si>
  <si>
    <t>ЛЦ</t>
  </si>
  <si>
    <t>Розница</t>
  </si>
  <si>
    <t>15/11-31/12</t>
  </si>
  <si>
    <t>Астомстрой ООО (г.Минск)</t>
  </si>
  <si>
    <t>акция</t>
  </si>
  <si>
    <t>Торец Подгузники</t>
  </si>
  <si>
    <t>Торец KPD</t>
  </si>
  <si>
    <t>FS htnhj,jyec</t>
  </si>
  <si>
    <t>25/11/2013-17/12/2013</t>
  </si>
  <si>
    <t>Bella Panty aroma Energy 50+10 (12)</t>
  </si>
  <si>
    <t xml:space="preserve">  Рукав для запекания Бонус 3м (50)</t>
  </si>
  <si>
    <t>02/12-31/12</t>
  </si>
  <si>
    <t>бонус</t>
  </si>
  <si>
    <t>Агентсво Гревцова</t>
  </si>
  <si>
    <t>Соседи</t>
  </si>
  <si>
    <t>Беклет</t>
  </si>
  <si>
    <t>10.12.2013-07.01.2014</t>
  </si>
  <si>
    <t>15/12-31/12</t>
  </si>
  <si>
    <t>Веста ОАО (г. Витебск)</t>
  </si>
  <si>
    <t>14.11-07/01</t>
  </si>
  <si>
    <t>ноябрь ретробонус</t>
  </si>
  <si>
    <t>квартла ретробонус</t>
  </si>
  <si>
    <t>12/12.2013 - 07.01.2014</t>
  </si>
  <si>
    <t>Bella платочки универсальные двухслойные №1 100+50 (25)</t>
  </si>
  <si>
    <t>тест Savex</t>
  </si>
  <si>
    <t>Бонус</t>
  </si>
  <si>
    <t>16.12-31.01.14</t>
  </si>
  <si>
    <t>Мыло жидкое "Весна" Алоэ и овсяное молочко 280г (15)</t>
  </si>
  <si>
    <t>Мыло жидкое "Весна" Жасмин и зеленый чай 280г (15)</t>
  </si>
  <si>
    <t>Мыло жидкое "Весна" Земляника со сливками 280г (15)</t>
  </si>
  <si>
    <t>Мыло жидкое "Весна" Молоко и мед 280г (15)</t>
  </si>
  <si>
    <t>Мыло жидкое "Весна" Олива и миндальное молочко 280г (15)</t>
  </si>
  <si>
    <t>Мыло жидкое "Весна" Персик и йогурт 280г (15)</t>
  </si>
  <si>
    <t>Мыло жидкое "Весна" Роза и шиповник 280г (15)</t>
  </si>
  <si>
    <t>Мыло жидкое "Весна" Ромашка и лимон 280г (15)</t>
  </si>
  <si>
    <t>Листовка</t>
  </si>
  <si>
    <t>Ретроюонус</t>
  </si>
  <si>
    <t>Парфюм Трейд</t>
  </si>
  <si>
    <t>FS листовка</t>
  </si>
  <si>
    <t>22/12-31/12</t>
  </si>
  <si>
    <t>издательский дом гревцова</t>
  </si>
  <si>
    <t>стойка KPD</t>
  </si>
  <si>
    <t>03.01.2014. - 04.02.2013.</t>
  </si>
  <si>
    <t xml:space="preserve">  Пакеты для мусора 45х55/35л 30 (синие) (70)</t>
  </si>
  <si>
    <t xml:space="preserve">  Пакеты для мусора 45х55/35л 30 (черные) (70)</t>
  </si>
  <si>
    <t xml:space="preserve">  Скребок кухонный Бонус 1 (288)</t>
  </si>
  <si>
    <t>08.01-22.01</t>
  </si>
  <si>
    <t>08.01 -31.01</t>
  </si>
  <si>
    <t>КАМ_3</t>
  </si>
  <si>
    <t>09.01-21.01</t>
  </si>
  <si>
    <t>13.01.14-02.02.14</t>
  </si>
  <si>
    <t>Мыло жидкое "Absolut" Nature ромашка 250г (15)</t>
  </si>
  <si>
    <t>модуль акция Bella</t>
  </si>
  <si>
    <t>ретробонус декабрь</t>
  </si>
  <si>
    <t>торец +полка</t>
  </si>
  <si>
    <t>FS ретробонус</t>
  </si>
  <si>
    <t>ретробгнус</t>
  </si>
  <si>
    <t>твролик Январь</t>
  </si>
  <si>
    <t>буклет январь</t>
  </si>
  <si>
    <t>14.01-10.02</t>
  </si>
  <si>
    <t>Прстор маркет</t>
  </si>
  <si>
    <t>Прстор трейд</t>
  </si>
  <si>
    <t>15.12.2013-31.12.2013</t>
  </si>
  <si>
    <t>25.11.2013-17.12.2013</t>
  </si>
  <si>
    <t>15.11.2013-31.12.2013</t>
  </si>
  <si>
    <t>Bella Panty Soft 50+10 WHITE (12)</t>
  </si>
  <si>
    <t>27/01/2013-25/02/2013</t>
  </si>
  <si>
    <t>27.01.2014-25.02.2014</t>
  </si>
  <si>
    <t xml:space="preserve"> Savex Color Brightness (для машинной стирки), 2кг,  (8)</t>
  </si>
  <si>
    <t xml:space="preserve"> Savex 2 в 1 White Tiara Flower (для машинной стирки), 2кг,  (8)</t>
  </si>
  <si>
    <t>Bella Panty Mini 30+6 WHITE (40)</t>
  </si>
  <si>
    <t>04.02-11.02</t>
  </si>
  <si>
    <t>01.02.-28.02</t>
  </si>
  <si>
    <t>БЭБИБУМ</t>
  </si>
  <si>
    <t>31/01-28/02</t>
  </si>
  <si>
    <t>Bella Normal 20 (24) (РФ)</t>
  </si>
  <si>
    <t>04/02.14-04.03.-14</t>
  </si>
  <si>
    <t>11/02 - ????</t>
  </si>
  <si>
    <t xml:space="preserve"> Savex 2 в 1 Fresh Emerald Blossom (для машинной стирки), 300г,  (22)</t>
  </si>
  <si>
    <t xml:space="preserve"> Savex 2 в 1 White Tiara Flower (для машинной стирки), 300г,  (22)</t>
  </si>
  <si>
    <t xml:space="preserve"> Savex Color Brightness (для машинной стирки), 300г,  (22)</t>
  </si>
  <si>
    <t>Злакта</t>
  </si>
  <si>
    <t>Торец</t>
  </si>
  <si>
    <t>Хенгеры</t>
  </si>
  <si>
    <t>допполка</t>
  </si>
  <si>
    <t>14.11.2013-07.01.2014</t>
  </si>
  <si>
    <t xml:space="preserve">  Пакеты для мусора 45х55/35л 30 (синие) (70)/  Пакеты для мусора 45х55/35л 30 (черные) (70)</t>
  </si>
  <si>
    <t>01.11.2013-31.01.2014</t>
  </si>
  <si>
    <t>вся клиентская база</t>
  </si>
  <si>
    <t>листоввка</t>
  </si>
  <si>
    <t>FS компенсирует</t>
  </si>
  <si>
    <t>половина компенсирует представительство (акция)</t>
  </si>
  <si>
    <t>Март Инн Фуд Филиал (г.Брест)</t>
  </si>
  <si>
    <t>Глера Альфа ИООО (г.Минск)</t>
  </si>
  <si>
    <t>отгрузки/оплаты</t>
  </si>
  <si>
    <t>Январь</t>
  </si>
  <si>
    <t>Февраль</t>
  </si>
  <si>
    <t>Юр лица (Справочно)</t>
  </si>
  <si>
    <t>Евроторг ООО (ф-л г. Гомель)/Евроторг ООО (ф-л г. Гродно)</t>
  </si>
  <si>
    <t>Евроторг ООО (ф-л г. Витебск)/Евроторг ООО (ф-л г. Могилев)</t>
  </si>
  <si>
    <t>БелМаркетКомпани ИООО (г. Жодино)/Универсам Центральный ОАО (г. Жодино)</t>
  </si>
  <si>
    <t>БелМаркетКомпани ИООО (г. Минск)/Северторг 44 ООО (г. Минск)</t>
  </si>
  <si>
    <t>БелМаркетКомпани ИООО (г. Гродно)/Автозаводской  ЗАО   (г.Минск)</t>
  </si>
  <si>
    <t>Юнифуд Филиал (г. Гродно)/КАРСТ ООО (г. Минск)</t>
  </si>
  <si>
    <t>ВИТИСТ ООО (г. Орша)/Закрама на Партизанском ОДО (г. Минск)</t>
  </si>
  <si>
    <t>Брест- Юбилейный ОАО (г. Брест)/АЛСЕМ ООО (г. Гродно)</t>
  </si>
  <si>
    <t>28/02-31/03</t>
  </si>
  <si>
    <t>SUPER SENI AIR LARGE 30, (4)</t>
  </si>
  <si>
    <t>SUPER SENI AIR MEDIUM 30, (4)</t>
  </si>
  <si>
    <t>03/03-01/04</t>
  </si>
  <si>
    <t>Bella Perfecta Blue extra soft 10+2, (30) (У)</t>
  </si>
  <si>
    <t>Bella Perfecta Green silky drai 10+2, (30) (У)</t>
  </si>
  <si>
    <t>Bella Cotton  120, подушечки косм. круглые (40)  (РФ)</t>
  </si>
  <si>
    <t>03/03-24/03</t>
  </si>
  <si>
    <t>Реализация</t>
  </si>
  <si>
    <t>буклет</t>
  </si>
  <si>
    <t>допместо</t>
  </si>
  <si>
    <t>горка Savex</t>
  </si>
  <si>
    <t>торец + ДМП</t>
  </si>
  <si>
    <t>аренда ДМП</t>
  </si>
  <si>
    <t>ретробонус 11%</t>
  </si>
  <si>
    <t>06/03-21/03</t>
  </si>
  <si>
    <t>17.03.14-31.03.14</t>
  </si>
  <si>
    <t>01.02.2014-28.02.2014</t>
  </si>
  <si>
    <t>Белвиллесден</t>
  </si>
  <si>
    <t>ДМП Савекс январь</t>
  </si>
  <si>
    <t>ДМП савекс ферваль</t>
  </si>
  <si>
    <t>ретробонус 3%</t>
  </si>
  <si>
    <t>ДМП+стока KPD</t>
  </si>
  <si>
    <t>19/03/20114-14/04/2013</t>
  </si>
  <si>
    <t>Bella Nova Maxi 10 (24)  (РФ)</t>
  </si>
  <si>
    <t>Bella Nova Maxi softiplait 10 (24)</t>
  </si>
  <si>
    <t>19/03-30/04</t>
  </si>
  <si>
    <t>19.03.12-08.04.13</t>
  </si>
  <si>
    <t>20/03-30/04</t>
  </si>
  <si>
    <t>листовка Весна</t>
  </si>
  <si>
    <t>ретробонус FS 4% оплат</t>
  </si>
  <si>
    <t>ДМП савекс март</t>
  </si>
  <si>
    <t>24/03-30/04</t>
  </si>
  <si>
    <t>25/03-29/04</t>
  </si>
  <si>
    <t>Bella Panty Mini 30+6 WHITE (40) (РФ)</t>
  </si>
  <si>
    <t>Bella Panty Soft 50+10 WHITE (12) (РФ)</t>
  </si>
  <si>
    <t>27/03/2014-08/04/2014</t>
  </si>
  <si>
    <t>01/04-22/04</t>
  </si>
  <si>
    <t>Ретробонус FS и SFr</t>
  </si>
  <si>
    <t>FS/KPD</t>
  </si>
  <si>
    <t>5% Реализации</t>
  </si>
  <si>
    <t>ДМП 2</t>
  </si>
  <si>
    <t>акция FS январь</t>
  </si>
  <si>
    <t>FS полка (150) + откат</t>
  </si>
  <si>
    <t>Март</t>
  </si>
  <si>
    <t>09.04.14-28.04.14</t>
  </si>
  <si>
    <t>платит представительство (20% на себя)</t>
  </si>
  <si>
    <t>отгрузка</t>
  </si>
  <si>
    <t>реализация</t>
  </si>
  <si>
    <t>Оплата</t>
  </si>
  <si>
    <t>Клиент</t>
  </si>
  <si>
    <t>База</t>
  </si>
  <si>
    <t>ПарфюмТрейд</t>
  </si>
  <si>
    <t>ГринРозница (TZMO)</t>
  </si>
  <si>
    <t>ГринРозница (прочие)</t>
  </si>
  <si>
    <t>ВестОст Юнион</t>
  </si>
  <si>
    <t>БелМаркетКомпани</t>
  </si>
  <si>
    <t>ПремьерТорг</t>
  </si>
  <si>
    <t>09.04-20,05</t>
  </si>
  <si>
    <t>отгрузка 7 %</t>
  </si>
  <si>
    <t>отгрузка (без НДС)</t>
  </si>
  <si>
    <t>FS отгрузки марта ???</t>
  </si>
  <si>
    <t>оплата февраля 96 855 799 !!!!</t>
  </si>
  <si>
    <t>реализация марта без НДС (оплата сНДС 20%) !!!</t>
  </si>
  <si>
    <t>реализация марта без НДС !!!</t>
  </si>
  <si>
    <t>????</t>
  </si>
  <si>
    <t>отгрузки марта без НДС + отгрузки 1 квартала без НДС ???</t>
  </si>
  <si>
    <t>отгрузки марта без НДС</t>
  </si>
  <si>
    <t>ретробонус (от оплат февраля)</t>
  </si>
  <si>
    <t>ретробонус (реализация марта)</t>
  </si>
  <si>
    <t>тест КПД</t>
  </si>
  <si>
    <t>Вест Ост Юнион</t>
  </si>
  <si>
    <t>ретробонус март</t>
  </si>
  <si>
    <t>Виталбюр</t>
  </si>
  <si>
    <t>16/04-31/07</t>
  </si>
  <si>
    <t xml:space="preserve">  Super Fresh (для детей и мам) 120 (9)</t>
  </si>
  <si>
    <t xml:space="preserve">  Super Fresh (для детей и мам) 15 (100)</t>
  </si>
  <si>
    <t>17/04-31/05/2014</t>
  </si>
  <si>
    <t xml:space="preserve">  Super Fresh Breeze 15 (100)</t>
  </si>
  <si>
    <t xml:space="preserve">  Super Fresh Flower 15 (100)</t>
  </si>
  <si>
    <t xml:space="preserve">  Super Fresh Fruit 15 (100)</t>
  </si>
  <si>
    <t>ПафрюмТрейд</t>
  </si>
  <si>
    <t>плакат</t>
  </si>
  <si>
    <t>весна</t>
  </si>
  <si>
    <t>отгрукзи марта ретробонус</t>
  </si>
  <si>
    <t>11% реализации</t>
  </si>
  <si>
    <t>23/04-12/05/2014</t>
  </si>
  <si>
    <t>Bella Cotton 100, подушечки косм. круглые (35)</t>
  </si>
  <si>
    <t>Bella Cotton 100, подушечки косм. круглые (35)  (РФ)</t>
  </si>
  <si>
    <t>22/04-05/05</t>
  </si>
  <si>
    <t>22/04-19/05</t>
  </si>
  <si>
    <t>25/04-13/05</t>
  </si>
  <si>
    <t>25/04-27/05</t>
  </si>
  <si>
    <t xml:space="preserve">  Губка кухонная Бонус "Стандарт" 10 (52)</t>
  </si>
  <si>
    <t>25/04-12/05</t>
  </si>
  <si>
    <t xml:space="preserve"> Pufies Fashion Collection Maxi Plus 58 (9-20 кг), (2)</t>
  </si>
  <si>
    <t>16/04/-28/04/2014</t>
  </si>
  <si>
    <t>30/04/-12/05/2014</t>
  </si>
  <si>
    <t>02/05-30/05</t>
  </si>
  <si>
    <t>Bella Baby Happy Fruits (банан, киви) 30 (15)</t>
  </si>
  <si>
    <t>Bella Baby Happy Fruits (клубника, черника) 30 (15)</t>
  </si>
  <si>
    <t>05.05.14-31.05.14</t>
  </si>
  <si>
    <t>06/05-19/05/2014</t>
  </si>
  <si>
    <t>ретробонус апрель</t>
  </si>
  <si>
    <t>листовки TZMO</t>
  </si>
  <si>
    <t>KPD ретробонус</t>
  </si>
  <si>
    <t>листовка KPD</t>
  </si>
  <si>
    <t>полка FS</t>
  </si>
  <si>
    <t>ДМП савекс</t>
  </si>
  <si>
    <t>ДМП 2 пуфис</t>
  </si>
  <si>
    <t>Апрель</t>
  </si>
  <si>
    <t>ретробонус FS Pufies апрель</t>
  </si>
  <si>
    <t>ретробонус FS Savex апрель</t>
  </si>
  <si>
    <t>Что покупаем</t>
  </si>
  <si>
    <t>Сумма BYR</t>
  </si>
  <si>
    <t>Комментарий</t>
  </si>
  <si>
    <t>Дом Полка</t>
  </si>
  <si>
    <t>Ролик</t>
  </si>
  <si>
    <t>Плакат</t>
  </si>
  <si>
    <t>торец Весна</t>
  </si>
  <si>
    <t>дополнительная полка</t>
  </si>
  <si>
    <t>полка в маленьков</t>
  </si>
  <si>
    <t>ретробонус февраль-апрель</t>
  </si>
  <si>
    <t>оплаты марта</t>
  </si>
  <si>
    <t>все постащики</t>
  </si>
  <si>
    <t>Овсянкин</t>
  </si>
  <si>
    <t>19/05-30/06</t>
  </si>
  <si>
    <t>Крем-мыло жидкое "Детское" с экстрактом ромашки 280г (15)</t>
  </si>
  <si>
    <t>20.05.14-10.06.14</t>
  </si>
  <si>
    <t>16.04.14-28.04.14</t>
  </si>
  <si>
    <t>19.03.14-08.04.14</t>
  </si>
  <si>
    <t>Златка (вся сеть)</t>
  </si>
  <si>
    <t>25.03.14-29.04.14</t>
  </si>
  <si>
    <t>20.03.14-30.04.14</t>
  </si>
  <si>
    <t xml:space="preserve">  Пакеты для мусора 45х55/35л 30 (синие/черные) (70)</t>
  </si>
  <si>
    <t>23/05-03/06</t>
  </si>
  <si>
    <t>Bella Herbs Tilia softiplait 10 (32) (РФ)</t>
  </si>
  <si>
    <t>Bella Herbs Verbena softiplait 10 (32) (РФ)</t>
  </si>
  <si>
    <t>Bella Panty Herbs Tilia 60 (12) (РФ)</t>
  </si>
  <si>
    <t>Bella Panty Herbs Verbena 60 (12) (РФ)</t>
  </si>
  <si>
    <t>отгрузки апреля</t>
  </si>
  <si>
    <t>Евоторг</t>
  </si>
  <si>
    <t>хенгер</t>
  </si>
  <si>
    <t>ретробонус Savex</t>
  </si>
  <si>
    <t>2 стойки Savex</t>
  </si>
  <si>
    <t>деполнительная полка Pufies</t>
  </si>
  <si>
    <t>2 стойки Pufies</t>
  </si>
  <si>
    <t>2 стойки KPD</t>
  </si>
  <si>
    <t>ретробонус KPD</t>
  </si>
  <si>
    <t>26.05.14-30.06.14</t>
  </si>
  <si>
    <t>ретробонус TZMO</t>
  </si>
  <si>
    <t>ретробонус KPD (влажка)</t>
  </si>
  <si>
    <t>3 ДМП Май</t>
  </si>
  <si>
    <t>2 ДМП Май</t>
  </si>
  <si>
    <t>29/05/14-30/06/14</t>
  </si>
  <si>
    <t>Крем-мыло жидкое "Детское" с экстрактом календулы 280г (15)</t>
  </si>
  <si>
    <t>30.05.14-01.07.14</t>
  </si>
  <si>
    <t xml:space="preserve">  Super Fresh Citrus 15 (100)</t>
  </si>
  <si>
    <t xml:space="preserve">  Super Fresh Green Tea 15 (100)</t>
  </si>
  <si>
    <t xml:space="preserve">  Super Fresh Intimate 15 (100)</t>
  </si>
  <si>
    <t xml:space="preserve">  Super Fresh Tropic 15 (100)</t>
  </si>
  <si>
    <t xml:space="preserve">  Super Fresh Ромашка 15 (100)</t>
  </si>
  <si>
    <t>03/06-23/06/2014</t>
  </si>
  <si>
    <t>БелПромПродТорг ЧТУП (г. Минск)</t>
  </si>
  <si>
    <t>01/06-17/06</t>
  </si>
  <si>
    <t>Май</t>
  </si>
  <si>
    <t>06/06/2014-25/06/2014</t>
  </si>
  <si>
    <t>ТаунРитейл ООО (г.Минск)</t>
  </si>
  <si>
    <t>01/06-31/07</t>
  </si>
  <si>
    <t>торец весна</t>
  </si>
  <si>
    <t>ДМП+полка</t>
  </si>
  <si>
    <t>ДМП мини Биггз</t>
  </si>
  <si>
    <t>ретробонус (оплаты апреля)</t>
  </si>
  <si>
    <t>оплаты преля</t>
  </si>
  <si>
    <t>Поротников</t>
  </si>
  <si>
    <t>ЗМ-ТОРГ ООО (г. Мозырь)</t>
  </si>
  <si>
    <t>Прима Сервис (г. Гомель)</t>
  </si>
  <si>
    <t>ретробонус FS</t>
  </si>
  <si>
    <t>весь ассортимент</t>
  </si>
  <si>
    <t>12/06-23/06</t>
  </si>
  <si>
    <t>17/06-31/07</t>
  </si>
  <si>
    <t>16.06.14-30.06.14</t>
  </si>
  <si>
    <t>Bella Cotton 160, ватные палочки, полиэтилен,  (72)  (РФ)</t>
  </si>
  <si>
    <t>16/06-09/07</t>
  </si>
  <si>
    <t>Bella Panty Herbs Verbena 20 (30) (РФ)</t>
  </si>
  <si>
    <t>реклманые материалы</t>
  </si>
  <si>
    <t>ретробонус (оплаты апрель)</t>
  </si>
  <si>
    <t>один документ</t>
  </si>
  <si>
    <t>стойка влажные салфетки</t>
  </si>
  <si>
    <t>TZMO ретробонус</t>
  </si>
  <si>
    <t>Ретробонус май</t>
  </si>
  <si>
    <t>окно в буклете</t>
  </si>
  <si>
    <t>ретробонус (реализация апреля)</t>
  </si>
  <si>
    <t>ретробонус (реализация февраля)</t>
  </si>
  <si>
    <t>Прростор Трейд</t>
  </si>
  <si>
    <t>БЕЛДАРПРОД  ОАО (г. Минск)</t>
  </si>
  <si>
    <t>24.06.14-31.07.14</t>
  </si>
  <si>
    <t>23.06.14-23.07.14</t>
  </si>
  <si>
    <t>Мыло туалетное "Детское" с маслом облепихи 90г (72)</t>
  </si>
  <si>
    <t>Мыло туалетное "Детское" с маслом оливы 90г (72)</t>
  </si>
  <si>
    <t>Мыло туалетное "Детское" с экстрактом календулы 90г (72)</t>
  </si>
  <si>
    <t>25/06-08/07</t>
  </si>
  <si>
    <t>3 ДМП июнь FS</t>
  </si>
  <si>
    <t>1 ДМП июнь FS</t>
  </si>
  <si>
    <t>4 ДМП  май FS</t>
  </si>
  <si>
    <t>Прима-Срвис</t>
  </si>
  <si>
    <t>3% ретробонусмай</t>
  </si>
  <si>
    <t>ЗМ-Торг</t>
  </si>
  <si>
    <t>27/06-30/06</t>
  </si>
  <si>
    <t>26.06-01.08</t>
  </si>
  <si>
    <t>26/06-07.07</t>
  </si>
  <si>
    <t>27./06 -29/07</t>
  </si>
  <si>
    <t xml:space="preserve"> Savex 2 в 1 Royal Orchid (для машинной стирки), 2кг,  (8)</t>
  </si>
  <si>
    <t>Март Инн Фуд ИООО (г. Минск) вся сеть</t>
  </si>
  <si>
    <t>17.04.14-31.05.14</t>
  </si>
  <si>
    <t xml:space="preserve">  Super Fresh Breeze 15 (100)/  Super Fresh Flower 15 (100)/  Super Fresh Fruit 15 (100)</t>
  </si>
  <si>
    <t>30.04.14-13.05.14</t>
  </si>
  <si>
    <t>09.04.14-20.05.14</t>
  </si>
  <si>
    <t>25.04.14-13.05.14</t>
  </si>
  <si>
    <t xml:space="preserve">  Перчатки Бонус L (144)/  Перчатки Бонус M (144)/  Перчатки Бонус S (144)</t>
  </si>
  <si>
    <t>25.04.14-27.05.14</t>
  </si>
  <si>
    <t>ретробонус май</t>
  </si>
  <si>
    <t>16/06-07/07/2014</t>
  </si>
  <si>
    <t>3 ДМП июнь</t>
  </si>
  <si>
    <t>2 ДМП июнь</t>
  </si>
  <si>
    <t>ретробонгус май</t>
  </si>
  <si>
    <t>один акт</t>
  </si>
  <si>
    <t>Июнь</t>
  </si>
  <si>
    <t>ретробонус май PUF</t>
  </si>
  <si>
    <t>ретробонус май SAV</t>
  </si>
  <si>
    <t>допполка + торец гипер</t>
  </si>
  <si>
    <t>допполка мини</t>
  </si>
  <si>
    <t>01.06.2014-01.07.2014</t>
  </si>
  <si>
    <t xml:space="preserve">  Super Fresh 15 (в ассортименте)</t>
  </si>
  <si>
    <t>Белмаркеткомпани (вся сеть)</t>
  </si>
  <si>
    <t>25.05.2014-30.06.2014</t>
  </si>
  <si>
    <t>06.06.2014-25.06.2014</t>
  </si>
  <si>
    <t>24.07.14-14.08.14</t>
  </si>
  <si>
    <t xml:space="preserve"> Teo Bebe Tender Aloe 2,4кг, (6)</t>
  </si>
  <si>
    <t>З/п детская "Буратино" лимонадный взрыв 75г (48)</t>
  </si>
  <si>
    <t>З/п детская "Дюймовочка" клубника со сливками 75г (48)</t>
  </si>
  <si>
    <t>ретробонус июнь</t>
  </si>
  <si>
    <t>Март Инн Фуд</t>
  </si>
  <si>
    <t>7% ретробонус</t>
  </si>
  <si>
    <t>ретробонус Июнь</t>
  </si>
  <si>
    <t>Буклет</t>
  </si>
  <si>
    <t>Реализация мая</t>
  </si>
  <si>
    <t>4 ДМП июнь FS</t>
  </si>
  <si>
    <t>ретробонус июнь PUF</t>
  </si>
  <si>
    <t>ретробонус июнь SAV</t>
  </si>
  <si>
    <t>листовка Июль</t>
  </si>
  <si>
    <t>плакат Июль</t>
  </si>
  <si>
    <t>ретробонус FS (июнь)</t>
  </si>
  <si>
    <t>21.07.14-07.08.14</t>
  </si>
  <si>
    <t>21/07-04/08</t>
  </si>
  <si>
    <t>21/07-04/08/2014</t>
  </si>
  <si>
    <t>21/07-06/08</t>
  </si>
  <si>
    <t>Юнифуд Филиал (г.Брест)</t>
  </si>
  <si>
    <t>25/07-31/08</t>
  </si>
  <si>
    <t>28.07.14-30.08.14</t>
  </si>
  <si>
    <t>28/07-31/08</t>
  </si>
  <si>
    <t>28/07-10/08</t>
  </si>
  <si>
    <t>11% отгрузок июнь</t>
  </si>
  <si>
    <t>ДМП Савекс 3</t>
  </si>
  <si>
    <t>8 % отгрузок</t>
  </si>
  <si>
    <t>ДМП Биосфера 3</t>
  </si>
  <si>
    <t>5% Ретробонус (акт вместе с ДМП)</t>
  </si>
  <si>
    <t>2 ДМП + полка Pufies</t>
  </si>
  <si>
    <t>ДМП влажные салфетки</t>
  </si>
  <si>
    <t>лиcтовка TZMO</t>
  </si>
  <si>
    <t>2 ДМП Savex</t>
  </si>
  <si>
    <t>5% реализации Июнь</t>
  </si>
  <si>
    <t>ДМП Бонус 2</t>
  </si>
  <si>
    <t>5% реализация Бонгус июнь</t>
  </si>
  <si>
    <t>KPD +FS</t>
  </si>
  <si>
    <t>5% реализация (салфекти + PUF)</t>
  </si>
  <si>
    <t>Весна + KPD</t>
  </si>
  <si>
    <t>5% реализация (Весна + SAV)</t>
  </si>
  <si>
    <t>Астомстрой</t>
  </si>
  <si>
    <t>Усс</t>
  </si>
  <si>
    <t>дом полка</t>
  </si>
  <si>
    <t>ретробонус (4% отгрузок)</t>
  </si>
  <si>
    <t>получили в июле</t>
  </si>
  <si>
    <t>ретробонгус июнь</t>
  </si>
  <si>
    <t>31/07-19.08.2014</t>
  </si>
  <si>
    <t>06/08- 19 08</t>
  </si>
  <si>
    <t>01.08.14-31.10.14</t>
  </si>
  <si>
    <t xml:space="preserve"> Savex 2 в 1 Royal Orchid (для машинной стирки), 300г,  (22)</t>
  </si>
  <si>
    <t xml:space="preserve"> Savex White Brilliance (для машинной стирки), 300г,  (22)</t>
  </si>
  <si>
    <t xml:space="preserve"> Savex 2 в 1 White Tiara Flower (для машинной стирки), 4кг,  (4)</t>
  </si>
  <si>
    <t xml:space="preserve"> Savex 2 в 1 Royal Orchid (для машинной стирки), 4кг,  (8)</t>
  </si>
  <si>
    <t xml:space="preserve"> Savex 2 в 1 Fresh Emerald Blossom (для машинной стирки), 4кг,  (4)</t>
  </si>
  <si>
    <t xml:space="preserve"> Savex White Brilliance (для машинной стирки), 2кг,  (8)</t>
  </si>
  <si>
    <t>Июль</t>
  </si>
  <si>
    <t>Арма ОАО (г. Могилев)/Восход ОАО (г. Могилев)/БЕЛДАРПРОД  ОАО (г. Минск)</t>
  </si>
  <si>
    <t>Юнифуд ЗАО (г. Минск)/Торгпин ООО (г. Минск)/Юнифуд Филиал (г.Брест)</t>
  </si>
  <si>
    <t>торец+стойка</t>
  </si>
  <si>
    <t>тест ДМП супервреш</t>
  </si>
  <si>
    <t>26.06.2014-01.08.2014</t>
  </si>
  <si>
    <t xml:space="preserve">  Перчатки Бонус M (144)/  Перчатки Бонус L (144)</t>
  </si>
  <si>
    <t>26.06.2014-07.07.2014</t>
  </si>
  <si>
    <t>12.08-24.08</t>
  </si>
  <si>
    <t>30/06-30/06</t>
  </si>
  <si>
    <t>01/07-31/07</t>
  </si>
  <si>
    <t>июльская часть</t>
  </si>
  <si>
    <t>25/07-18/08</t>
  </si>
  <si>
    <t>14/08-25/08</t>
  </si>
  <si>
    <t>Bella Baby Happy delicate lotion (c вит. E) 64 (16)</t>
  </si>
  <si>
    <t>Bella Baby Happy Silk&amp;Cotton 64 (16)</t>
  </si>
  <si>
    <t>Bella Baby Happy Milk&amp;Honey 64 (16)</t>
  </si>
  <si>
    <t>Bella Cotton 80, подушечки косм. круглые (35)  (РФ)</t>
  </si>
  <si>
    <t>18.08.14-30.09.14</t>
  </si>
  <si>
    <t>Мыло жидкое "Детское" нейтральное 280г (16)</t>
  </si>
  <si>
    <t>KPD+SAV</t>
  </si>
  <si>
    <t>10 % реализации за июль KPD+ SAVEX</t>
  </si>
  <si>
    <t>4% от реализации июля</t>
  </si>
  <si>
    <t>Буклет Savex</t>
  </si>
  <si>
    <t>Реализация июль</t>
  </si>
  <si>
    <t>01/08-30/09</t>
  </si>
  <si>
    <t>22/08/14-23/09/14</t>
  </si>
  <si>
    <t>Happy Midi 32 (5-9 кг), (6)_</t>
  </si>
  <si>
    <t xml:space="preserve"> Teo Bebe Sweet Lavender 400г, (22)</t>
  </si>
  <si>
    <t xml:space="preserve"> Teo Bebe Tender Aloe 400г,  (22)</t>
  </si>
  <si>
    <t>26.08.14-12.09.14</t>
  </si>
  <si>
    <t>26.08.14-30.09.14</t>
  </si>
  <si>
    <t>25.08.14-30.09.14</t>
  </si>
  <si>
    <t>допполка тест SAVEX</t>
  </si>
  <si>
    <t>ретробонус (7% июль)</t>
  </si>
  <si>
    <t>ЗМ Торг</t>
  </si>
  <si>
    <t>Прима сервис</t>
  </si>
  <si>
    <t>ретробонус июль</t>
  </si>
  <si>
    <t>Простор Трейд</t>
  </si>
  <si>
    <t>ДМП салфетки</t>
  </si>
  <si>
    <t>ДМП SENI</t>
  </si>
  <si>
    <t>11% отгрузок июль</t>
  </si>
  <si>
    <t>8% отгрузок Июоб</t>
  </si>
  <si>
    <t>01/09-30/09</t>
  </si>
  <si>
    <t>5% от продаж июль</t>
  </si>
  <si>
    <t>FS+KPD</t>
  </si>
  <si>
    <t>5% от реализации Pufies + Салфетки</t>
  </si>
  <si>
    <t>FS+Весна</t>
  </si>
  <si>
    <t>5% Savex + Весна</t>
  </si>
  <si>
    <t xml:space="preserve"> 2 ДМП БОНУС</t>
  </si>
  <si>
    <t>ДМП Влажка</t>
  </si>
  <si>
    <t>2ДМП +Полка PUFIES</t>
  </si>
  <si>
    <t>29.08-30.09</t>
  </si>
  <si>
    <t>04/09-15/09</t>
  </si>
  <si>
    <t>Bella платочки №1 (24) (У)</t>
  </si>
  <si>
    <t>09/09-24/09</t>
  </si>
  <si>
    <t>Bella For Teens Ultra Energy deo 10 (30) (У)</t>
  </si>
  <si>
    <t>Bella For Teens Ultra Relax deo 10 (30) (У)</t>
  </si>
  <si>
    <t>Bella For Teens Ultra Sensitive 10 (30) (У)</t>
  </si>
  <si>
    <t>2 ДМП</t>
  </si>
  <si>
    <t>Ретробонус FS подгузник</t>
  </si>
  <si>
    <t>Ретробонус FS порошок</t>
  </si>
  <si>
    <t>Bella Baby Happy  60*90 (5 шт), (12)_</t>
  </si>
  <si>
    <t>15/09/14-18/10/14</t>
  </si>
  <si>
    <t>Bella Panty Soft 20 WHITE (30) (РФ)</t>
  </si>
  <si>
    <t xml:space="preserve">  Салфетки для уборки вискозные Бонус 4+1 (38)</t>
  </si>
  <si>
    <t>01/08-31/10</t>
  </si>
  <si>
    <t xml:space="preserve">  Перчатки Бонус L (60)</t>
  </si>
  <si>
    <t xml:space="preserve">  Перчатки Бонус M (60)</t>
  </si>
  <si>
    <t>6% от реализации</t>
  </si>
  <si>
    <t>7% от TZMO</t>
  </si>
  <si>
    <t>24.07.2014-14.08.2014</t>
  </si>
  <si>
    <t>16.04.2014-31.07.2014</t>
  </si>
  <si>
    <t xml:space="preserve">  Пакеты для мусора 45х55/35л 30 (черные) (70)/  Пакеты для мусора 45х55/35л 30 (синие) (70)</t>
  </si>
  <si>
    <t>28.07.2014-30.08.2014</t>
  </si>
  <si>
    <t>Белмаркет (вся сеть)</t>
  </si>
  <si>
    <t>28.07.2014-31.08.2014</t>
  </si>
  <si>
    <t>15/09-29/09/2014</t>
  </si>
  <si>
    <t>22/09-06/10/2014</t>
  </si>
  <si>
    <t>Bella Panty Mini 30 WHITE (44) (РФ)</t>
  </si>
  <si>
    <t>Март Инн Фуд Филиал (г.Бобруйск)</t>
  </si>
  <si>
    <t>11/09-30/09</t>
  </si>
  <si>
    <t>23/09-21/10</t>
  </si>
  <si>
    <t>23.09.14-31.10.14</t>
  </si>
  <si>
    <t>ретро август</t>
  </si>
  <si>
    <t>4 ДМП август FS</t>
  </si>
  <si>
    <t>Паста для рук Dr. Max New 500г. (16)</t>
  </si>
  <si>
    <t>25/09-31/10</t>
  </si>
  <si>
    <t>26/09-06/10</t>
  </si>
  <si>
    <t>Happy Mini Air  38 (3-6 кг),  (6)_</t>
  </si>
  <si>
    <t>Happy Start Newborn Air 25 (2-5 кг), (15)</t>
  </si>
  <si>
    <t>26/09-21/10</t>
  </si>
  <si>
    <t>Bella Panty aroma Energy 80+20 (16)</t>
  </si>
  <si>
    <t>Bella Panty aroma Fresh 80+20 (16)</t>
  </si>
  <si>
    <t>Bella Classic Nova drainette 15+5 (24)</t>
  </si>
  <si>
    <t>Bella Nova softiplait Air  15+5 (24)</t>
  </si>
  <si>
    <t>Bella Baby Happy  60*90 (10 шт), (8)_</t>
  </si>
  <si>
    <t>26/09-31/10</t>
  </si>
  <si>
    <t>26/09-15/10</t>
  </si>
  <si>
    <t xml:space="preserve"> Teo Bebe Sweet Lavender 2,4кг, (6)</t>
  </si>
  <si>
    <t>10% ретробонус</t>
  </si>
  <si>
    <t>закрыто актами взаимозачета</t>
  </si>
  <si>
    <t>буклет TEO BEBE</t>
  </si>
  <si>
    <t>11% Савекс</t>
  </si>
  <si>
    <t>11% Pufies</t>
  </si>
  <si>
    <t>8% TZMO</t>
  </si>
  <si>
    <t>5% отгрузка Super Fresh</t>
  </si>
  <si>
    <t>3 ДМП SENI</t>
  </si>
  <si>
    <t>ретробонус август</t>
  </si>
  <si>
    <t>Bella Classic Nova Maxi drainette 10+5 (15) (РФ)</t>
  </si>
  <si>
    <t>25.08.2014-30.09.2014</t>
  </si>
  <si>
    <t>Super Fresh 15 (весь ассортимент кроме "для детей и мам")</t>
  </si>
  <si>
    <t>ДМП КПД</t>
  </si>
  <si>
    <t>2 стойки + 1 полка</t>
  </si>
  <si>
    <t>Fs + KPD</t>
  </si>
  <si>
    <t>5 % реализация PUF + Влажные салфетки</t>
  </si>
  <si>
    <t>5% реализации TZMO</t>
  </si>
  <si>
    <t>5% Реализации Весна</t>
  </si>
  <si>
    <t>2 стойки 500 USD</t>
  </si>
  <si>
    <t>стойка KPD 200 USD</t>
  </si>
  <si>
    <t>аренда места</t>
  </si>
  <si>
    <t>стойка Весна 450</t>
  </si>
  <si>
    <t>стойка + торец влажные салфетки</t>
  </si>
  <si>
    <t>Ретробонус Savex</t>
  </si>
  <si>
    <t>Ретробонус Pufies</t>
  </si>
  <si>
    <t>4 ДМП</t>
  </si>
  <si>
    <t>листовка весна</t>
  </si>
  <si>
    <t>ретробонус Сентябрь</t>
  </si>
  <si>
    <t>14/10-28/10</t>
  </si>
  <si>
    <t>15/10-30/11</t>
  </si>
  <si>
    <t>10/10-28/10</t>
  </si>
  <si>
    <t>Чумак</t>
  </si>
  <si>
    <t>ПромТраст энд КО</t>
  </si>
  <si>
    <t>Шлык</t>
  </si>
  <si>
    <t>ретробонус сентябрь</t>
  </si>
  <si>
    <t>без НДС</t>
  </si>
  <si>
    <t>17/09/14-30/11/14</t>
  </si>
  <si>
    <t>21.10.14-10.11.14</t>
  </si>
  <si>
    <t>21/10-11/11</t>
  </si>
  <si>
    <t>24/10-11/11</t>
  </si>
  <si>
    <t>все</t>
  </si>
  <si>
    <t>буклет Хэппи</t>
  </si>
  <si>
    <t>8% ретробонус</t>
  </si>
  <si>
    <t>28/10/14-30/11/14</t>
  </si>
  <si>
    <t>Мыло туалетное "Детское" нейтральное 4x75г (24)</t>
  </si>
  <si>
    <t>22/09-06/11/2014</t>
  </si>
  <si>
    <t>05.11.14-30.11.14</t>
  </si>
  <si>
    <t>05.112014.-.24.11.2014</t>
  </si>
  <si>
    <t>!Акция! Bella Cotton 80, подушечки косм. круглые (35)  (РФ)_</t>
  </si>
  <si>
    <t>ретробонгус август</t>
  </si>
  <si>
    <t>стойка влажка</t>
  </si>
  <si>
    <t>стойка бонус</t>
  </si>
  <si>
    <t>полка</t>
  </si>
  <si>
    <t>ДМП 2 шт</t>
  </si>
  <si>
    <t>SAVEX ретро 5%</t>
  </si>
  <si>
    <t>5%Ретро TZMO</t>
  </si>
  <si>
    <t>5%Ретро БОНУС</t>
  </si>
  <si>
    <t>5%Ретро ВЛАЖКА</t>
  </si>
  <si>
    <t>17/09-07/11</t>
  </si>
  <si>
    <t>10/11/2014-02/12/2014</t>
  </si>
  <si>
    <t>11.11.2014.-.01.12.2014</t>
  </si>
  <si>
    <t>Bella Herbs Tilia drainette 10 (32) (РФ)</t>
  </si>
  <si>
    <t>ретробнус</t>
  </si>
  <si>
    <t>Ретро SAVEX</t>
  </si>
  <si>
    <t>Ретро Pufies</t>
  </si>
  <si>
    <t>ДМП Тео BEBE</t>
  </si>
  <si>
    <t>14.11.14-31.12.14</t>
  </si>
  <si>
    <t>КАМ1</t>
  </si>
  <si>
    <t>17/11/14-17/12/14</t>
  </si>
  <si>
    <t xml:space="preserve"> Pufies Mini 24 (3-6 кг), (5)</t>
  </si>
  <si>
    <t xml:space="preserve"> Pufies Midi 22 (4-9 кг), (5)</t>
  </si>
  <si>
    <t xml:space="preserve"> Pufies Maxi 20 (7-18 кг), (5)</t>
  </si>
  <si>
    <t xml:space="preserve"> Pufies Junior 16 (11-25 кг), (5)</t>
  </si>
  <si>
    <t xml:space="preserve"> Pufies Fashion Collection Mini 86 (3-6 кг), (2)</t>
  </si>
  <si>
    <t>01.09.2014-31.10.2014</t>
  </si>
  <si>
    <t>15.09.2014-18.10.2014</t>
  </si>
  <si>
    <t>19.11.2014.-09.12.2014</t>
  </si>
  <si>
    <t>20/11-09/12</t>
  </si>
  <si>
    <t>24.11.14-8.12.14</t>
  </si>
  <si>
    <t>25/11-08/12/2014</t>
  </si>
  <si>
    <t>ретробонус SAVEX</t>
  </si>
  <si>
    <t>ретробонус PUFIES</t>
  </si>
  <si>
    <t>ДМП перчатки</t>
  </si>
  <si>
    <t>25/11/2014-31/12/2014</t>
  </si>
  <si>
    <t>25/11/14-16/12/14</t>
  </si>
  <si>
    <t>SENI SOFT  40*60 (30), (4)</t>
  </si>
  <si>
    <t>SENI SOFT 60*60 (30), (4)</t>
  </si>
  <si>
    <t>Клиент (сеть)</t>
  </si>
  <si>
    <t>Позиции</t>
  </si>
  <si>
    <t>ретробонус октябрь</t>
  </si>
  <si>
    <t>ДМП ноябрь Pufies</t>
  </si>
  <si>
    <t>ДМП ноябрь Savex</t>
  </si>
  <si>
    <t>ДМП хозтовары</t>
  </si>
  <si>
    <t>ДМП влажка</t>
  </si>
  <si>
    <t>ретробонус хозтовары</t>
  </si>
  <si>
    <t>Bella Classic Nova Maxi drainette 10+5 (15) (РФ)/Bella Cotton 100, подушечки косм. круглые (35)  (РФ)</t>
  </si>
  <si>
    <t>Bella For Teens deo 20 (3 SKU в ассортименте)</t>
  </si>
  <si>
    <t>Pufies small/Pufies FC/Пакеты для мусора/фольга/пергамент/капля VOX/RoyalOrchid/Bella For Teens Ultra Sensitive 10</t>
  </si>
  <si>
    <t>Pufies Giant (в ассортименте)</t>
  </si>
  <si>
    <t>Happy Mega/Super Fresh/Bella Herbs/Мыло туалетное/Мыло жидкое</t>
  </si>
  <si>
    <t xml:space="preserve">Bella For Teens Ultra deo 10 (3 SKU  в ассортименте) </t>
  </si>
  <si>
    <t xml:space="preserve">  Перчатки Бонус L (60)/  Перчатки Бонус M (60)</t>
  </si>
  <si>
    <t>SENI SOFT 60*60 (30), (4)/SENI SOFT  40*60 (30), (4)</t>
  </si>
  <si>
    <t>Panty aroma 80+20/Bella Herbs Tilia</t>
  </si>
  <si>
    <t xml:space="preserve"> Pufies Maxi 70 (7-18 кг), (2)/ Pufies Junior 58 (11-25 кг), (2)</t>
  </si>
  <si>
    <t>Мыло жидкое "Детское" нейтральное 280г (16)/Крем-мыло жидкое "Детское" с экстрактом ромашки 280г (15)</t>
  </si>
  <si>
    <t>28/11-31/12</t>
  </si>
  <si>
    <t xml:space="preserve"> Savex Color Brigthness (для машинной стирки), 2кг,  (8)</t>
  </si>
  <si>
    <t xml:space="preserve"> Savex 2 в 1 White Tiara Flower (для машинной стирки), 2кг,  (8)/ Savex Color Brightness (для машинной стирки), 2кг,  (8)</t>
  </si>
  <si>
    <t>ретробонус влажка</t>
  </si>
  <si>
    <t>ДМП HAPPY</t>
  </si>
  <si>
    <t>РетроХэппи</t>
  </si>
  <si>
    <t>Ретробонус KPD</t>
  </si>
  <si>
    <t>Ретробонус TZMO + 200 листовка</t>
  </si>
  <si>
    <t>Panty aroma 80+20/Bella платочки универсальные двухслойные №1 100+50 (25)</t>
  </si>
  <si>
    <t>!!!!!!</t>
  </si>
  <si>
    <t>03.12.2014.-22.12.2014</t>
  </si>
  <si>
    <t>Bella Panty Soft 60 WHITE (12) (РФ)</t>
  </si>
  <si>
    <t>Bella Panty Slim Black&amp;White Air 40, (12)</t>
  </si>
  <si>
    <t>Pefecta 10+2; PANTY SOFT 60; SLIM B@W</t>
  </si>
  <si>
    <t>ДМП TEO</t>
  </si>
  <si>
    <t>ретро Pufies</t>
  </si>
  <si>
    <t>08/12/14-07/01/15</t>
  </si>
  <si>
    <t>Шампунь "Детский" с экстрактом календулы 280г (16)</t>
  </si>
  <si>
    <t>Средство для купания "Детское" 3 в 1 280г (16)</t>
  </si>
  <si>
    <t>Пена для купания "Детская" с экстрактом череды 280г (16)</t>
  </si>
  <si>
    <t>Крем-мыло жидкое "Детское" с экстрактом череды 280г (15)</t>
  </si>
  <si>
    <t>Bella Panty aroma Fresh 50+10 (12)</t>
  </si>
  <si>
    <t>Ср-во для купания+Салфетки для уборки + Super Fresh 72</t>
  </si>
  <si>
    <t>ДМП и полка Биггз для KPD</t>
  </si>
  <si>
    <t>беклет</t>
  </si>
  <si>
    <t>Стойки вл салфетки</t>
  </si>
  <si>
    <t>Стоки хоз товары</t>
  </si>
  <si>
    <t>11.12.2014.-06.01.2015</t>
  </si>
  <si>
    <t>Bella Baby Happy  60*90 (1 шт), (15)</t>
  </si>
  <si>
    <t>16/12-12/01/2015</t>
  </si>
  <si>
    <t>Bella Nova Maxi softiplait 18 (16)</t>
  </si>
  <si>
    <t>Bella Nova Maxi 18 (16)  (РФ)</t>
  </si>
  <si>
    <t>ретро ноябрь</t>
  </si>
  <si>
    <t>ретро FS</t>
  </si>
  <si>
    <t>ретро Savex</t>
  </si>
  <si>
    <t>Ома</t>
  </si>
  <si>
    <t>Стойки KPD (3 месяца)</t>
  </si>
  <si>
    <t>ретро KPD</t>
  </si>
  <si>
    <t>Шампунь "Детский" с экстрактом ромашки 280г (16)</t>
  </si>
  <si>
    <t>Ретробонус TZMO</t>
  </si>
  <si>
    <t>газета SAVEX</t>
  </si>
  <si>
    <t>Ретробонус TZMO HAPPY</t>
  </si>
  <si>
    <t>30.12.2014.-03.02.2015</t>
  </si>
  <si>
    <t>Гигиенические тампоны без аппликатора Bella Tampo Regular 8 (40)</t>
  </si>
  <si>
    <t>Гигиенические тампоны без аппликатора Bella Tampo Super 8 (40)</t>
  </si>
  <si>
    <t>Гигиенические тампоны без аппликатора Bella Tampo Super Plus 8 (40)</t>
  </si>
  <si>
    <t>ретро TEO</t>
  </si>
  <si>
    <t>ретро SUPERFRESH</t>
  </si>
  <si>
    <t>ретро HH</t>
  </si>
  <si>
    <t>прикассовая зона</t>
  </si>
  <si>
    <t>размещение кархины</t>
  </si>
  <si>
    <t>ретробонус 4%</t>
  </si>
  <si>
    <t>8% отгрузок</t>
  </si>
  <si>
    <t>ретро по Бонусу (2%)</t>
  </si>
  <si>
    <t>ретро бо SF (10%)</t>
  </si>
  <si>
    <t>Ретро Savex 10%</t>
  </si>
  <si>
    <t>Ретро PUF 10%</t>
  </si>
  <si>
    <t>htnhj 11% PUF</t>
  </si>
  <si>
    <t>7% отгрузок</t>
  </si>
  <si>
    <t>2 домполки + торец</t>
  </si>
  <si>
    <t>УСС</t>
  </si>
  <si>
    <t>допместа</t>
  </si>
  <si>
    <t>2% ретробонуса квартал</t>
  </si>
  <si>
    <t>3% ретробонуса ме5сяц</t>
  </si>
  <si>
    <t>3% Ретрбонус KPD</t>
  </si>
  <si>
    <t>8% Ретро ltncrbt bpltkbz</t>
  </si>
  <si>
    <t>Торец (4 шт)</t>
  </si>
  <si>
    <t>28.01.14.-.03.03.14</t>
  </si>
  <si>
    <t>02.02.2015-22.02.2015</t>
  </si>
  <si>
    <t>05.02.-11.02</t>
  </si>
  <si>
    <t>06.02.-24.0215</t>
  </si>
  <si>
    <t>13.02.-03.03</t>
  </si>
  <si>
    <t>Bella Cotton 120, подушечки косм. круглые (40)</t>
  </si>
  <si>
    <t>Bella Cotton 100, палочки в полиэт. (70) (РФ)</t>
  </si>
  <si>
    <t>6% Ретро TZMO</t>
  </si>
  <si>
    <t>торец+допполка BIGGZ</t>
  </si>
  <si>
    <t xml:space="preserve">5% от реализации Pufies </t>
  </si>
  <si>
    <t>7% от реализации SAVEX</t>
  </si>
  <si>
    <t>6% ретробонус</t>
  </si>
  <si>
    <t>7% ретро TZMO</t>
  </si>
  <si>
    <t>беуклет</t>
  </si>
  <si>
    <t>стойка 150 USD салфетки</t>
  </si>
  <si>
    <t>полки FS</t>
  </si>
  <si>
    <t>5% отгрузок</t>
  </si>
  <si>
    <t>5% влажка KPD</t>
  </si>
  <si>
    <t>хозтовары KPD</t>
  </si>
  <si>
    <t>5% ретробонус SAVEX</t>
  </si>
  <si>
    <t>стойка хозтовары</t>
  </si>
  <si>
    <t>листинг бытхимия</t>
  </si>
  <si>
    <t>12.12.15-31.03.15</t>
  </si>
  <si>
    <t>3% ретробонус</t>
  </si>
  <si>
    <t>(2000000 торец + 280 000 ретро )</t>
  </si>
  <si>
    <t>17/02-15/03/15</t>
  </si>
  <si>
    <t>Крем-мыло туалетное "Детское" с экстрактом череды 4x75г (24)</t>
  </si>
  <si>
    <t>Мыло хозяйственное классическое 72% 140г (44)</t>
  </si>
  <si>
    <t>19.02-03.03</t>
  </si>
  <si>
    <t>23.02.2015-09.03.2015</t>
  </si>
  <si>
    <t>23.02.2015-31/03/2015</t>
  </si>
  <si>
    <t>23.02.15-16.03.2015</t>
  </si>
  <si>
    <t>24.02.15-31.03.15</t>
  </si>
  <si>
    <t>27.02-16.03</t>
  </si>
  <si>
    <t>7% ретро SAVEX</t>
  </si>
  <si>
    <t>буклет + остаток ретро</t>
  </si>
  <si>
    <t>Буклет + акция</t>
  </si>
  <si>
    <t>4 торца SAVEX</t>
  </si>
  <si>
    <t>акция платочки</t>
  </si>
  <si>
    <t>02.13.15-31.03.15</t>
  </si>
  <si>
    <t>ТВК Ритейл (г.Минск)</t>
  </si>
  <si>
    <t>5% от салфеток</t>
  </si>
  <si>
    <t>5% хозтовары KPD</t>
  </si>
  <si>
    <t>5% Savex + TEO</t>
  </si>
  <si>
    <t>стойка салфетки</t>
  </si>
  <si>
    <t>полки Pufies</t>
  </si>
  <si>
    <t>стойки хозтовары</t>
  </si>
  <si>
    <t>2 торца + полка</t>
  </si>
  <si>
    <t>09.03.2015-26.03.2015</t>
  </si>
  <si>
    <t>12.03.15-30.04.15</t>
  </si>
  <si>
    <t>3% ретро</t>
  </si>
  <si>
    <t>5% ретро Pufies</t>
  </si>
  <si>
    <t>2700000 ДМП+320000 ретробонус</t>
  </si>
  <si>
    <t>4% ретробонуса</t>
  </si>
  <si>
    <t>Bella Baby Happy  60*90 (10 шт), (8) (РФ)</t>
  </si>
  <si>
    <t>18.03.15-30.04.15</t>
  </si>
  <si>
    <t>18.03.2015-06.04.2015</t>
  </si>
  <si>
    <t>Простор-Трейд ЗАО (г. Минск)</t>
  </si>
  <si>
    <t>20.03.2015-14.04.2015</t>
  </si>
  <si>
    <t>20.03.15-30.04.15</t>
  </si>
  <si>
    <t>Seni Lady Extra 15 (16)</t>
  </si>
  <si>
    <t>Seni Lady Plus 15 (16)</t>
  </si>
  <si>
    <t>SENI SOFT 60*60 (30), (4) (РФ)</t>
  </si>
  <si>
    <t>SENI SOFT  90*60 (30), (2)</t>
  </si>
  <si>
    <t>SENI SOFT  90*60 (30), (2) (РФ)</t>
  </si>
  <si>
    <t>27.03.2015-16.04.2015</t>
  </si>
  <si>
    <t>12.03.2015-01.04.2015</t>
  </si>
  <si>
    <t>30.03.15-30.04.15</t>
  </si>
  <si>
    <t>30.03.2015-28.04.2015</t>
  </si>
  <si>
    <t>Happy Mini Air  78, (3-6 кг),  (3)_</t>
  </si>
  <si>
    <t xml:space="preserve"> Savex 2 в 1 Summer Time (для машинной стирки), 2кг,  (8)</t>
  </si>
  <si>
    <t>5% ретробонуса</t>
  </si>
  <si>
    <t>стойка хозтовары 2 шт</t>
  </si>
  <si>
    <t>5% ретро хозтовары</t>
  </si>
  <si>
    <t>буклет Pufies</t>
  </si>
  <si>
    <t>буклет Bella</t>
  </si>
  <si>
    <t>5% ретро салфетки</t>
  </si>
  <si>
    <t>6% ретро TZMO</t>
  </si>
  <si>
    <t>Pufies полки</t>
  </si>
  <si>
    <t>салфетки стойка KPD</t>
  </si>
  <si>
    <t>булкет TZMO</t>
  </si>
  <si>
    <t>переоценка остатков</t>
  </si>
  <si>
    <t>5% ретробонус Биосфера</t>
  </si>
  <si>
    <t>2 листовки</t>
  </si>
  <si>
    <t>буклет TZMO</t>
  </si>
  <si>
    <t>Наностар</t>
  </si>
  <si>
    <t>тест</t>
  </si>
  <si>
    <t>стоqки KPD</t>
  </si>
  <si>
    <t>09.03.2015-06.04.2015</t>
  </si>
  <si>
    <t>26.03.2015-30.04.2015</t>
  </si>
  <si>
    <t>03.04.2015-20.04.2015</t>
  </si>
  <si>
    <t>02.04.2015-16.04.2015</t>
  </si>
  <si>
    <t>02.04.2015-21.04.2015</t>
  </si>
  <si>
    <t>08.04.2015-28.04.2015</t>
  </si>
  <si>
    <t>5% от Pufies</t>
  </si>
  <si>
    <t>7% от SAVEX</t>
  </si>
  <si>
    <t>2% ретро</t>
  </si>
  <si>
    <t>3% ретро месяц</t>
  </si>
  <si>
    <t>2% ретро квартал</t>
  </si>
  <si>
    <t>14.04.2015-08.05.2015</t>
  </si>
  <si>
    <t>2 стойки KPD хоз группа</t>
  </si>
  <si>
    <t>16.04.2015-20.05.2015</t>
  </si>
  <si>
    <t>16.04.2015-06.05.2015</t>
  </si>
  <si>
    <t>16.04.2015-04.05.2015</t>
  </si>
  <si>
    <t>Bella Baby Happy sensitive 56 (16)</t>
  </si>
  <si>
    <t>31.03.15-30.05.15</t>
  </si>
  <si>
    <t>оборудование</t>
  </si>
  <si>
    <t>4%; ретробонуса</t>
  </si>
  <si>
    <t>24.04.2015-31.05.2015</t>
  </si>
  <si>
    <t>5% ретро SAVEX</t>
  </si>
  <si>
    <t>6% ретро</t>
  </si>
  <si>
    <t>5% ретро салофетки</t>
  </si>
  <si>
    <t>27.04.2015-31.05.2015</t>
  </si>
  <si>
    <t>28.04.2015-19.05.2015</t>
  </si>
  <si>
    <t>ретро салфетки</t>
  </si>
  <si>
    <t>допместа BELLA (4 шт)</t>
  </si>
  <si>
    <t>допместа SENI (4 шт)</t>
  </si>
  <si>
    <t>домпесто KPD</t>
  </si>
  <si>
    <t>буклет PUFIES</t>
  </si>
  <si>
    <t>16.04.2015-27.05.2015</t>
  </si>
  <si>
    <t>11.05.2015-20.06.2015</t>
  </si>
  <si>
    <t>Bella Panty Mini 30 WHITE (44)</t>
  </si>
  <si>
    <t>торец KPD</t>
  </si>
  <si>
    <t>ретроюонус</t>
  </si>
  <si>
    <t>12.05.2015-26.05.2015</t>
  </si>
  <si>
    <t>12.05.2015-03.06.2015</t>
  </si>
  <si>
    <t>5% Pufies</t>
  </si>
  <si>
    <t>7% Savex</t>
  </si>
  <si>
    <t>14.05.2015-29.05.2015</t>
  </si>
  <si>
    <t>мерчи Pufies</t>
  </si>
  <si>
    <t>мерчи Savex</t>
  </si>
  <si>
    <t>18.05.15-30.06.15</t>
  </si>
  <si>
    <t>БелМаркетКомпани ИООО ф-л в г. Могилеве</t>
  </si>
  <si>
    <t>20.05.15-30.06.15</t>
  </si>
  <si>
    <t>20.05.2015-05.05.2015</t>
  </si>
  <si>
    <t>Постторг ОАО  (г. Минск)</t>
  </si>
  <si>
    <t xml:space="preserve">  Super Fresh (для детей и мам) 15 (120)</t>
  </si>
  <si>
    <t>SUPER SENI AIR EXTRA LARGE 10, (6)</t>
  </si>
  <si>
    <t>SUPER SENI AIR EXTRA LARGE 10, (6) (РФ)</t>
  </si>
  <si>
    <t>SUPER SENI AIR LARGE 10, (6)</t>
  </si>
  <si>
    <t>SUPER SENI AIR LARGE 10, (6) (РФ)</t>
  </si>
  <si>
    <t>SUPER SENI AIR MEDIUM 10, (12)</t>
  </si>
  <si>
    <t>SUPER SENI AIR MEDIUM 10, (12) (РФ)</t>
  </si>
  <si>
    <t>SUPER SENI AIR SMALL 10, (12)</t>
  </si>
  <si>
    <t>SUPER SENI AIR LARGE 30, (4) (РФ)</t>
  </si>
  <si>
    <t>SUPER SENI AIR MEDIUM 30, (4) (РФ)</t>
  </si>
  <si>
    <t>SENI SOFT  90*60 (5), (12)</t>
  </si>
  <si>
    <t xml:space="preserve">SENI SOFT  90*60 (5), (12) (РФ) </t>
  </si>
  <si>
    <t>SENI SOFT  60*60 (5), (24)</t>
  </si>
  <si>
    <t>SENI SOFT  60*60 (5), (24) (РФ)</t>
  </si>
  <si>
    <t>SENI SOFT  40*60 (5), (24)</t>
  </si>
  <si>
    <t>25.05.2015-08.06.2015</t>
  </si>
  <si>
    <t>Seni Lady Super 15 (16)</t>
  </si>
  <si>
    <t>Bella Cotton 100, палочки в пластике (72)  (РФ)</t>
  </si>
  <si>
    <t>Bella Cotton 200, палочки в пластике (48)  (РФ)</t>
  </si>
  <si>
    <t>Bella Cotton 80, подушечки косм. круглые (35)</t>
  </si>
  <si>
    <t>SUPER SENI AIR EXTRA LARGE 30, (4)</t>
  </si>
  <si>
    <t>SUPER SENI AIR EXTRA LARGE 30, (4) (РФ)</t>
  </si>
  <si>
    <t>SENI SOFT  90*60 (5), (12) (РФ)</t>
  </si>
  <si>
    <t>4 торца TEO BEBE</t>
  </si>
  <si>
    <t>окошко подгузники PUFIES</t>
  </si>
  <si>
    <t>окошко подгузники HAPPY</t>
  </si>
  <si>
    <t>Super Fresh  ретробонус</t>
  </si>
  <si>
    <t>Окошко гигиена</t>
  </si>
  <si>
    <t>28.05.2015-30.06.2015</t>
  </si>
  <si>
    <t>27.05.15-30.06.15</t>
  </si>
  <si>
    <t>29.05.2015-30.06.2015</t>
  </si>
  <si>
    <t xml:space="preserve"> Savex Color Brightness 1,5L (6)</t>
  </si>
  <si>
    <t>08.06.2015-30.06.2015</t>
  </si>
  <si>
    <t>Bella Classic Nova Maxi drainette 10+5 (16) (РФ)</t>
  </si>
  <si>
    <t>5% отгрузки влажные салфетки</t>
  </si>
  <si>
    <t>5% отгрузки хозтовары</t>
  </si>
  <si>
    <t>6% реализация</t>
  </si>
  <si>
    <t>Pufies 2 полки</t>
  </si>
  <si>
    <t>3 стойки влажка 500 USD</t>
  </si>
  <si>
    <t>5% ретро SAvex</t>
  </si>
  <si>
    <t>Весна+ KPD</t>
  </si>
  <si>
    <t>400 торец весна + 690 торец KPD</t>
  </si>
  <si>
    <t>26.05.2015-01.07.2015</t>
  </si>
  <si>
    <t>SENI ACTIVE EXTRA LARGE 10, (8)</t>
  </si>
  <si>
    <t>SENI ACTIVE LARGE 10, (8)</t>
  </si>
  <si>
    <t>SENI ACTIVE MEDIUM 10, (8)</t>
  </si>
  <si>
    <t>16.06.2015-07.07.2015</t>
  </si>
  <si>
    <t>18.06.15-31.07.15</t>
  </si>
  <si>
    <t>22.06.2015-06.07.2015</t>
  </si>
  <si>
    <t>23.06.2015-25.07.2015</t>
  </si>
  <si>
    <t xml:space="preserve">  Салфетки целлюлозные для уборки Бонус 2 (72)</t>
  </si>
  <si>
    <t xml:space="preserve"> Savex 2 в 1 Fresh (для машинной стирки), 300г,  (22)</t>
  </si>
  <si>
    <t>23.06.2015-31.07.2015</t>
  </si>
  <si>
    <t>5% от реализации влажка</t>
  </si>
  <si>
    <t>2 стойки KPD 300 уе</t>
  </si>
  <si>
    <t>5% от реализации хозтовары</t>
  </si>
  <si>
    <t>5% от реализации Savex</t>
  </si>
  <si>
    <t>6%  от отгрузок</t>
  </si>
  <si>
    <t>окошко в буклете</t>
  </si>
  <si>
    <t>компенсация день детей</t>
  </si>
  <si>
    <t>5% ретро</t>
  </si>
  <si>
    <t>4 паллеты Pufies 4*600</t>
  </si>
  <si>
    <t>4 паллеты SENI 4*600</t>
  </si>
  <si>
    <t>2 окошка +775000 переоцекнка (PERF+HAPPY)</t>
  </si>
  <si>
    <t>25.06.2015-14.07.2015</t>
  </si>
  <si>
    <t>Bella For Teens Ultra Energy deo 10 (36) (У)_</t>
  </si>
  <si>
    <t>Bella For Teens Ultra Relax deo 10 (36) (У)_</t>
  </si>
  <si>
    <t>Bella For Teens Ultra Sensitive 10 (36) (У)_</t>
  </si>
  <si>
    <t>26.06.2015-27.07.2015</t>
  </si>
  <si>
    <t>УНИВЕРСАМ ЩЕТОВКА ЗАО(г.Минск)</t>
  </si>
  <si>
    <t>Bella For Teens Ultra Energy deo 10 (30) (У)_</t>
  </si>
  <si>
    <t>Bella For Teens Ultra Relax deo 10 (36) (У)</t>
  </si>
  <si>
    <t>Bella For Teens Ultra Sensitive 10 (30) (У)_</t>
  </si>
  <si>
    <t>место в газете Златка</t>
  </si>
  <si>
    <t>1% мерчандайзинг</t>
  </si>
  <si>
    <t xml:space="preserve">  Super Fresh Ромашка 15 (120)</t>
  </si>
  <si>
    <t xml:space="preserve">  Super Fresh Fruit 15 (120)</t>
  </si>
  <si>
    <t xml:space="preserve">  Super Fresh Green Tea 15 (120)</t>
  </si>
  <si>
    <t>02.07.2015-20.07.2015</t>
  </si>
  <si>
    <t>08.07.2015-28.07.2015</t>
  </si>
  <si>
    <t>Заднепровье</t>
  </si>
  <si>
    <t>Петраускас</t>
  </si>
  <si>
    <t>Bella платочки универсальные двухслойные №1 100+50 (25)_</t>
  </si>
  <si>
    <t>19.06.2015-07.07.2015</t>
  </si>
  <si>
    <t>9% ретробонус</t>
  </si>
  <si>
    <t>компенсация скидки</t>
  </si>
  <si>
    <t>2700000 стока + 480000 4% ретро</t>
  </si>
  <si>
    <t>полка супер + гипер</t>
  </si>
  <si>
    <t>стойки KPD май-июнь</t>
  </si>
  <si>
    <t>3825000 листовка + 26 845 152 4% ретро</t>
  </si>
  <si>
    <t>KPD+Весна</t>
  </si>
  <si>
    <t>10138000 -KPD торец + полка, 6975 000 - весна, торец</t>
  </si>
  <si>
    <t>13.07.2015-04.08.2015</t>
  </si>
  <si>
    <t>08.07.2015-04.08.2015</t>
  </si>
  <si>
    <t>13.07.2015-25.08.2015</t>
  </si>
  <si>
    <t>Bella Perfecta Ultra Blue extra soft 10+2, (36) (У)_</t>
  </si>
  <si>
    <t xml:space="preserve">  Super Fresh Breeze 15 (120)</t>
  </si>
  <si>
    <t xml:space="preserve">  Super Fresh Flower 15 (120)</t>
  </si>
  <si>
    <t>8 815,00</t>
  </si>
  <si>
    <t>8 969,00</t>
  </si>
  <si>
    <t>5 429,00</t>
  </si>
  <si>
    <t>8 168,00</t>
  </si>
  <si>
    <t>3% от закупок</t>
  </si>
  <si>
    <t>21.07.2015-10.08.2015</t>
  </si>
  <si>
    <t>21.07.2015-11.08.2015</t>
  </si>
  <si>
    <t>Bella Perfecta Ultra Green silky drai 10+2, (36) (У)_</t>
  </si>
  <si>
    <t>22.07.2015-18.08.2015</t>
  </si>
  <si>
    <t xml:space="preserve"> Savex 2in1 White Tiara Flower 1,5L (6)</t>
  </si>
  <si>
    <t>окошко FOR TEENS</t>
  </si>
  <si>
    <t>окошко PERFECTA</t>
  </si>
  <si>
    <t>акция FOR TEENS переоценка</t>
  </si>
  <si>
    <t>24.07.2015-31.08.2015</t>
  </si>
  <si>
    <t xml:space="preserve"> Savex 2 in 1 Color (для машинной стирки), 2кг,  (8)</t>
  </si>
  <si>
    <t xml:space="preserve"> Savex 2 in 1 White (для машинной стирки), 2кг,  (8)</t>
  </si>
  <si>
    <t>24.07.2015-14.08.2015</t>
  </si>
  <si>
    <t>ретробонус SAVEX 5%</t>
  </si>
  <si>
    <t>6% ретробонус TZMO</t>
  </si>
  <si>
    <t>листинг FS</t>
  </si>
  <si>
    <t>28.07.2015-17.08.2015</t>
  </si>
  <si>
    <t>стойки KPD  2 шт</t>
  </si>
  <si>
    <t>газета Perfecta</t>
  </si>
  <si>
    <t>газета for TEENS</t>
  </si>
  <si>
    <t>03.08.2015-31.08.2015</t>
  </si>
  <si>
    <t xml:space="preserve"> Savex Ocean Flowers (для машинной стирки), 300г,  (22)</t>
  </si>
  <si>
    <t xml:space="preserve"> Savex 2 в 1 Color (для машинной стирки), 300г,  (22)</t>
  </si>
  <si>
    <t xml:space="preserve"> Savex Ocean Flowers (для машинной стирки), 2кг,  (8)</t>
  </si>
  <si>
    <t xml:space="preserve"> Savex 2 in 1 Fresh (для машинной стирки), 2кг,  (8)</t>
  </si>
  <si>
    <t>Bella Panty Soft 20 WHITE (30)</t>
  </si>
  <si>
    <t>Ср-во для мытья посуды "Капля VOX лесные ягоды" 500г (15)</t>
  </si>
  <si>
    <t>Bella Herbs Verbena drainette 10 (32) (РФ)</t>
  </si>
  <si>
    <t>E'Vita ватные подушечки 100 (35)  (РФ)</t>
  </si>
  <si>
    <t>06.08.2015-25.08.2015</t>
  </si>
  <si>
    <t>ретро SAVEX</t>
  </si>
  <si>
    <t>400 торец весна + 390 торец KPD</t>
  </si>
  <si>
    <t>2700000 ДМП + 400000 ретробонус</t>
  </si>
  <si>
    <t>2 буклета</t>
  </si>
  <si>
    <t>переоценка остатков SENI</t>
  </si>
  <si>
    <t>буклет SAVEX</t>
  </si>
  <si>
    <t>17.08.2015-01.09.2015</t>
  </si>
  <si>
    <t>17.08.2015-31.08.2015</t>
  </si>
  <si>
    <t>20.08.2015-08.09.2015</t>
  </si>
  <si>
    <t>19.08.2015-23.09.2015</t>
  </si>
  <si>
    <t>19.08.2015-31.08.2015</t>
  </si>
  <si>
    <t>19.08.15-30.09.15</t>
  </si>
  <si>
    <t>21.08.2015-29.09.2015</t>
  </si>
  <si>
    <t>21.08.2015-25.09.2015</t>
  </si>
  <si>
    <t>Крем "Детский" с экстрактом ромашки 150г (18)</t>
  </si>
  <si>
    <t>Мыло туалетное "Малышам" марки "Детское" 90г (72)</t>
  </si>
  <si>
    <t>27.08.2015-22.09.2015</t>
  </si>
  <si>
    <t>27.08.2015-01.10.2015</t>
  </si>
  <si>
    <t>27.08.2015-15.09.2015</t>
  </si>
  <si>
    <t>Bella Baby Happy  60*90 (5 шт), (12) (РФ)</t>
  </si>
  <si>
    <t>окошко в газете</t>
  </si>
  <si>
    <t>ретробонус 7%</t>
  </si>
  <si>
    <t>4 торца</t>
  </si>
  <si>
    <t>5% ретро быт химия</t>
  </si>
  <si>
    <t>6% отгрузок</t>
  </si>
  <si>
    <t>допполки PUFIES</t>
  </si>
  <si>
    <t>листинг 600/01</t>
  </si>
  <si>
    <t>2 стойки хозтовары</t>
  </si>
  <si>
    <t>03.09.2015-21.09.2015</t>
  </si>
  <si>
    <t>03.09.2015-22.09.2015</t>
  </si>
  <si>
    <t>окошко SAVEX</t>
  </si>
  <si>
    <t>Bella Perfecta Ultra Rose Deo fresh extra soft 10+2, (36) (У)_</t>
  </si>
  <si>
    <t>БЕЛИНТЕРПРОДУКТ СООО (г.Минск)</t>
  </si>
  <si>
    <t>Белинтерпродукт Гродненский филиал (г.Гродно)</t>
  </si>
  <si>
    <t>Белинтерпродукт Могилевский филиал (г.Могилев)</t>
  </si>
  <si>
    <t>Припутник ЗАО (г.Минск)</t>
  </si>
  <si>
    <t>ИСКРИНКА ОДО (г.Минск)</t>
  </si>
  <si>
    <t>ТОРГОВЫЙ ЦЕНТР "УРУЧЬЕ" ОАО (г.Минск)</t>
  </si>
  <si>
    <t>УНИВЕРСАМ ВОЛГОГРАД ЗАО (г.Минск)</t>
  </si>
  <si>
    <t>Невель ЗАО (г.Минск)</t>
  </si>
  <si>
    <t>Звычайны ЗАО (г. Минск)</t>
  </si>
  <si>
    <t>Толми-Бел СООО (г. Минск)</t>
  </si>
  <si>
    <t>1% SAVEX</t>
  </si>
  <si>
    <t>1% Pufies</t>
  </si>
  <si>
    <t>27.08.2015-29.09.2015</t>
  </si>
  <si>
    <t>11.09.2015-22.09.2015</t>
  </si>
  <si>
    <t>14.09.2015-19.10.2015</t>
  </si>
  <si>
    <t>Bella Perfecta Ultra Violet Deo fresh silky drai 10+2, (36) (У)_</t>
  </si>
  <si>
    <t>14.09.2015-28.09.2015</t>
  </si>
  <si>
    <t>6% SAVEX</t>
  </si>
  <si>
    <t>6% Pufies</t>
  </si>
  <si>
    <t>полки КПД 540</t>
  </si>
  <si>
    <t>торец весна 400</t>
  </si>
  <si>
    <t>TZMO листовка</t>
  </si>
  <si>
    <t>440 000 ретро + 2700000 ДМП</t>
  </si>
  <si>
    <t>4275000 листовка + 23919683 ретробонус</t>
  </si>
  <si>
    <t>7 ретро</t>
  </si>
  <si>
    <t xml:space="preserve"> Savex 2 in 1 Color (для машинной стирки), 4кг,  (8)</t>
  </si>
  <si>
    <t xml:space="preserve"> Savex 2 в 1 White (для машинной стирки), 300г,  (22)</t>
  </si>
  <si>
    <t>25.09.2015-31.10.2015</t>
  </si>
  <si>
    <t>29.09.2015-20.10.2015</t>
  </si>
  <si>
    <t>газета TZMO</t>
  </si>
  <si>
    <t>PUF ретро</t>
  </si>
  <si>
    <t>PUF мерчи</t>
  </si>
  <si>
    <t>2 стойки Бонус</t>
  </si>
  <si>
    <t>паллета</t>
  </si>
  <si>
    <t>5% от реализации SAVEX</t>
  </si>
  <si>
    <t>2 окошка SAV</t>
  </si>
  <si>
    <t>переоценка акция</t>
  </si>
  <si>
    <t>4 ДМП бумага</t>
  </si>
  <si>
    <t>superfresh  5% ретро</t>
  </si>
  <si>
    <t>4 ДМП SENI</t>
  </si>
  <si>
    <t>02.10.2015-22.10.2015</t>
  </si>
  <si>
    <t>Белинвестфарма</t>
  </si>
  <si>
    <t>1 полки PUF</t>
  </si>
  <si>
    <t>06.10.2015-09.11.2015</t>
  </si>
  <si>
    <t>Мыло туалетное "Весна" Персик и йогурт 90г (72)</t>
  </si>
  <si>
    <t>E'Vita ватные подушечки 80 (35)  (РФ)</t>
  </si>
  <si>
    <t>ретро 6%</t>
  </si>
  <si>
    <t>08.10.2015-27.10.2015</t>
  </si>
  <si>
    <t>FS ретро SAVEX</t>
  </si>
  <si>
    <t>FS мерчи SAVEX</t>
  </si>
  <si>
    <t>FS Pufies листовка</t>
  </si>
  <si>
    <t>15.10.2015-03.11.2015</t>
  </si>
  <si>
    <t>16.10.2015-03.11.2015</t>
  </si>
  <si>
    <t>ретро</t>
  </si>
  <si>
    <t>540 KPD стойки + 150 весна стойки</t>
  </si>
  <si>
    <t>400000 ретро + 2000000 допместа</t>
  </si>
  <si>
    <t>19.10.2015-03.11.2015</t>
  </si>
  <si>
    <t>19.10.2015-02.1.2015</t>
  </si>
  <si>
    <t>20.10.2015-09.11.2015</t>
  </si>
  <si>
    <t>26.10.2015-30.11.2015</t>
  </si>
  <si>
    <t>7% ретро</t>
  </si>
  <si>
    <t>газета</t>
  </si>
  <si>
    <t>Шинкоренко</t>
  </si>
  <si>
    <t>4% ретро</t>
  </si>
  <si>
    <t>TZMO 900 000 окошко + 375000 переоценка акции</t>
  </si>
  <si>
    <t>Газета Bella</t>
  </si>
  <si>
    <t>4 паллеты Savex</t>
  </si>
  <si>
    <t>взаимозачет</t>
  </si>
  <si>
    <t>4 паллеты Pufies 2 месяца</t>
  </si>
  <si>
    <t>15.10.2015-17.11.2015</t>
  </si>
  <si>
    <t>28.10.2015-16.11.2015</t>
  </si>
  <si>
    <t>Happy Midi 78 (5-9 кг),  (3)</t>
  </si>
  <si>
    <t>28.10.2015-31.11.2015</t>
  </si>
  <si>
    <t>7% мерчи подгузнки</t>
  </si>
  <si>
    <t>1% мерчи</t>
  </si>
  <si>
    <t>5% влажные слафетки</t>
  </si>
  <si>
    <t>4-6% ретро</t>
  </si>
  <si>
    <t>3 стойки салфетки</t>
  </si>
  <si>
    <t>полска Pufies</t>
  </si>
  <si>
    <t>весна + FS</t>
  </si>
  <si>
    <t>Happy Before Newborn 25  (12)</t>
  </si>
  <si>
    <t>Happy Before Newborn 46  (6)_</t>
  </si>
  <si>
    <t>Happy Junior 10, (12-25 кг), (12)_</t>
  </si>
  <si>
    <t>Happy Maxi 12 (8-18 кг),  (12)_</t>
  </si>
  <si>
    <t>Happy Midi 13 (5-9 кг),  (12)_</t>
  </si>
  <si>
    <t>Happy Start Newborn Air 42 (2-5 кг), (6)_</t>
  </si>
  <si>
    <t>13.11.2015-31.11.2015</t>
  </si>
  <si>
    <t>буклеты</t>
  </si>
  <si>
    <t>16.11.2015-21.12.2015</t>
  </si>
  <si>
    <t>Мыло туалетное "Весна" Пион и вишневый цвет 90г (72)</t>
  </si>
  <si>
    <t>E'Vita ватные подушечки 120 (40)  (РФ)</t>
  </si>
  <si>
    <t>500 KPD стойки, 150 весна стойки</t>
  </si>
  <si>
    <t>Белинтерпродукт</t>
  </si>
  <si>
    <t>18.11.2015-7.12.2015</t>
  </si>
  <si>
    <t>20.11.2015-07.12.2015</t>
  </si>
  <si>
    <t>20.11.2015-31.12.2015</t>
  </si>
  <si>
    <t>Seni Care салфетки влажные 80 (8)</t>
  </si>
  <si>
    <t>Seni Lady Extra 15 (16)_</t>
  </si>
  <si>
    <t>Белдарпрод Плюс ООО (г.Минск)</t>
  </si>
  <si>
    <t>23.11.15-04.01.16</t>
  </si>
  <si>
    <t>7%ретро</t>
  </si>
  <si>
    <t>5% рет ро KPD</t>
  </si>
  <si>
    <t>4 паллеты</t>
  </si>
  <si>
    <t>окошко в газете Happy</t>
  </si>
  <si>
    <t>3 окошка + переоценка акции</t>
  </si>
  <si>
    <t>04.12.2015-22.12.2015</t>
  </si>
  <si>
    <t>07.12.2015-14.01.2016</t>
  </si>
  <si>
    <t xml:space="preserve"> Savex Color Brightness 1,3L (6)</t>
  </si>
  <si>
    <t>Ср-во для мытья посуды "Капля VOX яблоко" 500г (15)</t>
  </si>
  <si>
    <t>10.12.2015-04.01.2016</t>
  </si>
  <si>
    <t>06.11.2015-01.01.2016</t>
  </si>
  <si>
    <t>11.12.15-31.12.15</t>
  </si>
  <si>
    <t xml:space="preserve">    Пакеты для мусора 45х55/35л 50 (синие) (50)</t>
  </si>
  <si>
    <t>264 Pufies полка</t>
  </si>
  <si>
    <t>4% ретро TZMO</t>
  </si>
  <si>
    <t>0,5 паллеты весна</t>
  </si>
  <si>
    <t>2 стойки</t>
  </si>
  <si>
    <t>ретро TZMO</t>
  </si>
  <si>
    <t>весна + KPD</t>
  </si>
  <si>
    <t>150 весна, 540 KPD стойки + полка</t>
  </si>
  <si>
    <t>17.12.15-12.01.16</t>
  </si>
  <si>
    <t>17.12.2015-19.01.2015</t>
  </si>
  <si>
    <t>компнсация акции</t>
  </si>
  <si>
    <t>FS + весна</t>
  </si>
  <si>
    <t>4% ретро октябрь/ноябрь</t>
  </si>
  <si>
    <t>2 окошка TZMO</t>
  </si>
  <si>
    <t>окошко</t>
  </si>
  <si>
    <t>24.12.2015-18.01.2016</t>
  </si>
  <si>
    <t>стойка влажка 500</t>
  </si>
  <si>
    <t>5% от реализации</t>
  </si>
  <si>
    <t>стойки хозтовар 300</t>
  </si>
  <si>
    <t>5% реализациия влажка</t>
  </si>
  <si>
    <t>4% отгрузок TZMO</t>
  </si>
  <si>
    <t>05.01.2015-05.02.2015</t>
  </si>
  <si>
    <t>05.01.16-27.01.16</t>
  </si>
  <si>
    <t>05.01.16-25.01.16</t>
  </si>
  <si>
    <t>11.01.16-31.01.16</t>
  </si>
  <si>
    <t>Ретро KPD</t>
  </si>
  <si>
    <t>11.01.2016-25.01.2016</t>
  </si>
  <si>
    <t>11.01.2016-01.02.2016</t>
  </si>
  <si>
    <t>12.01.2016-30.01.2016</t>
  </si>
  <si>
    <t xml:space="preserve"> Pufies Baby Art&amp;Dry Midi 74 (4-9 кг), (2)</t>
  </si>
  <si>
    <t xml:space="preserve"> Pufies Baby Art&amp;Dry Maxi 64 (7-14 кг), (2)</t>
  </si>
  <si>
    <t xml:space="preserve"> Pufies Baby Art&amp;Dry Maxi+ 56 (9-16 кг), (2)</t>
  </si>
  <si>
    <t>648 долл KPD , 180 весна стойка</t>
  </si>
  <si>
    <t>Pufies витебск</t>
  </si>
  <si>
    <t>Рогаль</t>
  </si>
  <si>
    <t>Промтраст</t>
  </si>
  <si>
    <t>19.01.2016-23.02.2016</t>
  </si>
  <si>
    <t>Bella Cotton Care 100 (с алоэ), подушечки косм. круглые (35) (РФ)</t>
  </si>
  <si>
    <t>окошко TZMO</t>
  </si>
  <si>
    <t>26.01.16-17.02.16</t>
  </si>
  <si>
    <t>28.01.2016-18.02.2016</t>
  </si>
  <si>
    <t>Pufies ретро</t>
  </si>
  <si>
    <t>Pufies мерчи</t>
  </si>
  <si>
    <t>04.02.16-14.03.16</t>
  </si>
  <si>
    <t>газета капля VOX</t>
  </si>
  <si>
    <t>5% ретро SUPERFRESH</t>
  </si>
  <si>
    <t>5% ретро Бонус+</t>
  </si>
  <si>
    <t>350  2 стойки салфетки</t>
  </si>
  <si>
    <t>3 стойки хоз товары</t>
  </si>
  <si>
    <t>11.02.2016-01.03.2016</t>
  </si>
  <si>
    <t>Крем-мыло жидкое детское "Crazy ZOO" клубничный мусс 280г (16)</t>
  </si>
  <si>
    <t>Крем-мыло жидкое детское "Crazy ZOO" манго фреш 280г (16)</t>
  </si>
  <si>
    <t>Крем-мыло туалетное детское "Crazy ZOO" апельсиновый джем 90г (72)</t>
  </si>
  <si>
    <t>Крем-мыло туалетное детское "Crazy ZOO" вишнёвый пирог 90г (72)</t>
  </si>
  <si>
    <t>Гель для душа детский "Crazy ZOO" абрикосовый десерт 280г (16)</t>
  </si>
  <si>
    <t>Пена для купания детская "Crazy ZOO" тропический коктейль 280г (16)</t>
  </si>
  <si>
    <t>28.12.15-15.02.16</t>
  </si>
  <si>
    <t>буклет 2 шт</t>
  </si>
  <si>
    <t>Savex  ретро</t>
  </si>
  <si>
    <t>Savex  ретро мерчи</t>
  </si>
  <si>
    <t>ретро златка</t>
  </si>
  <si>
    <t>15.02.2016-29.02.2016</t>
  </si>
  <si>
    <t>15.02.2016-08.03.2016</t>
  </si>
  <si>
    <t>16.02.2015-29.02.2016</t>
  </si>
  <si>
    <t>15.02.16-15.03.16</t>
  </si>
  <si>
    <t>420 КПД хоз, 228 влажка стойки+180 весна стойка</t>
  </si>
  <si>
    <t>23.02.2016-15.03.2016</t>
  </si>
  <si>
    <t>Заднепровье ОАО (г.Могилев)</t>
  </si>
  <si>
    <t>24.02.2016-31.03.2016</t>
  </si>
  <si>
    <t>25.02.2016-15.03.2016</t>
  </si>
  <si>
    <t>26.02.2016-23.03.2016</t>
  </si>
  <si>
    <t>5% ретро SF</t>
  </si>
  <si>
    <t>380 - 2 стойки SF</t>
  </si>
  <si>
    <t>408 3 стойки хозтовары</t>
  </si>
  <si>
    <t>180 стойка весна + 420 +180+48 KPD</t>
  </si>
  <si>
    <t>12/02/2016-21/03/2016</t>
  </si>
  <si>
    <t>14.03.16-04.04.16</t>
  </si>
  <si>
    <t>Bella Normal 10 (32)</t>
  </si>
  <si>
    <t>Мыло туалетное "Детское" с маслом оливы 4x75г (24)</t>
  </si>
  <si>
    <t>SAVEX мерчи</t>
  </si>
  <si>
    <t>PUFIES ретро 5%</t>
  </si>
  <si>
    <t>22.03.2016-12.04.2016</t>
  </si>
  <si>
    <t>Гигиенические тампоны без аппликатора Bella Tampo Mini 8 (40)</t>
  </si>
  <si>
    <t>22.03.2016-18.04.2016</t>
  </si>
  <si>
    <t>23.03.2016-14.04.2016</t>
  </si>
  <si>
    <t>24.03.2016-26.04.2016</t>
  </si>
  <si>
    <t>Bella Panty Herbs Tilia 20 (30) (РФ)</t>
  </si>
  <si>
    <t>28.03.2016-30.04.2016</t>
  </si>
  <si>
    <t>Bella Herbs Tilia Comfort 10 (36) (РФ)</t>
  </si>
  <si>
    <t>Bella платочки универсальные двухслойные №1 150 MEGA PACK (30)</t>
  </si>
  <si>
    <t>31.03.2016-20.04.2016</t>
  </si>
  <si>
    <t>окошко SENI</t>
  </si>
  <si>
    <t>окошко PUFIES</t>
  </si>
  <si>
    <t>05.04.2016-14.05.2016</t>
  </si>
  <si>
    <t>газетка</t>
  </si>
  <si>
    <t>3 стойки 396 влажка</t>
  </si>
  <si>
    <t>3 стойки 408 хозтовары</t>
  </si>
  <si>
    <t>12.04.2016-25.04.2016</t>
  </si>
  <si>
    <t>12.05.2016-02.05.2016</t>
  </si>
  <si>
    <t>стойки KPD+Весна</t>
  </si>
  <si>
    <t>21.04.2016-12.05.2016</t>
  </si>
  <si>
    <t>21.04.2016-16.05.2016</t>
  </si>
  <si>
    <t>З/п детская "Crazy ZOO" апельсин 50г (36)</t>
  </si>
  <si>
    <t>З/п детская "Crazy ZOO" клубника 50г (36)</t>
  </si>
  <si>
    <t>З/п детская "Crazy ZOO" яблоко 50г (36)</t>
  </si>
  <si>
    <t>Крем детский питательный "Crazy ZOO" ароматная груша 45г (36)</t>
  </si>
  <si>
    <t>Крем детский смягчающий "Crazy ZOO" банановый шейк 45г (36)</t>
  </si>
  <si>
    <t>Крем-мыло жидкое детское "Crazy ZOO" гранатовый щербет 280г (16)</t>
  </si>
  <si>
    <t>Крем-мыло жидкое детское "Crazy ZOO" карамельная груша 280г (16)</t>
  </si>
  <si>
    <t>Крем-мыло туалетное детское "Crazy ZOO" медовая дыня 90г (72)</t>
  </si>
  <si>
    <t>Крем-мыло туалетное детское "Crazy ZOO" персиковое варенье 90г (72)</t>
  </si>
  <si>
    <t>Гель для душа детский "Crazy ZOO" сахарная черешня 280г (16)</t>
  </si>
  <si>
    <t>Пена для купания детская "Crazy ZOO" виноградный конфитюр 280г (16)</t>
  </si>
  <si>
    <t>Шампунь детский "Crazy ZOO" ежевичное суфле 280г (16)</t>
  </si>
  <si>
    <t>Шампунь детский "Crazy ZOO" солнечная папайя 280г (16)</t>
  </si>
  <si>
    <t>25.04.2016-09.05.2016</t>
  </si>
  <si>
    <t>25.04.2016-18.05.2016</t>
  </si>
  <si>
    <t>26.04.2016-24.05.2016</t>
  </si>
  <si>
    <t>Bella MAMA 30 (12)</t>
  </si>
  <si>
    <t>26.04.2016-17.05.2016</t>
  </si>
  <si>
    <t>5% ретро влажка</t>
  </si>
  <si>
    <t>5% ретро TZMO</t>
  </si>
  <si>
    <t>ретро 4%</t>
  </si>
  <si>
    <t>06.05.2016-20.06.2016</t>
  </si>
  <si>
    <t xml:space="preserve"> Pufies Baby Art&amp;Dry Junior 14 (11-20 кг), (5)</t>
  </si>
  <si>
    <t xml:space="preserve"> Pufies Baby Art&amp;Dry Maxi 18 (7-14 кг), (5)</t>
  </si>
  <si>
    <t xml:space="preserve"> Pufies Baby Art&amp;Dry Midi 20 (4-9 кг), (5)</t>
  </si>
  <si>
    <t>05.05.2016-30.05.2016</t>
  </si>
  <si>
    <t>26.04.2016-16.05.2016</t>
  </si>
  <si>
    <t xml:space="preserve">  Super Fresh (для детей и мам) 60 (15)</t>
  </si>
  <si>
    <t>11.05.2016-31.05.2016</t>
  </si>
  <si>
    <t>11.04.2016-31.05.2016</t>
  </si>
  <si>
    <t>17.05.2016-30.05.2016</t>
  </si>
  <si>
    <t>17.05.2016-06.06.2016</t>
  </si>
  <si>
    <t xml:space="preserve"> Savex 2in1 Color 1,3L (6)</t>
  </si>
  <si>
    <t xml:space="preserve"> Savex 2in1 Fresh 1,3L (6)</t>
  </si>
  <si>
    <t>20.05.2016-21.06.2016</t>
  </si>
  <si>
    <t>14.04.2016-31.05.2016</t>
  </si>
  <si>
    <t>24.05.2016-13.06.2016</t>
  </si>
  <si>
    <t>24.05.2016-15.06.2016</t>
  </si>
  <si>
    <t>Биггз - стойки весна + КПД</t>
  </si>
  <si>
    <t>26.05.2016-14.06.2016</t>
  </si>
  <si>
    <t>2 газеты вата + прокладки</t>
  </si>
  <si>
    <t>3 стойки хоз товары 408</t>
  </si>
  <si>
    <t>3 стойки вл салфетки 396</t>
  </si>
  <si>
    <t>7% ретро + 2851200 буклет</t>
  </si>
  <si>
    <t>30.05.2016-20.06.2016</t>
  </si>
  <si>
    <t>31.05.2016-15.06.2016</t>
  </si>
  <si>
    <t>Универсалторг ОАО (г. Новолукомль)</t>
  </si>
  <si>
    <t>03.06.2016-14.07.2016</t>
  </si>
  <si>
    <t>06.06.2016-27.06.2016</t>
  </si>
  <si>
    <t>07.06.2016-29.06.2016</t>
  </si>
  <si>
    <t>08.06.2016-30.06.2016</t>
  </si>
  <si>
    <t xml:space="preserve"> Pufies Baby Art&amp;Dry Junior 52 (11-20 кг) DUO PACK 1+1</t>
  </si>
  <si>
    <t xml:space="preserve"> Pufies Baby Art&amp;Dry Maxi 64 (7-14 кг) DUO PACK 1+1</t>
  </si>
  <si>
    <t xml:space="preserve"> Pufies Baby Art&amp;Dry Midi 74 (4-9 кг) DUO PACK 1+1</t>
  </si>
  <si>
    <t>07.06.2016-28.06.2016</t>
  </si>
  <si>
    <t>13.06.2016-31.07.2016</t>
  </si>
  <si>
    <t>Ретро</t>
  </si>
  <si>
    <t>TZMO+ FS</t>
  </si>
  <si>
    <t>9% ретробонус (13989984+5807590)</t>
  </si>
  <si>
    <t>Буклет Диски</t>
  </si>
  <si>
    <t>14.06.2016-04.07.2016</t>
  </si>
  <si>
    <t>17.06.2017-07.07.2016</t>
  </si>
  <si>
    <t>стойки + полки в магазинах</t>
  </si>
  <si>
    <t>TZMO буклет</t>
  </si>
  <si>
    <t>ретробнус I квартал</t>
  </si>
  <si>
    <t>20.06.2016-11.07.2016</t>
  </si>
  <si>
    <t>20.06.2016-18.07.2016</t>
  </si>
  <si>
    <t>Bella Normal 10 (32)  (РФ)</t>
  </si>
  <si>
    <t>окошко Savex</t>
  </si>
  <si>
    <t>3% ретро SF</t>
  </si>
  <si>
    <t>3 стойки SF</t>
  </si>
  <si>
    <t>22.06.2016-12.07.2016</t>
  </si>
  <si>
    <t>24.06.2016-18.07.2016</t>
  </si>
  <si>
    <t>27.06.2016-18.07.2016</t>
  </si>
  <si>
    <t>27.06.2016-11.07.2016</t>
  </si>
  <si>
    <t>27.06.2017-15.07.2016</t>
  </si>
  <si>
    <t>06.07.2016-01.08.2016</t>
  </si>
  <si>
    <t>9% ретро (10345660+3274389+3006833+337395)</t>
  </si>
  <si>
    <t>11.07.2016-25.07.2016</t>
  </si>
  <si>
    <t>11.07.2016-31.07.2016</t>
  </si>
  <si>
    <t>Промтраст энд  ко ООО (г. Гродно)</t>
  </si>
  <si>
    <t>08.07.2016-01.08.2016</t>
  </si>
  <si>
    <t>размещение рекламы</t>
  </si>
  <si>
    <t>KPD+весна</t>
  </si>
  <si>
    <t>150 стойка влажка+150 торец весна+110 полка губки+190 губки влаждка</t>
  </si>
  <si>
    <t>15.07.2016-31.07.2016</t>
  </si>
  <si>
    <t>Мыло жидкое "Малышам" с экстрактом алое вера 280г (16)</t>
  </si>
  <si>
    <t>Мыло жидкое "Малышам" с экстрактом ростков пшеницы 280г (16)</t>
  </si>
  <si>
    <t>3 стойки хозтовары</t>
  </si>
  <si>
    <t>3 стойки влажка</t>
  </si>
  <si>
    <t>08.07.2016-15.08.2016</t>
  </si>
  <si>
    <t>25.07.2016-17.08.2016</t>
  </si>
  <si>
    <t>26.07.2016-31.08.2016</t>
  </si>
  <si>
    <t>28.07.2016-30.08.2016</t>
  </si>
  <si>
    <t>Happy Maxi Plus 12, (9-20 кг),  (12)_</t>
  </si>
  <si>
    <t>29.07.2016-15.08.2016</t>
  </si>
  <si>
    <t xml:space="preserve"> Pufies Baby Art&amp;Dry Junior 64 (11-20 кг), (2)</t>
  </si>
  <si>
    <t xml:space="preserve"> Pufies Baby Art&amp;Dry Maxi 76 (7-14 кг), (2)</t>
  </si>
  <si>
    <t xml:space="preserve"> Pufies Baby Art&amp;Dry Maxi+ 70 (9-16 кг), (2)</t>
  </si>
  <si>
    <t>01.08.2016-22.08.2016</t>
  </si>
  <si>
    <t>11.07.2016-07.08.2016</t>
  </si>
  <si>
    <t>01.08.2016-30.08.2016</t>
  </si>
  <si>
    <t>04.08.2016-23.08.2016</t>
  </si>
  <si>
    <t>Ретробонус 4%</t>
  </si>
  <si>
    <t>все посмтавщики</t>
  </si>
  <si>
    <t>Ретро 9% (1160,1+218,22+156,88+286,64)</t>
  </si>
  <si>
    <t>11.08.2016-30.08.2016</t>
  </si>
  <si>
    <t>12.08.2016-29.08.2016</t>
  </si>
  <si>
    <t>12.08.2016-01.09.2016</t>
  </si>
  <si>
    <t>15.08.2016-05.09.2016</t>
  </si>
  <si>
    <t>ретро 2 месяца</t>
  </si>
  <si>
    <t>++</t>
  </si>
  <si>
    <t>18.08.2016-12.09.2016</t>
  </si>
  <si>
    <t>22.08.2016-21.09.2016</t>
  </si>
  <si>
    <t>24.08.2016-14.09.2016</t>
  </si>
  <si>
    <t>окошко KPD</t>
  </si>
  <si>
    <t>5% ретро Суперфреш</t>
  </si>
  <si>
    <t>5% ретро СуперФреш</t>
  </si>
  <si>
    <t>тест Crazy Zoo</t>
  </si>
  <si>
    <t>окошко в газете салфетки</t>
  </si>
  <si>
    <t>окошко в газете прокладки</t>
  </si>
  <si>
    <t>30.08.2016-19.09.2016</t>
  </si>
  <si>
    <t>01.09.2016-20.09.2016</t>
  </si>
  <si>
    <t>05.09.2016-15.10.2016</t>
  </si>
  <si>
    <t>05.08.2016-15.09.2016</t>
  </si>
  <si>
    <t>06.09.2016-28.09.2016</t>
  </si>
  <si>
    <t>08.09.2016-27.09.2016</t>
  </si>
  <si>
    <t>08.09.2016-29.09.2016</t>
  </si>
  <si>
    <t>ретробонус 520,01 FS</t>
  </si>
  <si>
    <t>14.09.2016-04.10.2016</t>
  </si>
  <si>
    <t>15.09.2016-30.09.2016</t>
  </si>
  <si>
    <t>полки весна + суперфреш</t>
  </si>
  <si>
    <t>5 буклетов + компенсация цен</t>
  </si>
  <si>
    <t>2 газетки</t>
  </si>
  <si>
    <t>22.09.2016-15.10.2016</t>
  </si>
  <si>
    <t xml:space="preserve"> Pufies Baby Art&amp;Dry Junior 52 (11-20 кг), (2)</t>
  </si>
  <si>
    <t>компенсация акции по подгузникам</t>
  </si>
  <si>
    <t>26.09.2016-17.10.2016</t>
  </si>
  <si>
    <t>28.09.2016-24.10.2016</t>
  </si>
  <si>
    <t>29.09.2016-24.10.2016</t>
  </si>
  <si>
    <t>окошка в газете+ буклет</t>
  </si>
  <si>
    <t>285,1 листовка, 2400,5 ретро 7%</t>
  </si>
  <si>
    <t>03.10.2016-05.11.2016</t>
  </si>
  <si>
    <t>14.10.2016-08.11.2016</t>
  </si>
  <si>
    <t xml:space="preserve">  Super Fresh (для детей и мам) 120 (с календулой) (9)</t>
  </si>
  <si>
    <t xml:space="preserve"> Savex 2 in 1 Fresh (для машинной стирки), 4кг,  (4)</t>
  </si>
  <si>
    <t>20.10.2016-10.11.2016</t>
  </si>
  <si>
    <t xml:space="preserve"> Savex Black&amp;Dark 1,3L (6)</t>
  </si>
  <si>
    <t>20.10.2016-15.11.2016</t>
  </si>
  <si>
    <t>20.10.2016-22.11.2016</t>
  </si>
  <si>
    <t>150  торец весна, 150 торец SAV</t>
  </si>
  <si>
    <t>FS+VES</t>
  </si>
  <si>
    <t>300 USD ХОЗ, 150 влажка стойки</t>
  </si>
  <si>
    <t>% ретро салфетки</t>
  </si>
  <si>
    <t>газета SENI</t>
  </si>
  <si>
    <t>468 USD 3 стойки хозтовары</t>
  </si>
  <si>
    <t>496 USD 3 стойки алфетки</t>
  </si>
  <si>
    <t>стойки КПД</t>
  </si>
  <si>
    <t>Ресттрейд</t>
  </si>
  <si>
    <t>Иванов</t>
  </si>
  <si>
    <t>24.10.2016-25.11.2016</t>
  </si>
  <si>
    <t>Мыло туалетное "Весна" Алоэ и овсяное молочко 90г (72)</t>
  </si>
  <si>
    <t>25.10.2016-30.11.2016</t>
  </si>
  <si>
    <t>Bella Panty Soft Deo Fresh 60 (12)</t>
  </si>
  <si>
    <t>TZMO+KPD</t>
  </si>
  <si>
    <t>2 окошка в газете</t>
  </si>
  <si>
    <t>9% ретро</t>
  </si>
  <si>
    <t>9% ретробонус октябрь</t>
  </si>
  <si>
    <t>9% ретробонус сентябрь</t>
  </si>
  <si>
    <t>KPD+TZMO</t>
  </si>
  <si>
    <t>1 окошкор KPD 3 окошка TZMO</t>
  </si>
  <si>
    <t>TZMO+FS</t>
  </si>
  <si>
    <t>02.11.16-23.11.16</t>
  </si>
  <si>
    <t>08.11.16-28.11.16</t>
  </si>
  <si>
    <t>04.11.2016-14.12.2016</t>
  </si>
  <si>
    <t>09.11.2016-30.11.2016</t>
  </si>
  <si>
    <t>08.11.2016-29.11.2016</t>
  </si>
  <si>
    <t>09.11.2016-22.11.2016</t>
  </si>
  <si>
    <t>14.11.2016-05.12.2016</t>
  </si>
  <si>
    <t>c 05.12 цена 0,69</t>
  </si>
  <si>
    <t>с 05.12 цена 0,99</t>
  </si>
  <si>
    <t>17.11.2016-08.12.2016</t>
  </si>
  <si>
    <t xml:space="preserve"> Pufies Baby Art&amp;Dry Mini 80 (3-6 кг), (2)</t>
  </si>
  <si>
    <t>18.11.2016-13.12.2016</t>
  </si>
  <si>
    <t>22.11.2016-31.12.2016</t>
  </si>
  <si>
    <t>22.11.2016-19.12.2016</t>
  </si>
  <si>
    <t>Seni Lady Super 15 (16)_</t>
  </si>
  <si>
    <t xml:space="preserve">Палочки ватные Bella Cotton 160шт  Польша         </t>
  </si>
  <si>
    <t xml:space="preserve">Подушечки ватные Bella Cotton 120шт Россия     </t>
  </si>
  <si>
    <t>24.11.2016-20.12.2016</t>
  </si>
  <si>
    <t>23.11.2016-14.12.2016</t>
  </si>
  <si>
    <t>Мыло туалетное "Весна" земляничное 140г (44)</t>
  </si>
  <si>
    <t>Ср-во для мытья посуды "Капля VOX лимон" 1000г (8)</t>
  </si>
  <si>
    <t>Весна в+ FS</t>
  </si>
  <si>
    <t>150 весна+100 савекс торец</t>
  </si>
  <si>
    <t>торцы и полки Бимггз</t>
  </si>
  <si>
    <t>KPD+все</t>
  </si>
  <si>
    <t>285,1 буклет + 739,1 ретро</t>
  </si>
  <si>
    <t>булкет Pufies</t>
  </si>
  <si>
    <t>5% салфтки реализация</t>
  </si>
  <si>
    <t>6% отгрузок TZMO</t>
  </si>
  <si>
    <t>хэппи переоценка</t>
  </si>
  <si>
    <t>вата буклет</t>
  </si>
  <si>
    <t>5% хозтовары реализация</t>
  </si>
  <si>
    <t>3 стойки слафетки</t>
  </si>
  <si>
    <t>23.11.2016-31.12.2016</t>
  </si>
  <si>
    <t>24.11.2016-31.12.2016</t>
  </si>
  <si>
    <t>29.11.2016-05.01.2017</t>
  </si>
  <si>
    <t>30.11.16-21.12.16</t>
  </si>
  <si>
    <t>FS+TZMO</t>
  </si>
  <si>
    <t>1+2 окошка</t>
  </si>
  <si>
    <t>переоценка акции</t>
  </si>
  <si>
    <t>буклет + переоценка Хэппи</t>
  </si>
  <si>
    <t>5% ретро + 2 буклета</t>
  </si>
  <si>
    <t>02.12.2016-31.12.2016</t>
  </si>
  <si>
    <t>06.12.16-26.12.16</t>
  </si>
  <si>
    <t>07.12.16-31.12.16</t>
  </si>
  <si>
    <t>переоценка подгузников</t>
  </si>
  <si>
    <t>9% ретро, 442,67+98,55+75,34+46,44</t>
  </si>
  <si>
    <t>ретро отябрь</t>
  </si>
  <si>
    <t>Славянский</t>
  </si>
  <si>
    <t>09.12.2016-31.12.2016</t>
  </si>
  <si>
    <t>06.12.2016-11.01.2017</t>
  </si>
  <si>
    <t>Bella Classic Nova drainette 10 (32) (РФ)</t>
  </si>
  <si>
    <t>Bella Panty Classic 20 (30)</t>
  </si>
  <si>
    <t>13.12.16-11.01.16</t>
  </si>
  <si>
    <t xml:space="preserve">3 окна в газете </t>
  </si>
  <si>
    <t xml:space="preserve">2 окна в газете </t>
  </si>
  <si>
    <t>влаж салфетки стойка + 4 полки</t>
  </si>
  <si>
    <t>16.12.2016-12.01.2016</t>
  </si>
  <si>
    <t>Согласованная цена, без НДС</t>
  </si>
  <si>
    <t>19.12.16-09.01.16</t>
  </si>
  <si>
    <t>протокол</t>
  </si>
  <si>
    <t>23.11.2016-31.01.2016</t>
  </si>
  <si>
    <t>150 весна +150 FS две полки</t>
  </si>
  <si>
    <t>5% хозтовары</t>
  </si>
  <si>
    <t>5% салфетки</t>
  </si>
  <si>
    <t>23.12.2016-31.01.2017</t>
  </si>
  <si>
    <t>Bella Perfecta Ultra Rose Deo fresh extra soft 2*10 (24) (У)</t>
  </si>
  <si>
    <t>Bella Perfecta Ultra Violet Deo fresh silky drai 2*10 (24) (У)</t>
  </si>
  <si>
    <t>Bella Panty Sensitive 20 (21)</t>
  </si>
  <si>
    <t>27.12.2016-23.01.2017</t>
  </si>
  <si>
    <t>9% ретро 957,22+485,55+70,91+36,69</t>
  </si>
  <si>
    <t>Буклет  НДС 86,25</t>
  </si>
  <si>
    <t>окно в буклете SAVEX 90</t>
  </si>
  <si>
    <t>уценка PUFIES 267,5</t>
  </si>
  <si>
    <t>Crazy Zoo уценка 85</t>
  </si>
  <si>
    <t>5% ретро Бонус 147,5</t>
  </si>
  <si>
    <t>Сени окошка  265,5</t>
  </si>
  <si>
    <t xml:space="preserve"> окошко прокладки 113,75</t>
  </si>
  <si>
    <t>06.01.17-31.01.17</t>
  </si>
  <si>
    <t>27.12.2016-24.01.2016</t>
  </si>
  <si>
    <t>Bella Perfecta Ultra Maxi Blue 8, (30)</t>
  </si>
  <si>
    <t>Bella Perfecta Ultra Maxi Green 8, (30)</t>
  </si>
  <si>
    <t>27.12.2016-31.01.2016</t>
  </si>
  <si>
    <t>Happy Maxi 66 (8-18 кг), (4)</t>
  </si>
  <si>
    <t>10.01.2017-26.01.2016</t>
  </si>
  <si>
    <t>09.01.2017-04.02.2017</t>
  </si>
  <si>
    <t>Салфетки бумажные "Ruta" 240x240 100шт. розовые (24)</t>
  </si>
  <si>
    <t xml:space="preserve">  Губка кухонная Бонус "Суперэффект" из крупнопористого поролона 10 (28)</t>
  </si>
  <si>
    <t>Ср-во для мытья посуды "Капля VOX алоэ вера и брусника" 500г (15)</t>
  </si>
  <si>
    <t>23.01.2017-23.02.2017</t>
  </si>
  <si>
    <t xml:space="preserve">  Салфетки для уборки вискозные Бонус 3+1 (40)</t>
  </si>
  <si>
    <t>Бумажные полотенца "Полотенечко" 2 рул. (16)</t>
  </si>
  <si>
    <t>Туалетная бумага "100% Paper" белая 4 рул. (16)</t>
  </si>
  <si>
    <t xml:space="preserve">  Lady Cotton 100 Палочки ватные в полиэтилене (50)</t>
  </si>
  <si>
    <t>Мыло туалетное "Весна" нежное 140г (44)</t>
  </si>
  <si>
    <t>18.01.2017-07.02.2017</t>
  </si>
  <si>
    <t xml:space="preserve">Bella Panty Mini 30 WHITE (44) </t>
  </si>
  <si>
    <t>торец весна + 2 полки SAVEX</t>
  </si>
  <si>
    <t>KPD+FS</t>
  </si>
  <si>
    <t>Весна+FS</t>
  </si>
  <si>
    <t>23.01.17-20.02.17</t>
  </si>
  <si>
    <t>19.01.2017-07.02.2017</t>
  </si>
  <si>
    <t>19.01.2017-09.02.2016</t>
  </si>
  <si>
    <t>?</t>
  </si>
  <si>
    <t>Туалетная бумага "Ruta" Classic 4 рул. белая (16)</t>
  </si>
  <si>
    <t>Туалетная бумага "Ruta" Classic 4 рул. зеленая (16)</t>
  </si>
  <si>
    <t>5%отгрузок ретро</t>
  </si>
  <si>
    <t>31.01.17-20.02.17</t>
  </si>
  <si>
    <t xml:space="preserve"> Pufies Baby Art&amp;Dry Mini 24 (3-6 кг), (5)</t>
  </si>
  <si>
    <t>03.02.2017-28.02.2017</t>
  </si>
  <si>
    <t xml:space="preserve">  Пакеты для мусора 60х80/60л 15 (синие) (70)</t>
  </si>
  <si>
    <t xml:space="preserve">  Пакеты для мусора 60х80/60л 15+1 (синие) (65)</t>
  </si>
  <si>
    <t xml:space="preserve">  Пакеты для мусора 60х80/60л 15 (черные) (70)</t>
  </si>
  <si>
    <t xml:space="preserve">  Пакеты для мусора 45х55/35л 30+2 (синие) (70)</t>
  </si>
  <si>
    <t xml:space="preserve">  Пакеты для мусора 45х55/35л 30+2 (черные) (70)</t>
  </si>
  <si>
    <t>02.02.17-23.04.17</t>
  </si>
  <si>
    <t>Бальзам</t>
  </si>
  <si>
    <t>Чепоров</t>
  </si>
  <si>
    <t>2 окна в буклете</t>
  </si>
  <si>
    <t>08.02.2017-28.02.2017</t>
  </si>
  <si>
    <t>214,09+32,5+3,99+12,75</t>
  </si>
  <si>
    <t>02.02.2017-23.02.2016</t>
  </si>
  <si>
    <t>03.02.2017-03.03.2017</t>
  </si>
  <si>
    <t xml:space="preserve"> Savex 2in1 White 1,3L (6)</t>
  </si>
  <si>
    <t>10.02.2017-08.03.2017</t>
  </si>
  <si>
    <t>14.02.17-06.03.17</t>
  </si>
  <si>
    <t>15.02.2017-21.03.2017</t>
  </si>
  <si>
    <t>16.02.2017-14.03.2017</t>
  </si>
  <si>
    <t>20.02.2017-09.03.2016</t>
  </si>
  <si>
    <t>3 окошка в газете TZMO</t>
  </si>
  <si>
    <t>5% реализациявлажка</t>
  </si>
  <si>
    <t>6% от отгрузок</t>
  </si>
  <si>
    <t>5% реализация бонус</t>
  </si>
  <si>
    <t>396 3 стойки влажка</t>
  </si>
  <si>
    <t>Весна + FS</t>
  </si>
  <si>
    <t>150 торец весна+150 торец савекс</t>
  </si>
  <si>
    <t>525 полки + стойки влажные слафетки</t>
  </si>
  <si>
    <t>Арвитфуд</t>
  </si>
  <si>
    <t>Васильев</t>
  </si>
  <si>
    <t>ретробонус 5%</t>
  </si>
  <si>
    <t>все постьавщшики</t>
  </si>
  <si>
    <t>Акционная цена, без НДС</t>
  </si>
  <si>
    <t>23.02.17-20.03.17</t>
  </si>
  <si>
    <t>Патио ЗАО (г.Минск)</t>
  </si>
  <si>
    <t>24.02.2017-20.03.2017</t>
  </si>
  <si>
    <t>Bella Classic Nova drainette 20  (24)</t>
  </si>
  <si>
    <t>буклет 677,92</t>
  </si>
  <si>
    <t>24.02.17-20.03.17</t>
  </si>
  <si>
    <t>13.02.2017-06.03.2017</t>
  </si>
  <si>
    <t>Bella For Teens Panty Relax 20 (24)</t>
  </si>
  <si>
    <t>Bella For Teens Panty Sensitive 20 (24)</t>
  </si>
  <si>
    <t>06.03.2017-05.04.2017</t>
  </si>
  <si>
    <t>Губка банная с массажной поверхностью Фрекен БОК "Мечта" 1 (30)</t>
  </si>
  <si>
    <t>03.03.2017-23.03.2017</t>
  </si>
  <si>
    <t>иванов</t>
  </si>
  <si>
    <t>Рута</t>
  </si>
  <si>
    <t>буклет туалетная Бумага</t>
  </si>
  <si>
    <t>07.03.2017-31.03.2017</t>
  </si>
  <si>
    <t>09.03.2017-28.03.2017</t>
  </si>
  <si>
    <t xml:space="preserve">  Пакеты для мусора 45х55/35л 50+2 (синие) (45)</t>
  </si>
  <si>
    <t xml:space="preserve">  Пакеты для мусора 45х55/35л 50+2 (черные) (45)</t>
  </si>
  <si>
    <t>Аметист</t>
  </si>
  <si>
    <t>На немиге</t>
  </si>
  <si>
    <t>14.03.17-03.04.17</t>
  </si>
  <si>
    <t>10.03.2017-03.04.2017</t>
  </si>
  <si>
    <t>13.03.2017-06.04.2017</t>
  </si>
  <si>
    <t>20.02.2017-19.04.2017</t>
  </si>
  <si>
    <t>150 савекс + 150 весна торцы</t>
  </si>
  <si>
    <t>Мацук</t>
  </si>
  <si>
    <t>ретробнус  5%</t>
  </si>
  <si>
    <t>ретробонус  9%</t>
  </si>
  <si>
    <t>9% ретро (858,32+450,87+154,17+46,87)</t>
  </si>
  <si>
    <t>Заденпровье</t>
  </si>
  <si>
    <t>все поставщки</t>
  </si>
  <si>
    <t>17.03.2017-06.04.2017</t>
  </si>
  <si>
    <t>Бумажные полотенца "Ruta" Universal 2 рул. (16)</t>
  </si>
  <si>
    <t>Универсам Витебск ОАО (г. Минск)</t>
  </si>
  <si>
    <t>20.03-13.04</t>
  </si>
  <si>
    <t>газета Crazy ZOO</t>
  </si>
  <si>
    <t>27.03.17-17.04.17</t>
  </si>
  <si>
    <t>24.03.2017-16.04.2017</t>
  </si>
  <si>
    <t>27.03.2017-25.04.2017</t>
  </si>
  <si>
    <t>30.03.2017-17.04.2017</t>
  </si>
  <si>
    <t>ПросторМркет</t>
  </si>
  <si>
    <t>буклет SF 120</t>
  </si>
  <si>
    <t>буклет Crazy ZOO</t>
  </si>
  <si>
    <t>5% ретро март</t>
  </si>
  <si>
    <t>5% ретро февраль</t>
  </si>
  <si>
    <t>5 окошек Белла +145,57 компенсация скидки</t>
  </si>
  <si>
    <t>Регулярная цена, без НДС</t>
  </si>
  <si>
    <t>04.04.17-24.04.17</t>
  </si>
  <si>
    <t>Влажные салфетки SUPER FRESH для детей и мам 15</t>
  </si>
  <si>
    <t>05.04.2017-25.04.2017</t>
  </si>
  <si>
    <t>01.04.2017-30.04.2017</t>
  </si>
  <si>
    <t>27.03.17-10.04.17</t>
  </si>
  <si>
    <t>Санта Ритейл</t>
  </si>
  <si>
    <t>Кречик</t>
  </si>
  <si>
    <t>ретро 7%</t>
  </si>
  <si>
    <t>07.04.17-01.05.2017</t>
  </si>
  <si>
    <t>10.04.17-01.05.17</t>
  </si>
  <si>
    <t>Прокладки женские гигиенические BELLA NORMAL 20</t>
  </si>
  <si>
    <t xml:space="preserve">Ватные палочки BELLA COTTON 100 полиэтилен </t>
  </si>
  <si>
    <t>BELLA COTTON  120 ватные подушечки  (РФ)</t>
  </si>
  <si>
    <t>Прокладки женские гигиенические BELLA NOVA MAXI SOFTIPLAIT 18 Economy</t>
  </si>
  <si>
    <t>10.04.17-24.04.17</t>
  </si>
  <si>
    <t>Подгузники для детей Pufies Baby Art&amp;Dry Junior 14 (11-20 кг)</t>
  </si>
  <si>
    <t>Подгузники для детей Pufies Baby Art&amp;Dry Maxi 18 (7-14 кг)</t>
  </si>
  <si>
    <t>Подгузники для детей Pufies Baby Art&amp;Dry Midi 20 (4-9 кг)</t>
  </si>
  <si>
    <t>01.11.2016-15.11.2016</t>
  </si>
  <si>
    <t>Крем для рук "Весна" Нежный комплексный уход 100мл (36)</t>
  </si>
  <si>
    <t>Крем-мыло жидкое "Детское" с Д-пантенолом 280г (16)</t>
  </si>
  <si>
    <t>16.11.2016-02.12.2016</t>
  </si>
  <si>
    <t>цены шинкоренко</t>
  </si>
  <si>
    <t>фактические</t>
  </si>
  <si>
    <t>24.11.2016-31.01.2017</t>
  </si>
  <si>
    <t>01.12.2016-31.12.2016</t>
  </si>
  <si>
    <t>Арвитфуд СООО (г. Минск)</t>
  </si>
  <si>
    <t>20.03.2016-08.01.2017</t>
  </si>
  <si>
    <t>12.01.2017-15.02.2017</t>
  </si>
  <si>
    <t>Savex 2 in 1 Fresh (для машинной стирки), 2кг,  (8)</t>
  </si>
  <si>
    <t>25.01.2017-28.02.2017</t>
  </si>
  <si>
    <t>Туалетная бумага "Ruta" Classic 4 рул. желтая (16)</t>
  </si>
  <si>
    <t>02.02.2017-04.03.2017</t>
  </si>
  <si>
    <t>09.02.2017-28.02.2017</t>
  </si>
  <si>
    <t>Салфетки бумажные "Ruta" 240x240 100шт. белые (24)</t>
  </si>
  <si>
    <t>09.02.2017-12.02.2017</t>
  </si>
  <si>
    <t>Витебскоблсоюзпечать (г.Витебск)</t>
  </si>
  <si>
    <t>13.02.2017-15.03.2017</t>
  </si>
  <si>
    <t>14.02.2017-04.03.2017</t>
  </si>
  <si>
    <t>Ресттрэйд ООО (г. Полоцк)</t>
  </si>
  <si>
    <t>27.02.2017-21.03.2017</t>
  </si>
  <si>
    <t>24.02.2017-13.03.2017</t>
  </si>
  <si>
    <t>28.02.2017-31.03.2017</t>
  </si>
  <si>
    <t xml:space="preserve"> </t>
  </si>
  <si>
    <t>09.03.2017-30.03.2017</t>
  </si>
  <si>
    <t>13.03.2017-31.03.2017</t>
  </si>
  <si>
    <t>28.03.2017-15.04.2017</t>
  </si>
  <si>
    <t>29.03.2017-30.04.2017</t>
  </si>
  <si>
    <t>Санта Ритейл УП (г.Брест)</t>
  </si>
  <si>
    <t>13.04.17-01.05.2017</t>
  </si>
  <si>
    <t>13.04.17-04.05.17</t>
  </si>
  <si>
    <t>Ср-во для мытья посуды "Капля VOX цветущая сирень" 500г (15)</t>
  </si>
  <si>
    <t>Ср-во для мытья посуды "Капля VOX цитрусовый микс" 500г (15)</t>
  </si>
  <si>
    <t>стойки + плки в магазинаъ</t>
  </si>
  <si>
    <t>газета бумага туалетная</t>
  </si>
  <si>
    <t>TZMO + KPD</t>
  </si>
  <si>
    <t>перфекта + фольга</t>
  </si>
  <si>
    <t>Рута + Весна</t>
  </si>
  <si>
    <t>капля вокс + салфетки</t>
  </si>
  <si>
    <t>Рута + KPD</t>
  </si>
  <si>
    <t>салфетки вискозные + плотенце + бумага туалетная</t>
  </si>
  <si>
    <t>17.04.2017-30.05.2017</t>
  </si>
  <si>
    <t>Happy Midi 72 (5-9 кг), (4)</t>
  </si>
  <si>
    <t>17.04.2017-16.05.2017</t>
  </si>
  <si>
    <t>Салфетки бумажные "Servetta" 240x240 100л. голубые (28)</t>
  </si>
  <si>
    <t>Салфетки бумажные "Servetta" 240x240 100л. зеленые (28)</t>
  </si>
  <si>
    <t>Губки кухонные "Ruta" 10 шт. (100)</t>
  </si>
  <si>
    <t>Белочка ОДО (г.Минск)</t>
  </si>
  <si>
    <t>Рольфтрейд</t>
  </si>
  <si>
    <t>буклет рута</t>
  </si>
  <si>
    <t>19.04.17-09.05.17</t>
  </si>
  <si>
    <t>19.04.2017-09.05.2017</t>
  </si>
  <si>
    <t>Bella Panty Soft 60 WHITE (12)</t>
  </si>
  <si>
    <t>19.04.2017-15.05.2017</t>
  </si>
  <si>
    <t>20.04.2017-15.05.2017</t>
  </si>
  <si>
    <t>26.04.17-15.05.17</t>
  </si>
  <si>
    <t>Bella For Teens Ultra Sensitive 10 (36) (У)</t>
  </si>
  <si>
    <t>газета хозтовары 50 USD</t>
  </si>
  <si>
    <t>газета прокладки Bella</t>
  </si>
  <si>
    <t>9% ретро SuperFresh</t>
  </si>
  <si>
    <t>5% ретро Crazy Zoo</t>
  </si>
  <si>
    <t>5% ретро Бонус</t>
  </si>
  <si>
    <t>408 USD 3 стойки хозтовары</t>
  </si>
  <si>
    <t>150 весна + 150 2 полки 2 магазина Савекс</t>
  </si>
  <si>
    <t>SF  465 USD за корзины</t>
  </si>
  <si>
    <t>11.04.2017-04.05.2017</t>
  </si>
  <si>
    <t>20.04.2017-31.05.2017</t>
  </si>
  <si>
    <t>Туалетная бумага "Ruta" Classic 1 рул. белая (64)</t>
  </si>
  <si>
    <t>20.04.2017-12.05.2017</t>
  </si>
  <si>
    <t>26.04.2017-31.05.2017</t>
  </si>
  <si>
    <t>Bella For Teens Panty Energy 20 (24)</t>
  </si>
  <si>
    <t>27.04.2017-31.05.2017</t>
  </si>
  <si>
    <t>Санта Ритейл ООО (г.Брест)</t>
  </si>
  <si>
    <t>27.04.2017-15.05.2017</t>
  </si>
  <si>
    <t>27.04.2017-25.05.2017</t>
  </si>
  <si>
    <t>28.04.17-18.05.17</t>
  </si>
  <si>
    <t>01.05.2017-30.06.2017</t>
  </si>
  <si>
    <t>Три торца Хэппи март</t>
  </si>
  <si>
    <t>компенсация разницы цен на акцию</t>
  </si>
  <si>
    <t>463,39 снижение SF+ 93,61 буклет биосфера+ 227,17 5% ретро бонус</t>
  </si>
  <si>
    <t>Гончаров</t>
  </si>
  <si>
    <t>04.05.-17.05</t>
  </si>
  <si>
    <t>04.05.2017-07.06.2017</t>
  </si>
  <si>
    <t>10.05.17-29.05.17</t>
  </si>
  <si>
    <t>9% ретро 620,44+132,3+22,22+14,8</t>
  </si>
  <si>
    <t>450 ДМП 72,5 р переоценка под акцию</t>
  </si>
  <si>
    <t>15.05.17-01.06.17</t>
  </si>
  <si>
    <t>15.05.2017-29.05.2017</t>
  </si>
  <si>
    <t>15.05.2017-31.05.2017</t>
  </si>
  <si>
    <t>17.05.17-05.06.17</t>
  </si>
  <si>
    <t>17.05.2017-06.06.2017</t>
  </si>
  <si>
    <t>03.05.2017-31.05.2017</t>
  </si>
  <si>
    <t>Мой ребенок ЧП (г. Гродно)</t>
  </si>
  <si>
    <t>17.05.2017-07.06.2017</t>
  </si>
  <si>
    <t>буклет TZMO +Весна</t>
  </si>
  <si>
    <t>TZMO+Весна</t>
  </si>
  <si>
    <t>Простиор</t>
  </si>
  <si>
    <t>109,2 банерная реклама</t>
  </si>
  <si>
    <t>22.05.2017-30.06.2017</t>
  </si>
  <si>
    <t>Жидкость для мытья душевых кабин Dr. Max New EXTRA CLEAN 500мл. (10)</t>
  </si>
  <si>
    <t>Белана</t>
  </si>
  <si>
    <t>все поставщкики</t>
  </si>
  <si>
    <t>булкет Престон</t>
  </si>
  <si>
    <t>23.05.2017-30.06.2017</t>
  </si>
  <si>
    <t>23.05.2017-12.06.2017</t>
  </si>
  <si>
    <t>Bella For Teens Ultra Energy 10 (36) (У)</t>
  </si>
  <si>
    <t>Bella For Teens Ultra Relax 10 (36) (У)</t>
  </si>
  <si>
    <t>24.05.2017-14.06.2017</t>
  </si>
  <si>
    <t>переоценка SuperFresh</t>
  </si>
  <si>
    <t>9% реализация Бонус+</t>
  </si>
  <si>
    <t>6%ретро</t>
  </si>
  <si>
    <t>9% реализация SF</t>
  </si>
  <si>
    <t>450 TZMO+150салфетки буклеты</t>
  </si>
  <si>
    <t>25.005.2017-28.06.2017</t>
  </si>
  <si>
    <t>Туалетная бумага "Ruta" Classic 8 рул. белая (8)</t>
  </si>
  <si>
    <t>Салфетки для всех видов уборки вискозные Фрекен БОК "Фламенко" 3 (54)</t>
  </si>
  <si>
    <t>25.05.2017-27.06.2017</t>
  </si>
  <si>
    <t>25.05.17-15.06.17</t>
  </si>
  <si>
    <t>26.05.2017-01.07.2017</t>
  </si>
  <si>
    <t>компенсация акционной цены</t>
  </si>
  <si>
    <t>оплата буклета Pufies</t>
  </si>
  <si>
    <t>оплата буклета SAVEX</t>
  </si>
  <si>
    <t>буклет окошко SENI</t>
  </si>
  <si>
    <t>буклет окошко BELLA</t>
  </si>
  <si>
    <t>200 торец+ 36 полки капля+150 савек +50 ДМП</t>
  </si>
  <si>
    <t>ретро апрель</t>
  </si>
  <si>
    <t>буклет + реклама Pufies</t>
  </si>
  <si>
    <t>25.05.2017-28.06.2017</t>
  </si>
  <si>
    <t>29.05.2017-30.06.2017</t>
  </si>
  <si>
    <t>Bella Perfecta Ultra Night 7, (24)</t>
  </si>
  <si>
    <t>29.05.2017-14.06.2017</t>
  </si>
  <si>
    <t>Ср-во для мытья посуды "Капля VOX яблоко" 1000г (8)</t>
  </si>
  <si>
    <t>Крем-мыло жидкое "Детское" с маслом облепихи 280г (16)</t>
  </si>
  <si>
    <t>26.05.2017-19.06.2017</t>
  </si>
  <si>
    <t>31.05.2017-20.06.2017</t>
  </si>
  <si>
    <t>ретробонус + буклет рутам 60</t>
  </si>
  <si>
    <t>стойка</t>
  </si>
  <si>
    <t>450,06+151,44+52,91+45,16 ретро 9%</t>
  </si>
  <si>
    <t>07.06.2017-29.06.2017</t>
  </si>
  <si>
    <t>07.06.2017-30.06.2017</t>
  </si>
  <si>
    <t>09.06.2017-26.06.2017</t>
  </si>
  <si>
    <t>My Friend впитывающие подстилки для животных 60*90 (10), (12) (РФ)</t>
  </si>
  <si>
    <t xml:space="preserve">буклет </t>
  </si>
  <si>
    <t>14.06.2017-04.07.2017</t>
  </si>
  <si>
    <t>15.06.2017-30.06.2017</t>
  </si>
  <si>
    <t>РольфТрэйд ООО (г. Могилев)</t>
  </si>
  <si>
    <t>Туалетная бумага "Ruta" Pure White 4 рул. белая (14)</t>
  </si>
  <si>
    <t>20.06.2017-19.07.2017</t>
  </si>
  <si>
    <t>21.06.2017-12.07.2017</t>
  </si>
  <si>
    <t>акция два дня</t>
  </si>
  <si>
    <t>переоценка капли вокс</t>
  </si>
  <si>
    <t>Весна +FS</t>
  </si>
  <si>
    <t>200 торец весна+36 капля полка+ 150 Savex</t>
  </si>
  <si>
    <t>газета капля вокс</t>
  </si>
  <si>
    <t>2 газетки  прокладки</t>
  </si>
  <si>
    <t>9% ретро Бонус +</t>
  </si>
  <si>
    <t>9% ретро SF</t>
  </si>
  <si>
    <t>влажные салфетки</t>
  </si>
  <si>
    <t>23.06.2017-31.07.2017</t>
  </si>
  <si>
    <t>5% ретро SF (универсальные)</t>
  </si>
  <si>
    <t>переоценка + газета</t>
  </si>
  <si>
    <t>27.06.2017-15.07.2017</t>
  </si>
  <si>
    <t>28.06.2017-24.07.2017</t>
  </si>
  <si>
    <t>28.06.2017-31.07.2017</t>
  </si>
  <si>
    <t>28.06.2017-27.07.2017</t>
  </si>
  <si>
    <t>Туалетная бумага "Ruta" Classic 12 рул. белая (8)</t>
  </si>
  <si>
    <t>Бумажные полотенца "Ruta" Selecta Mega roll 1 рул. (20)</t>
  </si>
  <si>
    <t>Салфетки бумажные "Ruta" Premium 330x330 30л. цветные оранжевые, сложение 1/8(12)</t>
  </si>
  <si>
    <t>Рукав для запекания т.м. "Бонус Всегда+" 3м</t>
  </si>
  <si>
    <t>Фольга алюминиевая Бонус 10м</t>
  </si>
  <si>
    <t>04.07.2017-20.07.2017</t>
  </si>
  <si>
    <t>04.07.2017-25.07.2017</t>
  </si>
  <si>
    <t>04.07.2017-31.07.2017</t>
  </si>
  <si>
    <t>Космоопт ООО (г.Гомель)</t>
  </si>
  <si>
    <t>05.07.17-26.07.17</t>
  </si>
  <si>
    <t>Альпаро Ритейл ООО (г.Минск)</t>
  </si>
  <si>
    <t>ретробонус 9% 995,14+229,64+12,96+112,36</t>
  </si>
  <si>
    <t>07.07.2017-31.08.2017</t>
  </si>
  <si>
    <t>10.07.17-31.07.17</t>
  </si>
  <si>
    <t>Виталюр ОДО (г.Минск)</t>
  </si>
  <si>
    <t>12.07.2017-31.07.2017</t>
  </si>
  <si>
    <t>Savex 2 in 1 Fresh (для машинной стирки), 1.5 кг,  (8)</t>
  </si>
  <si>
    <t>Savex 2 in 1 Color (для машинной стирки), 2,4кг,  (6)</t>
  </si>
  <si>
    <t>Savex 2 in 1 Color Brightness  (для машинной стирки), 2,4кг,  (6)</t>
  </si>
  <si>
    <t>Savex 2 in 1 Fresh (для машинной стирки), 2,4кг,  (6)</t>
  </si>
  <si>
    <t>12.07.2017-28.07.2017</t>
  </si>
  <si>
    <t>Ника ОАО (г. Витебск)</t>
  </si>
  <si>
    <t>11.07.2017-23.07.2017</t>
  </si>
  <si>
    <t>11.07.17-07.08.17</t>
  </si>
  <si>
    <t>ретро второй квартал 4%</t>
  </si>
  <si>
    <t>ретро июнь</t>
  </si>
  <si>
    <t>оплата ДМП</t>
  </si>
  <si>
    <t>все поставищики</t>
  </si>
  <si>
    <t>Bella Perfecta Ultra Blue extra soft 2*10, (24) (У)</t>
  </si>
  <si>
    <t>Bella Perfecta Ultra Green silky drai 2*10, (24) (У)</t>
  </si>
  <si>
    <t>12.07.2017-09.08.2017</t>
  </si>
  <si>
    <t xml:space="preserve">  Super Fresh (для всей семьи) 60 (15)</t>
  </si>
  <si>
    <t xml:space="preserve">  Губка кухонная Бонус 5+1 (34)</t>
  </si>
  <si>
    <t>13.07.2017-09.08.2017</t>
  </si>
  <si>
    <t>14.07.2017-31.07.2017</t>
  </si>
  <si>
    <t>Bella Cotton 160, палочки в полиэт. (72)</t>
  </si>
  <si>
    <t>до 14.07.2017</t>
  </si>
  <si>
    <t>с 14.07.2017</t>
  </si>
  <si>
    <t>буклет Savex</t>
  </si>
  <si>
    <t>2,5 ретро</t>
  </si>
  <si>
    <t>18.07.2017-09.08.2017</t>
  </si>
  <si>
    <t>18.07.17-31.07.17</t>
  </si>
  <si>
    <t>18.07.2017-17.08.2017</t>
  </si>
  <si>
    <t>свитанак</t>
  </si>
  <si>
    <t>19.07.2017-22.08.2017</t>
  </si>
  <si>
    <t>36 капля вокс + 200 торец FS + 150 savex</t>
  </si>
  <si>
    <t>20.07.2017-14.08.2017</t>
  </si>
  <si>
    <t>Мой ребенок</t>
  </si>
  <si>
    <t>газетка Хэппи 300</t>
  </si>
  <si>
    <t>газетка прокладки</t>
  </si>
  <si>
    <t>21 корзина SF 465 USD</t>
  </si>
  <si>
    <t>9% ретро хозтовары</t>
  </si>
  <si>
    <t>хэппи компенсация</t>
  </si>
  <si>
    <t>5 стоек хозтовары (360+168+168)</t>
  </si>
  <si>
    <t xml:space="preserve">24.07.17-14.08.17
</t>
  </si>
  <si>
    <t>24.07.2017-31.08.2017</t>
  </si>
  <si>
    <t>2 окошка в буклете</t>
  </si>
  <si>
    <t>допскидка Pufies</t>
  </si>
  <si>
    <t>25.07.2017-31.07.2017</t>
  </si>
  <si>
    <t>Бальзам ООО (г. Брест)</t>
  </si>
  <si>
    <t>до31.08</t>
  </si>
  <si>
    <t>27.07.2017-15.08.2017</t>
  </si>
  <si>
    <t>27.07.2017-04.08.2017</t>
  </si>
  <si>
    <t>31.07.2017-30.08.2017</t>
  </si>
  <si>
    <t>с 10.08.2017</t>
  </si>
  <si>
    <t>01.08.2017-31.08.2017</t>
  </si>
  <si>
    <t>02.08.2017-04.09.2017</t>
  </si>
  <si>
    <t>03.08.2017-31.08.2017</t>
  </si>
  <si>
    <t>03.08.2017-22.08.2017</t>
  </si>
  <si>
    <t>KPD+SF</t>
  </si>
  <si>
    <t>1022,53+157,8+11,5+43,04+129,83</t>
  </si>
  <si>
    <t>5% ретро НДС 32</t>
  </si>
  <si>
    <t xml:space="preserve">стойки PUF НДС 77,58 </t>
  </si>
  <si>
    <t>стойки полки SF + FS 80 Usd</t>
  </si>
  <si>
    <t>08.08.17-21.08.17</t>
  </si>
  <si>
    <t>08.08.2017-31.08.2017</t>
  </si>
  <si>
    <t>Туалетная бумага "Ruta" Selecta 4 рул. белая (14)</t>
  </si>
  <si>
    <t>в протоколе</t>
  </si>
  <si>
    <t>Салфетки косметические "Ruta" 200x210 155л. с детским рисунком (15)</t>
  </si>
  <si>
    <t>09.08.17-04.09.17</t>
  </si>
  <si>
    <t>Универсам Славянский</t>
  </si>
  <si>
    <t>48,64 НДС. Буклет</t>
  </si>
  <si>
    <t>98,97 НДС. Буклеты</t>
  </si>
  <si>
    <t>10.08.2017-31.08.2017</t>
  </si>
  <si>
    <t>Салфетки бумажные "Ruta" 240x240 100шт. голубые (24)</t>
  </si>
  <si>
    <t>Салфетки бумажные "Ruta" 240x240 100шт. зеленые (24)</t>
  </si>
  <si>
    <t>АльпароРитейл</t>
  </si>
  <si>
    <t>5%ретро</t>
  </si>
  <si>
    <t>16.08.17-06.09.17</t>
  </si>
  <si>
    <t>16.08.2017-09.10.2017</t>
  </si>
  <si>
    <t>18.08.2017-07.09.2017</t>
  </si>
  <si>
    <t>Savex Color Brightness  (для машинной стирки), 2,4кг,  (6)</t>
  </si>
  <si>
    <t>14.08.2017-07.09.2017</t>
  </si>
  <si>
    <t>Бумажные полотенца "Полотенечко" 1 рул. (20)</t>
  </si>
  <si>
    <t>Туалетная бумага "Ruta" Classic 6 рул. белая (16)</t>
  </si>
  <si>
    <t>18.08.2017-30.09.2017</t>
  </si>
  <si>
    <t>Happy Junior 21, (12-25 кг),  (6) (РФ)</t>
  </si>
  <si>
    <t>Happy Junior 10, (12-25 кг), (12) (РФ)</t>
  </si>
  <si>
    <t>Happy Junior 58, (12-25 кг),  (4) (РФ)</t>
  </si>
  <si>
    <t>Happy Maxi 12 (8-18 кг),  (12) (РФ)</t>
  </si>
  <si>
    <t>Happy Maxi 27 (8-18 кг),  (6) (РФ)</t>
  </si>
  <si>
    <t>Happy Maxi 66 (8-18 кг), (4) (РФ)</t>
  </si>
  <si>
    <t>Happy Maxi Plus 12, (9-20 кг),  (12) (РФ)</t>
  </si>
  <si>
    <t>23.08.2017-20.09.2017</t>
  </si>
  <si>
    <t>24.08.2017-30.09.2017</t>
  </si>
  <si>
    <t>28.08.2017-31.08.2017</t>
  </si>
  <si>
    <t>Happy Junior extra 18, (16+кг),  (6) (РФ)</t>
  </si>
  <si>
    <t>Happy Junior extra 18, (16+кг),  (6)_</t>
  </si>
  <si>
    <t>28.08.2017-20.09.2017</t>
  </si>
  <si>
    <t>Бумажные полотенца "Ruta" Soft Strong 2 рул. (14)</t>
  </si>
  <si>
    <t>28.08.2017-19.09.2017</t>
  </si>
  <si>
    <t>28.08.17-30.09.17</t>
  </si>
  <si>
    <t>буклеты TZMO</t>
  </si>
  <si>
    <t>ретробонус (9%)</t>
  </si>
  <si>
    <t>Космоопт</t>
  </si>
  <si>
    <t>RUTA</t>
  </si>
  <si>
    <t>29.08.2017-30.09.2017</t>
  </si>
  <si>
    <t>Туалетная бумага "Ruta" Selecta 8 рул. белая (7)</t>
  </si>
  <si>
    <t>29.08.2017-19.09.2017</t>
  </si>
  <si>
    <t>10% реализация Бонус +</t>
  </si>
  <si>
    <t>буклет полотенца</t>
  </si>
  <si>
    <t>28.08.17-18.09.17</t>
  </si>
  <si>
    <t>Pufies Baby Art&amp;Dry Junior 52 (11-20 кг), (2)</t>
  </si>
  <si>
    <t>Pufies Baby Art&amp;Dry Maxi 64 (7-14 кг), (2)</t>
  </si>
  <si>
    <t>Pufies Baby Art&amp;Dry Maxi+ 56 (9-16 кг), (2)</t>
  </si>
  <si>
    <t>29.08.17-11.09.17</t>
  </si>
  <si>
    <t>31.08.2017-15.09.2017</t>
  </si>
  <si>
    <t>01.09.2017-12.09.2017</t>
  </si>
  <si>
    <t xml:space="preserve"> Savex Whites&amp;Colors (для машинной стирки), 300г,  (22)</t>
  </si>
  <si>
    <t xml:space="preserve">  Губка кухонная Бонус "Суперпена" крупнопористая 5 (40)</t>
  </si>
  <si>
    <t>Бумажные полотенца "Ruta" MAX 1 рул. (10)</t>
  </si>
  <si>
    <t>Салфетки бумажные "Ruta" 330x330 20л. цветные с рисунком, Кухня Микс (17)</t>
  </si>
  <si>
    <t>06.09.17-09.10.17</t>
  </si>
  <si>
    <t>Ватные подушечки BELLA COTTON 80+30% (РФ)</t>
  </si>
  <si>
    <t>07.09.17-02.10.17</t>
  </si>
  <si>
    <t>06.09.2017-02.10.2017</t>
  </si>
  <si>
    <t>ретробонус 738,63+625,13+16,21+32,84+281,4</t>
  </si>
  <si>
    <t>2 стойки ФБ</t>
  </si>
  <si>
    <t>реклама метро+буклет 460+517,5 (с НДС)</t>
  </si>
  <si>
    <t>31.08.2017-21.09.2017</t>
  </si>
  <si>
    <t>11.09.2017 разовая отгрузка</t>
  </si>
  <si>
    <t>12.09.2017-30.09.2017</t>
  </si>
  <si>
    <t>12.09.2017-26.09.2017</t>
  </si>
  <si>
    <t>буклет губки ФБ</t>
  </si>
  <si>
    <t>ретро по отгрузкам KPD</t>
  </si>
  <si>
    <t>07.09.2017-28.09.2017</t>
  </si>
  <si>
    <t>200 весна 36 капля вокс 150 две полки савекс</t>
  </si>
  <si>
    <t>весна + FS+</t>
  </si>
  <si>
    <t>стойка SF + полка бонус 110 пол влажкаполка + 80 Pufies</t>
  </si>
  <si>
    <t>рута классик буклет</t>
  </si>
  <si>
    <t>буклет перчатки</t>
  </si>
  <si>
    <t>20.09.2017-30.09.2017</t>
  </si>
  <si>
    <t>Астотрейдинг ОДО (г.Минск)</t>
  </si>
  <si>
    <t>Крем-мыло жидкое "Детское" с маслом оливы 280г (16)</t>
  </si>
  <si>
    <t>Крем "Детский" с экстрактом ромашки 45г (48)</t>
  </si>
  <si>
    <t>З/п "Семейная" 100г (48)</t>
  </si>
  <si>
    <t>Рукав для запекания Фрекен БОК 3м (48)</t>
  </si>
  <si>
    <t>21.09.2017-12.10.2017</t>
  </si>
  <si>
    <t>22.09.2017-16.10.2017</t>
  </si>
  <si>
    <t>25.09.17-16.10.17</t>
  </si>
  <si>
    <t>27.09.17-30.09.17</t>
  </si>
  <si>
    <t>27.09.2017-06.10.2017</t>
  </si>
  <si>
    <t>27.09.2017-31.10.2017</t>
  </si>
  <si>
    <t>27.09.2017-10.10.2017</t>
  </si>
  <si>
    <t>все поставщики кроме RUTA</t>
  </si>
  <si>
    <t>влажка SF</t>
  </si>
  <si>
    <t>10% ретро БОНУС</t>
  </si>
  <si>
    <t>02.10.2017-05.11.2017</t>
  </si>
  <si>
    <t>E'Vita ватные подушечки 150 (40)  (РФ)</t>
  </si>
  <si>
    <t>02.10.2017-31.10.2017</t>
  </si>
  <si>
    <t xml:space="preserve">Бумажные полотенца "Ruta" Universal 2 рул. </t>
  </si>
  <si>
    <t>букkет Перекресток Pufies</t>
  </si>
  <si>
    <t>03.10.2017-31.10.2017</t>
  </si>
  <si>
    <t>04.10.2017-31.10.2017</t>
  </si>
  <si>
    <t>ЗАВОДСКОЙ РАЙПИЩЕТОРГ ОАО (г.Минск)</t>
  </si>
  <si>
    <t>05.10.2017-24.10.2017</t>
  </si>
  <si>
    <t>Носовые платки "Ruta" Monsters 10x10 3сл (240)</t>
  </si>
  <si>
    <t>Носовые платки "Ruta" Style 10x10 3сл (240)</t>
  </si>
  <si>
    <t>Носовые платки "Ruta" Classic 10x10 3сл (240)</t>
  </si>
  <si>
    <t>9% ретро 1007,91+425,4+59,86+875,57+11,95</t>
  </si>
  <si>
    <t>09.10.2017-31.10.2017</t>
  </si>
  <si>
    <t>второй</t>
  </si>
  <si>
    <t>Салфетки бумажные "Ruta" 240x240 200л. белые (12)</t>
  </si>
  <si>
    <t>09.10.2017-30.11.2017</t>
  </si>
  <si>
    <t>Savex Whites&amp;Colors (для машинной стирки), 2,4кг,  (6)</t>
  </si>
  <si>
    <t>2 модуля</t>
  </si>
  <si>
    <t>Блискавица</t>
  </si>
  <si>
    <t>стойки фрекен бок биосфера</t>
  </si>
  <si>
    <t>12.10.2017 разовая</t>
  </si>
  <si>
    <t>13.10.2017-10.11.2017</t>
  </si>
  <si>
    <t>Набор для уборки "Эконом"(салфетка вискозная Бонус+губка кухонная Бонус+скребок кухонный Бонус) (26)</t>
  </si>
  <si>
    <t>все поставшики</t>
  </si>
  <si>
    <t>7% премия</t>
  </si>
  <si>
    <t>акция Pufies</t>
  </si>
  <si>
    <t>10% ретро</t>
  </si>
  <si>
    <t>Либретик</t>
  </si>
  <si>
    <t>17.10.17-06.11.17</t>
  </si>
  <si>
    <t>2 места в буклете</t>
  </si>
  <si>
    <t>110 полка 150 стойка 40 полка 150 2 стойки +110 р переоценка акции</t>
  </si>
  <si>
    <t>ретро 9%</t>
  </si>
  <si>
    <t>19.10.2017 разовая</t>
  </si>
  <si>
    <t>19.10.2017-21.11.2017</t>
  </si>
  <si>
    <t>4% ретро + листовка</t>
  </si>
  <si>
    <t>23.10.17-13.11.17</t>
  </si>
  <si>
    <t>24.08.2017-20.09.2017</t>
  </si>
  <si>
    <t>01.09.2017-03.10.2017</t>
  </si>
  <si>
    <t>23.10.2017-22.11.2017</t>
  </si>
  <si>
    <t>25.10.2017-30.11.2017</t>
  </si>
  <si>
    <t>Туалетная бумага "Ruta" Pure White 8 рул. белая (7)</t>
  </si>
  <si>
    <t>25.10.2017-31.10.2017</t>
  </si>
  <si>
    <t>Брестоблсоюзпечать ТРУП (г. Брест)</t>
  </si>
  <si>
    <t>Носовые платки "Ruta" 10x10 белые (240)</t>
  </si>
  <si>
    <t>Туалетная бумага "Ecolo" Deluxe 4 рул. белая (14)</t>
  </si>
  <si>
    <t>25.10.2017-14.11.2017</t>
  </si>
  <si>
    <t>5% реализация CZOO</t>
  </si>
  <si>
    <t>300 USD сени окошко и полгазетки</t>
  </si>
  <si>
    <t>9% SF реализация</t>
  </si>
  <si>
    <t>10% ретро хозтовары</t>
  </si>
  <si>
    <t>27.10.2017-16.11.2017</t>
  </si>
  <si>
    <t>30.10.2017-01.12..2017</t>
  </si>
  <si>
    <t>30.10.2017-30.11.2017</t>
  </si>
  <si>
    <t>30.10.2017-31.01.2017</t>
  </si>
  <si>
    <t>26.10.17-30.11.17</t>
  </si>
  <si>
    <t>Юнифуд ЗАО (г.Минск)</t>
  </si>
  <si>
    <t>236 USD весна, 150 USD Savex</t>
  </si>
  <si>
    <t>360 USD акция Happy + 180  акция панти</t>
  </si>
  <si>
    <t>180 акция вата +180 панти + 180 savex</t>
  </si>
  <si>
    <t>30.10.17-31.11.17</t>
  </si>
  <si>
    <t>Премьер Маркет ООО (г.Минск)</t>
  </si>
  <si>
    <t>акция вата переоценка</t>
  </si>
  <si>
    <t>акция SENI переоценка</t>
  </si>
  <si>
    <t>149,75 переоценка + 235,48 2 буклета</t>
  </si>
  <si>
    <t>01.11.2017-23.11.2017</t>
  </si>
  <si>
    <t>02.11.2017-21.11.2017</t>
  </si>
  <si>
    <t>2 модуля в буклете</t>
  </si>
  <si>
    <t>08.11.2017-30.11.2017</t>
  </si>
  <si>
    <t>08.11.2017-29.11.2017</t>
  </si>
  <si>
    <t>08.11.2017-21.11.2017</t>
  </si>
  <si>
    <t>08.11.17-27.11.17</t>
  </si>
  <si>
    <t>3 стойки ФБ</t>
  </si>
  <si>
    <t>Универсам Центральный</t>
  </si>
  <si>
    <t>RUTA буклет</t>
  </si>
  <si>
    <t>10.11.2017-29.11.2017</t>
  </si>
  <si>
    <t>скидка по акции FS</t>
  </si>
  <si>
    <t>SF буклет</t>
  </si>
  <si>
    <t>30.10.2017-12.12.2017</t>
  </si>
  <si>
    <t>13.11.2017-13.12.2017</t>
  </si>
  <si>
    <t>Платочки носовые "Носовичок" (300)</t>
  </si>
  <si>
    <t>15.11.17-29.11.17</t>
  </si>
  <si>
    <t>15.11.2017-05.12.2017</t>
  </si>
  <si>
    <t>Bella Ideale Ultra Night 7, (24)</t>
  </si>
  <si>
    <t>Bella Ideale Ultra Normal 10, (36)</t>
  </si>
  <si>
    <t>все поставщиуи</t>
  </si>
  <si>
    <t>16.11.2017-05.12.2017</t>
  </si>
  <si>
    <t>16.11.2017-06.12.2017</t>
  </si>
  <si>
    <t>16.11.2017-15.12.2017</t>
  </si>
  <si>
    <t>16.11.2017-04.12.2017</t>
  </si>
  <si>
    <t>рута</t>
  </si>
  <si>
    <t>Туалетная бумага + носовые платки буклеты</t>
  </si>
  <si>
    <t>Savex + Lady Cotton буклеты</t>
  </si>
  <si>
    <t>300 торец весна + 36 капля VOX полка + 150  2 полки Savex</t>
  </si>
  <si>
    <t>110 полка 150 стойка 40 полка 150 2 стойки +82 р переоценка акции</t>
  </si>
  <si>
    <t>20.11.17-11.12.17</t>
  </si>
  <si>
    <t>Универсам "ЦЕНТРАЛЬНЫЙ" ЗАО (г.Минск)</t>
  </si>
  <si>
    <t>22.11.2017-31.01.2018</t>
  </si>
  <si>
    <t>23.11.2017-</t>
  </si>
  <si>
    <t>Широких ООО (г.Гомель)</t>
  </si>
  <si>
    <t>регулярная</t>
  </si>
  <si>
    <t>Платочки носовые "Ruta" 6x10 белые 5+1 (288)</t>
  </si>
  <si>
    <t>23.11.2017-31.12.2017</t>
  </si>
  <si>
    <t>28.11.17-13.12.17</t>
  </si>
  <si>
    <t>27.11.17-31.12.17</t>
  </si>
  <si>
    <t>СЕМЕЛА ООО (г.Минск)</t>
  </si>
  <si>
    <t>Гамма Ритейл ООО (г.Минск)</t>
  </si>
  <si>
    <t>РЕПКА ЗАО (г.Минск)</t>
  </si>
  <si>
    <t>ТОРГРАЗВИТИЕ ОАО (г.Минск)</t>
  </si>
  <si>
    <t>Жибуль ООО (г.Минск)</t>
  </si>
  <si>
    <t>Дубовик</t>
  </si>
  <si>
    <t>7% ретро октярбрь</t>
  </si>
  <si>
    <t>27.11.2017-31.12.2017</t>
  </si>
  <si>
    <t>Салфетки косметические "Ruta" 200x210 155л. белые пенал (15)</t>
  </si>
  <si>
    <t>28.11.17-15.12.17</t>
  </si>
  <si>
    <t>Savex Whites&amp;Colors (для машинной стирки), 1.5 кг,  (8)</t>
  </si>
  <si>
    <t>29.11.12-19.12.17</t>
  </si>
  <si>
    <t>24.11.2017-01.01.2018</t>
  </si>
  <si>
    <t>Seni Lady Plus 15 (16)_</t>
  </si>
  <si>
    <t xml:space="preserve">  Super Fresh антибактериальные 15 (120)</t>
  </si>
  <si>
    <t xml:space="preserve">  Super Fresh антибактериальные 72 (12)</t>
  </si>
  <si>
    <t>30.11.2017-19.12.2017</t>
  </si>
  <si>
    <t>04.12.17-25.12.17</t>
  </si>
  <si>
    <t>Салфетки бумажные "Ruta" 330x330 20л. цветные с рисунком, Веселый Санта Клаус (17)</t>
  </si>
  <si>
    <t>Салфетки бумажные "Ruta" 330x330 20л. цветные с рисунком, Праздничный микс НГ (17)</t>
  </si>
  <si>
    <t>Салфетки бумажные "Ruta" 330x330 20л. цветные с рисунком, Рождественский Вечер (17)</t>
  </si>
  <si>
    <t>10% реализация HH</t>
  </si>
  <si>
    <t>2 стойки Ideale</t>
  </si>
  <si>
    <t>05.12.2017-03.01.2017</t>
  </si>
  <si>
    <t>05.12.2017-31.12.2017</t>
  </si>
  <si>
    <t>TZMO +FS</t>
  </si>
  <si>
    <t>2301,14+30,47 9% ретро</t>
  </si>
  <si>
    <t>буклет 100%Paper</t>
  </si>
  <si>
    <t>9% ретро 999,16+0+127,47+41,05+734,19</t>
  </si>
  <si>
    <t>Репка</t>
  </si>
  <si>
    <t>Торгразвитие</t>
  </si>
  <si>
    <t>Жибуль</t>
  </si>
  <si>
    <t>Семела</t>
  </si>
  <si>
    <t>ПремьерМаркет</t>
  </si>
  <si>
    <t>ГаммаРитейл</t>
  </si>
  <si>
    <t>УниверсамЦентральный</t>
  </si>
  <si>
    <t>Максименко</t>
  </si>
  <si>
    <t>13.12.2017-09.01.2018</t>
  </si>
  <si>
    <t>14.12.2017-09.01.2018</t>
  </si>
  <si>
    <t>15.12.2017-02.01.2018</t>
  </si>
  <si>
    <t>салфетки Бумажные</t>
  </si>
  <si>
    <t>24.11.2017-16.01.2017</t>
  </si>
  <si>
    <t>24.11.2017-16.01.2018</t>
  </si>
  <si>
    <t>буклет RUTA</t>
  </si>
  <si>
    <t>21.12.2017-16.01.2018</t>
  </si>
  <si>
    <t>7% ретро FS KPD TZMO</t>
  </si>
  <si>
    <t>110 полка+150 стойка +40 супермакрет SF + 150 две стойки KPD + 75 стойка аутлето + 80 PUF</t>
  </si>
  <si>
    <t>9*25+12*20 коризины SF</t>
  </si>
  <si>
    <t>5% реализация Crazy Zoo</t>
  </si>
  <si>
    <t>2 стойки ideale по 150</t>
  </si>
  <si>
    <t>10% ретро Бонус</t>
  </si>
  <si>
    <t>26.12.2017-23.01.2018</t>
  </si>
  <si>
    <t>26.12.2017-16.01.2018</t>
  </si>
  <si>
    <t>26.12.2017-31.01.2017</t>
  </si>
  <si>
    <t>06.12.2017-28.12.2017 10/01</t>
  </si>
  <si>
    <t>переоценка акция SENI</t>
  </si>
  <si>
    <t>акция SAVEX</t>
  </si>
  <si>
    <t>2 окошка + переоценка на акцию</t>
  </si>
  <si>
    <t>03.01.2018-22.01.2018</t>
  </si>
  <si>
    <t>УНИВЕРСАМ ЗАВОДСКОЙ ЗАО (г.Минск)</t>
  </si>
  <si>
    <t>03.01.2018-01.02.2018</t>
  </si>
  <si>
    <t>200 торец весна+36 VOX полка+150 2 полки Savex</t>
  </si>
  <si>
    <t>05.01.2018-22.01.2018</t>
  </si>
  <si>
    <t>05.01.2018-01.02.2018</t>
  </si>
  <si>
    <t>10.01.18-24.01.18</t>
  </si>
  <si>
    <t>Юнифуд ЗОО (г.Минск)</t>
  </si>
  <si>
    <t>30.10.2017-31.01.2018</t>
  </si>
  <si>
    <t>15.01.2018-07.02.2018</t>
  </si>
  <si>
    <t>Салфетки косметические "Ruta" 200x210 80л. Имидж пенал (27)</t>
  </si>
  <si>
    <t>Заводской райпищеторг</t>
  </si>
  <si>
    <t>Универсам байкальский</t>
  </si>
  <si>
    <t>буклет (бумага+салфетки)</t>
  </si>
  <si>
    <t>Все поставщики</t>
  </si>
  <si>
    <t>15.01.18-05.02.18</t>
  </si>
  <si>
    <t>16.01.18-31.01.18</t>
  </si>
  <si>
    <t>Свитанок</t>
  </si>
  <si>
    <t>18.01.2018-06.02.2018</t>
  </si>
  <si>
    <t>120 2 окошка + 140 р переоценка на акцию</t>
  </si>
  <si>
    <t>36 полка VOX 150 2 полки SAVEX +переоценка в акцию</t>
  </si>
  <si>
    <t>22.01.2018-12.02.2018</t>
  </si>
  <si>
    <t>22.01.2018-21.02.2018</t>
  </si>
  <si>
    <t>10% ретро Бонус ХОЗТОВАРЫ</t>
  </si>
  <si>
    <t>2 окошка (IDEALE+Вата)</t>
  </si>
  <si>
    <t>окошко (ежедневки)</t>
  </si>
  <si>
    <t>2 окошка (BFT+PSOFT)</t>
  </si>
  <si>
    <t>23.01.18-28.02.18</t>
  </si>
  <si>
    <t>24.01.2018-28.02.2018</t>
  </si>
  <si>
    <t>24.01.2018-14.02.2018</t>
  </si>
  <si>
    <t>24.01.2018-22.02.2018</t>
  </si>
  <si>
    <t>25.01.2018-30.01.2018</t>
  </si>
  <si>
    <t>29.01.2018-28.02.2018</t>
  </si>
  <si>
    <t>29.01.18-19.02.18</t>
  </si>
  <si>
    <t>Стрелок</t>
  </si>
  <si>
    <t>буклет Soft</t>
  </si>
  <si>
    <t>Ruta</t>
  </si>
  <si>
    <t>2*150 стойки Ideale</t>
  </si>
  <si>
    <t>31.01.2017-28.02.2018</t>
  </si>
  <si>
    <t>разовая</t>
  </si>
  <si>
    <t>01.02.2018-21.02.2018</t>
  </si>
  <si>
    <t>01.02.2018-20.02.2018</t>
  </si>
  <si>
    <t>31.01.2018-28.02.2018</t>
  </si>
  <si>
    <t>Салфетки бумажные "Servetta" 240x240 85л. белые (28)</t>
  </si>
  <si>
    <t>02.02.2018-28.02.2018</t>
  </si>
  <si>
    <t xml:space="preserve"> Pufies Sensitive Junior 14 (11-20 кг), (5)</t>
  </si>
  <si>
    <t xml:space="preserve"> Pufies Sensitive Maxi 18 (7-14 кг), (5)</t>
  </si>
  <si>
    <t xml:space="preserve"> Pufies Sensitive Midi 20 (4-9 кг), (5)</t>
  </si>
  <si>
    <t xml:space="preserve"> Pufies Sensitive Mini 24 (3-6 кг), (5)</t>
  </si>
  <si>
    <t>9% ретро 1306,34+154,61+156,91+138,63+1138,65</t>
  </si>
  <si>
    <t>07.02.2018-27.02.2018</t>
  </si>
  <si>
    <t>05.02.2018-28.02.2018</t>
  </si>
  <si>
    <t>Мыло жидкое "MILMIL" Лимон и мята 1000мл (10)</t>
  </si>
  <si>
    <t>Пена для бритья "FIGARO" Аргановое масло 400мл (12)</t>
  </si>
  <si>
    <t>Пена для бритья освежающая с ментолом "FIGARO" 400мл (12)</t>
  </si>
  <si>
    <t>Станки для бритья с двойным лезвием и смягчающей полоской FIGARO (20)</t>
  </si>
  <si>
    <t>07.02.2018-18.02.2018</t>
  </si>
  <si>
    <t>буклет Вата</t>
  </si>
  <si>
    <t>12.02.2018-01.03.2018</t>
  </si>
  <si>
    <t>12.02.2018-26.02.2018</t>
  </si>
  <si>
    <t>09.02.2018-05.03.2018</t>
  </si>
  <si>
    <t>Happy Maxi Plus 62, (9-20 кг),  (4) (РФ)</t>
  </si>
  <si>
    <t>12.02.2018-07.03.2018</t>
  </si>
  <si>
    <t>буклет полотенечко</t>
  </si>
  <si>
    <t>3 окна в газете  2 бумаги + 1 полотенце</t>
  </si>
  <si>
    <t>13.02.2018-14.03.2018</t>
  </si>
  <si>
    <t>13.02.18-05.03.18</t>
  </si>
  <si>
    <t>14.02.18-28.02.18</t>
  </si>
  <si>
    <t>15.02.2018-01.03.2018</t>
  </si>
  <si>
    <t>16.02.2018-20.03.2018</t>
  </si>
  <si>
    <t>с 27.02.2018</t>
  </si>
  <si>
    <t>с 27.02.2019</t>
  </si>
  <si>
    <t>16.02.2018-15.03.2018</t>
  </si>
  <si>
    <t>акция Ficasota</t>
  </si>
  <si>
    <t>For teens+Panty Soft</t>
  </si>
  <si>
    <t>23.02.2017-31.03.2018</t>
  </si>
  <si>
    <t>22.02.2018-13.03.2018</t>
  </si>
  <si>
    <t>все постиавщики</t>
  </si>
  <si>
    <t>7% ретробонуса</t>
  </si>
  <si>
    <t>60 USD окошко + 81,26 переоценка</t>
  </si>
  <si>
    <t>118,82 салфетки окошко + 27,28 переоценка+142,34 ретробонус</t>
  </si>
  <si>
    <t>6% Ретро</t>
  </si>
  <si>
    <t>10%хоз товары ретро</t>
  </si>
  <si>
    <t>переоценка акция TZMO</t>
  </si>
  <si>
    <t>26.02.18-14.03.18</t>
  </si>
  <si>
    <t>27.02.2018-31.03.2018</t>
  </si>
  <si>
    <t>28.02.2018-21.03.2018</t>
  </si>
  <si>
    <t>80 пуф +110+150+40+150 KPD</t>
  </si>
  <si>
    <t>05.03.2018-29.03.2018</t>
  </si>
  <si>
    <t>Разовая</t>
  </si>
  <si>
    <t>26.02.2018-22.03.2018</t>
  </si>
  <si>
    <t>Средство моющее "Мыло хозяйственное жидкое 72%" 500мл (10)</t>
  </si>
  <si>
    <t>не учавствует в акции</t>
  </si>
  <si>
    <t>Замена</t>
  </si>
  <si>
    <t>06.03.2018-20.03.2018</t>
  </si>
  <si>
    <t>06.03.2018-04.04.2018</t>
  </si>
  <si>
    <t>12.03.18-10.04.18</t>
  </si>
  <si>
    <t>Пена для бритья "FIGARO" 400мл (12)</t>
  </si>
  <si>
    <t>Пена для бритья для чувствительной кожи "FIGARO" 400мл (12)</t>
  </si>
  <si>
    <t>14.03.2018-10.04.2018</t>
  </si>
  <si>
    <t>14.03.2018-04.04.2018</t>
  </si>
  <si>
    <t>Салфетки бумажные "Ruta" 240x240 40л. Две писанки (пасхальная) (30)</t>
  </si>
  <si>
    <t>Салфетки бумажные "Ruta" 240x240 40л. Праздничные Узоры (30)</t>
  </si>
  <si>
    <t>19.03.2018-11.04.2018</t>
  </si>
  <si>
    <t xml:space="preserve"> +163,34 НДС, буклеты и метро</t>
  </si>
  <si>
    <t xml:space="preserve"> +30  НДС буклет</t>
  </si>
  <si>
    <t>RUTA+MIRATO</t>
  </si>
  <si>
    <t xml:space="preserve"> +10 НДС буклет 2 окошка RUTA/1Мирато</t>
  </si>
  <si>
    <t>RUTA+KPD+TZMO</t>
  </si>
  <si>
    <t xml:space="preserve"> +13,33 НДС , буклет 2 окошка RUTTA/1KPD/1TZMO</t>
  </si>
  <si>
    <t>Салфетки бумажные "Ruta" 240x240 40л. Цыплята (пасхальная) (30)</t>
  </si>
  <si>
    <t>20.03.2018-12.04.2018</t>
  </si>
  <si>
    <t>20.03.18-31.03.18</t>
  </si>
  <si>
    <t>20.03.2018-18.04.2018</t>
  </si>
  <si>
    <t xml:space="preserve"> +11,67 НДС SF120</t>
  </si>
  <si>
    <t>Простор Маркет</t>
  </si>
  <si>
    <t>6% ретро SF</t>
  </si>
  <si>
    <t>окошко Tilia 60</t>
  </si>
  <si>
    <t>7% Ретро</t>
  </si>
  <si>
    <t>23.03.2018-03.04.2018</t>
  </si>
  <si>
    <t>20 ввод SF+ 10 ввод PUS+80 полка PUF+70 губки+70 рулонка и перчатки+150 стойки SF+76,74+182,47 переоценка RUTA</t>
  </si>
  <si>
    <t>2 месаца полки Savex 2*160+ 36*2 капля вокс +44,88USD+57,57 USD компенсация скидки Savex</t>
  </si>
  <si>
    <t>27.03.18-16.04.18</t>
  </si>
  <si>
    <t>27.03.2018-25.04.2018</t>
  </si>
  <si>
    <t>27.03.2018-30.04.2018</t>
  </si>
  <si>
    <t>Туалетная бумага "Ruta" Pure White 8 рул. Белая</t>
  </si>
  <si>
    <t xml:space="preserve">Туалетная бумага "Ruta" Classic 4 рул. белая </t>
  </si>
  <si>
    <t>5 газет 4 TZMO + 1 KPD</t>
  </si>
  <si>
    <t>стойки 580 USD (+20% НДС)</t>
  </si>
  <si>
    <t>корзины 260 (+20% НДС)</t>
  </si>
  <si>
    <t>компенсация акции по кометике Весна</t>
  </si>
  <si>
    <t>29.03.2018-17.04.2018</t>
  </si>
  <si>
    <t>Платочки носовые "Ruta" Zoo 10x10 (240)</t>
  </si>
  <si>
    <t>29.03.2018 разовая</t>
  </si>
  <si>
    <t>PUF, салфетки, бумага</t>
  </si>
  <si>
    <t>719+76,35+102,55+652,55+50,68</t>
  </si>
  <si>
    <t>FS+ Мирато</t>
  </si>
  <si>
    <t>04.04.2018-24.04.2018</t>
  </si>
  <si>
    <t>05.04.2018-30.04.2018</t>
  </si>
  <si>
    <t>Весна+RUTA</t>
  </si>
  <si>
    <t>2 местав газете</t>
  </si>
  <si>
    <t>06.04.2018-14.05.2018</t>
  </si>
  <si>
    <t>Прищепки пластиковые Фрекен БОК 24 (72)</t>
  </si>
  <si>
    <t>09.04.18-15.04.18</t>
  </si>
  <si>
    <t>09.04.18-01.05.18</t>
  </si>
  <si>
    <t>09.04.18-25.04.18</t>
  </si>
  <si>
    <t>Супертонкие женские гигиенические впитывающие прокладки марки Bella For Teens Ultra Energy deo 10</t>
  </si>
  <si>
    <t>Супертонкие женские гигиенические впитывающие прокладки марки Bella For Teens Ultra Relax deo 10</t>
  </si>
  <si>
    <t>Супертонкие женские гигиенические впитывающие прокладки марки Bella For Teens Ultra Sensitive 10</t>
  </si>
  <si>
    <t>ЦУМ</t>
  </si>
  <si>
    <t>10.04.2018-02.05.2018</t>
  </si>
  <si>
    <t>12.04.2018-30.04.2018</t>
  </si>
  <si>
    <t>12.04.2018-01.05.2018</t>
  </si>
  <si>
    <t>Savex 2 in 1 Fresh (для машинной стирки), 1.2 кг,  (8)</t>
  </si>
  <si>
    <t>Savex Whites&amp;Colors (для машинной стирки), 1.2 кг,  (8)</t>
  </si>
  <si>
    <t>12.04.2018 разовая</t>
  </si>
  <si>
    <t>12.04.2018-22.04.2018</t>
  </si>
  <si>
    <t>Bella Nova softiplait 10 (32) (РФ)</t>
  </si>
  <si>
    <t>12.04.2018-22.05.2018</t>
  </si>
  <si>
    <t>3 позиции в буклете</t>
  </si>
  <si>
    <t>тест Savex 3 месяца</t>
  </si>
  <si>
    <t>акция март Компенсация</t>
  </si>
  <si>
    <t>ретробонус 1 квартал</t>
  </si>
  <si>
    <t>4% оплата</t>
  </si>
  <si>
    <t>Мирато</t>
  </si>
  <si>
    <t>модуль Пена</t>
  </si>
  <si>
    <t>18.04.2018-10.05.2018</t>
  </si>
  <si>
    <t>18.04.2018-16.05.2018</t>
  </si>
  <si>
    <t>Крем "Детский" с экстрактом череды 45г (48)</t>
  </si>
  <si>
    <t>18.04.2018-09.05.2018</t>
  </si>
  <si>
    <t>19.04.18-02.05.18</t>
  </si>
  <si>
    <t>булкет</t>
  </si>
  <si>
    <t>19.04.2018 разовая</t>
  </si>
  <si>
    <t>20.04.18-08.05.18</t>
  </si>
  <si>
    <t>20.04.18-15.05.18</t>
  </si>
  <si>
    <t>20.04.2018-17.05.2018</t>
  </si>
  <si>
    <t>23.04.18-14.05.18</t>
  </si>
  <si>
    <t>Мыло туалетное "Детское" нейтральное 90г (72)</t>
  </si>
  <si>
    <t>23.04.18-09.05.18</t>
  </si>
  <si>
    <t>23.04.18-23.05.18</t>
  </si>
  <si>
    <t xml:space="preserve"> Savex Whites&amp;Colors (для машинной стирки), 6кг,  (3)</t>
  </si>
  <si>
    <t>разница между акционной и регулярной ценой</t>
  </si>
  <si>
    <t>окно в буклете + отклонение цен</t>
  </si>
  <si>
    <t>23.04.2018-31.05.2018</t>
  </si>
  <si>
    <t>RUTA+ FS</t>
  </si>
  <si>
    <t>2+1 буклета</t>
  </si>
  <si>
    <t>дмп капля ВОКС</t>
  </si>
  <si>
    <t>KPD+RURA</t>
  </si>
  <si>
    <t>буклет 2 kpd+3 ruta</t>
  </si>
  <si>
    <t>260 полки и стойки KPD 80 пуфис+ 40 лишних по КПД</t>
  </si>
  <si>
    <t>25.04.2018-30.05.2018</t>
  </si>
  <si>
    <t xml:space="preserve"> Туалетная бумага "Ecolo" Deluxe 4 рул. белая</t>
  </si>
  <si>
    <t xml:space="preserve"> Туалетная бумага "100% Paper" белая 4 рул.</t>
  </si>
  <si>
    <t>Бумажные полотенца "Ruta" Selecta Mega roll 1 рул.</t>
  </si>
  <si>
    <t>26.04.2018-15.05.2018</t>
  </si>
  <si>
    <t>25.04.18-13.05.18</t>
  </si>
  <si>
    <t>Еврокэш Групп ООО (г.Минск)</t>
  </si>
  <si>
    <t>Pufies Baby Art&amp;Dry Midi 74 (4-9 кг), (2)</t>
  </si>
  <si>
    <t>Pufies Baby Art&amp;Dry Mini 80 (3-6 кг), (2)</t>
  </si>
  <si>
    <t>9%ретро</t>
  </si>
  <si>
    <t>стойки Ideale 690</t>
  </si>
  <si>
    <t>коризины SF 260+ 20% НДС</t>
  </si>
  <si>
    <t>тесты 393 +20% НДС</t>
  </si>
  <si>
    <t>26.04.18-13.05.18</t>
  </si>
  <si>
    <t>27.04.2018-09.05.2018</t>
  </si>
  <si>
    <t>10% ретро на все  +20% рута (50+50)</t>
  </si>
  <si>
    <t>03.05.2018-23.05.2018</t>
  </si>
  <si>
    <t>02.05.2018-22.05.2018</t>
  </si>
  <si>
    <t>02.05.18-07.05.18</t>
  </si>
  <si>
    <t>03.05.2018-15.05.2018</t>
  </si>
  <si>
    <t>зазетка савекс</t>
  </si>
  <si>
    <t>07.05.2018-31.05.2018</t>
  </si>
  <si>
    <t>Салфетки косметические "Ruta" 200x210 150л. Woman (15)</t>
  </si>
  <si>
    <t>05.05.2018-06.06.2018</t>
  </si>
  <si>
    <t>KPD+РУТА</t>
  </si>
  <si>
    <t>буклет SF + рута</t>
  </si>
  <si>
    <t>08.05.2018-29.05.2018</t>
  </si>
  <si>
    <t>11.05.2018-29.05.2018</t>
  </si>
  <si>
    <t>10.05.2018-15.06.2018</t>
  </si>
  <si>
    <t>RUTA +KPD</t>
  </si>
  <si>
    <t>3 буклета 2 рута +1 КПД</t>
  </si>
  <si>
    <t>14.05.2018-21.05.2018</t>
  </si>
  <si>
    <t>14.05.2018-31.05.2018</t>
  </si>
  <si>
    <t>17.05.2018-27.05.2018</t>
  </si>
  <si>
    <t>17.05.2018-14.06.2018</t>
  </si>
  <si>
    <t>18.05.2018-19.06.2018</t>
  </si>
  <si>
    <t>21.05.18-11.06.18</t>
  </si>
  <si>
    <t>капля вокс полка</t>
  </si>
  <si>
    <t>FS 5% ретро</t>
  </si>
  <si>
    <t xml:space="preserve"> 60 окошка в газете, 132 отклонение цен</t>
  </si>
  <si>
    <t>буклет Рута классик</t>
  </si>
  <si>
    <t>23.05.18-30.06.18</t>
  </si>
  <si>
    <t>Туалетная бумага "Ruta" Classic 4 рул. белая</t>
  </si>
  <si>
    <t>Станки для бритья с двойным лезвием и смягчающей полоской торговой марки  FIGARO 10шт в уп.</t>
  </si>
  <si>
    <t xml:space="preserve">Пена для бритья "FIGARO" 400мл </t>
  </si>
  <si>
    <t>Пена для бритья "FIGARO" Аргановое масло 400мл</t>
  </si>
  <si>
    <t>Пена для бритья для чувствительной кожи "FIGARO" 400мл</t>
  </si>
  <si>
    <t>24.05.2018-12.06.2018</t>
  </si>
  <si>
    <t>Салфетки бумажные "Ruta" 240x240 100шт. белые (28)</t>
  </si>
  <si>
    <t>Средство моющее "Мыло хозяйственное жидкое 72%" 1000мл (10)</t>
  </si>
  <si>
    <t>25.05.2018-12.06.2018</t>
  </si>
  <si>
    <t>28.05.2018-04.06.2018</t>
  </si>
  <si>
    <t>28.05.2018-21.06.2018</t>
  </si>
  <si>
    <t>Мыло туалетное "Детское" с экстрактом череды 90г (72)</t>
  </si>
  <si>
    <t>28.05.2018-27.06.2018</t>
  </si>
  <si>
    <t>28.05.2018-30.06.2018</t>
  </si>
  <si>
    <t>29.05.2018-19.06.2018</t>
  </si>
  <si>
    <t>270,83 5% ретро+147,66 переоценка</t>
  </si>
  <si>
    <t>9% релазиция SF</t>
  </si>
  <si>
    <t>газета Savex</t>
  </si>
  <si>
    <t>газета Bella for teens</t>
  </si>
  <si>
    <t>корзины SF 4*35+3*40</t>
  </si>
  <si>
    <t>260 полка+ стойка KPD 110 полка + реклама PUF</t>
  </si>
  <si>
    <t>4 стойки КПД</t>
  </si>
  <si>
    <t>ретро парфюм</t>
  </si>
  <si>
    <t>Замена позиции</t>
  </si>
  <si>
    <t>01.06.2018-30.06.2018</t>
  </si>
  <si>
    <t>31.05.2018 разовая</t>
  </si>
  <si>
    <t>31.05.2018-28.06.2018</t>
  </si>
  <si>
    <t>01.06.18-19.06.18</t>
  </si>
  <si>
    <t>Подгузники для детей Pufies Baby Art&amp;Dry Junior 52 (11-20 кг)</t>
  </si>
  <si>
    <t>Подгузники для детей Pufies Baby Art&amp;Dry Maxi 64 (7-14 кг)</t>
  </si>
  <si>
    <t>Подгузники для детей Pufies Baby Art&amp;Dry Maxi+ 56 (9-16 кг)</t>
  </si>
  <si>
    <t>Подгузники для детей Pufies Baby Art&amp;Dry Midi 74 (4-9 кг)</t>
  </si>
  <si>
    <t>Средство моющее синтетическое порошкообразное Savex 2 in 1 Color (для машинной стирки), 2,4кг</t>
  </si>
  <si>
    <t>Средство моющее синтетическое порошкообразное Savex 2 in 1 Fresh (для машинной стирки), 2,4кг</t>
  </si>
  <si>
    <t>Средство моющее синтетическое порошкообразное Savex Color Brightness (для машинной стирки), 2,4кг</t>
  </si>
  <si>
    <t>Средство моющее синтетическое порошкообразное Savex Whites &amp; Colors (для машинной стирки), 2,4кг</t>
  </si>
  <si>
    <t>04.06.2018-29.06.2018</t>
  </si>
  <si>
    <t>РУТА+KPD</t>
  </si>
  <si>
    <t>9% ретро 512,68+33+3+142,98+0+281,26</t>
  </si>
  <si>
    <t>05.06.2018-05.07.2018</t>
  </si>
  <si>
    <t>на один магазин №10</t>
  </si>
  <si>
    <t>05.06.2018-25.06.2018</t>
  </si>
  <si>
    <t>Влажные салфетки SUPER FRESH для детей и мам 120</t>
  </si>
  <si>
    <t>06.06.2018-30.06.2018</t>
  </si>
  <si>
    <t>07.06.2018-26.06.2018</t>
  </si>
  <si>
    <t>07.06.2018 разовая</t>
  </si>
  <si>
    <t>все поставщики (TZMO)</t>
  </si>
  <si>
    <t>07.06.2018-30.06.2018</t>
  </si>
  <si>
    <t>белана</t>
  </si>
  <si>
    <t>2% от оплат</t>
  </si>
  <si>
    <t>11.06.2018-17.06.2018</t>
  </si>
  <si>
    <t>11.06.2018-03.07.2018</t>
  </si>
  <si>
    <t>2 окошка</t>
  </si>
  <si>
    <t>1 +1 модуль в буклете</t>
  </si>
  <si>
    <t>12.06.2018-03.07.2018</t>
  </si>
  <si>
    <t>Bella Herbs Verbena Comfort 10 (36) (РФ)</t>
  </si>
  <si>
    <t>12.06.18-27.06.18</t>
  </si>
  <si>
    <t>Прокладки женские гигиенические BELLA PANTY SOFT 20</t>
  </si>
  <si>
    <t>150 стойка SF+110 полки Бонус+80 Pufies</t>
  </si>
  <si>
    <t>18.06.2018-10.07.2018</t>
  </si>
  <si>
    <t>Бумажные полотенца "Ruta" Selecta Decor 2 рул. (6)</t>
  </si>
  <si>
    <t>Влажные салфетки "Ruta Selecta" Antibacterial с экстрактом алоэ 15 (75)</t>
  </si>
  <si>
    <t>18.06.2018-30.06.2018</t>
  </si>
  <si>
    <t>18.06.2018-31.07.2018</t>
  </si>
  <si>
    <t>Bella Panty Ideale Large 20 (20)</t>
  </si>
  <si>
    <t>Bella Panty Ideale Normal 28 (16)</t>
  </si>
  <si>
    <t>19.06.18-30.06.18</t>
  </si>
  <si>
    <t>Супертонкие женские гигиенические впитывающие ароматизированные прокладки марки Bella For Teens Ultra Energy 10</t>
  </si>
  <si>
    <t>Супертонкие женские гигиенические впитывающие ароматизированные прокладки марки Bella For Teens Ultra Relax 10</t>
  </si>
  <si>
    <t>19.06.18-18.07.18</t>
  </si>
  <si>
    <t>Влажные салфетки SUPER FRESH для детей и мам 120 (с календулой)</t>
  </si>
  <si>
    <t>18.06.18-09.07.18</t>
  </si>
  <si>
    <t>Влажные салфетки Super Fresh д/детей и мам 120шт</t>
  </si>
  <si>
    <t>Прокладки жен.Bella For Teens Ultra Energy deo 10 супертонкие</t>
  </si>
  <si>
    <t>Прокладки жен.Bella For Teens Ultra Relax deo 10 супертонкие</t>
  </si>
  <si>
    <t>Прокладки жен.Bella For Teens Ultra Sensitive 10 супертонкие</t>
  </si>
  <si>
    <t>Прокладки жен.Bella For Teens Energy deo 20 экстратонкие</t>
  </si>
  <si>
    <t>Прокладки жен.Bella For Teens Relax deo 20 экстратонкие</t>
  </si>
  <si>
    <t>Прокладки жен.Bella For Teens Sensitive 20 экстратонкие</t>
  </si>
  <si>
    <t>4 стойки PUF</t>
  </si>
  <si>
    <t>компенсация акции Май</t>
  </si>
  <si>
    <t>5% от оплат</t>
  </si>
  <si>
    <t>KPD+TZMO+RUTA</t>
  </si>
  <si>
    <t>места в буклетах 2 KPD+2RUTA+1 TZMO</t>
  </si>
  <si>
    <t>20.06.2018-21.06.2018</t>
  </si>
  <si>
    <t>21.06.2018-10.07.2018</t>
  </si>
  <si>
    <t>Дезодорант-антиперспирант для тела "MALIZIA" серии Fresh Care Dry 150мл (12)</t>
  </si>
  <si>
    <t>Дезодорант-антиперспирант для тела "MALIZIA" серии Fresh Care Neutral 150мл (12)</t>
  </si>
  <si>
    <t>Дезодорант-антиперспирант для тела "MALIZIA" серии Fresh Care Talc 150мл (12)</t>
  </si>
  <si>
    <t>Дезодорант-антиперспирант для тела "MALIZIA" серии Fresh Care Cucumber Green tea 150мл (12)</t>
  </si>
  <si>
    <t>Bella For Teens Ultra Energy 10 (36) (РФ)</t>
  </si>
  <si>
    <t>21.06.2018-27.06.2018</t>
  </si>
  <si>
    <t>22.06.2018-10.07.2018</t>
  </si>
  <si>
    <t>22.06.2018-31.07.2018</t>
  </si>
  <si>
    <t>758,93+27,6+169,51+83,71+230,47 9% ретро</t>
  </si>
  <si>
    <t>25.06.2018-17.07.2018</t>
  </si>
  <si>
    <t>полка капля VOX</t>
  </si>
  <si>
    <t>27.06.18-31.07.18</t>
  </si>
  <si>
    <t>Прокладки женские гигиенические впитывающие BELLA NORMAL 20</t>
  </si>
  <si>
    <t>27.06.18-11.07.18</t>
  </si>
  <si>
    <t>BELLA COTTON  120 ватные подушечки</t>
  </si>
  <si>
    <t>26.06.2018-31.07.2018</t>
  </si>
  <si>
    <t>26.06.2018-29.07.2018</t>
  </si>
  <si>
    <t>28.06.2018-23.07.2018</t>
  </si>
  <si>
    <t>FS+МИРАТО</t>
  </si>
  <si>
    <t>акция HAPPY, компенсация скидки</t>
  </si>
  <si>
    <t>переоценка акция губки+тряпки</t>
  </si>
  <si>
    <t>газетка Бонус</t>
  </si>
  <si>
    <t>2 газетки TZMO</t>
  </si>
  <si>
    <t>4 стойки КПД 384+288+360+384</t>
  </si>
  <si>
    <t>04.07.2018-18.07.2018</t>
  </si>
  <si>
    <t>04.07.2018-31.07.2018</t>
  </si>
  <si>
    <t>04.07.2018-12.07.2018</t>
  </si>
  <si>
    <t>05.07.2018-26.07.2018</t>
  </si>
  <si>
    <t>Дезодорант-антиперспирант для тела "MALIZIA" серии Fresh Care Perfect Touch 150мл (12)</t>
  </si>
  <si>
    <t>04.07.18-18.07.18</t>
  </si>
  <si>
    <t>95 ретро</t>
  </si>
  <si>
    <t>стойки 4 магазина</t>
  </si>
  <si>
    <t>06.07.2018-24.07.2018</t>
  </si>
  <si>
    <t>Дезодорант для тела "MALIZIA" серии UOMO "Aqua" 150мл (12)</t>
  </si>
  <si>
    <t>Дезодорант для тела "MALIZIA" серии UOMO "Skyline" 150мл (12)</t>
  </si>
  <si>
    <t>Дезодорант для тела "MALIZIA" серии UOMO "Vetyver" 150мл (12)</t>
  </si>
  <si>
    <t>RUTA+KPD</t>
  </si>
  <si>
    <t>1 блок КПД+ 3 рута</t>
  </si>
  <si>
    <t>TZMO+ Мирато</t>
  </si>
  <si>
    <t>буклеты 2+5</t>
  </si>
  <si>
    <t>10.07.2018-07.08.2018</t>
  </si>
  <si>
    <t>10.07.2018-02.08.2018</t>
  </si>
  <si>
    <t>Дезодорант для тела "MALIZIA" серии UOMO "Urban" 150мл (12)</t>
  </si>
  <si>
    <t>11.07.2018-06.08.2018</t>
  </si>
  <si>
    <t>модуль Полотенечко</t>
  </si>
  <si>
    <t>11.07.2018-31.07.2018</t>
  </si>
  <si>
    <t>акции июнь</t>
  </si>
  <si>
    <t>12.07.2018-25.07.2018</t>
  </si>
  <si>
    <t>Bella For Teens Ultra Sensitive 10 (36) (РФ)</t>
  </si>
  <si>
    <t>13.07.2018-16.08.2018</t>
  </si>
  <si>
    <t>19.06.2018-12.07.2018</t>
  </si>
  <si>
    <t>7 и 9% ретро</t>
  </si>
  <si>
    <t>TZMO+Мирато</t>
  </si>
  <si>
    <t>буклет 2 +1</t>
  </si>
  <si>
    <t>RUTA + TZMO</t>
  </si>
  <si>
    <t>18.07.2018-18.08.2018</t>
  </si>
  <si>
    <t>18.07.2018-21.08.2018</t>
  </si>
  <si>
    <t>Happy Junior extra 54, (16+кг),  (4) (РФ)</t>
  </si>
  <si>
    <t>Happy Junior extra 54, (16+кг),  (4)_</t>
  </si>
  <si>
    <t>18.07.2018-06.08.2018</t>
  </si>
  <si>
    <t>18.07.2018-31.07.2018</t>
  </si>
  <si>
    <t>переоценка торцы</t>
  </si>
  <si>
    <t>компенсация акции</t>
  </si>
  <si>
    <t>19.07.2018-01.09.2018</t>
  </si>
  <si>
    <t>19.07.2018-07.08.2018</t>
  </si>
  <si>
    <t>полки капля VOX</t>
  </si>
  <si>
    <t>25.07.18-31.08.18</t>
  </si>
  <si>
    <t>Bella For Teens Ultra Relax 10 (36) (РФ)</t>
  </si>
  <si>
    <t>Белмаркеткомпани</t>
  </si>
  <si>
    <t>For teens + SF</t>
  </si>
  <si>
    <t>150 стойка SF+110 полки Бонус+80 Pufies + компенс акции топ 100</t>
  </si>
  <si>
    <t>ГиперМолл</t>
  </si>
  <si>
    <t>хранение товара</t>
  </si>
  <si>
    <t>26.07.2018-25.08.2018</t>
  </si>
  <si>
    <t>Мой Ребёнок Ритейл ООО (г.Гродно)</t>
  </si>
  <si>
    <t>2 модуля буклет</t>
  </si>
  <si>
    <t>30.07.2018-29.08.2018</t>
  </si>
  <si>
    <t>30.07.2018-23.08.2018</t>
  </si>
  <si>
    <t>30.07.18-31.08.18</t>
  </si>
  <si>
    <t>Teo Bebe Sweet Lavender 2,4кг, (6)</t>
  </si>
  <si>
    <t>Teo Bebe Tender Aloe 2,4кг, (6)</t>
  </si>
  <si>
    <t>Savex 2 in 1 Color (для машинной стирки), 6кг,  (3)</t>
  </si>
  <si>
    <t>Savex 2 in 1 Color (для машинной стирки), 4кг,  (8)</t>
  </si>
  <si>
    <t>Savex 2 in 1 Fresh (для машинной стирки), 4кг,  (4)</t>
  </si>
  <si>
    <t>Savex 2in1 Color 1,3L (6)</t>
  </si>
  <si>
    <t>Savex 2in1 Fresh 1,3L (6)</t>
  </si>
  <si>
    <t>31.07.2018-31.08.2018</t>
  </si>
  <si>
    <t>4 стойки КПД 382,04+286,53+358,16+382,04</t>
  </si>
  <si>
    <t>корзины SF 5*35+3*40</t>
  </si>
  <si>
    <t>буклет SUPERFRESH</t>
  </si>
  <si>
    <t>02.08.2018-21.08.2018</t>
  </si>
  <si>
    <t>Дезодорант-антиперспирант для тела "MALIZIA" серии Fresh Care Original 150мл (12)</t>
  </si>
  <si>
    <t>03.08.2018-28.08.2018</t>
  </si>
  <si>
    <t xml:space="preserve"> Savex 2in1 Fresh 2,6L (4)</t>
  </si>
  <si>
    <t>SF 5% ретро</t>
  </si>
  <si>
    <t>2 газеты по 150 USD SF+Panty</t>
  </si>
  <si>
    <t>03.08.2018-01.09.2018</t>
  </si>
  <si>
    <t>07.08.2018-28.08.2018</t>
  </si>
  <si>
    <t>9% ретро (562,16+11,59+108,1+27,09)</t>
  </si>
  <si>
    <t>09.08.2018-30.08.2018</t>
  </si>
  <si>
    <t>09.08.18-28.08.18</t>
  </si>
  <si>
    <t>09.08.2018 разовая</t>
  </si>
  <si>
    <t>Мирато+РУТА</t>
  </si>
  <si>
    <t xml:space="preserve"> 2 места в буклете</t>
  </si>
  <si>
    <t>Мирато+Рута</t>
  </si>
  <si>
    <t>4 ТО стойки</t>
  </si>
  <si>
    <t>акция компенсация</t>
  </si>
  <si>
    <t>15.08.18-30.08.18</t>
  </si>
  <si>
    <t>Пена для бритья "FIGARO" 400мл</t>
  </si>
  <si>
    <t>Пена для бритья освежающая с ментолом "FIGARO" 400мл</t>
  </si>
  <si>
    <t>штраф за отсутствие мерча</t>
  </si>
  <si>
    <t>16.08.2018-20.09.2018</t>
  </si>
  <si>
    <t>17.08.2018-18.09.2018</t>
  </si>
  <si>
    <t>17.08.2018-20.09.2018</t>
  </si>
  <si>
    <t>20.08.2018-31.08.2018</t>
  </si>
  <si>
    <t>20.08.2018-13.09.2018</t>
  </si>
  <si>
    <t>22.08.2018-11.09.2018</t>
  </si>
  <si>
    <t>Bella Perfecta Ultra Rose Deo fresh 10 (36) (РФ)</t>
  </si>
  <si>
    <t>Bella Perfecta Ultra Violet Deo fresh 10, (36) (РФ)</t>
  </si>
  <si>
    <t>22.08.18-30.09.18</t>
  </si>
  <si>
    <t>Подгузники для взрослых SUPER SENI AIR LARGE 30 шт.</t>
  </si>
  <si>
    <t>Подгузники для взрослых SUPER SENI AIR MEDIUM 30 шт.</t>
  </si>
  <si>
    <t>Подгузники для взрослых SUPER SENI AIR LARGE 10 шт.</t>
  </si>
  <si>
    <t>Подгузники для взрослых SUPER SENI AIR MEDIUM 10 шт.</t>
  </si>
  <si>
    <t xml:space="preserve">Прокладки женские гигиенические впитывающие супертонкие BELLA PERFECTA ULTRA ROSE DEO FRESH 10 </t>
  </si>
  <si>
    <t>Прокладки женские гигиенические впитывающие супертонкие BELLA PERFECTA ULTRA VIOLET DEO FRESH 10</t>
  </si>
  <si>
    <t>Прокладки женские гигиенические впитывающие супертонкие BELLA PERFECTA ULTRA BLUE 10</t>
  </si>
  <si>
    <t>Прокладки женские гигиенические впитывающие супертонкие BELLA PERFECTA ULTRA GREEN 10</t>
  </si>
  <si>
    <t>73,44 переоцнека 1+1 фор тинс+ 119,12 буклет</t>
  </si>
  <si>
    <t>Газетка акция TZMO</t>
  </si>
  <si>
    <t>24.08.2018-18.09.2018</t>
  </si>
  <si>
    <t xml:space="preserve">150 стойка SF+110 полки Бонус+80 Pufies </t>
  </si>
  <si>
    <t>27.08.2018-30.09.2018</t>
  </si>
  <si>
    <t>KPD+RUTA</t>
  </si>
  <si>
    <t>26.08.2018-15.09.2018</t>
  </si>
  <si>
    <t>29.08.2018-24.09.2018</t>
  </si>
  <si>
    <t>29.08.2018-30.09.2018</t>
  </si>
  <si>
    <t>Маска влажная "FreshLand" мультиэффект (50)</t>
  </si>
  <si>
    <t>Маска влажная "FreshLand" омолаживающая (50)</t>
  </si>
  <si>
    <t>Маска влажная "FreshLand" увлажняющая (50)</t>
  </si>
  <si>
    <t>29.08.18-08.09.18</t>
  </si>
  <si>
    <t>3% ретро (март+июль)</t>
  </si>
  <si>
    <t>30.08.2018-30.09.2018</t>
  </si>
  <si>
    <t>30.08.2018-13.09.2018</t>
  </si>
  <si>
    <t>31.08.2018-30.09.2018</t>
  </si>
  <si>
    <t>31.08.2018-18.09.2018</t>
  </si>
  <si>
    <t>03.09.2018-14.09.2018</t>
  </si>
  <si>
    <t>03.09.2018-09.09.2018</t>
  </si>
  <si>
    <t>05.09.2018-25.09.2018</t>
  </si>
  <si>
    <t>04.09.18-19.09.18</t>
  </si>
  <si>
    <t>Жидкое концентрированное средство для стирки SAVEX 2in1 Color 1,3L</t>
  </si>
  <si>
    <t>Жидкое концентрированное средство для стирки SAVEX 2in1 Fresh 1,3L</t>
  </si>
  <si>
    <t>05.09.2018-30.09.2018</t>
  </si>
  <si>
    <t>RUTA+FS</t>
  </si>
  <si>
    <t>1 +2 Буклет</t>
  </si>
  <si>
    <t>5% ретро 1 полугоди</t>
  </si>
  <si>
    <t>07.09.2019-11.09.2018</t>
  </si>
  <si>
    <t>10.09.2018-01.10.2018</t>
  </si>
  <si>
    <t>07.09.2018-17.09.2018</t>
  </si>
  <si>
    <t>10.09.2018-04.10.2018</t>
  </si>
  <si>
    <t>Bella Perfecta Ultra Blue 10 (36) (РФ)</t>
  </si>
  <si>
    <t>Bella Perfecta Ultra Green 10 (36) (РФ)</t>
  </si>
  <si>
    <t>Туалетная бумага "Ecolo" 4 рул. (16)</t>
  </si>
  <si>
    <t>Шампунь для жирных волос "MILMIL" GREEN APPLE GREASE HAIR 750мл (12)</t>
  </si>
  <si>
    <t>факт</t>
  </si>
  <si>
    <t>10.09.2018-10.10.2018</t>
  </si>
  <si>
    <t>FS+Мирато+KPD</t>
  </si>
  <si>
    <t>TZMO+RUTA</t>
  </si>
  <si>
    <t>2 окнса в буклете</t>
  </si>
  <si>
    <t>11.09.2019-09.10.2018</t>
  </si>
  <si>
    <t>11.09.2018-15.10.2018</t>
  </si>
  <si>
    <t>13.09.2018-02.10.2018</t>
  </si>
  <si>
    <t>17.09.2018-09.10.2018</t>
  </si>
  <si>
    <t>20.09.2018-30.09.2018</t>
  </si>
  <si>
    <t>20.09.2018-15.10.2018</t>
  </si>
  <si>
    <t>19.09.2018-09.10.2018</t>
  </si>
  <si>
    <t>Bella Panty Soft Classic 60 (12) (РФ)</t>
  </si>
  <si>
    <t>20.09.2018-11.10.2018</t>
  </si>
  <si>
    <t>150 стойка SF+ 110 полка KPD+80Pufies</t>
  </si>
  <si>
    <t>Универсам Кунцевщина ЗАО (г. Минск)</t>
  </si>
  <si>
    <t>25.09.2018-31.10.2018</t>
  </si>
  <si>
    <t>Средство для окрашивания волос "ACME-COLOR" Рябина "Avena" в асс-те</t>
  </si>
  <si>
    <t>Средство для окрашивания волос "ACME-COLOR" Рябина "Intense" в асс-те</t>
  </si>
  <si>
    <t>25.09.2018-26.10.2018</t>
  </si>
  <si>
    <t>27.09.2018-16.10.2018</t>
  </si>
  <si>
    <t>28.09.18-31.10.18</t>
  </si>
  <si>
    <t>Жидкое концентрированное средство для стирки SAVEX 2in1 Fresh 2,6L</t>
  </si>
  <si>
    <t>Средство моющее синтетическое порошкообразное Savex Color Brightness  (для машинной стирки), 2,4кг</t>
  </si>
  <si>
    <t>Средство моющее синтетическое порошкообразное Savex Whites&amp;Colors (для машинной стирки) 2,4кг</t>
  </si>
  <si>
    <t>Средство моющее синтетическое порошкообразное Savex 2 in 1 Color automat 4кг</t>
  </si>
  <si>
    <t>Средство моющее синтетическое порошкообразное Savex 2 in 1 Fresh automat 4кг</t>
  </si>
  <si>
    <t>Средство моющее синтетическое порошкообразное Savex Whites&amp;Colors automat  6кг</t>
  </si>
  <si>
    <t>Синтетический стиральный порошок для стирки детских вещей Teo Bebe Sweet Lavender automat 2,4кг</t>
  </si>
  <si>
    <t>Синтетический стиральный порошок для стирки детских вещей Teo Bebe Tender Aloe automat 2,4кг</t>
  </si>
  <si>
    <t>Подгузники для детей Pufies Baby Art&amp;Dry Mini 80 (3-6 кг)</t>
  </si>
  <si>
    <t>28.09.2018-22.10.2018</t>
  </si>
  <si>
    <t>28.09.2018-01.11.2018</t>
  </si>
  <si>
    <t>SENI SOFT  40*60 (30), (4) (РФ)</t>
  </si>
  <si>
    <t>SENI SOFT  40*60 (5), (24) (РФ)</t>
  </si>
  <si>
    <t>01.10.2018-31.10.2018</t>
  </si>
  <si>
    <t xml:space="preserve">  Пакеты для мусора 46х55/35л 15 с затяжкой (синие) (35)</t>
  </si>
  <si>
    <t xml:space="preserve">  Пакеты для мусора 46х55/35л 15 с затяжкой (черные) (35)</t>
  </si>
  <si>
    <t>переоценка акцуия</t>
  </si>
  <si>
    <t>газета 2 места</t>
  </si>
  <si>
    <t>3% ретро Savex</t>
  </si>
  <si>
    <t>3 буклета по 150 USD</t>
  </si>
  <si>
    <t>коризины SF 295+ 20% НДС</t>
  </si>
  <si>
    <t>4 стойки KPD</t>
  </si>
  <si>
    <t>01.10.2018-25.10.2018</t>
  </si>
  <si>
    <t>02.10.2018-15.10.2018</t>
  </si>
  <si>
    <t>03.10.18-24.10.18</t>
  </si>
  <si>
    <t>Прокладки женские гигиенические впитывающие супертонкие BELLA PERFECTA ULTRA ROSE DEO FRESH 10</t>
  </si>
  <si>
    <t>Ватные палочки BELLA COTTON 160  (полиэтилен)</t>
  </si>
  <si>
    <t>03.10.18-17.10.18</t>
  </si>
  <si>
    <t>03.10.18-21.10.18</t>
  </si>
  <si>
    <t>Super Fresh (для детей и мам) 120</t>
  </si>
  <si>
    <t>Super Fresh (для детей и мам) 120 (с календулой)</t>
  </si>
  <si>
    <t>08.10.2018-30.10.2018</t>
  </si>
  <si>
    <t>09.10.2018-13.11.2018</t>
  </si>
  <si>
    <t>11.10.18-24.10.18</t>
  </si>
  <si>
    <t>11.10.2018-30.10.2018</t>
  </si>
  <si>
    <t>Рута Буклет</t>
  </si>
  <si>
    <t xml:space="preserve"> 5 % ретро 3 квартал</t>
  </si>
  <si>
    <t>буклет perfecta</t>
  </si>
  <si>
    <t>буклет BFT</t>
  </si>
  <si>
    <t>гранд А В</t>
  </si>
  <si>
    <t>2 булета по 520</t>
  </si>
  <si>
    <t>2% ретро за квартал</t>
  </si>
  <si>
    <t>Рекламный модоуль 100% paper</t>
  </si>
  <si>
    <t>16.10.2018-16.11.2018</t>
  </si>
  <si>
    <t>17.10.2018-17.11.2018</t>
  </si>
  <si>
    <t xml:space="preserve"> Pufies Sensitive Maxi 74 (7-14 кг), (2)</t>
  </si>
  <si>
    <t xml:space="preserve"> Pufies Sensitive Maxi+ 68 (9-16 кг), (2)</t>
  </si>
  <si>
    <t xml:space="preserve"> Pufies Sensitive Junior 62  (11-20 кг), (2)</t>
  </si>
  <si>
    <t>2 буклета TZMO+ 1 Болгария</t>
  </si>
  <si>
    <t>22.10.2018-21.11.2018</t>
  </si>
  <si>
    <t>19.10.2018-29.10.2018</t>
  </si>
  <si>
    <t>23.10.2018-15.11.2018</t>
  </si>
  <si>
    <t>Влажные салфетки Smile "Ice Age" MIX 15 (52)</t>
  </si>
  <si>
    <t>Салфетки влажные Novita  для снятия макияжа 15 (52)</t>
  </si>
  <si>
    <t>Салфетки влажные ТМ Smile "Antibacterial" с соком подорожника 15 (52)</t>
  </si>
  <si>
    <t>Туалетная бумага "Ruta" Classic 16 рул. белая (4)</t>
  </si>
  <si>
    <t>23.10.18-30.11.18</t>
  </si>
  <si>
    <t>17.10.2018-07.11.2018</t>
  </si>
  <si>
    <t>22.10.2018-13.11.2018</t>
  </si>
  <si>
    <t>24.10.2018-30.11.2018</t>
  </si>
  <si>
    <t>25.10.2018-13.11.2018</t>
  </si>
  <si>
    <t>5% SF Ретро</t>
  </si>
  <si>
    <t>акция переоценка</t>
  </si>
  <si>
    <t>газетки</t>
  </si>
  <si>
    <t>150 полка SF 110 полка KPD + 80 PUFIES</t>
  </si>
  <si>
    <t>29.10.2018-13.11.2018</t>
  </si>
  <si>
    <t>29.10.2018-30.11.2018</t>
  </si>
  <si>
    <t>стойки хозтовары 490 USD</t>
  </si>
  <si>
    <t>переоценка акций</t>
  </si>
  <si>
    <t>Туалетная бумага "Ruta" Selecta 16 рул. белая (3)</t>
  </si>
  <si>
    <t>01.11.2018-26.11.2018</t>
  </si>
  <si>
    <t>06.11.2018-19.11.2018</t>
  </si>
  <si>
    <t>06.11.18-21.11.18</t>
  </si>
  <si>
    <t>09.11.2018-27.11.2018</t>
  </si>
  <si>
    <t>17.10.2018-27.11.2018</t>
  </si>
  <si>
    <t>16.11.18-30.11.18</t>
  </si>
  <si>
    <t>Средство моющее "Мыло хозяйственное жидкое 72%" 500мл</t>
  </si>
  <si>
    <t>21.11.18-12.12.18</t>
  </si>
  <si>
    <t>22.11.18-05.12.18</t>
  </si>
  <si>
    <t>Прокладки женские гигиенические BELLA PANTY SOFT 60</t>
  </si>
  <si>
    <t>08.11.2018-27.11.2018</t>
  </si>
  <si>
    <t>15.11.2018-26.11.2018</t>
  </si>
  <si>
    <t>21.11.2018-11.12.2018</t>
  </si>
  <si>
    <t>23.11.2018-01.01.2018</t>
  </si>
  <si>
    <t>20.11.2018-10.12.2018</t>
  </si>
  <si>
    <t>23.11.2019-18.12.2018</t>
  </si>
  <si>
    <t>23.11.2018-01.01.2019</t>
  </si>
  <si>
    <t>22.11.2018-18.12.2018</t>
  </si>
  <si>
    <t>27.11.2018-31.12.2018</t>
  </si>
  <si>
    <t>26.11.2018-15.12.2018</t>
  </si>
  <si>
    <t>552,57 переоценка TZMO +381,53 2 окошка в буклете</t>
  </si>
  <si>
    <t>36 USD капля вокс полка</t>
  </si>
  <si>
    <t>5% ретро SF (детские)</t>
  </si>
  <si>
    <t>28.11.2018-30.12.2018</t>
  </si>
  <si>
    <t>Подарочный набор "АХ, КАКАЯ ЖЕНЩИНА"</t>
  </si>
  <si>
    <t>Подарочный набор "ЛАВАНДЫ МНОГО НЕ БЫВАЕТ"</t>
  </si>
  <si>
    <t>Подарочный набор "МИНДАЛЬНОЕ НАСТРОЕНИЕ"</t>
  </si>
  <si>
    <t>Подарочный набор "ВСЕ ЗВЁЗДЫ ДЛЯ ТЕБЯ"</t>
  </si>
  <si>
    <t>Подарочный набор "МОЯ НЕЖНОСТЬ ДЛЯ ТЕБЯ"</t>
  </si>
  <si>
    <t>150 стойка SF + 110 полка бонус+80 Полка PUFIES</t>
  </si>
  <si>
    <t>9% ретро + 2 логистика</t>
  </si>
  <si>
    <t>3 окошка (2 TZMO + RUTA)</t>
  </si>
  <si>
    <t>компенсация маски + 4% ретро</t>
  </si>
  <si>
    <t>буклет Puffies</t>
  </si>
  <si>
    <t>HAPPY буклет</t>
  </si>
  <si>
    <t>3% Savex ретро</t>
  </si>
  <si>
    <t>03.12.2018-08.01.2019</t>
  </si>
  <si>
    <t>Bella Cotton 100, палочки в полиэт. (70)</t>
  </si>
  <si>
    <t>04.12.2018-14.12.2018</t>
  </si>
  <si>
    <t>03.12.2018-25.12.2018</t>
  </si>
  <si>
    <t>04.12.2018-15.01.2019</t>
  </si>
  <si>
    <t xml:space="preserve"> Teo Bebe Cotton Soft Green 2,4кг, (6)</t>
  </si>
  <si>
    <t xml:space="preserve"> Teo Bebe Cotton Soft Purple 2,4кг, (6)</t>
  </si>
  <si>
    <t>05.12.18-17.12.18</t>
  </si>
  <si>
    <t>TZMO+ RUTA</t>
  </si>
  <si>
    <t>окно SF</t>
  </si>
  <si>
    <t>Savex газетка</t>
  </si>
  <si>
    <t>07.12.2018-31.12.2018</t>
  </si>
  <si>
    <t>07.12.2018-15.12.2018</t>
  </si>
  <si>
    <t>10.12.2018-31.12.2018</t>
  </si>
  <si>
    <t>12.12.2018-31.12.2018</t>
  </si>
  <si>
    <t>11.12.2018-15.01.2018</t>
  </si>
  <si>
    <t>9%; ретро</t>
  </si>
  <si>
    <t>1+2 окна</t>
  </si>
  <si>
    <t>5% ретро SF декабрь</t>
  </si>
  <si>
    <t>12.12.2018-20.12.2018</t>
  </si>
  <si>
    <t>12.12.2018-08.01.2019</t>
  </si>
  <si>
    <t>12.12.2018-22.12.2018</t>
  </si>
  <si>
    <t>13.12.18-26.12.18</t>
  </si>
  <si>
    <t>13.12.2018-31.12.2018</t>
  </si>
  <si>
    <t>14.12.2018-31.12.2018</t>
  </si>
  <si>
    <t>17.12.2018-22.12.2018</t>
  </si>
  <si>
    <t>18.12.2018-17.01.2018</t>
  </si>
  <si>
    <t>03.12.2018-15.01.2019</t>
  </si>
  <si>
    <t>3989,1 компенсация по маскам + 4590,15 4% ретро</t>
  </si>
  <si>
    <t>Мирато+FS</t>
  </si>
  <si>
    <t>1 окно Figaro + 2 окна Pufies</t>
  </si>
  <si>
    <t>стойки сентябрь</t>
  </si>
  <si>
    <t>стойки октябрь</t>
  </si>
  <si>
    <t>ретро октябрь</t>
  </si>
  <si>
    <t>20.12.2018-22.01.2019</t>
  </si>
  <si>
    <t>26.12.2018 разовая</t>
  </si>
  <si>
    <t>17.12.2018-31.12.2018</t>
  </si>
  <si>
    <t>ретро 10 и 20%</t>
  </si>
  <si>
    <t>5% ретро 83,3 Мирато + 3,37 ввесна</t>
  </si>
  <si>
    <t>промо ноябрь</t>
  </si>
  <si>
    <t>ретро 5%</t>
  </si>
  <si>
    <t>стойки Бонус 230+160+160+150</t>
  </si>
  <si>
    <t>газетка Bella</t>
  </si>
  <si>
    <t>корзины SF4*40+5*35</t>
  </si>
  <si>
    <t>127,9 окошко SF + 285,37 переоценка SF</t>
  </si>
  <si>
    <t>22.12.2019-31.01.2019</t>
  </si>
  <si>
    <t>27.12.2018-31.01.2019</t>
  </si>
  <si>
    <t>TZMO+RURA</t>
  </si>
  <si>
    <t>буклеты 3RUTA 2 TZMO</t>
  </si>
  <si>
    <t>08.01.2019-29.01.2019</t>
  </si>
  <si>
    <t>08.01.2019-31.01.2019</t>
  </si>
  <si>
    <t>03.01.2019-09.01.2019</t>
  </si>
  <si>
    <t>03.01.2019-04.02.2019</t>
  </si>
  <si>
    <t>SENI SOFT  90*60 (30), (3) (РФ)</t>
  </si>
  <si>
    <t>SUPER SENI AIR SMALL 30, (3)</t>
  </si>
  <si>
    <t>08.01.19-23.01.19</t>
  </si>
  <si>
    <t>09.01.2019-05.02.2019</t>
  </si>
  <si>
    <t>09.01.2019-31.01.2019</t>
  </si>
  <si>
    <t>10.01.2018-22.01.2018</t>
  </si>
  <si>
    <t>10.01.2019-06.02.2019</t>
  </si>
  <si>
    <t>10.01.2019-21.01.2019</t>
  </si>
  <si>
    <t>14.01.19-30.01.19</t>
  </si>
  <si>
    <t>3% ретро SAVEX</t>
  </si>
  <si>
    <t>15.01.2019-04.02.2019</t>
  </si>
  <si>
    <t>30.10.2018-31.12.2018</t>
  </si>
  <si>
    <t>7-9% ретро 4 квартал 18 года</t>
  </si>
  <si>
    <t>150 стойка SF+80 Pufies+110полка Бонус</t>
  </si>
  <si>
    <t>5% ретро Sf</t>
  </si>
  <si>
    <t>Цум</t>
  </si>
  <si>
    <t>все поставзкики</t>
  </si>
  <si>
    <t>ГУМ</t>
  </si>
  <si>
    <t xml:space="preserve">скидка 22% </t>
  </si>
  <si>
    <t>10% скидки</t>
  </si>
  <si>
    <t>Универсам Байкальский</t>
  </si>
  <si>
    <t>5% ретро (4 квартал)</t>
  </si>
  <si>
    <t>16.01.2019-14.02.2019</t>
  </si>
  <si>
    <t>17.01.2019-06.02.2019</t>
  </si>
  <si>
    <t>22.01.19-06.02.19</t>
  </si>
  <si>
    <t>18.01.2019-04.02.2019</t>
  </si>
  <si>
    <t>18.01.2019-29.01.2019</t>
  </si>
  <si>
    <t>18.01.2019-25.01.2019</t>
  </si>
  <si>
    <t>22.01.2019-12.02.2019</t>
  </si>
  <si>
    <t>163,69 переоценка +259,18 2 окошка в буклете</t>
  </si>
  <si>
    <t>акция Сени</t>
  </si>
  <si>
    <t>5% ретро IV квратал</t>
  </si>
  <si>
    <t>распродажа Crazy ZOO</t>
  </si>
  <si>
    <t>Буклет Pufies</t>
  </si>
  <si>
    <t>28.01.2019-28.02.2019</t>
  </si>
  <si>
    <t>28.01.2019-27.02.2019</t>
  </si>
  <si>
    <t>Гель для душа DENIM 2 в 1 «Sport» для тела и волос 250 мл (12)</t>
  </si>
  <si>
    <t>Гель для душа DENIM Бодрящий «Black» 250 мл (12)</t>
  </si>
  <si>
    <t xml:space="preserve"> Teo Bebe Cotton Soft Green 400г, (22)</t>
  </si>
  <si>
    <t xml:space="preserve"> Teo Bebe Cotton Soft Purple 400г, (22)</t>
  </si>
  <si>
    <t>30.01.19-09.02.19</t>
  </si>
  <si>
    <t>31.01.2019-20.02.2019</t>
  </si>
  <si>
    <t>01.02.2019-04.03.2019</t>
  </si>
  <si>
    <t>7*40+3*45 корзины</t>
  </si>
  <si>
    <t>04.02.2019-26.02.2019</t>
  </si>
  <si>
    <t>ДПМ</t>
  </si>
  <si>
    <t>17% от акций января</t>
  </si>
  <si>
    <t>5% марктеинг</t>
  </si>
  <si>
    <t>4 стойки хозтовары</t>
  </si>
  <si>
    <t>12.02.2019-22.02.2019</t>
  </si>
  <si>
    <t>14.02.2019-05.03.2019</t>
  </si>
  <si>
    <t>Туалетная вода DENIM «Black» 100 мл (12)</t>
  </si>
  <si>
    <t>Туалетная вода DENIM «Gold» метал 100 мл (12)</t>
  </si>
  <si>
    <t>Туалетная вода DENIM «Original» 100 мл (12)</t>
  </si>
  <si>
    <t>Туалетная вода Tesori d’Oriente «FIOR DI LOTO» 100 мл (6)</t>
  </si>
  <si>
    <t>Туалетная вода Tesori d’Oriente «MUSCHIO BIANCO» 100 мл (6)</t>
  </si>
  <si>
    <t>Туалетная вода Tesori d’Oriente «OLIO DI AMLA E PATCHOULI» 100 мл (6)</t>
  </si>
  <si>
    <t>Туалетная вода Tesori d’Oriente «OLIO DI TSUBAKI E PEONIA» 100 мл (6)</t>
  </si>
  <si>
    <t>Туалетная вода Tesori d’Oriente «ROSA NERA E LABDANO» 100 мл (6)</t>
  </si>
  <si>
    <t>Экми+Ruta</t>
  </si>
  <si>
    <t>2 буклета хоз мыло + Ecolo Deluxe</t>
  </si>
  <si>
    <t>ПРОСТОРИТЕЙЛ ООО (г. Минск)</t>
  </si>
  <si>
    <t>15.02.2019-26.02.2019</t>
  </si>
  <si>
    <t>18.02.2019-28.02.2019</t>
  </si>
  <si>
    <t>Промо</t>
  </si>
  <si>
    <t>Rura + KPD</t>
  </si>
  <si>
    <t>буклеты 1+2</t>
  </si>
  <si>
    <t>18.02.2019-20.03.2019</t>
  </si>
  <si>
    <t>Ароматический гель для душа Tesori d’Oriente АЮРВЕДА «Масло амлы и пачули» 250 мл (12)</t>
  </si>
  <si>
    <t>Ароматический гель для душа Tesori d’Oriente ВИЗАНТИЯ «Черная роза и лабданум» 250 мл (12)</t>
  </si>
  <si>
    <t>18.02.19-13.03.19</t>
  </si>
  <si>
    <t>19.02.2019-12.03.2019</t>
  </si>
  <si>
    <t>21.02.2019-01.03.2019</t>
  </si>
  <si>
    <t>21.02.2019-17.03.2019</t>
  </si>
  <si>
    <t>21.02.2019-31.03.2019</t>
  </si>
  <si>
    <t>21.02.2019-18.03.2019</t>
  </si>
  <si>
    <t>Шампунь BIOPOINT «Абсолютное выпрямление» для непослушных и вьющихся волос 400 мл (6)</t>
  </si>
  <si>
    <t>Шампунь BIOPOINT «Восстановление и красота» для поврежденных и хрупких волос 400 мл (6)</t>
  </si>
  <si>
    <t>Шампунь BIOPOINT «Деликатный» для всех типов волос 400 мл (6)</t>
  </si>
  <si>
    <t>Шампунь BIOPOINT «Ультра питательный» для поврежденных и сухих волос 400 мл (6)</t>
  </si>
  <si>
    <t>Шампунь BIOPOINT «Усиление цвета» для окрашенных волос 400 мл (6)</t>
  </si>
  <si>
    <t>Кондиционер BIOPOINT «Абсолютное выпрямление» для непослушных и вьющихся волос 400 мл (6)</t>
  </si>
  <si>
    <t>Кондиционер BIOPOINT «Деликатный» для всех типов волос 400 мл (6)</t>
  </si>
  <si>
    <t>Кондиционер BIOPOINT «Ультра питательный» для поврежденных и сухих волос 400 мл (6)</t>
  </si>
  <si>
    <t>Кондиционер BIOPOINT «Усиление цвета» для окрашенных волос 400 мл (6)</t>
  </si>
  <si>
    <t>Ароматический гель для душа Tesori d’Oriente «Белый мускус» 250 мл (12)</t>
  </si>
  <si>
    <t>Ароматический гель для душа Tesori d’Oriente «Цветок лотоса и масло ши» 250 мл (12)</t>
  </si>
  <si>
    <t>Ароматический гель для душа Tesori d’Oriente ЯПОНИЯ «Масло камелии и пион» 250 мл (12)</t>
  </si>
  <si>
    <t>Ароматический гель для душа Tesori d’Oriente «Белый мускус» 500 мл (6)</t>
  </si>
  <si>
    <t>Ароматический гель для душа Tesori d’Oriente «Цветок лотоса и масло ши» 500 мл (6)</t>
  </si>
  <si>
    <t>Ароматический гель для душа Tesori d’Oriente АЮРВЕДА «Масло амлы и пачули» 500 мл (6)</t>
  </si>
  <si>
    <t>Ароматический гель для душа Tesori d’Oriente ВИЗАНТИЯ «Черная роза и лабданум» 500 мл (6)</t>
  </si>
  <si>
    <t>Ароматический гель для душа Tesori d’Oriente ЯПОНИЯ «Масло камелии и пион» 500 мл (6)</t>
  </si>
  <si>
    <t>25.02.19-13.03.19</t>
  </si>
  <si>
    <t>5% ретро Мирато</t>
  </si>
  <si>
    <t>150 SF стойка+110 полка БОНУС+80 Pufies полка</t>
  </si>
  <si>
    <t>21.02.19-31.03.19</t>
  </si>
  <si>
    <t>22.02.2019-20.03.2019</t>
  </si>
  <si>
    <t>25.02.2019-20.03.2019</t>
  </si>
  <si>
    <t>буклет дехзодоранты</t>
  </si>
  <si>
    <t>25.02.2019-31.03.2019</t>
  </si>
  <si>
    <t>Просторитейл</t>
  </si>
  <si>
    <t>окошко Вербена</t>
  </si>
  <si>
    <t>окошко SF</t>
  </si>
  <si>
    <t>компенсация акций</t>
  </si>
  <si>
    <t>26.02.2019-31.03.2019</t>
  </si>
  <si>
    <t>Крем "Детский" с Д-пантенолом 45г (48)</t>
  </si>
  <si>
    <t>3 листовки 386,98</t>
  </si>
  <si>
    <t>корзины SF 7*40+3*45 (415)</t>
  </si>
  <si>
    <t>4 стойки Бонус</t>
  </si>
  <si>
    <t>27.02.2019-20.03.2019</t>
  </si>
  <si>
    <t>Средство для окрашивания волос "ACME-COLOR" Рябина в асс-те</t>
  </si>
  <si>
    <t>вата газетки</t>
  </si>
  <si>
    <t>переоценки акции TZMO</t>
  </si>
  <si>
    <t>vthxfylfqpths</t>
  </si>
  <si>
    <t>Гум</t>
  </si>
  <si>
    <t>05.03.2019-16.04.2019</t>
  </si>
  <si>
    <t>компенсация за акции по Pufies</t>
  </si>
  <si>
    <t>07.03.2019-25.03.2019</t>
  </si>
  <si>
    <t>11.03.2019-10.04.2019</t>
  </si>
  <si>
    <t>20.02.2019-01.04.2019</t>
  </si>
  <si>
    <t>12.03.19-26.03.2019</t>
  </si>
  <si>
    <t>12.03.2019-31.03.2019</t>
  </si>
  <si>
    <t>Осветлитель для волос "ACME COLOR" "SUPER BLOND"</t>
  </si>
  <si>
    <t>Осветлитель для волос "ACME-PROFESSIONAL" "ARCTIC ENERGY BLOND"</t>
  </si>
  <si>
    <t>Осветлитель для волос "ACME-PROFESSIONAL" "ENERGY BLOND CLASSIC"</t>
  </si>
  <si>
    <t>ИрмаКосметик ЧТУП (г. Мозырь)</t>
  </si>
  <si>
    <t>Вилаграсса ЧТУП (г.Мозырь)</t>
  </si>
  <si>
    <t>Инглвуд ООО (г.Мозырь)</t>
  </si>
  <si>
    <t>Кристобаль ЧТУП (г. Жлобин)</t>
  </si>
  <si>
    <t>Сан- Диего ЧТУП (г. Хойники)</t>
  </si>
  <si>
    <t>Тернополь ООО (г.Мозырь)</t>
  </si>
  <si>
    <t>Эргольдинг ООО (г. Житковичи)</t>
  </si>
  <si>
    <t>3 блока</t>
  </si>
  <si>
    <t>Радуга свет</t>
  </si>
  <si>
    <t>3% ретро январь-ферваль</t>
  </si>
  <si>
    <t>3% ретро июнь декабрь 18</t>
  </si>
  <si>
    <t>13.03.2019-31.03.2019</t>
  </si>
  <si>
    <t>14.03.19-23.03.19</t>
  </si>
  <si>
    <t>Салфетки косметические "Ruta" 200x210 100+50л. Декор (27)</t>
  </si>
  <si>
    <t>Салфетки косметические "Ruta" 200x210 150л. (27)</t>
  </si>
  <si>
    <t>15.03.2019-10.04.2019</t>
  </si>
  <si>
    <t>копилка</t>
  </si>
  <si>
    <t>ЭКМИ</t>
  </si>
  <si>
    <t>буклет краска</t>
  </si>
  <si>
    <t>18.03.2019-09.04.2019</t>
  </si>
  <si>
    <t>19.03.19-09.04.2019</t>
  </si>
  <si>
    <t>Bella For Teens Panty Energy Deo 20 (24) (У)</t>
  </si>
  <si>
    <t>Bella For Teens Panty Relax Deo 20 (24) (У)</t>
  </si>
  <si>
    <t>Bella For Teens Panty Sensitive 20 (24) (У)</t>
  </si>
  <si>
    <t>20.03.19-17.04.19</t>
  </si>
  <si>
    <t>Прокладки женские гигиенические ежедневные Bella Panty Soft Tilia 60</t>
  </si>
  <si>
    <t>Прокладки женские гигиенические ежедневные Bella Panty Soft Verbena 60</t>
  </si>
  <si>
    <t>21.03.2019-30.03.2019</t>
  </si>
  <si>
    <t>14.03.2019-20.04.2019</t>
  </si>
  <si>
    <t>25.03.2019-30.04.2019</t>
  </si>
  <si>
    <t>Гель для душа VIDAL «Белый Мускус» 250 мл (12)</t>
  </si>
  <si>
    <t>Гель для душа VIDAL «Масло Арганы» 250 мл (12)</t>
  </si>
  <si>
    <t>Гель для душа VIDAL «Миндаль и Карите» 250 мл (12)</t>
  </si>
  <si>
    <t>Гель для душа VIDAL «Мицеллярная вода» 250 мл (12)</t>
  </si>
  <si>
    <t>Гель для душа VIDAL «Нежность пудры» 250 мл (12)</t>
  </si>
  <si>
    <t>Гель для душа VIDAL «Энергия и спорт» 250 мл (12)</t>
  </si>
  <si>
    <t>TZMO+Tesori</t>
  </si>
  <si>
    <t>KPD+Ruta+FS</t>
  </si>
  <si>
    <t>50 USD PUF +100 USD RUTA+150 стойка SF+ 110 полка Бонус+80 полка PUF</t>
  </si>
  <si>
    <t>27.03.2019-30.04.2019</t>
  </si>
  <si>
    <t>Салфетки бумажные "Ruta" 240x240 40л. белые с рисунком, Ирисы (30)</t>
  </si>
  <si>
    <t>Салфетки бумажные "Ruta" 240x240 40л. белые с рисунком, Кухня (30)</t>
  </si>
  <si>
    <t>Салфетки бумажные "Ruta" 240x240 40л. белые с рисунком, Сакура (30)</t>
  </si>
  <si>
    <t>Салфетки бумажные "Ruta" 240x240 40л. белые с рисунком, Флора (30)</t>
  </si>
  <si>
    <t>Салфетки бумажные "Ruta" 240x240 40л. белые с рисунком, Цветы (30)</t>
  </si>
  <si>
    <t>27.03.2019-31.04.2019</t>
  </si>
  <si>
    <t>27.03.19-10.04.19</t>
  </si>
  <si>
    <t>Прокладки  экстратонкие гигиенические ежедневные ароматизированные Bella For Teens Panty Energy 20</t>
  </si>
  <si>
    <t>Прокладки  экстратонкие гигиенические ежедневные ароматизированные Bella For Teens Panty Relax 20</t>
  </si>
  <si>
    <t>Прокладки  экстратонкие гигиенические ежедневные ароматизированные Bella For Teens Panty Sensitive 20</t>
  </si>
  <si>
    <t>28.03.2019-17.04.2019</t>
  </si>
  <si>
    <t>стойки бонус 120+160+160+150</t>
  </si>
  <si>
    <t>Газеты вата</t>
  </si>
  <si>
    <t>компенсация скидок</t>
  </si>
  <si>
    <t>переоценка Сени</t>
  </si>
  <si>
    <t>29.03.2019-08.04.2019</t>
  </si>
  <si>
    <t>29.03.2019-01.05.2019</t>
  </si>
  <si>
    <t>29.03.2019-30.04.2019</t>
  </si>
  <si>
    <t>01.04.2019-23.04.2019</t>
  </si>
  <si>
    <t>01.04.19-17.04.19</t>
  </si>
  <si>
    <t>01.04.2019-16.04.2019</t>
  </si>
  <si>
    <t>Мирато+TZMO</t>
  </si>
  <si>
    <t>окошки в газетах Panty Herbs</t>
  </si>
  <si>
    <t>3 окна в буклетах Pufies</t>
  </si>
  <si>
    <t>04.04.2019-22.04.2019</t>
  </si>
  <si>
    <t>08.04.2019-29.04.2019</t>
  </si>
  <si>
    <t>08.04.2019-19.04.2019</t>
  </si>
  <si>
    <t>11.04.2019-21.04.2019</t>
  </si>
  <si>
    <t>11.04.2019-02.05.2019</t>
  </si>
  <si>
    <t>09.04.2019-29.04.2019</t>
  </si>
  <si>
    <t>11.04.2019-07.05.2019</t>
  </si>
  <si>
    <t xml:space="preserve"> Savex 2in1 Color 1,1L (5)</t>
  </si>
  <si>
    <t xml:space="preserve"> Savex 2in1 Fresh 1,1L (5)</t>
  </si>
  <si>
    <t>09.04.19-03.05.19</t>
  </si>
  <si>
    <t>Влажные салфетки SUPER FRESH для детей и мам с витаминным комплексом 120</t>
  </si>
  <si>
    <t>Влажные салфетки SUPER FRESH для детей и мам с витаминным комплексом 120 (жёлтая упак)</t>
  </si>
  <si>
    <t>Экми</t>
  </si>
  <si>
    <t>буклет Краска</t>
  </si>
  <si>
    <t>3% ретро март</t>
  </si>
  <si>
    <t>12.04.2019-07.05.2019</t>
  </si>
  <si>
    <t>15.04.19-01.05.19</t>
  </si>
  <si>
    <t>16.04.2019-14.05.2019</t>
  </si>
  <si>
    <t>17.04.2019-16.05.2019</t>
  </si>
  <si>
    <t>KPD+FS+Ruta</t>
  </si>
  <si>
    <t>150+110 сойки полки KPD, 80  PUF, 263,32 буклеты Рута</t>
  </si>
  <si>
    <t>переоценка</t>
  </si>
  <si>
    <t>19.04.2019-30.04.2019</t>
  </si>
  <si>
    <t>19.04.2019-29.04.2019</t>
  </si>
  <si>
    <t>22.04.19-15.05.19</t>
  </si>
  <si>
    <t>22.04.2019-22.05.2019</t>
  </si>
  <si>
    <t>22.04.2019-01.06.2019</t>
  </si>
  <si>
    <t>22.04.2019-13.05.2019</t>
  </si>
  <si>
    <t>23.04.2019-31.05.2019</t>
  </si>
  <si>
    <t>24.04.2019-31.05.2019</t>
  </si>
  <si>
    <t>Quiss Блеск Love in Gloss Cream 5 мл, в асс-те</t>
  </si>
  <si>
    <t>Quiss Блеск Shine Expert 5 мл, в асс-те</t>
  </si>
  <si>
    <t>Quiss Жидкая помада Allure Matt 5 мл, в асс-те</t>
  </si>
  <si>
    <t>Quiss Карандаш для губ Creative Lips, в асс-те</t>
  </si>
  <si>
    <t>Quiss Помада Lip Dream 4,2г, в асс-те</t>
  </si>
  <si>
    <t>Quiss Помада Matt Joy 4,2г, в асс-те</t>
  </si>
  <si>
    <t>25.04.2019-16.05.2019</t>
  </si>
  <si>
    <t>25.04.2019-20.05.2019</t>
  </si>
  <si>
    <t>25.04.2019-31.05.2019</t>
  </si>
  <si>
    <t>25.04.2019-21.05.2019</t>
  </si>
  <si>
    <t>29.04.19-11.05.19</t>
  </si>
  <si>
    <t>Прокладки женские гигиенические ежедневные ультратонкие BELLA PANTY SENSITIVE 60 (Украина)</t>
  </si>
  <si>
    <t>Мыло хозяйственное классическое 72% 140г</t>
  </si>
  <si>
    <t>Прокладки женские гигиенические впитывающие Bella Herbs Tilia Comfort 10</t>
  </si>
  <si>
    <t>Прокладки женские гигиенические впитывающие Bella Herbs Verbena Comfort 10</t>
  </si>
  <si>
    <t>29.04.2019-28.05.2019</t>
  </si>
  <si>
    <t>Маска BIOPOINT «Восстановление и красота» для поврежденных и хрупких волос 250 мл (6)</t>
  </si>
  <si>
    <t>Маска BIOPOINT «Деликатная» для всех типов волос 250 мл (6)</t>
  </si>
  <si>
    <t>Маска BIOPOINT «Ультра питательная» для поврежденных и сухих волос 250 мл (6)</t>
  </si>
  <si>
    <t>30.04.2019-04.06.2019</t>
  </si>
  <si>
    <t>Bella Baby Happy ватные палочки с экстрактом ромашки, подорожника и Д-пантенолом 56+8 (48)</t>
  </si>
  <si>
    <t>Bella MAMA COMFORT 30 (12)</t>
  </si>
  <si>
    <t>Bella  Mama 10 (25)</t>
  </si>
  <si>
    <t>29.04.2019-22.05.2019</t>
  </si>
  <si>
    <t>ретро 3 %</t>
  </si>
  <si>
    <t>Sodalis + Рябина</t>
  </si>
  <si>
    <t>30,5 10% рябина + 45 15% содалисм</t>
  </si>
  <si>
    <t>6% ретро TZMO + 9% KPD</t>
  </si>
  <si>
    <t>Буклет Полотенечко</t>
  </si>
  <si>
    <t>Буклет Салфетки+Перчатки</t>
  </si>
  <si>
    <t>02.05.19-22.05.19</t>
  </si>
  <si>
    <t xml:space="preserve">        Средство для окрашивания волос "ACME-COLOR" Рябина "Avena" Божоле (№036)</t>
  </si>
  <si>
    <t xml:space="preserve">        Средство для окрашивания волос "ACME-COLOR" Рябина "Avena" Каштановый (№042)</t>
  </si>
  <si>
    <t xml:space="preserve">        Средство для окрашивания волос "ACME-COLOR" Рябина "Avena" Красная рябина (№322)</t>
  </si>
  <si>
    <t xml:space="preserve">        Средство для окрашивания волос "ACME-COLOR" Рябина "Avena" Русый ( №014)</t>
  </si>
  <si>
    <t xml:space="preserve">        Средство для окрашивания волос "ACME-COLOR" Рябина "Avena" Темно-каштановый (№043)</t>
  </si>
  <si>
    <t xml:space="preserve">        Средство для окрашивания волос "ACME-COLOR" Рябина "Avena" Черный (№053)</t>
  </si>
  <si>
    <t xml:space="preserve">        Средство для окрашивания волос "ACME-COLOR" Рябина "Avena" Черный шоколад (№142)</t>
  </si>
  <si>
    <t xml:space="preserve">        Средство для окрашивания волос "ACME-COLOR" Рябина "Avena" Шоколадный (№141)</t>
  </si>
  <si>
    <t xml:space="preserve">        Средство для окрашивания волос "ACME-COLOR" Рябина "Intense" Платиновый блонд (№1001)</t>
  </si>
  <si>
    <t>булкет Savex</t>
  </si>
  <si>
    <t>2  буклета SF+Happy</t>
  </si>
  <si>
    <t>02.05.2019-27.05.2019</t>
  </si>
  <si>
    <t>03.05.19-31.05.19</t>
  </si>
  <si>
    <t>Подгузники гигиенические для детей BELLA BABY HAPPY JUNIOR 58, (12-25 кг)</t>
  </si>
  <si>
    <t>Подгузники гигиенические для детей BELLA BABY HAPPY JUNIOR EXTRA 54, (16+кг)</t>
  </si>
  <si>
    <t xml:space="preserve">Подгузники гигиенические для детей BELLA BABY HAPPY MAXI 66 (8-18 кг) </t>
  </si>
  <si>
    <t xml:space="preserve">Подгузники гигиенические для детей BELLA BABY HAPPY MAXI PLUS 62 (9-20 кг) </t>
  </si>
  <si>
    <t>03.05.2019-28.05.2019</t>
  </si>
  <si>
    <t>Крем-краска для волос "MALVA" Hair Color, 011 Сияющий блонд</t>
  </si>
  <si>
    <t>Крем-краска для волос "MALVA" Hair Color, 012 Светло-русый</t>
  </si>
  <si>
    <t>Крем-краска для волос "MALVA" Hair Color, 015 Темно-русый</t>
  </si>
  <si>
    <t>Крем-краска для волос "MALVA" Hair Color, 025 Натурально-русый</t>
  </si>
  <si>
    <t>Крем-краска для волос "MALVA" Hair Color, 033 Махагон</t>
  </si>
  <si>
    <t>Крем-краска для волос "MALVA" Hair Color, 034 Дикая вишня</t>
  </si>
  <si>
    <t>Крем-краска для волос "MALVA" Hair Color, 037 Баклажан</t>
  </si>
  <si>
    <t>Крем-краска для волос "MALVA" Hair Color, 042 Каштановый</t>
  </si>
  <si>
    <t>Крем-краска для волос "MALVA" Hair Color, 052 Иссиня-черный</t>
  </si>
  <si>
    <t>Крем-краска для волос "MALVA" Hair Color, 053 Черный</t>
  </si>
  <si>
    <t>Крем-краска для волос "MALVA" Hair Color, 061 Молочный шоколад</t>
  </si>
  <si>
    <t>Крем-краска для волос "MALVA" Hair Color, 112 Бежевый блонд</t>
  </si>
  <si>
    <t>Крем-краска для волос "MALVA" Hair Color, 142 Черный шоколад</t>
  </si>
  <si>
    <t>Крем-краска для волос "MALVA" Hair Color, 216 Пепельный блонд</t>
  </si>
  <si>
    <t>Крем-краска для волос "MALVA" Hair Color, 220 Жемчужный блонд</t>
  </si>
  <si>
    <t>Крем-краска для волос "MALVA" Hair Color, 232 Красный коралл</t>
  </si>
  <si>
    <t>Крем-краска для волос "MALVA" Hair Color, 442 Палисандр</t>
  </si>
  <si>
    <t>Крем-краска для волос "MALVA" Hair Color, 734 Тициан</t>
  </si>
  <si>
    <t>10.05.19-29.05.19</t>
  </si>
  <si>
    <t>2% ретро (акт марта)</t>
  </si>
  <si>
    <t>2 буклета 1+1</t>
  </si>
  <si>
    <t>337,66 переоценка + 6% ретро TZMO</t>
  </si>
  <si>
    <t>5%ретро SF</t>
  </si>
  <si>
    <t>3% ретро апрель</t>
  </si>
  <si>
    <t>Экми+Рута</t>
  </si>
  <si>
    <t>2500 экми +326 Рута</t>
  </si>
  <si>
    <t>4 стойки по декору</t>
  </si>
  <si>
    <t>Мирато+Экми+Рута</t>
  </si>
  <si>
    <t>80 +80 +160 окошки</t>
  </si>
  <si>
    <t>13.05.2019-04.06.2019</t>
  </si>
  <si>
    <t>Медведев</t>
  </si>
  <si>
    <t>16.05.2019-29.05.2019</t>
  </si>
  <si>
    <t>20.05.2019-05.06.2019</t>
  </si>
  <si>
    <t>Bella Panty Sensitive Elegance 60 (8) (У)</t>
  </si>
  <si>
    <t>20.05.19-02.06.19</t>
  </si>
  <si>
    <t>ГиперМолл ООО (г.Минск)</t>
  </si>
  <si>
    <t>Подгузники для детей Pufies Sensitive Junior 62 (11-20 кг)</t>
  </si>
  <si>
    <t>Подгузники для детей Pufies Sensitive Maxi 74 (7-14 кг)</t>
  </si>
  <si>
    <t>Подгузники для детей Pufies Sensitive Maxi+ 68 (9-16 кг)</t>
  </si>
  <si>
    <t>Подгузники для детей Pufies Sensitive Midi 88 (4-9 кг)</t>
  </si>
  <si>
    <t>Жидкое концентрированное средство для стирки SAVEX 2in1 Color 1,1L</t>
  </si>
  <si>
    <t>Жидкое концентрированное средство для стирки SAVEX 2in1 Fresh 1,1L</t>
  </si>
  <si>
    <t>21.05.2019-20.06.2019</t>
  </si>
  <si>
    <t>компенсация акции ТОП 100 Savex</t>
  </si>
  <si>
    <t>буклеты Ruta</t>
  </si>
  <si>
    <t>рекламные модуль</t>
  </si>
  <si>
    <t>22.05.2019-01.06.2019</t>
  </si>
  <si>
    <t>окно TZMO</t>
  </si>
  <si>
    <t>9% ретро (240 листовка)</t>
  </si>
  <si>
    <t>23.05.2019-10.06.2019</t>
  </si>
  <si>
    <t>Шампунь Wash&amp;Go с маслом ши для поврежденных волос 400 мл (6)</t>
  </si>
  <si>
    <t>Шампунь Wash&amp;Go с ментолом для всех типов волос 400 мл (6)</t>
  </si>
  <si>
    <t>Шампунь Wash&amp;Go с экстрактом граната для окрашенных волос 400 мл (6)</t>
  </si>
  <si>
    <t>Шампунь Wash&amp;Go с экстрактом жасмина для нормальных волос 400 мл (6)</t>
  </si>
  <si>
    <t>23.05.2019-31.05.2019</t>
  </si>
  <si>
    <t>Лак для ногтей Quiss Gel Finish 10 мл,  в асс-те</t>
  </si>
  <si>
    <t>23.05.2019-11.06.2019</t>
  </si>
  <si>
    <t>16.05.2019-01.06.2019</t>
  </si>
  <si>
    <t>17% компенсация  PUF GP</t>
  </si>
  <si>
    <t>17% компенсация  PUF AD</t>
  </si>
  <si>
    <t>стойки PUF (апрель + терть от долга 3200)</t>
  </si>
  <si>
    <t>5 газеток</t>
  </si>
  <si>
    <t>Sodalis</t>
  </si>
  <si>
    <t>Tesori газетка</t>
  </si>
  <si>
    <t>27.05.2019-30.06.2019</t>
  </si>
  <si>
    <t>27.05.2019-18.06.2019</t>
  </si>
  <si>
    <t>27.05.2019-25.06.2019</t>
  </si>
  <si>
    <t>Регулярная цена</t>
  </si>
  <si>
    <t>28.05.2019-30.06.2019</t>
  </si>
  <si>
    <t xml:space="preserve">Пена для бритья "FIGARO" Органовое масло 400мл </t>
  </si>
  <si>
    <t xml:space="preserve">Пена для бритья для чувствительной кожи "FIGARO" 400мл </t>
  </si>
  <si>
    <t xml:space="preserve">Пена для бритья освежающая с ментолом "FIGARO" 400мл </t>
  </si>
  <si>
    <t>Салфетки косметические "Ruta" 200x210 155л. Белые пенал</t>
  </si>
  <si>
    <t>Туалетная бумага "100% Paper" белая 4 рул.</t>
  </si>
  <si>
    <t xml:space="preserve">Бумажные полотенца "Полотенечко" 2 рул. </t>
  </si>
  <si>
    <t>Quiss Помада гигиеническая 5г, в асс-те</t>
  </si>
  <si>
    <t>Quiss Жидкая подводка для глаз Provocation 4мл</t>
  </si>
  <si>
    <t>Quiss Карандаш для бровей Creative Brows, в асс-те</t>
  </si>
  <si>
    <t>Quiss Карандаш для глаз Creative Eyes, в асс-те</t>
  </si>
  <si>
    <t>Quiss Тушь Dark Queen Carbon Black 11мл</t>
  </si>
  <si>
    <t>Quiss Тушь Hollywood Star Volume Dream 11мл</t>
  </si>
  <si>
    <t>Quiss Тушь Miss Manhattan Mega Long 11мл</t>
  </si>
  <si>
    <t>Quiss Тушь Moulin Rouge Curling Glam 11мл</t>
  </si>
  <si>
    <t>Quiss Тушь WOW! Lashes Black Volume 14мл</t>
  </si>
  <si>
    <t>Quiss Тушь WOW! Lashes Long Volume 14мл</t>
  </si>
  <si>
    <t>Quiss Тушь WOW! Lashes Volume Curlie 14мл</t>
  </si>
  <si>
    <t>Quiss Тушь WOW! Lashes Volume XXL 14мл</t>
  </si>
  <si>
    <t>Quiss Тональный крем Pure Foundation 30 мл, в асс-те</t>
  </si>
  <si>
    <t>Лак для ногтей Quiss Glitter 6 мл,  в асс-те</t>
  </si>
  <si>
    <t>Лак для ногтей Quiss Pro Color 6 мл,  в асс-те</t>
  </si>
  <si>
    <t xml:space="preserve">        Quiss Пудра для лица True Tone Skin 12г, в асс-те</t>
  </si>
  <si>
    <t xml:space="preserve">        Quiss Румяна Blush Natural Effect 12г, в асс-те</t>
  </si>
  <si>
    <t xml:space="preserve">        Quiss Румяна+хайлайтер Twins HIGHLIGHT &amp; Blush 12г, в асс-те</t>
  </si>
  <si>
    <t xml:space="preserve">        Quiss Хайлайтер Star Highlight 3г, в асс-те</t>
  </si>
  <si>
    <t xml:space="preserve">        Quiss Тени для век Dream Matt eyeshadow 3г, в асс-те</t>
  </si>
  <si>
    <t>29.05.2019-18.06.2019</t>
  </si>
  <si>
    <t>28.05.19-08.06.19</t>
  </si>
  <si>
    <t>29.05.19-12.06.19</t>
  </si>
  <si>
    <t>компенсация по акции</t>
  </si>
  <si>
    <t>окошкоTeo Bebe</t>
  </si>
  <si>
    <t>окошка Вата</t>
  </si>
  <si>
    <t>групопвая акция</t>
  </si>
  <si>
    <t>скидка</t>
  </si>
  <si>
    <t>31.05.2019-17.06.2019</t>
  </si>
  <si>
    <t>31.05.2019-10.06.2019</t>
  </si>
  <si>
    <t>31.05.2019-30.06.2019</t>
  </si>
  <si>
    <t>буклет Panty Soft</t>
  </si>
  <si>
    <t>2 окошка Classic+3окошка perfecta</t>
  </si>
  <si>
    <t>Sоdalis+Экми</t>
  </si>
  <si>
    <t>15% ретро SOD +10% Ретро Рябина (50)</t>
  </si>
  <si>
    <t>5% ретро Savex</t>
  </si>
  <si>
    <t>6% ретро TZMO (5600) + 9% ретро SF</t>
  </si>
  <si>
    <t>буклет Пена</t>
  </si>
  <si>
    <t>2 окна PUF</t>
  </si>
  <si>
    <t>05.06.2019-10.07.2019</t>
  </si>
  <si>
    <t>05.06.2019-25.06.2019</t>
  </si>
  <si>
    <t>06.06.2019-25.06.2019</t>
  </si>
  <si>
    <t>06.06.19-14.06.19</t>
  </si>
  <si>
    <t xml:space="preserve"> Pufies Baby Art&amp;Dry Extra Large 42 (13+ кг), (2)</t>
  </si>
  <si>
    <t xml:space="preserve"> Pufies Baby Art&amp;Dry Junior 48 (11-20 кг), (2)</t>
  </si>
  <si>
    <t xml:space="preserve"> Pufies Baby Art&amp;Dry Maxi 56 (7-14 кг), (2)</t>
  </si>
  <si>
    <t xml:space="preserve"> Pufies Baby Art&amp;Dry Maxi+ 50 (9-16 кг), (2)</t>
  </si>
  <si>
    <t xml:space="preserve"> Pufies Baby Art&amp;Dry Midi 66 (4-9 кг), (2)</t>
  </si>
  <si>
    <t xml:space="preserve"> Pufies Baby Art&amp;Dry Mini 74 (3-6 кг), (2)</t>
  </si>
  <si>
    <t xml:space="preserve"> Teo Bebe Sensitive Green 2,4кг, (6)</t>
  </si>
  <si>
    <t xml:space="preserve"> Teo Bebe Sensitive Violet 2,4кг, (6)</t>
  </si>
  <si>
    <t>8% скидка</t>
  </si>
  <si>
    <t>07.06.2019-03.07.2019</t>
  </si>
  <si>
    <t>буклет 2 окна</t>
  </si>
  <si>
    <t>Влажные салфетки SUPER FRESH для детей и мам 120 календула</t>
  </si>
  <si>
    <t xml:space="preserve">Туалетная бумага "Ruta" Selecta 16 рул. белая </t>
  </si>
  <si>
    <t>Туалетная бумага "Ruta" Classic 16 рул. Белая</t>
  </si>
  <si>
    <t>Бумажные полотенца "Ruta" Universal 2 рул.</t>
  </si>
  <si>
    <t>12.06.19-22.06.19</t>
  </si>
  <si>
    <t>BELLA COTTON 80 ватные подушечки</t>
  </si>
  <si>
    <t>11.06.2019-03.07.2019</t>
  </si>
  <si>
    <t>11.06.19-01.07.19</t>
  </si>
  <si>
    <t>реклама</t>
  </si>
  <si>
    <t>стойки PUF (май + треть от долга 3200)</t>
  </si>
  <si>
    <t>15% компенсация  PUF GP</t>
  </si>
  <si>
    <t>15% компенсация  PUF AD</t>
  </si>
  <si>
    <t>150 KPD стойка, 110 полка SF +80 полка Pufies</t>
  </si>
  <si>
    <t>10 корзин 7х40+3х45=415</t>
  </si>
  <si>
    <t>14.06.2019-25.06.2019</t>
  </si>
  <si>
    <t>24.05.19-14.06.19</t>
  </si>
  <si>
    <t>Влажные салфетки SUPER FRESH антибактериальные 72</t>
  </si>
  <si>
    <t>Бумажные полотенца "Ruta" Soft Strong 2 рул.</t>
  </si>
  <si>
    <t>буклет Салфетки</t>
  </si>
  <si>
    <t>буклет WG</t>
  </si>
  <si>
    <t>буклет Детская зубная паста</t>
  </si>
  <si>
    <t>20.06.2019-30.06.2019</t>
  </si>
  <si>
    <t>Quiss Пудра для лица True Tone Skin 12г, в асс-те</t>
  </si>
  <si>
    <t>Средство для снятия лака "Ноготок" Ирис и Лемонграс Biointensive 100 мл (25)</t>
  </si>
  <si>
    <t>Средство для снятия лака "Ноготок" Масло Ши и Авокадо Biointensive 100 мл (25)</t>
  </si>
  <si>
    <t>Средство для снятия лака "Ноготок" Олива и Иланг-Иланг Biointensive 100 мл (25)</t>
  </si>
  <si>
    <t>Средство для снятия лака "Ноготок" с экстрактом календулы Classic 100 мл (25)</t>
  </si>
  <si>
    <t>Средство для снятия лака "Ноготок" с экстрактом календулы Classic 50 мл (50)</t>
  </si>
  <si>
    <t>Средство для снятия лака "Ноготок" с экстрактом чайного дерева Classic 50 мл (50)</t>
  </si>
  <si>
    <t>Средство для снятия лака Quiss с глицерином и экстрактом шиповника 100 мл (25)</t>
  </si>
  <si>
    <t>Средство для снятия лака Quiss с экстрактом дерева Ши и подорожником 100 мл (25)</t>
  </si>
  <si>
    <t>Средство для снятия лака Quiss с экстрактом ромашки 100 мл (25)</t>
  </si>
  <si>
    <t>Крем-краска для волос "MALVA" Hair Color, в асс-те</t>
  </si>
  <si>
    <t>20.06.2019-29.06.2019</t>
  </si>
  <si>
    <t>20.06.2019-09.07.2019</t>
  </si>
  <si>
    <t>24.06.2019-31.07.2019</t>
  </si>
  <si>
    <t xml:space="preserve">        Quiss Тени для век Mystic Pearl eyeshadow 3г, в асс-те</t>
  </si>
  <si>
    <t>21.06.2019-16.07.2019</t>
  </si>
  <si>
    <t>21.06.2019-09.07.2019</t>
  </si>
  <si>
    <t>24.06.2019-10.07.2019</t>
  </si>
  <si>
    <t>24.06.2019-16.07.2019</t>
  </si>
  <si>
    <t>25.06.2019-30.07.2019</t>
  </si>
  <si>
    <t>26.06.2019-31.07.2019</t>
  </si>
  <si>
    <t>26.06.19-15.07.19</t>
  </si>
  <si>
    <t>Подгузники для детей Pufies Baby Art&amp;Dry Extra Large 42 (13+ кг)</t>
  </si>
  <si>
    <t>Подгузники для детей Pufies Baby Art&amp;Dry Junior 48 (11-20 кг)</t>
  </si>
  <si>
    <t>Подгузники для детей Pufies Baby Art&amp;Dry Maxi 56 (7-14 кг)</t>
  </si>
  <si>
    <t>Подгузники для детей Pufies Baby Art&amp;Dry Maxi+ 50 (9-16 кг)</t>
  </si>
  <si>
    <t>Подгузники для детей Pufies Baby Art&amp;Dry Midi 66 (4-9 кг)</t>
  </si>
  <si>
    <t>Подгузники для детей Pufies Baby Art&amp;Dry Mini 74 (3-6 кг)</t>
  </si>
  <si>
    <t>Синтетический стиральный порошок для стирки детских вещей Teo Bebe Sensitive Green automat 2,4кг</t>
  </si>
  <si>
    <t>Синтетический стиральный порошок для стирки детских вещей Teo Bebe Sensitive Violet automat 2,4кг</t>
  </si>
  <si>
    <t>Бумажные полотенца "Полотенечко" 2 рул.</t>
  </si>
  <si>
    <t>27.06.2019-22.07.2019</t>
  </si>
  <si>
    <t>3 окна 2 TZMO+ 1 Антибак</t>
  </si>
  <si>
    <t>KPD+Sodalis</t>
  </si>
  <si>
    <t>300 модуль WG, 2420буклет SF и болшой буклет WG</t>
  </si>
  <si>
    <t>28.06.2019-23.07.2019</t>
  </si>
  <si>
    <t>28.06.2019-24.07.2019</t>
  </si>
  <si>
    <t>28.06.2019-31.07.2019</t>
  </si>
  <si>
    <t xml:space="preserve">  Пакеты для мусора 70х100/120л 10 (синие) (30)</t>
  </si>
  <si>
    <t>Шампунь Wash&amp;Go для сухих волос с экстрактом алоэ вера 400 мл (6)</t>
  </si>
  <si>
    <t>Шампунь Wash&amp;Go против перхоти с технологией ZPT 400 мл (6)</t>
  </si>
  <si>
    <t>Шампунь Wash&amp;Go с экстрактами трав для жирных волос 400 мл (6)</t>
  </si>
  <si>
    <t>02.07.19-13.07.19</t>
  </si>
  <si>
    <t>04.07.2019-06.08.2019</t>
  </si>
  <si>
    <t>05.07.2019-23.07.2019</t>
  </si>
  <si>
    <t>04.07.2019-07.08.2019</t>
  </si>
  <si>
    <t>Bella  Mama 10 (12)</t>
  </si>
  <si>
    <t>буклет Полотенечко</t>
  </si>
  <si>
    <t>буклет Селекта</t>
  </si>
  <si>
    <t>газетка Savex</t>
  </si>
  <si>
    <t>3 газетки (SF + вта/прокл)</t>
  </si>
  <si>
    <t>2436,82 6% ретро TZMO + 297,16 9% ретро SF + 12+13,3 переоценка TZMO</t>
  </si>
  <si>
    <t>207,78 5% ретро FS + 22,3 5% ретро Бонус</t>
  </si>
  <si>
    <t>Экми+Sodalis</t>
  </si>
  <si>
    <t>672,08 15% ретро Sodalis, 47,47 10% ретро рябина +1,56 мерч Sodalis</t>
  </si>
  <si>
    <t>3 стойки бонус май +11 дней апрель</t>
  </si>
  <si>
    <t>Универмаг Беларусь</t>
  </si>
  <si>
    <t>Павловский</t>
  </si>
  <si>
    <t>компенсация предосталвенной скидки</t>
  </si>
  <si>
    <t>5% ретро II квартал</t>
  </si>
  <si>
    <t>08.07.2019-30.07.2019</t>
  </si>
  <si>
    <t>09.07.19-31.07.19</t>
  </si>
  <si>
    <t>10.07.19-24.07.19</t>
  </si>
  <si>
    <t>10.07.19-21.07.19</t>
  </si>
  <si>
    <t>10.07.2019-30.07.2019</t>
  </si>
  <si>
    <t>5% ретро май-июнь</t>
  </si>
  <si>
    <t>150 стойка SF+110 полка Бонус +80 полка PUF +80 газетка PUF</t>
  </si>
  <si>
    <t>7% ретро II квартал</t>
  </si>
  <si>
    <t>листовка Май</t>
  </si>
  <si>
    <t>компенсация 8% скидки</t>
  </si>
  <si>
    <t>РАЗОВО НА СКЛАД</t>
  </si>
  <si>
    <t>15.07.2019-05.08.2019</t>
  </si>
  <si>
    <t>15.07.2019-06.08.2019</t>
  </si>
  <si>
    <t>Bella Panty Soft Deo Fresh  20 (24)</t>
  </si>
  <si>
    <t>Bella Panty Sensitive 20 (24)</t>
  </si>
  <si>
    <t>Bella Panty Sensitive 20 (24) (У)</t>
  </si>
  <si>
    <t>Bella Panty Soft Classic 20 (30) (РФ)</t>
  </si>
  <si>
    <t>Bella Nova Komfort softiplait 10 (36)</t>
  </si>
  <si>
    <t>буклеты WG</t>
  </si>
  <si>
    <t>TZMO+Ruta</t>
  </si>
  <si>
    <t>Спецсервич</t>
  </si>
  <si>
    <t>Телешман</t>
  </si>
  <si>
    <t>промоутеры FS</t>
  </si>
  <si>
    <t>стойки (июнь+  треть от долга)</t>
  </si>
  <si>
    <t>18.07.2019-07.08.2019</t>
  </si>
  <si>
    <t>18.07.2019-28.07.2019</t>
  </si>
  <si>
    <t>19.07.2019-14.08.2019</t>
  </si>
  <si>
    <t>23.07.19-03.08.19</t>
  </si>
  <si>
    <t>5% ретро SF + 140,58 переоценка акции</t>
  </si>
  <si>
    <t>акции по TZMO</t>
  </si>
  <si>
    <t>25.07.2019-31.08.2019</t>
  </si>
  <si>
    <t>Ср-во для мытья посуды "Капля VOX хлопок и ромашка" 1000г (8)</t>
  </si>
  <si>
    <t>RUTA+TZMO</t>
  </si>
  <si>
    <t>2 двоных буклета</t>
  </si>
  <si>
    <t>стойки рябина</t>
  </si>
  <si>
    <t>экми</t>
  </si>
  <si>
    <t>29.07.2019-13.08.2019</t>
  </si>
  <si>
    <t>30.07.2019-12.08.2019</t>
  </si>
  <si>
    <t>30.07.2019-11.08.2019</t>
  </si>
  <si>
    <t>2,5% ретро</t>
  </si>
  <si>
    <t>2 окошка TZMO+1SF</t>
  </si>
  <si>
    <t>6 окошек в газетах (4 TZMO+2SF)</t>
  </si>
  <si>
    <t>2 окошка в газетах (Savex+TEO)</t>
  </si>
  <si>
    <t>Sodalis+Экми</t>
  </si>
  <si>
    <t>117,43-15% ретро Содалис, 50,87 10% ретро Рябина</t>
  </si>
  <si>
    <t>3 стойки бонус июнь 600</t>
  </si>
  <si>
    <t>161,65 5% ретро Savex +TEO, 94,54 5% ретро Бонус</t>
  </si>
  <si>
    <t>штраф мерч</t>
  </si>
  <si>
    <t>2404,98 6%ретро TZMO+ 691,02 9% ретро SF</t>
  </si>
  <si>
    <t>01.08.2019-20.08.2019</t>
  </si>
  <si>
    <t>Средство для окрашивания волос "ACME-COLOR" Рябина "Avena" Капучино (№067)</t>
  </si>
  <si>
    <t>Средство для окрашивания волос "ACME-COLOR" Рябина "Avena" Натуральный кофе (№057)</t>
  </si>
  <si>
    <t>Средство для окрашивания волос "ACME-COLOR" Рябина "Avena" Черный шоколад (№142)</t>
  </si>
  <si>
    <t>Средство для окрашивания волос "ACME-COLOR" Рябина "Intense" Жемчужно-серебристый (№120)</t>
  </si>
  <si>
    <t>Средство для окрашивания волос "ACME-COLOR" Рябина "Intense" Карамель (№114)</t>
  </si>
  <si>
    <t>Средство для окрашивания волос "ACME-COLOR" Рябина "Intense" Мокрый песок (№111)</t>
  </si>
  <si>
    <t>Средство для окрашивания волос "ACME-COLOR" Рябина "Intense" Платиновый блонд (№1001)</t>
  </si>
  <si>
    <t>Средство для окрашивания волос "ACME-COLOR" Рябина "Intense" Пшеница (№130)</t>
  </si>
  <si>
    <t>05.08.2019-27.08.2019</t>
  </si>
  <si>
    <t>02.08.2019-08.08.2019</t>
  </si>
  <si>
    <t>05.08.2019-03.09.2019</t>
  </si>
  <si>
    <t>07.08.2019-28.08.2019</t>
  </si>
  <si>
    <t>компенсация скидки 8%</t>
  </si>
  <si>
    <t>буклеты и проморолики Wash&amp;Go</t>
  </si>
  <si>
    <t>08.08.2019-18.08.2019</t>
  </si>
  <si>
    <t>09.08.2019-02.09.2019</t>
  </si>
  <si>
    <t>08.08.19-25.08.19</t>
  </si>
  <si>
    <t>09.08.2019-17.08.2019</t>
  </si>
  <si>
    <t>SF+BFT июль</t>
  </si>
  <si>
    <t>SF+BFT август</t>
  </si>
  <si>
    <t>01.08.2019-07.08.2019</t>
  </si>
  <si>
    <t>регулярный</t>
  </si>
  <si>
    <t>14.08.2019-24.08.2019</t>
  </si>
  <si>
    <t>14.08.2019-17.09.2019</t>
  </si>
  <si>
    <t>Шакун</t>
  </si>
  <si>
    <t>модуль Happy</t>
  </si>
  <si>
    <t>150+110 стойка +полка SF, 80+70 полка и газета Puf</t>
  </si>
  <si>
    <t>15.08.2019-03.09.2019</t>
  </si>
  <si>
    <t>буклет подушки</t>
  </si>
  <si>
    <t>буклет Бэлла</t>
  </si>
  <si>
    <t>9% ретро Июль</t>
  </si>
  <si>
    <t>480 BFT+Cotton, 240 Super fresh буклеты</t>
  </si>
  <si>
    <t>стойки</t>
  </si>
  <si>
    <t>22.08.19-30.09.19</t>
  </si>
  <si>
    <t>Подгузники для детей Pufies Sensitive Junior 14 (11-20 кг)</t>
  </si>
  <si>
    <t>Подгузники для детей Pufies Sensitive Maxi 18 (7-14 кг)</t>
  </si>
  <si>
    <t>19.08.2019-10.09.2019</t>
  </si>
  <si>
    <t>23.08.2019-09.09.2019</t>
  </si>
  <si>
    <t>22.08.2019-16.09.2019</t>
  </si>
  <si>
    <t>22.08.2019-09.09.2019</t>
  </si>
  <si>
    <t>3 стойки Бонус+ 620 USD</t>
  </si>
  <si>
    <t>3 газетки BELLA</t>
  </si>
  <si>
    <t>буклет Biopoint</t>
  </si>
  <si>
    <t>6,37SF, 67,68 TEO</t>
  </si>
  <si>
    <t>переоценка акции, 65,21 SF120,  303,54 Bella</t>
  </si>
  <si>
    <t>27.08.2019-30.09.2019</t>
  </si>
  <si>
    <t>28.08.19-11.09.19</t>
  </si>
  <si>
    <t>28.08.19-18.09.19</t>
  </si>
  <si>
    <t>29.08.2019-17.09.2019</t>
  </si>
  <si>
    <t>KPD+ВГП</t>
  </si>
  <si>
    <t>30.08.19-18.09.19</t>
  </si>
  <si>
    <t>30.08.2019-23.09.2019</t>
  </si>
  <si>
    <t>30.08.2019-01.10.2019</t>
  </si>
  <si>
    <t>30.08.2019-25.09.2019</t>
  </si>
  <si>
    <t>02.09.2019-01.10.2019</t>
  </si>
  <si>
    <t>02.09.2019-17.09.2019</t>
  </si>
  <si>
    <t>02.09.2019-24.09.2019</t>
  </si>
  <si>
    <t>02.09.2019-15.09.2019</t>
  </si>
  <si>
    <t>ДПМ OOO (г.Минск)</t>
  </si>
  <si>
    <t>2 окна в газете</t>
  </si>
  <si>
    <t>15% ретро SOD</t>
  </si>
  <si>
    <t>05.09.2019-30.09.2019</t>
  </si>
  <si>
    <t>торец TESORI</t>
  </si>
  <si>
    <t>150 стойка SF, 110 полка SF, 80 полка Puf, 70 газетка PUF, 224,76 переоценка акции</t>
  </si>
  <si>
    <t xml:space="preserve">буклет порошки </t>
  </si>
  <si>
    <t>стойка краски</t>
  </si>
  <si>
    <r>
      <rPr>
        <b/>
        <sz val="14"/>
        <color theme="1"/>
        <rFont val="Calibri"/>
        <family val="2"/>
        <charset val="204"/>
        <scheme val="minor"/>
      </rPr>
      <t>17.09.2019</t>
    </r>
    <r>
      <rPr>
        <b/>
        <sz val="11"/>
        <color theme="1"/>
        <rFont val="Calibri"/>
        <family val="2"/>
        <charset val="204"/>
        <scheme val="minor"/>
      </rPr>
      <t>-.01.10.2019</t>
    </r>
  </si>
  <si>
    <t>Happy Pants Junior 10, (11-18 кг),  (16) (РФ)</t>
  </si>
  <si>
    <t>Happy Pants Junior 40, (11-18 кг),  (6) (РФ)</t>
  </si>
  <si>
    <t>Happy Pants Maxi 12, (8-14 кг),  (16) (РФ)</t>
  </si>
  <si>
    <t>Happy Pants Maxi 44, (8-14 кг),  (6) (РФ)</t>
  </si>
  <si>
    <t>09.09.2019-01.10.2019</t>
  </si>
  <si>
    <t>10.09.19-02.10.19</t>
  </si>
  <si>
    <t>12.09.2019-14.10.2019</t>
  </si>
  <si>
    <t>12.09.19-02.10.19</t>
  </si>
  <si>
    <t>240 sodalis ДМП, 700 экми (250 тоналайзеры полки, 550 оборудование)</t>
  </si>
  <si>
    <t>18.09.2019-14.10.2019</t>
  </si>
  <si>
    <t>20.09.2019-09.10.2019</t>
  </si>
  <si>
    <t>20.09.2019-07.10.2019</t>
  </si>
  <si>
    <t>20.09.2019-29.09.2019</t>
  </si>
  <si>
    <t>5% ретро SF детские</t>
  </si>
  <si>
    <t>5% ретро SF универсал</t>
  </si>
  <si>
    <t>переоценка акция PUF</t>
  </si>
  <si>
    <t>23.09.2019-01.11.2019</t>
  </si>
  <si>
    <t>24.09.2019-15.10.2019</t>
  </si>
  <si>
    <t>26.09.2019-29.10.2019</t>
  </si>
  <si>
    <t>26.09.2019-15.10.2019</t>
  </si>
  <si>
    <t>Bella Perfecta Ultra Rose Deo fresh 10 (36) (У)</t>
  </si>
  <si>
    <t>Bella Perfecta Ultra Violet Deo fresh 10, (36) (У)</t>
  </si>
  <si>
    <t>26.09.2019-22.10.2019</t>
  </si>
  <si>
    <t>до 01.10.2019</t>
  </si>
  <si>
    <t>до 01.10.2020</t>
  </si>
  <si>
    <t>01.10.2019-21.10.2019</t>
  </si>
  <si>
    <t>01.10.2019-16.10.2019</t>
  </si>
  <si>
    <t>03.10.2019-28.10.2019</t>
  </si>
  <si>
    <t>04.10.19-22.10.19</t>
  </si>
  <si>
    <t>10.10.2019-29.10.2019</t>
  </si>
  <si>
    <t>10.10.2019-12.11.2019</t>
  </si>
  <si>
    <t>14.10.2019-05.11.2019</t>
  </si>
  <si>
    <t>Шампунь Wash&amp;Go мицеллярный для детей и взрослых 400 мл (6)</t>
  </si>
  <si>
    <t>16.10.2019-11.11.2019</t>
  </si>
  <si>
    <t>16.10.19-26.10.19</t>
  </si>
  <si>
    <t>17.10.2019-27.10.2019</t>
  </si>
  <si>
    <t>Bella Perfecta Ultra Blue 10 (36) (У)</t>
  </si>
  <si>
    <t>Bella Perfecta Ultra Green 10 (36) (У)</t>
  </si>
  <si>
    <t>18.10.2019-23.10.2019</t>
  </si>
  <si>
    <t>Кондиционер Wash&amp;Go для окрашенных волос с экстрактом граната 180 мл (6)</t>
  </si>
  <si>
    <t>Кондиционер Wash&amp;Go для поврежденных волос с маслом ши 180 мл (6)</t>
  </si>
  <si>
    <t>Шампунь Wash&amp;Go для сухих волос с экстрактом алоэ вера 200 мл (9)</t>
  </si>
  <si>
    <t>Шампунь Wash&amp;Go против перхоти с технологией ZPT 200 мл (9)</t>
  </si>
  <si>
    <t>Шампунь Wash&amp;Go с маслом ши для поврежденных волос 200 мл (9)</t>
  </si>
  <si>
    <t>Шампунь Wash&amp;Go с ментолом для всех типов волос 200 мл (9)</t>
  </si>
  <si>
    <t>Шампунь Wash&amp;Go с экстрактами трав для жирных волос 200 мл (9)</t>
  </si>
  <si>
    <t>Шампунь Wash&amp;Go с экстрактом граната для окрашенных волос 200 мл (9)</t>
  </si>
  <si>
    <t>Шампунь Wash&amp;Go с экстрактом жасмина для нормальных волос 200 мл (9)</t>
  </si>
  <si>
    <t>21.10.2019-30.11.2019</t>
  </si>
  <si>
    <t>21.10.2019-26.11.2019</t>
  </si>
  <si>
    <t>Seni Lady Micro 20 (16)</t>
  </si>
  <si>
    <t>Seni Lady normal 20 (20)</t>
  </si>
  <si>
    <t>-</t>
  </si>
  <si>
    <t>22.10.2019-30.11.2019</t>
  </si>
  <si>
    <t>23.10.19-13.11.19</t>
  </si>
  <si>
    <t>BELLA COTTON 200 ватные палочки (пластик)</t>
  </si>
  <si>
    <t>24.10.2019 разово</t>
  </si>
  <si>
    <t>24.10.2019-20.11.2019</t>
  </si>
  <si>
    <t xml:space="preserve">  Скребок кухонный Бонус 1 (72)</t>
  </si>
  <si>
    <t>24.10.2019-05.11.2019</t>
  </si>
  <si>
    <t>25.10.2019-28.11.2019</t>
  </si>
  <si>
    <t xml:space="preserve">  Салфетки целлюлозные для уборки Бонус 2+1 (65)</t>
  </si>
  <si>
    <t>28.10.2019-30.11.2019</t>
  </si>
  <si>
    <t>29.10.19-09.11.19</t>
  </si>
  <si>
    <t>Прокладки женские гигиенические впитывающие супертонкие BELLA PERFECTA ULTRA BLUE 32</t>
  </si>
  <si>
    <t>Прокладки женские гигиенические впитывающие супертонкие BELLA PERFECTA ULTRA ROSE DEO FRESH 32</t>
  </si>
  <si>
    <t>29.10.2019-30.11.2019</t>
  </si>
  <si>
    <t>30.10.2019-25.11.2019</t>
  </si>
  <si>
    <t>01.11.2019 разово</t>
  </si>
  <si>
    <t>05.11.19-20.11.19</t>
  </si>
  <si>
    <t>04.11.19-19.11.19</t>
  </si>
  <si>
    <t>Шампунь Wash&amp;Go с маслом ши для поврежденных волос 400 мл</t>
  </si>
  <si>
    <t>Шампунь Wash&amp;Go с экстрактом граната для окрашенных волос 400 мл</t>
  </si>
  <si>
    <t>Шампунь Wash&amp;Go с экстрактами трав для жирных волос 400 мл</t>
  </si>
  <si>
    <t>Шампунь Wash&amp;Go против перхоти с технологией ZPT 400 мл</t>
  </si>
  <si>
    <t>Шампунь Wash&amp;Go мицеллярный для детей и взрослых 400 мл</t>
  </si>
  <si>
    <t>08.11.2019-03.12.2019</t>
  </si>
  <si>
    <t>25.10.2019-30.11.2019</t>
  </si>
  <si>
    <t>06.11.19-04.12.19</t>
  </si>
  <si>
    <t>06.11.2019-26.11.2019</t>
  </si>
  <si>
    <t>Bella MAMA 60 (6)</t>
  </si>
  <si>
    <t>Bella Baby Happy Classic 90*60 (10 шт), (12) (РФ)</t>
  </si>
  <si>
    <t>06.11.2019-10.12.2019</t>
  </si>
  <si>
    <t>07.11.2019-03.12.2019</t>
  </si>
  <si>
    <t>11.11.2019-26.11.2019</t>
  </si>
  <si>
    <t>Bella Perfecta Ultra Blue 32 (12) (У)</t>
  </si>
  <si>
    <t>Bella Perfecta Ultra Green 32 (12) (У)</t>
  </si>
  <si>
    <t>12.11.2019-30.11.2019</t>
  </si>
  <si>
    <t>14.11.2019-24.11.2019</t>
  </si>
  <si>
    <t>14.11.2019-17.12.2019</t>
  </si>
  <si>
    <t>15.11.2019-09.12.2019</t>
  </si>
  <si>
    <t>15.11.2019-12.12.2019</t>
  </si>
  <si>
    <t>18.11.19-03.12.19</t>
  </si>
  <si>
    <t>Прокладки ультратонкие гигиенические ежедневные Bella For Teens Panty Energy Deo 20</t>
  </si>
  <si>
    <t>Прокладки ультратонкие гигиенические ежедневные Bella For Teens Panty Relax Deo 20</t>
  </si>
  <si>
    <t>Прокладки ультратонкие гигиенические ежедневные Bella For Teens Panty Sensitive 20</t>
  </si>
  <si>
    <t>Жидкое концентрированное средство для стирки SAVEX 2in1 Fresh 2,2L</t>
  </si>
  <si>
    <t>20.11.2019-04.12.2019</t>
  </si>
  <si>
    <t>Средство для окрашивания волос "ACME-COLOR" Рябинав асс-те</t>
  </si>
  <si>
    <t>21.11.2019-17.12.2019</t>
  </si>
  <si>
    <t>28.10.2019-31.12.2019</t>
  </si>
  <si>
    <t>25.11.2019-17.12.2019</t>
  </si>
  <si>
    <t>26.11.2019-30.01.2019</t>
  </si>
  <si>
    <t>27.11.2019-23.12.2019</t>
  </si>
  <si>
    <t>28.11.2019-15.01.2019</t>
  </si>
  <si>
    <t>29.11.19-18.12.19</t>
  </si>
  <si>
    <t>Шампунь Wash&amp;Go против перхоти с технологией ZPT 200 мл</t>
  </si>
  <si>
    <t>Шампунь Wash&amp;Go с маслом ши для поврежденных волос 200 мл</t>
  </si>
  <si>
    <t>Шампунь Wash&amp;Go с экстрактом граната для окрашенных волос 200 мл</t>
  </si>
  <si>
    <t>29.11.19-11.12.19</t>
  </si>
  <si>
    <t>29.11.2019-02.01.2019</t>
  </si>
  <si>
    <t>Happy Midi 13 (5-9 кг),  (12) (РФ)</t>
  </si>
  <si>
    <t>Гель для душа VIDAL «Белый Мускус» 500 мл (12)</t>
  </si>
  <si>
    <t>Гель для душа VIDAL «Масло Арганы» 500 мл (12)</t>
  </si>
  <si>
    <t>Гель для душа VIDAL «Миндаль и Карите» 500 мл (12)</t>
  </si>
  <si>
    <t>Гель для душа VIDAL «Мицеллярная вода» 500 мл (12)</t>
  </si>
  <si>
    <t>Гель для душа VIDAL «Нежность пудры» 500 мл (12)</t>
  </si>
  <si>
    <t>Гель для душа VIDAL «Энергия и спорт» 500 мл (12)</t>
  </si>
  <si>
    <t>29.11.2019-01.01.2020</t>
  </si>
  <si>
    <t>05.12.2019-15.12.2019</t>
  </si>
  <si>
    <t>05.12.2019-09.01.2019</t>
  </si>
  <si>
    <t>06.12.2019-14.01.2019</t>
  </si>
  <si>
    <t>06.12.2019-23.12.2019</t>
  </si>
  <si>
    <t>09.12.2019-15.12.2019</t>
  </si>
  <si>
    <t>09.12.2019-14.01.2019</t>
  </si>
  <si>
    <t>11.12.2019-15.01.2019</t>
  </si>
  <si>
    <t>10.12.2019-14.12.2019</t>
  </si>
  <si>
    <t>12.12.2019-02.01.2019</t>
  </si>
  <si>
    <t>13.12.2019-15.01.2019</t>
  </si>
  <si>
    <t>Бумажные полотенца "Ruta" Selecta 2 рул. (6)</t>
  </si>
  <si>
    <t>13.12.2019-08.01.2019</t>
  </si>
  <si>
    <t xml:space="preserve"> Teo Bebe Sensitive Violet 400г, (22)</t>
  </si>
  <si>
    <t>13.12.2019-30.01.2019</t>
  </si>
  <si>
    <t>18.12.2019-31.12.2019</t>
  </si>
  <si>
    <t>19.12.20198-21.01.2020</t>
  </si>
  <si>
    <t>20.12.2019-12.01.2019</t>
  </si>
  <si>
    <t>23.12.2019-20.01.2019</t>
  </si>
  <si>
    <t>23.12.2019-21.01.2020</t>
  </si>
  <si>
    <t>26.12.2019-31.12.2019</t>
  </si>
  <si>
    <t>Гель для душа DENIM Волнующий «Gold» 250 мл (12)</t>
  </si>
  <si>
    <t>Гель для душа DENIM Освежающий «Original» 250 мл (12)</t>
  </si>
  <si>
    <t>17.12.2019-31.01.2020</t>
  </si>
  <si>
    <t>08.01.2019-25.01.2019</t>
  </si>
  <si>
    <t>08.01.2019-22.01.2019</t>
  </si>
  <si>
    <t>Салфетки косметические "Ruta" 200x210 150л. (15)</t>
  </si>
  <si>
    <t>08.01.2019-19.01.2019</t>
  </si>
  <si>
    <t>10.01.2019-31.01.2019</t>
  </si>
  <si>
    <t>13.01.2020-03.02.2020</t>
  </si>
  <si>
    <t>13.01.2020-28.01.2020</t>
  </si>
  <si>
    <t>14.01.2020-28.01.2020</t>
  </si>
  <si>
    <t>16.01.2020-11.02.2020</t>
  </si>
  <si>
    <t>15.01.2020-25.01.2020</t>
  </si>
  <si>
    <t>16.01.2020-29.01.2020</t>
  </si>
  <si>
    <t>17.01.2020-06.02.2020</t>
  </si>
  <si>
    <t>17.01.2020-11.02.2020</t>
  </si>
  <si>
    <t>20.01.2020-11.02.2020</t>
  </si>
  <si>
    <t>20.01.2020-06.02.2020</t>
  </si>
  <si>
    <t>23.01.2020-01.02.2020</t>
  </si>
  <si>
    <t>22.01.2020-05.02.2020</t>
  </si>
  <si>
    <t>27.01.2020-29.02.2020</t>
  </si>
  <si>
    <t>28.01.2020-29.02.2020</t>
  </si>
  <si>
    <t>Дезодорант-спрей DENIM «Black» 150 мл (12)</t>
  </si>
  <si>
    <t>Дезодорант-спрей DENIM «Gold» 150 мл (12)</t>
  </si>
  <si>
    <t>Дезодорант-спрей DENIM «Original» 150 мл (12)</t>
  </si>
  <si>
    <t>Витебскмясомолпром ОАО (г.Витебск)</t>
  </si>
  <si>
    <t>30.01.2020-29.02.2020</t>
  </si>
  <si>
    <t>31.01.2020-03.03.2020</t>
  </si>
  <si>
    <t>03.02.2020-25.02.2020</t>
  </si>
  <si>
    <t>03.02.2020-29.02.2020</t>
  </si>
  <si>
    <t>07.02.2020-11.03.2020</t>
  </si>
  <si>
    <t>05.02.2020-19.02.2020</t>
  </si>
  <si>
    <t>Ср-во для мытья посуды "Капля VOX хлопок и ромашка" 500г</t>
  </si>
  <si>
    <t>Ср-во для мытья посуды "Капля VOX лимон" 500г</t>
  </si>
  <si>
    <t>05.02.2020-25.02.2020</t>
  </si>
  <si>
    <t>Салфетки бумажные "Ruta" 240x240 100шт. Белые</t>
  </si>
  <si>
    <t>Туалетная бумага "Ruta" Selecta 16 рул. Белая</t>
  </si>
  <si>
    <t>06.02.2020-02.03.2020</t>
  </si>
  <si>
    <t>06.02.2020-28.02.2020</t>
  </si>
  <si>
    <t>11.02.2020-26.02.2020</t>
  </si>
  <si>
    <t>13.02.2020-29.02.2020</t>
  </si>
  <si>
    <t>13.02.2020-23.02.2020</t>
  </si>
  <si>
    <t>14.02.2020-03.03.2020</t>
  </si>
  <si>
    <t>SENI ACTIVE NORMAL MEDIUM 10, (8)</t>
  </si>
  <si>
    <t>SENI ACTIVE NORMAL LARGE 10, (8)</t>
  </si>
  <si>
    <t>SENI ACTIVE NORMAL EXTRA LARGE 10, (8)</t>
  </si>
  <si>
    <t>14.02.2020-17.03.2020</t>
  </si>
  <si>
    <t>14.02.2020-09.03.2020</t>
  </si>
  <si>
    <t>14.02.2020-04.03.2020</t>
  </si>
  <si>
    <t>14.02.2020-16.03.2020</t>
  </si>
  <si>
    <t>18.02.2020-10.03.2020</t>
  </si>
  <si>
    <t>18.02.2020-01.03.2020</t>
  </si>
  <si>
    <t>19.02.2020-16.03.2020</t>
  </si>
  <si>
    <t>19.02.20-31.03.20</t>
  </si>
  <si>
    <t>Шампунь BIOPOINT «Восстановление и красота» для поврежденных и хрупких волос 400 мл</t>
  </si>
  <si>
    <t>Шампунь BIOPOINT «Ультра питательный» для поврежденных и сухих волос 400 мл</t>
  </si>
  <si>
    <t>Шампунь BIOPOINT «Усиление цвета» для окрашенных волос 400 мл</t>
  </si>
  <si>
    <t>19.02.20-29.02.2020</t>
  </si>
  <si>
    <t>19.02.2020-31.03.2020</t>
  </si>
  <si>
    <t>20.02.2020-31.03.2020</t>
  </si>
  <si>
    <t>Seni Lady normal 20 (20)_</t>
  </si>
  <si>
    <t>21.02.2020-01.03.2020</t>
  </si>
  <si>
    <t>24.02.2020-31.03.2020</t>
  </si>
  <si>
    <t xml:space="preserve"> Teo Bebe Sensitive Green 400г, (22)</t>
  </si>
  <si>
    <t>25.02.2020-17.03.2020</t>
  </si>
  <si>
    <t>26.02.2020-31.03.2020</t>
  </si>
  <si>
    <t>02.03.2020-15.04.2020</t>
  </si>
  <si>
    <t>Bella Panty aroma Energy 20 (24)</t>
  </si>
  <si>
    <t>Bella Panty aroma Relax 20 (24)</t>
  </si>
  <si>
    <t>03.03.2020-15.03.2020</t>
  </si>
  <si>
    <t>Туалетная бумага "Fesko" 8 рул. белая (8)</t>
  </si>
  <si>
    <t>03.03.2020-24.03.2020</t>
  </si>
  <si>
    <t>04.03.2020-14.03.2020</t>
  </si>
  <si>
    <t>04.03.2020-31.03.2020</t>
  </si>
  <si>
    <t>05.03.2020-23.03.2020</t>
  </si>
  <si>
    <t>Радуга-Свет ТД ООО (г. Солигорск)</t>
  </si>
  <si>
    <t>09.03.2020-31.03.2020</t>
  </si>
  <si>
    <t>09.03.2020-19.03.2020</t>
  </si>
  <si>
    <t>Гель для душа "MALIZIA" CARE Янтарь и арган 500мл (12)</t>
  </si>
  <si>
    <t>Гель для душа "MALIZIA" NATURE Алоэ и бамбук 500мл (12)</t>
  </si>
  <si>
    <t xml:space="preserve"> Pufies Pants Sensitive Junior 42 (12-18 кг), (6)</t>
  </si>
  <si>
    <t xml:space="preserve"> Pufies Pants Sensitive Maxi 46 (9-15 кг), (6)</t>
  </si>
  <si>
    <t>10.03.2020-01.04.2020</t>
  </si>
  <si>
    <t>10.03.2020-30.04.2020</t>
  </si>
  <si>
    <t>Салфетки бумажные "Ruta" 240x240 40л. с печатью, Традиционные писанки (30)</t>
  </si>
  <si>
    <t>Салфетки бумажные "Ruta" 330x330 20л. с печатью, Пасхальная традиция (17)</t>
  </si>
  <si>
    <t>Салфетки бумажные "Ruta" 330x330 20л. с печатью, Пасхальный микс (17)</t>
  </si>
  <si>
    <t>12.03.2020-30.05.2020</t>
  </si>
  <si>
    <t>Салфетки бумажные "Ruta" 330x330 20л. с печатью, Весенняя мелодия (17)</t>
  </si>
  <si>
    <t>16.03.2020-05.04.2020</t>
  </si>
  <si>
    <t>17.03.2020-06.04.2020</t>
  </si>
  <si>
    <t>Bella Perfecta Ultra Green 10 (36) (У)_</t>
  </si>
  <si>
    <t>Bella Perfecta Ultra Rose Deo fresh 10 (36) (У)_</t>
  </si>
  <si>
    <t>Bella Perfecta Ultra Violet Deo fresh 10 (36) (У)_</t>
  </si>
  <si>
    <t>18.03.2020-29.03.2020</t>
  </si>
  <si>
    <t>25.03.2020-14.04.2020</t>
  </si>
  <si>
    <t>Bella Perfecta Ultra Blue 10 (36) (У)_</t>
  </si>
  <si>
    <t xml:space="preserve"> Pufies Sensitive Extra Large 66  (13+ кг), (2)</t>
  </si>
  <si>
    <t xml:space="preserve"> Pufies Sensitive Maxi 88 (7-14 кг), (2)</t>
  </si>
  <si>
    <t xml:space="preserve"> Savex 2in1 Fresh 2,2L (6)</t>
  </si>
  <si>
    <t>23.03.2020-30.04.2020</t>
  </si>
  <si>
    <t>Отмена</t>
  </si>
  <si>
    <t>отмена</t>
  </si>
  <si>
    <t>26.03.2020-30.04.2020</t>
  </si>
  <si>
    <t>26.03.2020-31.03.2020</t>
  </si>
  <si>
    <t>27.03.2020-15.04.2020</t>
  </si>
  <si>
    <t>до 29.03.2020</t>
  </si>
  <si>
    <t>31.03.2020-30.04.2020</t>
  </si>
  <si>
    <t>01.04.2020-21.04.2020</t>
  </si>
  <si>
    <t>01.04.20-15.04.20</t>
  </si>
  <si>
    <t>Прокладки женские гигиенические впитывающие супертонкие BELLA PERFECTA ULTRA MAXI BLUE 8</t>
  </si>
  <si>
    <t>Прокладки женские гигиенические впитывающие супертонкие BELLA PERFECTA ULTRA MAXI GREEN 8</t>
  </si>
  <si>
    <t>02.04.2020-20.04.2020</t>
  </si>
  <si>
    <t>Салфетки бумажные "Ruta" 330x330 20л. с печатью, Птичья семейка (17)</t>
  </si>
  <si>
    <t>03.04.2020-21.04.2020</t>
  </si>
  <si>
    <t>13.04.2020-05.05.2020</t>
  </si>
  <si>
    <t>21.04.2020-15.05.2020</t>
  </si>
  <si>
    <t>22.04.2020-12.05.2020</t>
  </si>
  <si>
    <t>22.04.2020-31.05.2020</t>
  </si>
  <si>
    <t>Жидкое крем-мыло "MILGURT" ванильный йогурт со злаками 860г (8)</t>
  </si>
  <si>
    <t>Жидкое крем-мыло "MILGURT" вишня и черешня в йогурте 860г (8)</t>
  </si>
  <si>
    <t>Жидкое крем-мыло "MILGURT" голубика и ежевика в йогурте 860г (8)</t>
  </si>
  <si>
    <t>Жидкое крем-мыло "MILGURT" манго и дыня в йогурте 860г (8)</t>
  </si>
  <si>
    <t>Жидкое крем-мыло "MILGURT" персик и маракуйя в йогурте 860г (8)</t>
  </si>
  <si>
    <t>RAZAR 2 PLUS Бритвы Одноразовые 3шт (40)</t>
  </si>
  <si>
    <t>RAZAR 2 PLUS Бритвы Одноразовые 5шт (24)</t>
  </si>
  <si>
    <t>RAZAR 2 Бритвы Одноразовые для женщин 2шт (96)</t>
  </si>
  <si>
    <t>RAZAR 2 Бритвы Одноразовые для женщин 4шт (36)</t>
  </si>
  <si>
    <t>29.04.2020-29.05.2020</t>
  </si>
  <si>
    <t xml:space="preserve">  Набор "Салфетки влажные Super Fresh (для детей и мам) 120шт+ Super Fresh антибактериальные 72 шт"</t>
  </si>
  <si>
    <t xml:space="preserve"> Pufies Sensitive Midi 66 (6-10 кг), (3)</t>
  </si>
  <si>
    <t xml:space="preserve"> Pufies Sensitive Maxi 56 (9-14 кг), (3)</t>
  </si>
  <si>
    <t xml:space="preserve"> Pufies Sensitive Extra Large 44 (13+ кг), (3)</t>
  </si>
  <si>
    <t xml:space="preserve"> Pufies Sensitive Junior 48  (11-16 кг), (3)</t>
  </si>
  <si>
    <t>25.05.2020 - 10.06.2020</t>
  </si>
  <si>
    <t>26.05.2020-30.06.2020</t>
  </si>
  <si>
    <t>26.05.20-16.06.20</t>
  </si>
  <si>
    <t>27.05.2020-16.06.2020</t>
  </si>
  <si>
    <t>SENI NORMAL SOFT 60*60 (10), (16) (РФ)</t>
  </si>
  <si>
    <t>29.05.2020-30.06.2020</t>
  </si>
  <si>
    <t>29.05.2020-17.06.2020</t>
  </si>
  <si>
    <t>01.06.20-16.06.20</t>
  </si>
  <si>
    <t>02.06.2020-14.06.2020</t>
  </si>
  <si>
    <t>03.06.2020-23.06.2020</t>
  </si>
  <si>
    <t>10.06.2020-30.06.2020</t>
  </si>
  <si>
    <t>Агроинторг ООО (г.Мозырь)</t>
  </si>
  <si>
    <t>12.06.2020-30.06.2020</t>
  </si>
  <si>
    <t>17.06.2020-01.07.2020</t>
  </si>
  <si>
    <t>19.06.2020-15.07.2020</t>
  </si>
  <si>
    <t>19.06.2020-08.07.2020</t>
  </si>
  <si>
    <t>22.06.2020-31.07.2020</t>
  </si>
  <si>
    <t xml:space="preserve"> Pufies Sensitive Maxi+ 50 (9-16 кг), (2)</t>
  </si>
  <si>
    <t xml:space="preserve"> Pufies Sensitive Mini 80 (4-8 кг), (3)</t>
  </si>
  <si>
    <t xml:space="preserve"> Pufies Pants Sensitive Extra Large 38  (15+ кг), (6)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</si>
</sst>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\ _₽_-;\-* #,##0.00\ _₽_-;_-* &quot;-&quot;??\ _₽_-;_-@_-"/>
    <numFmt numFmtId="164" formatCode="[$-419]mmmm\ yyyy;@"/>
    <numFmt numFmtId="165" formatCode="#,##0.0"/>
    <numFmt numFmtId="166" formatCode="0.0"/>
    <numFmt numFmtId="167" formatCode="0.000"/>
    <numFmt numFmtId="168" formatCode="#,##0.00_ ;\-#,##0.00\ "/>
    <numFmt numFmtId="169" formatCode="0.0000"/>
    <numFmt numFmtId="170" formatCode="_-* #,##0.00\ _B_Y_R_-;\-* #,##0.00\ _B_Y_R_-;_-* &quot;-&quot;??\ _B_Y_R_-;_-@_-"/>
  </numFmts>
  <fonts count="78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60"/>
      <color theme="1"/>
      <name val="Calibri"/>
      <family val="2"/>
      <charset val="204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color theme="1"/>
      <name val="Arial"/>
      <family val="2"/>
      <charset val="204"/>
    </font>
    <font>
      <sz val="10"/>
      <color theme="1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2"/>
      <name val="Arial"/>
      <family val="2"/>
      <charset val="204"/>
    </font>
    <font>
      <sz val="12"/>
      <name val="Arial"/>
      <family val="2"/>
    </font>
    <font>
      <sz val="12"/>
      <name val="Times New Roman"/>
      <family val="1"/>
      <charset val="204"/>
    </font>
    <font>
      <sz val="9"/>
      <name val="Arial"/>
      <family val="2"/>
      <charset val="204"/>
    </font>
    <font>
      <sz val="8"/>
      <color theme="1"/>
      <name val="Arial Unicode MS"/>
      <family val="2"/>
      <charset val="204"/>
    </font>
    <font>
      <b/>
      <sz val="11"/>
      <color rgb="FF0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rgb="FFFF0000"/>
      <name val="Calibri"/>
      <family val="2"/>
      <charset val="204"/>
    </font>
    <font>
      <sz val="12"/>
      <color rgb="FFFF0000"/>
      <name val="Times New Roman"/>
      <family val="1"/>
      <charset val="204"/>
    </font>
    <font>
      <sz val="14"/>
      <color rgb="FFFF0000"/>
      <name val="Calibri"/>
      <family val="2"/>
      <charset val="204"/>
      <scheme val="minor"/>
    </font>
    <font>
      <sz val="9"/>
      <color rgb="FFFF0000"/>
      <name val="Arial"/>
      <family val="2"/>
      <charset val="204"/>
    </font>
    <font>
      <sz val="10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b/>
      <sz val="8"/>
      <name val="Arial"/>
      <family val="2"/>
    </font>
    <font>
      <b/>
      <sz val="8"/>
      <name val="Arial"/>
      <family val="2"/>
      <charset val="204"/>
    </font>
    <font>
      <b/>
      <sz val="8"/>
      <name val="Times New Roman"/>
      <family val="1"/>
    </font>
    <font>
      <sz val="1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8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2"/>
      <color indexed="8"/>
      <name val="Arial"/>
      <family val="2"/>
      <charset val="204"/>
    </font>
    <font>
      <sz val="12"/>
      <color rgb="FFFF0000"/>
      <name val="Calibri"/>
      <family val="2"/>
      <charset val="204"/>
      <scheme val="minor"/>
    </font>
    <font>
      <sz val="11"/>
      <color rgb="FFFF0000"/>
      <name val="Arial"/>
      <family val="2"/>
      <charset val="204"/>
    </font>
    <font>
      <sz val="10"/>
      <color rgb="FFFF0000"/>
      <name val="Arial"/>
      <family val="2"/>
    </font>
    <font>
      <sz val="12"/>
      <name val="Calibri"/>
      <family val="2"/>
      <charset val="204"/>
      <scheme val="minor"/>
    </font>
    <font>
      <sz val="12"/>
      <color theme="9" tint="-0.499984740745262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sz val="11"/>
      <color theme="9" tint="-0.499984740745262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0"/>
      <color rgb="FFFF0000"/>
      <name val="Times New Roman"/>
      <family val="1"/>
      <charset val="204"/>
    </font>
    <font>
      <b/>
      <sz val="12"/>
      <color rgb="FFFF0000"/>
      <name val="Calibri"/>
      <family val="2"/>
      <charset val="204"/>
      <scheme val="minor"/>
    </font>
    <font>
      <sz val="11"/>
      <color indexed="8"/>
      <name val="Arial"/>
      <family val="2"/>
    </font>
    <font>
      <b/>
      <sz val="8"/>
      <color rgb="FFFF0000"/>
      <name val="Arial"/>
      <family val="2"/>
      <charset val="204"/>
    </font>
    <font>
      <sz val="10"/>
      <color indexed="8"/>
      <name val="Arial"/>
      <family val="2"/>
    </font>
    <font>
      <sz val="10"/>
      <color indexed="8"/>
      <name val="Calibri"/>
      <family val="2"/>
      <charset val="204"/>
      <scheme val="minor"/>
    </font>
    <font>
      <sz val="8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Arial"/>
      <family val="2"/>
      <charset val="204"/>
    </font>
    <font>
      <b/>
      <sz val="12"/>
      <color rgb="FFFF0000"/>
      <name val="Arial"/>
      <family val="2"/>
    </font>
    <font>
      <sz val="8"/>
      <color theme="1"/>
      <name val="Tahoma"/>
      <family val="2"/>
      <charset val="204"/>
    </font>
    <font>
      <sz val="10"/>
      <color indexed="8"/>
      <name val="Arial"/>
      <family val="2"/>
      <charset val="204"/>
    </font>
    <font>
      <b/>
      <sz val="8"/>
      <color rgb="FFFF0000"/>
      <name val="Tahoma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8"/>
      <name val="Arial"/>
    </font>
    <font>
      <sz val="11"/>
      <color indexed="8"/>
      <name val="Calibri"/>
      <family val="2"/>
      <charset val="204"/>
    </font>
    <font>
      <sz val="8"/>
      <name val="Arial"/>
      <family val="2"/>
      <charset val="204"/>
    </font>
  </fonts>
  <fills count="3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gray0625"/>
    </fill>
    <fill>
      <patternFill patternType="gray0625">
        <bgColor theme="5" tint="0.5999938962981048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gray0625">
        <bgColor theme="5" tint="0.39997558519241921"/>
      </patternFill>
    </fill>
    <fill>
      <patternFill patternType="gray0625">
        <bgColor theme="6" tint="0.59999389629810485"/>
      </patternFill>
    </fill>
    <fill>
      <patternFill patternType="gray0625">
        <bgColor theme="8" tint="0.79998168889431442"/>
      </patternFill>
    </fill>
    <fill>
      <patternFill patternType="gray0625">
        <bgColor theme="9" tint="0.59999389629810485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gray0625">
        <bgColor theme="6" tint="0.79998168889431442"/>
      </patternFill>
    </fill>
    <fill>
      <patternFill patternType="gray0625">
        <bgColor theme="0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</fills>
  <borders count="525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rgb="FFFF0000"/>
      </left>
      <right/>
      <top style="thick">
        <color rgb="FFFF0000"/>
      </top>
      <bottom style="thin">
        <color auto="1"/>
      </bottom>
      <diagonal/>
    </border>
    <border>
      <left/>
      <right/>
      <top style="thick">
        <color rgb="FFFF0000"/>
      </top>
      <bottom style="thin">
        <color auto="1"/>
      </bottom>
      <diagonal/>
    </border>
    <border>
      <left style="thick">
        <color auto="1"/>
      </left>
      <right/>
      <top style="thick">
        <color rgb="FFFF0000"/>
      </top>
      <bottom style="thin">
        <color auto="1"/>
      </bottom>
      <diagonal/>
    </border>
    <border>
      <left/>
      <right style="thick">
        <color auto="1"/>
      </right>
      <top style="thick">
        <color rgb="FFFF0000"/>
      </top>
      <bottom style="thin">
        <color auto="1"/>
      </bottom>
      <diagonal/>
    </border>
    <border>
      <left/>
      <right style="thin">
        <color auto="1"/>
      </right>
      <top style="thick">
        <color rgb="FFFF0000"/>
      </top>
      <bottom style="thin">
        <color auto="1"/>
      </bottom>
      <diagonal/>
    </border>
    <border>
      <left style="thin">
        <color auto="1"/>
      </left>
      <right/>
      <top style="thick">
        <color rgb="FFFF0000"/>
      </top>
      <bottom style="thin">
        <color auto="1"/>
      </bottom>
      <diagonal/>
    </border>
    <border>
      <left/>
      <right style="thick">
        <color rgb="FFFF0000"/>
      </right>
      <top style="thick">
        <color rgb="FFFF0000"/>
      </top>
      <bottom style="thin">
        <color auto="1"/>
      </bottom>
      <diagonal/>
    </border>
    <border>
      <left style="thick">
        <color rgb="FFFF0000"/>
      </left>
      <right/>
      <top style="thin">
        <color auto="1"/>
      </top>
      <bottom style="thin">
        <color auto="1"/>
      </bottom>
      <diagonal/>
    </border>
    <border>
      <left/>
      <right style="thick">
        <color rgb="FFFF0000"/>
      </right>
      <top style="thin">
        <color auto="1"/>
      </top>
      <bottom style="thin">
        <color auto="1"/>
      </bottom>
      <diagonal/>
    </border>
    <border>
      <left style="thick">
        <color rgb="FFFF0000"/>
      </left>
      <right/>
      <top style="thin">
        <color auto="1"/>
      </top>
      <bottom style="thick">
        <color auto="1"/>
      </bottom>
      <diagonal/>
    </border>
    <border>
      <left/>
      <right style="thick">
        <color rgb="FFFF0000"/>
      </right>
      <top style="thin">
        <color auto="1"/>
      </top>
      <bottom style="thick">
        <color auto="1"/>
      </bottom>
      <diagonal/>
    </border>
    <border>
      <left style="thick">
        <color rgb="FFFF0000"/>
      </left>
      <right/>
      <top style="thin">
        <color auto="1"/>
      </top>
      <bottom style="thick">
        <color rgb="FFFF0000"/>
      </bottom>
      <diagonal/>
    </border>
    <border>
      <left/>
      <right/>
      <top style="thin">
        <color auto="1"/>
      </top>
      <bottom style="thick">
        <color rgb="FFFF0000"/>
      </bottom>
      <diagonal/>
    </border>
    <border>
      <left style="thick">
        <color auto="1"/>
      </left>
      <right/>
      <top style="thin">
        <color auto="1"/>
      </top>
      <bottom style="thick">
        <color rgb="FFFF0000"/>
      </bottom>
      <diagonal/>
    </border>
    <border>
      <left/>
      <right style="thick">
        <color auto="1"/>
      </right>
      <top style="thin">
        <color auto="1"/>
      </top>
      <bottom style="thick">
        <color rgb="FFFF0000"/>
      </bottom>
      <diagonal/>
    </border>
    <border>
      <left/>
      <right style="thin">
        <color auto="1"/>
      </right>
      <top style="thin">
        <color auto="1"/>
      </top>
      <bottom style="thick">
        <color rgb="FFFF0000"/>
      </bottom>
      <diagonal/>
    </border>
    <border>
      <left style="thin">
        <color auto="1"/>
      </left>
      <right/>
      <top style="thin">
        <color auto="1"/>
      </top>
      <bottom style="thick">
        <color rgb="FFFF0000"/>
      </bottom>
      <diagonal/>
    </border>
    <border>
      <left/>
      <right style="thick">
        <color rgb="FFFF0000"/>
      </right>
      <top style="thin">
        <color auto="1"/>
      </top>
      <bottom style="thick">
        <color rgb="FFFF0000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ck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thin">
        <color indexed="60"/>
      </left>
      <right style="medium">
        <color indexed="64"/>
      </right>
      <top/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</borders>
  <cellStyleXfs count="30">
    <xf numFmtId="0" fontId="0" fillId="0" borderId="0"/>
    <xf numFmtId="9" fontId="2" fillId="0" borderId="0" applyFont="0" applyFill="0" applyBorder="0" applyAlignment="0" applyProtection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43" fontId="2" fillId="0" borderId="0" applyFont="0" applyFill="0" applyBorder="0" applyAlignment="0" applyProtection="0"/>
    <xf numFmtId="0" fontId="31" fillId="0" borderId="0"/>
    <xf numFmtId="0" fontId="13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3" fillId="0" borderId="0"/>
    <xf numFmtId="0" fontId="43" fillId="0" borderId="0"/>
    <xf numFmtId="170" fontId="4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43" fillId="0" borderId="0" applyFont="0" applyFill="0" applyBorder="0" applyAlignment="0" applyProtection="0"/>
    <xf numFmtId="0" fontId="75" fillId="0" borderId="0"/>
    <xf numFmtId="0" fontId="2" fillId="0" borderId="0"/>
    <xf numFmtId="0" fontId="13" fillId="0" borderId="0"/>
    <xf numFmtId="0" fontId="77" fillId="0" borderId="0"/>
    <xf numFmtId="9" fontId="76" fillId="0" borderId="0" applyFont="0" applyFill="0" applyBorder="0" applyAlignment="0" applyProtection="0"/>
  </cellStyleXfs>
  <cellXfs count="426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9" fontId="0" fillId="0" borderId="9" xfId="0" applyNumberFormat="1" applyBorder="1"/>
    <xf numFmtId="9" fontId="0" fillId="0" borderId="4" xfId="0" applyNumberFormat="1" applyBorder="1"/>
    <xf numFmtId="9" fontId="0" fillId="0" borderId="9" xfId="1" applyFont="1" applyBorder="1"/>
    <xf numFmtId="9" fontId="0" fillId="0" borderId="4" xfId="1" applyFont="1" applyBorder="1"/>
    <xf numFmtId="3" fontId="0" fillId="0" borderId="0" xfId="0" applyNumberFormat="1"/>
    <xf numFmtId="0" fontId="0" fillId="0" borderId="15" xfId="0" applyBorder="1"/>
    <xf numFmtId="0" fontId="0" fillId="0" borderId="6" xfId="0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7" xfId="0" applyNumberFormat="1" applyBorder="1"/>
    <xf numFmtId="3" fontId="0" fillId="0" borderId="8" xfId="0" applyNumberFormat="1" applyBorder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3" fontId="0" fillId="0" borderId="17" xfId="0" applyNumberFormat="1" applyBorder="1"/>
    <xf numFmtId="3" fontId="0" fillId="0" borderId="18" xfId="0" applyNumberFormat="1" applyBorder="1"/>
    <xf numFmtId="0" fontId="0" fillId="3" borderId="3" xfId="0" applyFill="1" applyBorder="1" applyAlignment="1">
      <alignment horizontal="center" vertical="center" wrapText="1"/>
    </xf>
    <xf numFmtId="0" fontId="0" fillId="3" borderId="19" xfId="0" applyFill="1" applyBorder="1"/>
    <xf numFmtId="0" fontId="0" fillId="3" borderId="20" xfId="0" applyFill="1" applyBorder="1"/>
    <xf numFmtId="0" fontId="0" fillId="4" borderId="4" xfId="0" applyFill="1" applyBorder="1"/>
    <xf numFmtId="0" fontId="0" fillId="0" borderId="0" xfId="0" applyFill="1"/>
    <xf numFmtId="0" fontId="0" fillId="0" borderId="0" xfId="0" applyFill="1" applyBorder="1"/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22" xfId="0" applyBorder="1"/>
    <xf numFmtId="3" fontId="0" fillId="0" borderId="24" xfId="0" applyNumberFormat="1" applyBorder="1"/>
    <xf numFmtId="2" fontId="0" fillId="0" borderId="0" xfId="0" applyNumberFormat="1"/>
    <xf numFmtId="0" fontId="0" fillId="5" borderId="15" xfId="0" applyFill="1" applyBorder="1"/>
    <xf numFmtId="0" fontId="0" fillId="5" borderId="4" xfId="0" applyFill="1" applyBorder="1"/>
    <xf numFmtId="0" fontId="0" fillId="0" borderId="1" xfId="0" applyBorder="1"/>
    <xf numFmtId="0" fontId="0" fillId="0" borderId="2" xfId="0" applyBorder="1"/>
    <xf numFmtId="0" fontId="0" fillId="0" borderId="3" xfId="0" applyFill="1" applyBorder="1"/>
    <xf numFmtId="164" fontId="0" fillId="0" borderId="15" xfId="0" applyNumberFormat="1" applyBorder="1"/>
    <xf numFmtId="164" fontId="0" fillId="4" borderId="15" xfId="0" applyNumberFormat="1" applyFill="1" applyBorder="1"/>
    <xf numFmtId="3" fontId="0" fillId="0" borderId="25" xfId="0" applyNumberFormat="1" applyBorder="1"/>
    <xf numFmtId="165" fontId="0" fillId="5" borderId="5" xfId="0" applyNumberFormat="1" applyFill="1" applyBorder="1"/>
    <xf numFmtId="0" fontId="0" fillId="6" borderId="21" xfId="0" applyFill="1" applyBorder="1"/>
    <xf numFmtId="0" fontId="0" fillId="6" borderId="22" xfId="0" applyFill="1" applyBorder="1"/>
    <xf numFmtId="3" fontId="0" fillId="6" borderId="22" xfId="0" applyNumberFormat="1" applyFill="1" applyBorder="1"/>
    <xf numFmtId="9" fontId="0" fillId="6" borderId="22" xfId="1" applyFont="1" applyFill="1" applyBorder="1"/>
    <xf numFmtId="4" fontId="0" fillId="6" borderId="23" xfId="0" applyNumberFormat="1" applyFill="1" applyBorder="1"/>
    <xf numFmtId="0" fontId="0" fillId="6" borderId="12" xfId="0" applyFill="1" applyBorder="1"/>
    <xf numFmtId="0" fontId="0" fillId="6" borderId="24" xfId="0" applyFill="1" applyBorder="1"/>
    <xf numFmtId="3" fontId="0" fillId="6" borderId="24" xfId="0" applyNumberFormat="1" applyFill="1" applyBorder="1"/>
    <xf numFmtId="9" fontId="0" fillId="6" borderId="24" xfId="1" applyFont="1" applyFill="1" applyBorder="1"/>
    <xf numFmtId="4" fontId="0" fillId="6" borderId="25" xfId="0" applyNumberFormat="1" applyFill="1" applyBorder="1"/>
    <xf numFmtId="0" fontId="0" fillId="6" borderId="26" xfId="0" applyFill="1" applyBorder="1"/>
    <xf numFmtId="0" fontId="0" fillId="6" borderId="9" xfId="0" applyFill="1" applyBorder="1"/>
    <xf numFmtId="3" fontId="0" fillId="6" borderId="9" xfId="0" applyNumberFormat="1" applyFill="1" applyBorder="1"/>
    <xf numFmtId="0" fontId="0" fillId="6" borderId="10" xfId="0" applyFill="1" applyBorder="1"/>
    <xf numFmtId="0" fontId="3" fillId="7" borderId="15" xfId="0" applyFont="1" applyFill="1" applyBorder="1"/>
    <xf numFmtId="0" fontId="3" fillId="7" borderId="4" xfId="0" applyFont="1" applyFill="1" applyBorder="1"/>
    <xf numFmtId="3" fontId="3" fillId="7" borderId="4" xfId="0" applyNumberFormat="1" applyFont="1" applyFill="1" applyBorder="1"/>
    <xf numFmtId="4" fontId="5" fillId="7" borderId="5" xfId="0" applyNumberFormat="1" applyFont="1" applyFill="1" applyBorder="1"/>
    <xf numFmtId="9" fontId="0" fillId="6" borderId="22" xfId="0" applyNumberFormat="1" applyFill="1" applyBorder="1"/>
    <xf numFmtId="9" fontId="0" fillId="6" borderId="9" xfId="0" applyNumberFormat="1" applyFill="1" applyBorder="1"/>
    <xf numFmtId="4" fontId="0" fillId="6" borderId="10" xfId="0" applyNumberFormat="1" applyFill="1" applyBorder="1"/>
    <xf numFmtId="0" fontId="0" fillId="7" borderId="15" xfId="0" applyFill="1" applyBorder="1"/>
    <xf numFmtId="0" fontId="0" fillId="7" borderId="4" xfId="0" applyFill="1" applyBorder="1"/>
    <xf numFmtId="3" fontId="0" fillId="7" borderId="4" xfId="0" applyNumberFormat="1" applyFill="1" applyBorder="1"/>
    <xf numFmtId="9" fontId="0" fillId="6" borderId="9" xfId="1" applyFont="1" applyFill="1" applyBorder="1"/>
    <xf numFmtId="0" fontId="4" fillId="7" borderId="15" xfId="0" applyFont="1" applyFill="1" applyBorder="1"/>
    <xf numFmtId="0" fontId="4" fillId="7" borderId="4" xfId="0" applyFont="1" applyFill="1" applyBorder="1"/>
    <xf numFmtId="3" fontId="4" fillId="7" borderId="4" xfId="0" applyNumberFormat="1" applyFont="1" applyFill="1" applyBorder="1"/>
    <xf numFmtId="0" fontId="0" fillId="6" borderId="25" xfId="0" applyFill="1" applyBorder="1"/>
    <xf numFmtId="164" fontId="0" fillId="0" borderId="21" xfId="0" applyNumberFormat="1" applyBorder="1"/>
    <xf numFmtId="0" fontId="0" fillId="0" borderId="23" xfId="0" applyBorder="1"/>
    <xf numFmtId="164" fontId="0" fillId="0" borderId="15" xfId="0" applyNumberFormat="1" applyFill="1" applyBorder="1"/>
    <xf numFmtId="0" fontId="0" fillId="0" borderId="4" xfId="0" applyFill="1" applyBorder="1"/>
    <xf numFmtId="164" fontId="0" fillId="0" borderId="1" xfId="0" applyNumberFormat="1" applyBorder="1"/>
    <xf numFmtId="0" fontId="3" fillId="0" borderId="15" xfId="0" applyFont="1" applyBorder="1"/>
    <xf numFmtId="0" fontId="3" fillId="0" borderId="4" xfId="0" applyFont="1" applyBorder="1"/>
    <xf numFmtId="3" fontId="3" fillId="0" borderId="4" xfId="0" applyNumberFormat="1" applyFont="1" applyBorder="1"/>
    <xf numFmtId="3" fontId="3" fillId="0" borderId="17" xfId="0" applyNumberFormat="1" applyFont="1" applyBorder="1"/>
    <xf numFmtId="3" fontId="3" fillId="0" borderId="5" xfId="0" applyNumberFormat="1" applyFont="1" applyBorder="1"/>
    <xf numFmtId="0" fontId="3" fillId="3" borderId="19" xfId="0" applyFont="1" applyFill="1" applyBorder="1"/>
    <xf numFmtId="2" fontId="4" fillId="7" borderId="5" xfId="0" applyNumberFormat="1" applyFont="1" applyFill="1" applyBorder="1"/>
    <xf numFmtId="3" fontId="0" fillId="6" borderId="23" xfId="0" applyNumberFormat="1" applyFill="1" applyBorder="1"/>
    <xf numFmtId="9" fontId="0" fillId="6" borderId="24" xfId="0" applyNumberFormat="1" applyFill="1" applyBorder="1"/>
    <xf numFmtId="3" fontId="0" fillId="6" borderId="25" xfId="0" applyNumberFormat="1" applyFill="1" applyBorder="1"/>
    <xf numFmtId="3" fontId="0" fillId="6" borderId="10" xfId="0" applyNumberFormat="1" applyFill="1" applyBorder="1"/>
    <xf numFmtId="0" fontId="0" fillId="0" borderId="22" xfId="0" applyFill="1" applyBorder="1"/>
    <xf numFmtId="0" fontId="0" fillId="6" borderId="27" xfId="0" applyFill="1" applyBorder="1"/>
    <xf numFmtId="0" fontId="0" fillId="6" borderId="28" xfId="0" applyFill="1" applyBorder="1"/>
    <xf numFmtId="165" fontId="0" fillId="7" borderId="5" xfId="0" applyNumberFormat="1" applyFill="1" applyBorder="1"/>
    <xf numFmtId="49" fontId="0" fillId="0" borderId="9" xfId="0" applyNumberFormat="1" applyBorder="1"/>
    <xf numFmtId="0" fontId="0" fillId="0" borderId="12" xfId="0" applyBorder="1"/>
    <xf numFmtId="0" fontId="0" fillId="0" borderId="24" xfId="0" applyBorder="1"/>
    <xf numFmtId="9" fontId="0" fillId="0" borderId="24" xfId="0" applyNumberFormat="1" applyBorder="1"/>
    <xf numFmtId="0" fontId="0" fillId="6" borderId="15" xfId="0" applyFill="1" applyBorder="1"/>
    <xf numFmtId="0" fontId="0" fillId="6" borderId="4" xfId="0" applyFill="1" applyBorder="1"/>
    <xf numFmtId="9" fontId="0" fillId="6" borderId="4" xfId="0" applyNumberFormat="1" applyFill="1" applyBorder="1"/>
    <xf numFmtId="166" fontId="0" fillId="7" borderId="5" xfId="0" applyNumberFormat="1" applyFill="1" applyBorder="1"/>
    <xf numFmtId="164" fontId="0" fillId="4" borderId="21" xfId="0" applyNumberFormat="1" applyFill="1" applyBorder="1"/>
    <xf numFmtId="0" fontId="0" fillId="4" borderId="22" xfId="0" applyFill="1" applyBorder="1"/>
    <xf numFmtId="0" fontId="0" fillId="0" borderId="0" xfId="0" applyAlignment="1"/>
    <xf numFmtId="0" fontId="0" fillId="0" borderId="0" xfId="0" applyBorder="1"/>
    <xf numFmtId="0" fontId="0" fillId="0" borderId="33" xfId="0" applyBorder="1"/>
    <xf numFmtId="0" fontId="0" fillId="0" borderId="35" xfId="0" applyBorder="1"/>
    <xf numFmtId="0" fontId="0" fillId="0" borderId="37" xfId="0" applyBorder="1"/>
    <xf numFmtId="0" fontId="0" fillId="0" borderId="32" xfId="0" applyBorder="1"/>
    <xf numFmtId="0" fontId="0" fillId="0" borderId="39" xfId="0" applyBorder="1"/>
    <xf numFmtId="0" fontId="0" fillId="0" borderId="40" xfId="0" applyBorder="1"/>
    <xf numFmtId="0" fontId="0" fillId="0" borderId="17" xfId="0" applyBorder="1"/>
    <xf numFmtId="0" fontId="0" fillId="0" borderId="18" xfId="0" applyBorder="1"/>
    <xf numFmtId="0" fontId="0" fillId="8" borderId="34" xfId="0" applyFill="1" applyBorder="1"/>
    <xf numFmtId="0" fontId="0" fillId="8" borderId="36" xfId="0" applyFill="1" applyBorder="1"/>
    <xf numFmtId="0" fontId="0" fillId="0" borderId="0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8" borderId="32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9" borderId="35" xfId="0" applyFill="1" applyBorder="1"/>
    <xf numFmtId="0" fontId="0" fillId="9" borderId="37" xfId="0" applyFill="1" applyBorder="1"/>
    <xf numFmtId="0" fontId="0" fillId="10" borderId="0" xfId="0" applyFill="1" applyBorder="1" applyAlignment="1">
      <alignment horizontal="center"/>
    </xf>
    <xf numFmtId="0" fontId="0" fillId="10" borderId="35" xfId="0" applyFill="1" applyBorder="1"/>
    <xf numFmtId="0" fontId="0" fillId="10" borderId="37" xfId="0" applyFill="1" applyBorder="1"/>
    <xf numFmtId="0" fontId="0" fillId="0" borderId="22" xfId="0" applyFont="1" applyFill="1" applyBorder="1" applyAlignment="1">
      <alignment horizontal="center" vertical="center" wrapText="1"/>
    </xf>
    <xf numFmtId="0" fontId="0" fillId="0" borderId="42" xfId="0" applyBorder="1"/>
    <xf numFmtId="0" fontId="0" fillId="8" borderId="43" xfId="0" applyFill="1" applyBorder="1"/>
    <xf numFmtId="0" fontId="0" fillId="9" borderId="42" xfId="0" applyFill="1" applyBorder="1"/>
    <xf numFmtId="0" fontId="0" fillId="10" borderId="42" xfId="0" applyFill="1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9" xfId="0" applyBorder="1"/>
    <xf numFmtId="0" fontId="0" fillId="0" borderId="51" xfId="0" applyBorder="1"/>
    <xf numFmtId="0" fontId="0" fillId="0" borderId="53" xfId="0" applyBorder="1"/>
    <xf numFmtId="0" fontId="0" fillId="8" borderId="54" xfId="0" applyFill="1" applyBorder="1"/>
    <xf numFmtId="0" fontId="0" fillId="9" borderId="53" xfId="0" applyFill="1" applyBorder="1"/>
    <xf numFmtId="0" fontId="0" fillId="10" borderId="53" xfId="0" applyFill="1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4" fillId="0" borderId="42" xfId="0" applyFont="1" applyBorder="1"/>
    <xf numFmtId="0" fontId="4" fillId="8" borderId="43" xfId="0" applyFont="1" applyFill="1" applyBorder="1"/>
    <xf numFmtId="0" fontId="4" fillId="9" borderId="42" xfId="0" applyFont="1" applyFill="1" applyBorder="1"/>
    <xf numFmtId="0" fontId="4" fillId="10" borderId="42" xfId="0" applyFont="1" applyFill="1" applyBorder="1"/>
    <xf numFmtId="0" fontId="4" fillId="0" borderId="45" xfId="0" applyFont="1" applyBorder="1"/>
    <xf numFmtId="0" fontId="4" fillId="0" borderId="46" xfId="0" applyFont="1" applyBorder="1"/>
    <xf numFmtId="0" fontId="4" fillId="0" borderId="47" xfId="0" applyFont="1" applyBorder="1"/>
    <xf numFmtId="0" fontId="4" fillId="0" borderId="35" xfId="0" applyFont="1" applyBorder="1"/>
    <xf numFmtId="0" fontId="4" fillId="8" borderId="34" xfId="0" applyFont="1" applyFill="1" applyBorder="1"/>
    <xf numFmtId="0" fontId="4" fillId="9" borderId="35" xfId="0" applyFont="1" applyFill="1" applyBorder="1"/>
    <xf numFmtId="0" fontId="4" fillId="10" borderId="35" xfId="0" applyFont="1" applyFill="1" applyBorder="1"/>
    <xf numFmtId="0" fontId="4" fillId="0" borderId="39" xfId="0" applyFont="1" applyBorder="1"/>
    <xf numFmtId="0" fontId="4" fillId="0" borderId="17" xfId="0" applyFont="1" applyBorder="1"/>
    <xf numFmtId="0" fontId="4" fillId="0" borderId="49" xfId="0" applyFont="1" applyBorder="1"/>
    <xf numFmtId="0" fontId="4" fillId="0" borderId="37" xfId="0" applyFont="1" applyBorder="1"/>
    <xf numFmtId="0" fontId="4" fillId="8" borderId="36" xfId="0" applyFont="1" applyFill="1" applyBorder="1"/>
    <xf numFmtId="0" fontId="4" fillId="9" borderId="37" xfId="0" applyFont="1" applyFill="1" applyBorder="1"/>
    <xf numFmtId="0" fontId="4" fillId="10" borderId="37" xfId="0" applyFont="1" applyFill="1" applyBorder="1"/>
    <xf numFmtId="0" fontId="4" fillId="0" borderId="40" xfId="0" applyFont="1" applyBorder="1"/>
    <xf numFmtId="0" fontId="4" fillId="0" borderId="18" xfId="0" applyFont="1" applyBorder="1"/>
    <xf numFmtId="0" fontId="4" fillId="0" borderId="51" xfId="0" applyFont="1" applyBorder="1"/>
    <xf numFmtId="0" fontId="4" fillId="0" borderId="53" xfId="0" applyFont="1" applyBorder="1"/>
    <xf numFmtId="0" fontId="4" fillId="8" borderId="54" xfId="0" applyFont="1" applyFill="1" applyBorder="1"/>
    <xf numFmtId="0" fontId="4" fillId="9" borderId="53" xfId="0" applyFont="1" applyFill="1" applyBorder="1"/>
    <xf numFmtId="0" fontId="4" fillId="10" borderId="53" xfId="0" applyFont="1" applyFill="1" applyBorder="1"/>
    <xf numFmtId="0" fontId="4" fillId="0" borderId="56" xfId="0" applyFont="1" applyBorder="1"/>
    <xf numFmtId="0" fontId="4" fillId="0" borderId="57" xfId="0" applyFont="1" applyBorder="1"/>
    <xf numFmtId="0" fontId="4" fillId="0" borderId="58" xfId="0" applyFont="1" applyBorder="1"/>
    <xf numFmtId="10" fontId="0" fillId="0" borderId="9" xfId="0" applyNumberFormat="1" applyBorder="1"/>
    <xf numFmtId="0" fontId="0" fillId="4" borderId="0" xfId="0" applyFill="1"/>
    <xf numFmtId="10" fontId="0" fillId="0" borderId="4" xfId="0" applyNumberFormat="1" applyBorder="1"/>
    <xf numFmtId="0" fontId="0" fillId="0" borderId="59" xfId="0" applyBorder="1"/>
    <xf numFmtId="0" fontId="4" fillId="0" borderId="22" xfId="0" applyFont="1" applyBorder="1"/>
    <xf numFmtId="165" fontId="0" fillId="6" borderId="25" xfId="0" applyNumberFormat="1" applyFill="1" applyBorder="1"/>
    <xf numFmtId="0" fontId="0" fillId="11" borderId="12" xfId="0" applyFill="1" applyBorder="1"/>
    <xf numFmtId="0" fontId="0" fillId="11" borderId="24" xfId="0" applyFill="1" applyBorder="1"/>
    <xf numFmtId="9" fontId="0" fillId="11" borderId="24" xfId="0" applyNumberFormat="1" applyFill="1" applyBorder="1"/>
    <xf numFmtId="3" fontId="0" fillId="11" borderId="24" xfId="0" applyNumberFormat="1" applyFill="1" applyBorder="1"/>
    <xf numFmtId="3" fontId="0" fillId="11" borderId="25" xfId="0" applyNumberFormat="1" applyFill="1" applyBorder="1"/>
    <xf numFmtId="0" fontId="0" fillId="12" borderId="12" xfId="0" applyFill="1" applyBorder="1"/>
    <xf numFmtId="0" fontId="0" fillId="12" borderId="24" xfId="0" applyFill="1" applyBorder="1"/>
    <xf numFmtId="9" fontId="0" fillId="12" borderId="24" xfId="0" applyNumberFormat="1" applyFill="1" applyBorder="1"/>
    <xf numFmtId="3" fontId="0" fillId="12" borderId="24" xfId="0" applyNumberFormat="1" applyFill="1" applyBorder="1"/>
    <xf numFmtId="3" fontId="0" fillId="12" borderId="25" xfId="0" applyNumberFormat="1" applyFill="1" applyBorder="1"/>
    <xf numFmtId="0" fontId="0" fillId="4" borderId="9" xfId="0" applyFill="1" applyBorder="1"/>
    <xf numFmtId="0" fontId="0" fillId="0" borderId="60" xfId="0" applyBorder="1" applyAlignment="1"/>
    <xf numFmtId="0" fontId="6" fillId="0" borderId="61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6" fillId="0" borderId="60" xfId="0" applyFont="1" applyBorder="1" applyAlignment="1">
      <alignment vertical="center" wrapText="1"/>
    </xf>
    <xf numFmtId="0" fontId="7" fillId="0" borderId="30" xfId="0" applyFont="1" applyBorder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7" fillId="0" borderId="60" xfId="0" applyFont="1" applyBorder="1" applyAlignment="1">
      <alignment vertical="center" wrapText="1"/>
    </xf>
    <xf numFmtId="0" fontId="6" fillId="0" borderId="30" xfId="0" applyFont="1" applyBorder="1" applyAlignment="1">
      <alignment vertical="center" wrapText="1"/>
    </xf>
    <xf numFmtId="0" fontId="6" fillId="0" borderId="62" xfId="0" applyFont="1" applyBorder="1" applyAlignment="1">
      <alignment vertical="center" wrapText="1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vertical="center" wrapText="1"/>
    </xf>
    <xf numFmtId="0" fontId="7" fillId="0" borderId="0" xfId="0" applyFont="1"/>
    <xf numFmtId="0" fontId="7" fillId="6" borderId="61" xfId="0" applyFont="1" applyFill="1" applyBorder="1" applyAlignment="1">
      <alignment vertical="center" wrapText="1"/>
    </xf>
    <xf numFmtId="0" fontId="0" fillId="6" borderId="42" xfId="0" applyFill="1" applyBorder="1"/>
    <xf numFmtId="0" fontId="0" fillId="13" borderId="43" xfId="0" applyFill="1" applyBorder="1"/>
    <xf numFmtId="0" fontId="0" fillId="14" borderId="42" xfId="0" applyFill="1" applyBorder="1"/>
    <xf numFmtId="0" fontId="0" fillId="15" borderId="42" xfId="0" applyFill="1" applyBorder="1"/>
    <xf numFmtId="0" fontId="0" fillId="6" borderId="45" xfId="0" applyFill="1" applyBorder="1"/>
    <xf numFmtId="0" fontId="0" fillId="6" borderId="46" xfId="0" applyFill="1" applyBorder="1"/>
    <xf numFmtId="0" fontId="0" fillId="6" borderId="47" xfId="0" applyFill="1" applyBorder="1"/>
    <xf numFmtId="0" fontId="7" fillId="6" borderId="0" xfId="0" applyFont="1" applyFill="1" applyBorder="1" applyAlignment="1">
      <alignment vertical="center" wrapText="1"/>
    </xf>
    <xf numFmtId="0" fontId="0" fillId="6" borderId="35" xfId="0" applyFill="1" applyBorder="1"/>
    <xf numFmtId="0" fontId="0" fillId="13" borderId="34" xfId="0" applyFill="1" applyBorder="1"/>
    <xf numFmtId="0" fontId="0" fillId="14" borderId="35" xfId="0" applyFill="1" applyBorder="1"/>
    <xf numFmtId="0" fontId="0" fillId="15" borderId="35" xfId="0" applyFill="1" applyBorder="1"/>
    <xf numFmtId="0" fontId="0" fillId="6" borderId="39" xfId="0" applyFill="1" applyBorder="1"/>
    <xf numFmtId="0" fontId="0" fillId="6" borderId="17" xfId="0" applyFill="1" applyBorder="1"/>
    <xf numFmtId="0" fontId="0" fillId="6" borderId="49" xfId="0" applyFill="1" applyBorder="1"/>
    <xf numFmtId="0" fontId="7" fillId="6" borderId="62" xfId="0" applyFont="1" applyFill="1" applyBorder="1" applyAlignment="1">
      <alignment vertical="center" wrapText="1"/>
    </xf>
    <xf numFmtId="0" fontId="0" fillId="6" borderId="53" xfId="0" applyFill="1" applyBorder="1"/>
    <xf numFmtId="0" fontId="0" fillId="13" borderId="54" xfId="0" applyFill="1" applyBorder="1"/>
    <xf numFmtId="0" fontId="0" fillId="14" borderId="53" xfId="0" applyFill="1" applyBorder="1"/>
    <xf numFmtId="0" fontId="0" fillId="15" borderId="53" xfId="0" applyFill="1" applyBorder="1"/>
    <xf numFmtId="0" fontId="0" fillId="6" borderId="56" xfId="0" applyFill="1" applyBorder="1"/>
    <xf numFmtId="0" fontId="0" fillId="6" borderId="57" xfId="0" applyFill="1" applyBorder="1"/>
    <xf numFmtId="0" fontId="0" fillId="6" borderId="58" xfId="0" applyFill="1" applyBorder="1"/>
    <xf numFmtId="0" fontId="6" fillId="6" borderId="61" xfId="0" applyFont="1" applyFill="1" applyBorder="1" applyAlignment="1">
      <alignment vertical="center" wrapText="1"/>
    </xf>
    <xf numFmtId="0" fontId="4" fillId="6" borderId="42" xfId="0" applyFont="1" applyFill="1" applyBorder="1"/>
    <xf numFmtId="0" fontId="4" fillId="13" borderId="43" xfId="0" applyFont="1" applyFill="1" applyBorder="1"/>
    <xf numFmtId="0" fontId="4" fillId="14" borderId="42" xfId="0" applyFont="1" applyFill="1" applyBorder="1"/>
    <xf numFmtId="0" fontId="4" fillId="15" borderId="42" xfId="0" applyFont="1" applyFill="1" applyBorder="1"/>
    <xf numFmtId="0" fontId="4" fillId="6" borderId="45" xfId="0" applyFont="1" applyFill="1" applyBorder="1"/>
    <xf numFmtId="0" fontId="4" fillId="6" borderId="46" xfId="0" applyFont="1" applyFill="1" applyBorder="1"/>
    <xf numFmtId="0" fontId="4" fillId="6" borderId="47" xfId="0" applyFont="1" applyFill="1" applyBorder="1"/>
    <xf numFmtId="0" fontId="6" fillId="6" borderId="0" xfId="0" applyFont="1" applyFill="1" applyBorder="1" applyAlignment="1">
      <alignment vertical="center" wrapText="1"/>
    </xf>
    <xf numFmtId="0" fontId="4" fillId="6" borderId="35" xfId="0" applyFont="1" applyFill="1" applyBorder="1"/>
    <xf numFmtId="0" fontId="4" fillId="13" borderId="34" xfId="0" applyFont="1" applyFill="1" applyBorder="1"/>
    <xf numFmtId="0" fontId="4" fillId="14" borderId="35" xfId="0" applyFont="1" applyFill="1" applyBorder="1"/>
    <xf numFmtId="0" fontId="4" fillId="15" borderId="35" xfId="0" applyFont="1" applyFill="1" applyBorder="1"/>
    <xf numFmtId="0" fontId="4" fillId="6" borderId="39" xfId="0" applyFont="1" applyFill="1" applyBorder="1"/>
    <xf numFmtId="0" fontId="4" fillId="6" borderId="17" xfId="0" applyFont="1" applyFill="1" applyBorder="1"/>
    <xf numFmtId="0" fontId="4" fillId="6" borderId="49" xfId="0" applyFont="1" applyFill="1" applyBorder="1"/>
    <xf numFmtId="0" fontId="6" fillId="6" borderId="62" xfId="0" applyFont="1" applyFill="1" applyBorder="1" applyAlignment="1">
      <alignment vertical="center" wrapText="1"/>
    </xf>
    <xf numFmtId="0" fontId="4" fillId="6" borderId="53" xfId="0" applyFont="1" applyFill="1" applyBorder="1"/>
    <xf numFmtId="0" fontId="4" fillId="13" borderId="54" xfId="0" applyFont="1" applyFill="1" applyBorder="1"/>
    <xf numFmtId="0" fontId="4" fillId="14" borderId="53" xfId="0" applyFont="1" applyFill="1" applyBorder="1"/>
    <xf numFmtId="0" fontId="4" fillId="15" borderId="53" xfId="0" applyFont="1" applyFill="1" applyBorder="1"/>
    <xf numFmtId="0" fontId="4" fillId="6" borderId="56" xfId="0" applyFont="1" applyFill="1" applyBorder="1"/>
    <xf numFmtId="0" fontId="4" fillId="6" borderId="57" xfId="0" applyFont="1" applyFill="1" applyBorder="1"/>
    <xf numFmtId="0" fontId="4" fillId="6" borderId="58" xfId="0" applyFont="1" applyFill="1" applyBorder="1"/>
    <xf numFmtId="0" fontId="4" fillId="0" borderId="43" xfId="0" applyFont="1" applyBorder="1" applyAlignment="1">
      <alignment horizontal="left"/>
    </xf>
    <xf numFmtId="0" fontId="4" fillId="0" borderId="34" xfId="0" applyFont="1" applyBorder="1" applyAlignment="1">
      <alignment horizontal="left"/>
    </xf>
    <xf numFmtId="0" fontId="4" fillId="0" borderId="36" xfId="0" applyFont="1" applyBorder="1" applyAlignment="1">
      <alignment horizontal="left"/>
    </xf>
    <xf numFmtId="0" fontId="4" fillId="0" borderId="54" xfId="0" applyFont="1" applyBorder="1" applyAlignment="1">
      <alignment horizontal="left"/>
    </xf>
    <xf numFmtId="0" fontId="4" fillId="6" borderId="43" xfId="0" applyFont="1" applyFill="1" applyBorder="1" applyAlignment="1">
      <alignment horizontal="left"/>
    </xf>
    <xf numFmtId="0" fontId="4" fillId="6" borderId="34" xfId="0" applyFont="1" applyFill="1" applyBorder="1" applyAlignment="1">
      <alignment horizontal="left"/>
    </xf>
    <xf numFmtId="0" fontId="4" fillId="6" borderId="54" xfId="0" applyFont="1" applyFill="1" applyBorder="1" applyAlignment="1">
      <alignment horizontal="left"/>
    </xf>
    <xf numFmtId="3" fontId="4" fillId="0" borderId="42" xfId="0" applyNumberFormat="1" applyFont="1" applyBorder="1" applyAlignment="1">
      <alignment horizontal="center"/>
    </xf>
    <xf numFmtId="3" fontId="4" fillId="0" borderId="44" xfId="0" applyNumberFormat="1" applyFont="1" applyBorder="1" applyAlignment="1">
      <alignment horizontal="center"/>
    </xf>
    <xf numFmtId="3" fontId="4" fillId="0" borderId="35" xfId="0" applyNumberFormat="1" applyFont="1" applyBorder="1" applyAlignment="1">
      <alignment horizontal="center"/>
    </xf>
    <xf numFmtId="3" fontId="4" fillId="0" borderId="19" xfId="0" applyNumberFormat="1" applyFont="1" applyBorder="1" applyAlignment="1">
      <alignment horizontal="center"/>
    </xf>
    <xf numFmtId="3" fontId="4" fillId="0" borderId="37" xfId="0" applyNumberFormat="1" applyFont="1" applyBorder="1" applyAlignment="1">
      <alignment horizontal="center"/>
    </xf>
    <xf numFmtId="3" fontId="4" fillId="0" borderId="20" xfId="0" applyNumberFormat="1" applyFont="1" applyBorder="1" applyAlignment="1">
      <alignment horizontal="center"/>
    </xf>
    <xf numFmtId="3" fontId="4" fillId="0" borderId="53" xfId="0" applyNumberFormat="1" applyFont="1" applyBorder="1" applyAlignment="1">
      <alignment horizontal="center"/>
    </xf>
    <xf numFmtId="3" fontId="4" fillId="0" borderId="55" xfId="0" applyNumberFormat="1" applyFont="1" applyBorder="1" applyAlignment="1">
      <alignment horizontal="center"/>
    </xf>
    <xf numFmtId="3" fontId="4" fillId="0" borderId="42" xfId="1" applyNumberFormat="1" applyFont="1" applyBorder="1" applyAlignment="1">
      <alignment horizontal="center"/>
    </xf>
    <xf numFmtId="3" fontId="4" fillId="0" borderId="35" xfId="1" applyNumberFormat="1" applyFont="1" applyBorder="1" applyAlignment="1">
      <alignment horizontal="center"/>
    </xf>
    <xf numFmtId="3" fontId="4" fillId="6" borderId="42" xfId="0" applyNumberFormat="1" applyFont="1" applyFill="1" applyBorder="1" applyAlignment="1">
      <alignment horizontal="center"/>
    </xf>
    <xf numFmtId="3" fontId="4" fillId="6" borderId="44" xfId="0" applyNumberFormat="1" applyFont="1" applyFill="1" applyBorder="1" applyAlignment="1">
      <alignment horizontal="center"/>
    </xf>
    <xf numFmtId="3" fontId="4" fillId="6" borderId="35" xfId="0" applyNumberFormat="1" applyFont="1" applyFill="1" applyBorder="1" applyAlignment="1">
      <alignment horizontal="center"/>
    </xf>
    <xf numFmtId="3" fontId="4" fillId="6" borderId="19" xfId="0" applyNumberFormat="1" applyFont="1" applyFill="1" applyBorder="1" applyAlignment="1">
      <alignment horizontal="center"/>
    </xf>
    <xf numFmtId="3" fontId="4" fillId="6" borderId="53" xfId="0" applyNumberFormat="1" applyFont="1" applyFill="1" applyBorder="1" applyAlignment="1">
      <alignment horizontal="center"/>
    </xf>
    <xf numFmtId="3" fontId="4" fillId="6" borderId="55" xfId="0" applyNumberFormat="1" applyFont="1" applyFill="1" applyBorder="1" applyAlignment="1">
      <alignment horizontal="center"/>
    </xf>
    <xf numFmtId="3" fontId="4" fillId="0" borderId="37" xfId="1" applyNumberFormat="1" applyFont="1" applyBorder="1" applyAlignment="1">
      <alignment horizontal="center"/>
    </xf>
    <xf numFmtId="3" fontId="0" fillId="16" borderId="24" xfId="0" applyNumberFormat="1" applyFill="1" applyBorder="1"/>
    <xf numFmtId="2" fontId="0" fillId="4" borderId="11" xfId="0" applyNumberFormat="1" applyFill="1" applyBorder="1"/>
    <xf numFmtId="9" fontId="0" fillId="4" borderId="9" xfId="0" applyNumberFormat="1" applyFill="1" applyBorder="1"/>
    <xf numFmtId="0" fontId="0" fillId="4" borderId="10" xfId="0" applyFill="1" applyBorder="1"/>
    <xf numFmtId="2" fontId="0" fillId="4" borderId="12" xfId="0" applyNumberFormat="1" applyFill="1" applyBorder="1"/>
    <xf numFmtId="0" fontId="0" fillId="4" borderId="5" xfId="0" applyFill="1" applyBorder="1"/>
    <xf numFmtId="2" fontId="0" fillId="4" borderId="13" xfId="0" applyNumberFormat="1" applyFill="1" applyBorder="1"/>
    <xf numFmtId="0" fontId="0" fillId="4" borderId="7" xfId="0" applyFill="1" applyBorder="1"/>
    <xf numFmtId="0" fontId="0" fillId="4" borderId="8" xfId="0" applyFill="1" applyBorder="1"/>
    <xf numFmtId="9" fontId="0" fillId="4" borderId="4" xfId="0" applyNumberFormat="1" applyFill="1" applyBorder="1"/>
    <xf numFmtId="9" fontId="0" fillId="4" borderId="9" xfId="1" applyFont="1" applyFill="1" applyBorder="1"/>
    <xf numFmtId="9" fontId="0" fillId="4" borderId="4" xfId="1" applyFont="1" applyFill="1" applyBorder="1"/>
    <xf numFmtId="0" fontId="0" fillId="0" borderId="9" xfId="0" applyFill="1" applyBorder="1"/>
    <xf numFmtId="2" fontId="0" fillId="0" borderId="11" xfId="0" applyNumberFormat="1" applyFill="1" applyBorder="1"/>
    <xf numFmtId="9" fontId="0" fillId="0" borderId="9" xfId="0" applyNumberFormat="1" applyFill="1" applyBorder="1"/>
    <xf numFmtId="0" fontId="0" fillId="0" borderId="10" xfId="0" applyFill="1" applyBorder="1"/>
    <xf numFmtId="2" fontId="0" fillId="0" borderId="12" xfId="0" applyNumberFormat="1" applyFill="1" applyBorder="1"/>
    <xf numFmtId="0" fontId="0" fillId="0" borderId="5" xfId="0" applyFill="1" applyBorder="1"/>
    <xf numFmtId="1" fontId="0" fillId="0" borderId="0" xfId="0" applyNumberFormat="1" applyFill="1"/>
    <xf numFmtId="9" fontId="4" fillId="0" borderId="19" xfId="1" applyFont="1" applyBorder="1" applyAlignment="1">
      <alignment horizontal="center"/>
    </xf>
    <xf numFmtId="10" fontId="4" fillId="0" borderId="19" xfId="1" applyNumberFormat="1" applyFont="1" applyBorder="1" applyAlignment="1">
      <alignment horizontal="center"/>
    </xf>
    <xf numFmtId="9" fontId="4" fillId="0" borderId="35" xfId="1" applyFont="1" applyBorder="1" applyAlignment="1">
      <alignment horizontal="center"/>
    </xf>
    <xf numFmtId="0" fontId="0" fillId="17" borderId="9" xfId="0" applyFont="1" applyFill="1" applyBorder="1"/>
    <xf numFmtId="0" fontId="10" fillId="0" borderId="4" xfId="0" applyFont="1" applyFill="1" applyBorder="1" applyAlignment="1">
      <alignment horizontal="left" vertical="center" wrapText="1"/>
    </xf>
    <xf numFmtId="0" fontId="0" fillId="0" borderId="63" xfId="0" applyBorder="1"/>
    <xf numFmtId="3" fontId="11" fillId="0" borderId="4" xfId="0" applyNumberFormat="1" applyFont="1" applyFill="1" applyBorder="1" applyAlignment="1">
      <alignment horizontal="center" vertical="center" wrapText="1"/>
    </xf>
    <xf numFmtId="2" fontId="0" fillId="0" borderId="64" xfId="0" applyNumberFormat="1" applyBorder="1"/>
    <xf numFmtId="3" fontId="11" fillId="17" borderId="4" xfId="0" applyNumberFormat="1" applyFont="1" applyFill="1" applyBorder="1" applyAlignment="1">
      <alignment horizontal="center" vertical="center" wrapText="1"/>
    </xf>
    <xf numFmtId="9" fontId="0" fillId="0" borderId="63" xfId="1" applyFont="1" applyBorder="1"/>
    <xf numFmtId="9" fontId="4" fillId="0" borderId="42" xfId="1" applyFont="1" applyBorder="1" applyAlignment="1">
      <alignment horizontal="center"/>
    </xf>
    <xf numFmtId="9" fontId="4" fillId="0" borderId="37" xfId="1" applyFont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4" fillId="6" borderId="42" xfId="1" applyFont="1" applyFill="1" applyBorder="1" applyAlignment="1">
      <alignment horizontal="center"/>
    </xf>
    <xf numFmtId="9" fontId="4" fillId="6" borderId="35" xfId="1" applyFont="1" applyFill="1" applyBorder="1" applyAlignment="1">
      <alignment horizontal="center"/>
    </xf>
    <xf numFmtId="9" fontId="4" fillId="6" borderId="53" xfId="1" applyFont="1" applyFill="1" applyBorder="1" applyAlignment="1">
      <alignment horizontal="center"/>
    </xf>
    <xf numFmtId="3" fontId="0" fillId="0" borderId="15" xfId="0" applyNumberFormat="1" applyBorder="1"/>
    <xf numFmtId="3" fontId="0" fillId="0" borderId="6" xfId="0" applyNumberFormat="1" applyBorder="1"/>
    <xf numFmtId="9" fontId="0" fillId="0" borderId="9" xfId="1" applyNumberFormat="1" applyFont="1" applyBorder="1"/>
    <xf numFmtId="3" fontId="4" fillId="0" borderId="0" xfId="0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3" fontId="0" fillId="0" borderId="2" xfId="0" applyNumberFormat="1" applyBorder="1"/>
    <xf numFmtId="0" fontId="0" fillId="0" borderId="3" xfId="0" applyBorder="1"/>
    <xf numFmtId="3" fontId="0" fillId="0" borderId="1" xfId="0" applyNumberFormat="1" applyBorder="1"/>
    <xf numFmtId="0" fontId="0" fillId="18" borderId="11" xfId="0" applyFill="1" applyBorder="1"/>
    <xf numFmtId="0" fontId="0" fillId="18" borderId="68" xfId="0" applyFill="1" applyBorder="1" applyAlignment="1">
      <alignment horizontal="center"/>
    </xf>
    <xf numFmtId="0" fontId="0" fillId="18" borderId="69" xfId="0" applyFill="1" applyBorder="1" applyAlignment="1">
      <alignment horizontal="center"/>
    </xf>
    <xf numFmtId="0" fontId="0" fillId="18" borderId="2" xfId="0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8" borderId="26" xfId="0" applyFill="1" applyBorder="1"/>
    <xf numFmtId="0" fontId="0" fillId="18" borderId="15" xfId="0" applyFill="1" applyBorder="1"/>
    <xf numFmtId="0" fontId="0" fillId="18" borderId="6" xfId="0" applyFill="1" applyBorder="1"/>
    <xf numFmtId="2" fontId="0" fillId="6" borderId="11" xfId="0" applyNumberFormat="1" applyFill="1" applyBorder="1"/>
    <xf numFmtId="0" fontId="0" fillId="6" borderId="0" xfId="0" applyFill="1"/>
    <xf numFmtId="0" fontId="0" fillId="20" borderId="24" xfId="0" applyFill="1" applyBorder="1"/>
    <xf numFmtId="0" fontId="0" fillId="0" borderId="71" xfId="0" applyFill="1" applyBorder="1"/>
    <xf numFmtId="4" fontId="0" fillId="0" borderId="0" xfId="0" applyNumberFormat="1"/>
    <xf numFmtId="10" fontId="0" fillId="4" borderId="4" xfId="0" applyNumberFormat="1" applyFill="1" applyBorder="1"/>
    <xf numFmtId="0" fontId="0" fillId="4" borderId="71" xfId="0" applyFill="1" applyBorder="1"/>
    <xf numFmtId="0" fontId="0" fillId="17" borderId="9" xfId="0" applyFill="1" applyBorder="1"/>
    <xf numFmtId="0" fontId="0" fillId="21" borderId="22" xfId="0" applyFill="1" applyBorder="1"/>
    <xf numFmtId="0" fontId="0" fillId="0" borderId="24" xfId="0" applyFill="1" applyBorder="1"/>
    <xf numFmtId="9" fontId="0" fillId="0" borderId="4" xfId="0" applyNumberFormat="1" applyFill="1" applyBorder="1"/>
    <xf numFmtId="0" fontId="0" fillId="0" borderId="35" xfId="0" applyBorder="1" applyAlignment="1">
      <alignment horizontal="center" vertical="center" wrapText="1"/>
    </xf>
    <xf numFmtId="16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35" xfId="0" applyBorder="1" applyAlignment="1">
      <alignment horizontal="left" vertical="center" wrapText="1"/>
    </xf>
    <xf numFmtId="0" fontId="0" fillId="0" borderId="0" xfId="0" applyAlignment="1">
      <alignment horizontal="center"/>
    </xf>
    <xf numFmtId="0" fontId="4" fillId="0" borderId="35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9" fontId="0" fillId="4" borderId="7" xfId="1" applyFont="1" applyFill="1" applyBorder="1"/>
    <xf numFmtId="0" fontId="14" fillId="22" borderId="72" xfId="2" applyNumberFormat="1" applyFont="1" applyFill="1" applyBorder="1" applyAlignment="1">
      <alignment horizontal="left" vertical="top"/>
    </xf>
    <xf numFmtId="9" fontId="0" fillId="0" borderId="4" xfId="1" applyFont="1" applyFill="1" applyBorder="1"/>
    <xf numFmtId="3" fontId="0" fillId="4" borderId="4" xfId="0" applyNumberFormat="1" applyFill="1" applyBorder="1"/>
    <xf numFmtId="3" fontId="0" fillId="0" borderId="22" xfId="0" applyNumberFormat="1" applyBorder="1"/>
    <xf numFmtId="3" fontId="0" fillId="4" borderId="22" xfId="0" applyNumberFormat="1" applyFill="1" applyBorder="1"/>
    <xf numFmtId="3" fontId="3" fillId="0" borderId="22" xfId="0" applyNumberFormat="1" applyFont="1" applyBorder="1"/>
    <xf numFmtId="3" fontId="0" fillId="0" borderId="22" xfId="0" applyNumberFormat="1" applyFill="1" applyBorder="1"/>
    <xf numFmtId="3" fontId="0" fillId="21" borderId="22" xfId="0" applyNumberFormat="1" applyFill="1" applyBorder="1"/>
    <xf numFmtId="3" fontId="0" fillId="0" borderId="10" xfId="0" applyNumberFormat="1" applyFill="1" applyBorder="1"/>
    <xf numFmtId="3" fontId="0" fillId="4" borderId="10" xfId="0" applyNumberFormat="1" applyFill="1" applyBorder="1"/>
    <xf numFmtId="9" fontId="0" fillId="0" borderId="7" xfId="1" applyFont="1" applyBorder="1"/>
    <xf numFmtId="3" fontId="0" fillId="0" borderId="10" xfId="0" applyNumberFormat="1" applyBorder="1"/>
    <xf numFmtId="3" fontId="0" fillId="0" borderId="5" xfId="0" applyNumberFormat="1" applyFill="1" applyBorder="1"/>
    <xf numFmtId="0" fontId="0" fillId="0" borderId="22" xfId="0" applyBorder="1" applyAlignment="1">
      <alignment horizontal="right"/>
    </xf>
    <xf numFmtId="0" fontId="0" fillId="4" borderId="0" xfId="0" applyFill="1" applyBorder="1"/>
    <xf numFmtId="2" fontId="0" fillId="5" borderId="11" xfId="0" applyNumberFormat="1" applyFill="1" applyBorder="1"/>
    <xf numFmtId="0" fontId="0" fillId="5" borderId="9" xfId="0" applyFill="1" applyBorder="1"/>
    <xf numFmtId="9" fontId="0" fillId="5" borderId="9" xfId="0" applyNumberFormat="1" applyFill="1" applyBorder="1"/>
    <xf numFmtId="0" fontId="0" fillId="5" borderId="10" xfId="0" applyFill="1" applyBorder="1"/>
    <xf numFmtId="2" fontId="0" fillId="5" borderId="12" xfId="0" applyNumberFormat="1" applyFill="1" applyBorder="1"/>
    <xf numFmtId="9" fontId="0" fillId="5" borderId="4" xfId="0" applyNumberFormat="1" applyFill="1" applyBorder="1"/>
    <xf numFmtId="0" fontId="0" fillId="5" borderId="5" xfId="0" applyFill="1" applyBorder="1"/>
    <xf numFmtId="0" fontId="4" fillId="0" borderId="10" xfId="0" applyFont="1" applyFill="1" applyBorder="1"/>
    <xf numFmtId="0" fontId="0" fillId="4" borderId="9" xfId="0" applyFont="1" applyFill="1" applyBorder="1"/>
    <xf numFmtId="2" fontId="0" fillId="0" borderId="13" xfId="0" applyNumberFormat="1" applyFill="1" applyBorder="1"/>
    <xf numFmtId="0" fontId="0" fillId="0" borderId="7" xfId="0" applyFill="1" applyBorder="1"/>
    <xf numFmtId="0" fontId="0" fillId="0" borderId="8" xfId="0" applyFill="1" applyBorder="1"/>
    <xf numFmtId="0" fontId="15" fillId="0" borderId="4" xfId="0" applyFont="1" applyFill="1" applyBorder="1"/>
    <xf numFmtId="0" fontId="15" fillId="4" borderId="4" xfId="0" applyFont="1" applyFill="1" applyBorder="1"/>
    <xf numFmtId="167" fontId="0" fillId="0" borderId="0" xfId="0" applyNumberFormat="1"/>
    <xf numFmtId="0" fontId="0" fillId="0" borderId="9" xfId="0" applyFont="1" applyFill="1" applyBorder="1"/>
    <xf numFmtId="0" fontId="0" fillId="23" borderId="22" xfId="0" applyFill="1" applyBorder="1"/>
    <xf numFmtId="0" fontId="0" fillId="0" borderId="23" xfId="0" quotePrefix="1" applyBorder="1"/>
    <xf numFmtId="2" fontId="0" fillId="0" borderId="10" xfId="0" applyNumberFormat="1" applyFill="1" applyBorder="1"/>
    <xf numFmtId="9" fontId="0" fillId="0" borderId="79" xfId="0" applyNumberFormat="1" applyFill="1" applyBorder="1"/>
    <xf numFmtId="0" fontId="4" fillId="0" borderId="80" xfId="0" applyFont="1" applyFill="1" applyBorder="1"/>
    <xf numFmtId="0" fontId="0" fillId="0" borderId="80" xfId="0" applyFill="1" applyBorder="1"/>
    <xf numFmtId="0" fontId="0" fillId="0" borderId="39" xfId="0" applyFill="1" applyBorder="1"/>
    <xf numFmtId="9" fontId="0" fillId="0" borderId="81" xfId="0" applyNumberFormat="1" applyFill="1" applyBorder="1"/>
    <xf numFmtId="0" fontId="0" fillId="0" borderId="19" xfId="0" applyFill="1" applyBorder="1"/>
    <xf numFmtId="9" fontId="0" fillId="0" borderId="4" xfId="1" applyFont="1" applyFill="1" applyBorder="1" applyAlignment="1">
      <alignment horizontal="center"/>
    </xf>
    <xf numFmtId="0" fontId="0" fillId="0" borderId="79" xfId="0" applyFill="1" applyBorder="1"/>
    <xf numFmtId="0" fontId="0" fillId="0" borderId="81" xfId="0" applyFill="1" applyBorder="1"/>
    <xf numFmtId="9" fontId="0" fillId="0" borderId="22" xfId="0" applyNumberFormat="1" applyFill="1" applyBorder="1"/>
    <xf numFmtId="9" fontId="0" fillId="0" borderId="17" xfId="1" applyFont="1" applyFill="1" applyBorder="1" applyAlignment="1">
      <alignment horizontal="center"/>
    </xf>
    <xf numFmtId="9" fontId="0" fillId="0" borderId="95" xfId="1" applyFont="1" applyFill="1" applyBorder="1" applyAlignment="1">
      <alignment horizontal="center"/>
    </xf>
    <xf numFmtId="0" fontId="0" fillId="0" borderId="84" xfId="0" applyFill="1" applyBorder="1"/>
    <xf numFmtId="9" fontId="0" fillId="0" borderId="84" xfId="0" applyNumberFormat="1" applyFill="1" applyBorder="1"/>
    <xf numFmtId="0" fontId="0" fillId="0" borderId="85" xfId="0" applyFill="1" applyBorder="1"/>
    <xf numFmtId="0" fontId="16" fillId="0" borderId="86" xfId="0" applyFont="1" applyFill="1" applyBorder="1" applyAlignment="1">
      <alignment vertical="center"/>
    </xf>
    <xf numFmtId="2" fontId="16" fillId="0" borderId="86" xfId="0" applyNumberFormat="1" applyFont="1" applyFill="1" applyBorder="1" applyAlignment="1">
      <alignment horizontal="right" vertical="center"/>
    </xf>
    <xf numFmtId="2" fontId="0" fillId="0" borderId="0" xfId="0" applyNumberFormat="1" applyFill="1"/>
    <xf numFmtId="0" fontId="17" fillId="0" borderId="86" xfId="0" applyFont="1" applyFill="1" applyBorder="1" applyAlignment="1">
      <alignment horizontal="left" vertical="center" wrapText="1"/>
    </xf>
    <xf numFmtId="0" fontId="18" fillId="0" borderId="88" xfId="0" applyFont="1" applyFill="1" applyBorder="1" applyAlignment="1">
      <alignment horizontal="center" vertical="center" wrapText="1"/>
    </xf>
    <xf numFmtId="2" fontId="0" fillId="0" borderId="90" xfId="0" applyNumberFormat="1" applyFill="1" applyBorder="1"/>
    <xf numFmtId="2" fontId="0" fillId="0" borderId="64" xfId="0" applyNumberFormat="1" applyFill="1" applyBorder="1"/>
    <xf numFmtId="0" fontId="0" fillId="0" borderId="91" xfId="0" applyFill="1" applyBorder="1"/>
    <xf numFmtId="2" fontId="0" fillId="0" borderId="82" xfId="0" applyNumberFormat="1" applyFill="1" applyBorder="1"/>
    <xf numFmtId="2" fontId="0" fillId="0" borderId="93" xfId="0" applyNumberFormat="1" applyFill="1" applyBorder="1"/>
    <xf numFmtId="0" fontId="16" fillId="0" borderId="4" xfId="0" applyFont="1" applyFill="1" applyBorder="1" applyAlignment="1">
      <alignment vertical="center" wrapText="1"/>
    </xf>
    <xf numFmtId="0" fontId="16" fillId="0" borderId="81" xfId="0" applyFont="1" applyFill="1" applyBorder="1" applyAlignment="1">
      <alignment horizontal="right" vertical="center" wrapText="1"/>
    </xf>
    <xf numFmtId="0" fontId="0" fillId="0" borderId="93" xfId="0" applyFill="1" applyBorder="1"/>
    <xf numFmtId="0" fontId="0" fillId="0" borderId="94" xfId="0" applyFill="1" applyBorder="1"/>
    <xf numFmtId="0" fontId="16" fillId="0" borderId="84" xfId="0" applyFont="1" applyFill="1" applyBorder="1" applyAlignment="1">
      <alignment vertical="center" wrapText="1"/>
    </xf>
    <xf numFmtId="0" fontId="16" fillId="0" borderId="85" xfId="0" applyFont="1" applyFill="1" applyBorder="1" applyAlignment="1">
      <alignment horizontal="right" vertical="center" wrapText="1"/>
    </xf>
    <xf numFmtId="0" fontId="21" fillId="0" borderId="4" xfId="0" applyFont="1" applyFill="1" applyBorder="1" applyAlignment="1">
      <alignment vertical="center"/>
    </xf>
    <xf numFmtId="2" fontId="0" fillId="0" borderId="94" xfId="0" applyNumberFormat="1" applyFill="1" applyBorder="1"/>
    <xf numFmtId="0" fontId="22" fillId="0" borderId="4" xfId="3" applyNumberFormat="1" applyFont="1" applyFill="1" applyBorder="1" applyAlignment="1">
      <alignment horizontal="left" vertical="top" wrapText="1"/>
    </xf>
    <xf numFmtId="0" fontId="0" fillId="0" borderId="78" xfId="0" applyFill="1" applyBorder="1"/>
    <xf numFmtId="0" fontId="0" fillId="0" borderId="83" xfId="0" applyFill="1" applyBorder="1"/>
    <xf numFmtId="0" fontId="0" fillId="0" borderId="20" xfId="0" applyFill="1" applyBorder="1"/>
    <xf numFmtId="0" fontId="0" fillId="0" borderId="0" xfId="0" applyFont="1"/>
    <xf numFmtId="2" fontId="0" fillId="0" borderId="96" xfId="0" applyNumberFormat="1" applyFont="1" applyBorder="1"/>
    <xf numFmtId="0" fontId="0" fillId="0" borderId="97" xfId="0" applyFont="1" applyBorder="1"/>
    <xf numFmtId="0" fontId="0" fillId="0" borderId="97" xfId="0" applyFont="1" applyBorder="1" applyAlignment="1">
      <alignment vertical="center"/>
    </xf>
    <xf numFmtId="0" fontId="0" fillId="0" borderId="97" xfId="0" applyFont="1" applyFill="1" applyBorder="1"/>
    <xf numFmtId="9" fontId="0" fillId="0" borderId="97" xfId="1" applyFont="1" applyFill="1" applyBorder="1" applyAlignment="1">
      <alignment horizontal="center"/>
    </xf>
    <xf numFmtId="0" fontId="21" fillId="0" borderId="98" xfId="0" applyFont="1" applyBorder="1" applyAlignment="1">
      <alignment vertical="center"/>
    </xf>
    <xf numFmtId="2" fontId="0" fillId="0" borderId="0" xfId="0" applyNumberFormat="1" applyFont="1"/>
    <xf numFmtId="2" fontId="0" fillId="0" borderId="99" xfId="0" applyNumberFormat="1" applyFont="1" applyBorder="1"/>
    <xf numFmtId="0" fontId="0" fillId="0" borderId="100" xfId="0" applyFont="1" applyBorder="1"/>
    <xf numFmtId="0" fontId="0" fillId="0" borderId="100" xfId="0" applyFont="1" applyBorder="1" applyAlignment="1">
      <alignment vertical="center"/>
    </xf>
    <xf numFmtId="9" fontId="0" fillId="0" borderId="100" xfId="1" applyFont="1" applyFill="1" applyBorder="1" applyAlignment="1">
      <alignment horizontal="center"/>
    </xf>
    <xf numFmtId="0" fontId="21" fillId="0" borderId="101" xfId="0" applyFont="1" applyBorder="1" applyAlignment="1">
      <alignment vertical="center"/>
    </xf>
    <xf numFmtId="0" fontId="21" fillId="17" borderId="97" xfId="0" applyFont="1" applyFill="1" applyBorder="1" applyAlignment="1">
      <alignment vertical="center" wrapText="1"/>
    </xf>
    <xf numFmtId="0" fontId="21" fillId="0" borderId="98" xfId="0" applyFont="1" applyBorder="1" applyAlignment="1">
      <alignment horizontal="right" vertical="center" wrapText="1"/>
    </xf>
    <xf numFmtId="0" fontId="0" fillId="0" borderId="96" xfId="0" applyFont="1" applyBorder="1"/>
    <xf numFmtId="0" fontId="0" fillId="0" borderId="99" xfId="0" applyFont="1" applyBorder="1"/>
    <xf numFmtId="0" fontId="21" fillId="17" borderId="100" xfId="0" applyFont="1" applyFill="1" applyBorder="1" applyAlignment="1">
      <alignment vertical="center" wrapText="1"/>
    </xf>
    <xf numFmtId="0" fontId="21" fillId="0" borderId="101" xfId="0" applyFont="1" applyBorder="1" applyAlignment="1">
      <alignment horizontal="right" vertical="center" wrapText="1"/>
    </xf>
    <xf numFmtId="2" fontId="0" fillId="0" borderId="73" xfId="0" applyNumberFormat="1" applyFont="1" applyBorder="1"/>
    <xf numFmtId="0" fontId="0" fillId="0" borderId="59" xfId="0" applyFont="1" applyBorder="1"/>
    <xf numFmtId="0" fontId="16" fillId="17" borderId="59" xfId="0" applyFont="1" applyFill="1" applyBorder="1" applyAlignment="1">
      <alignment vertical="center" wrapText="1"/>
    </xf>
    <xf numFmtId="0" fontId="0" fillId="0" borderId="59" xfId="0" applyFont="1" applyFill="1" applyBorder="1"/>
    <xf numFmtId="9" fontId="0" fillId="0" borderId="59" xfId="1" applyFont="1" applyFill="1" applyBorder="1" applyAlignment="1">
      <alignment horizontal="center"/>
    </xf>
    <xf numFmtId="0" fontId="16" fillId="0" borderId="74" xfId="0" applyFont="1" applyBorder="1" applyAlignment="1">
      <alignment horizontal="right" vertical="center" wrapText="1"/>
    </xf>
    <xf numFmtId="0" fontId="16" fillId="17" borderId="97" xfId="0" applyFont="1" applyFill="1" applyBorder="1" applyAlignment="1">
      <alignment vertical="center" wrapText="1"/>
    </xf>
    <xf numFmtId="0" fontId="16" fillId="0" borderId="98" xfId="0" applyFont="1" applyBorder="1" applyAlignment="1">
      <alignment horizontal="right" vertical="center" wrapText="1"/>
    </xf>
    <xf numFmtId="0" fontId="21" fillId="17" borderId="97" xfId="0" applyFont="1" applyFill="1" applyBorder="1" applyAlignment="1">
      <alignment vertical="center"/>
    </xf>
    <xf numFmtId="0" fontId="0" fillId="0" borderId="100" xfId="0" applyFont="1" applyFill="1" applyBorder="1"/>
    <xf numFmtId="0" fontId="0" fillId="0" borderId="78" xfId="0" applyBorder="1"/>
    <xf numFmtId="0" fontId="0" fillId="0" borderId="97" xfId="0" applyBorder="1" applyAlignment="1">
      <alignment horizontal="left" vertical="center"/>
    </xf>
    <xf numFmtId="2" fontId="0" fillId="0" borderId="82" xfId="0" applyNumberFormat="1" applyBorder="1"/>
    <xf numFmtId="0" fontId="0" fillId="0" borderId="83" xfId="0" applyBorder="1"/>
    <xf numFmtId="0" fontId="0" fillId="0" borderId="100" xfId="0" applyFill="1" applyBorder="1"/>
    <xf numFmtId="0" fontId="0" fillId="0" borderId="104" xfId="0" applyBorder="1"/>
    <xf numFmtId="9" fontId="0" fillId="0" borderId="105" xfId="0" applyNumberFormat="1" applyFill="1" applyBorder="1"/>
    <xf numFmtId="0" fontId="0" fillId="0" borderId="86" xfId="0" applyFill="1" applyBorder="1"/>
    <xf numFmtId="0" fontId="0" fillId="0" borderId="97" xfId="0" applyFill="1" applyBorder="1"/>
    <xf numFmtId="168" fontId="23" fillId="17" borderId="97" xfId="4" applyNumberFormat="1" applyFont="1" applyFill="1" applyBorder="1" applyAlignment="1">
      <alignment horizontal="right" vertical="center"/>
    </xf>
    <xf numFmtId="0" fontId="0" fillId="17" borderId="97" xfId="0" applyFill="1" applyBorder="1"/>
    <xf numFmtId="0" fontId="0" fillId="0" borderId="97" xfId="0" applyBorder="1"/>
    <xf numFmtId="168" fontId="23" fillId="17" borderId="9" xfId="4" applyNumberFormat="1" applyFont="1" applyFill="1" applyBorder="1" applyAlignment="1">
      <alignment horizontal="right" vertical="center"/>
    </xf>
    <xf numFmtId="9" fontId="0" fillId="0" borderId="97" xfId="0" applyNumberFormat="1" applyFill="1" applyBorder="1"/>
    <xf numFmtId="0" fontId="0" fillId="0" borderId="98" xfId="0" applyFill="1" applyBorder="1"/>
    <xf numFmtId="0" fontId="0" fillId="0" borderId="98" xfId="0" applyBorder="1"/>
    <xf numFmtId="0" fontId="0" fillId="0" borderId="100" xfId="0" applyBorder="1"/>
    <xf numFmtId="0" fontId="0" fillId="0" borderId="101" xfId="0" applyBorder="1"/>
    <xf numFmtId="0" fontId="0" fillId="0" borderId="78" xfId="0" applyFont="1" applyFill="1" applyBorder="1"/>
    <xf numFmtId="2" fontId="0" fillId="0" borderId="107" xfId="0" applyNumberFormat="1" applyBorder="1"/>
    <xf numFmtId="2" fontId="0" fillId="0" borderId="108" xfId="0" applyNumberFormat="1" applyBorder="1"/>
    <xf numFmtId="0" fontId="24" fillId="0" borderId="97" xfId="0" applyFont="1" applyBorder="1" applyAlignment="1">
      <alignment vertical="center" wrapText="1"/>
    </xf>
    <xf numFmtId="0" fontId="24" fillId="0" borderId="98" xfId="0" applyFont="1" applyBorder="1" applyAlignment="1">
      <alignment horizontal="right" vertical="center" wrapText="1"/>
    </xf>
    <xf numFmtId="0" fontId="25" fillId="17" borderId="97" xfId="3" applyNumberFormat="1" applyFont="1" applyFill="1" applyBorder="1" applyAlignment="1">
      <alignment horizontal="left" vertical="top" wrapText="1"/>
    </xf>
    <xf numFmtId="2" fontId="26" fillId="0" borderId="97" xfId="3" applyNumberFormat="1" applyFont="1" applyFill="1" applyBorder="1" applyAlignment="1">
      <alignment horizontal="center" vertical="center" wrapText="1"/>
    </xf>
    <xf numFmtId="2" fontId="0" fillId="0" borderId="97" xfId="0" applyNumberFormat="1" applyFont="1" applyBorder="1" applyAlignment="1">
      <alignment vertical="center"/>
    </xf>
    <xf numFmtId="2" fontId="0" fillId="0" borderId="90" xfId="0" applyNumberFormat="1" applyFont="1" applyBorder="1"/>
    <xf numFmtId="0" fontId="0" fillId="0" borderId="9" xfId="0" applyFont="1" applyBorder="1"/>
    <xf numFmtId="0" fontId="0" fillId="24" borderId="110" xfId="0" applyFont="1" applyFill="1" applyBorder="1" applyAlignment="1">
      <alignment vertical="center" wrapText="1"/>
    </xf>
    <xf numFmtId="0" fontId="0" fillId="0" borderId="97" xfId="0" applyFont="1" applyBorder="1" applyAlignment="1">
      <alignment horizontal="center" vertical="center" wrapText="1"/>
    </xf>
    <xf numFmtId="9" fontId="0" fillId="0" borderId="97" xfId="0" applyNumberFormat="1" applyFont="1" applyBorder="1"/>
    <xf numFmtId="0" fontId="0" fillId="0" borderId="98" xfId="0" applyFont="1" applyBorder="1" applyAlignment="1">
      <alignment horizontal="center" vertical="center" wrapText="1"/>
    </xf>
    <xf numFmtId="0" fontId="27" fillId="0" borderId="86" xfId="0" applyFont="1" applyBorder="1" applyAlignment="1">
      <alignment horizontal="center" vertical="center"/>
    </xf>
    <xf numFmtId="2" fontId="0" fillId="0" borderId="64" xfId="0" applyNumberFormat="1" applyFont="1" applyBorder="1"/>
    <xf numFmtId="0" fontId="0" fillId="24" borderId="111" xfId="0" applyFont="1" applyFill="1" applyBorder="1" applyAlignment="1">
      <alignment vertical="center" wrapText="1"/>
    </xf>
    <xf numFmtId="0" fontId="14" fillId="22" borderId="112" xfId="5" applyNumberFormat="1" applyFont="1" applyFill="1" applyBorder="1" applyAlignment="1">
      <alignment horizontal="left" vertical="top" wrapText="1"/>
    </xf>
    <xf numFmtId="0" fontId="5" fillId="17" borderId="105" xfId="0" applyFont="1" applyFill="1" applyBorder="1" applyAlignment="1">
      <alignment horizontal="center" vertical="center" wrapText="1"/>
    </xf>
    <xf numFmtId="0" fontId="15" fillId="24" borderId="111" xfId="0" applyFont="1" applyFill="1" applyBorder="1" applyAlignment="1">
      <alignment horizontal="left" vertical="center" wrapText="1"/>
    </xf>
    <xf numFmtId="0" fontId="0" fillId="0" borderId="113" xfId="0" applyFont="1" applyFill="1" applyBorder="1"/>
    <xf numFmtId="0" fontId="0" fillId="17" borderId="79" xfId="0" applyFont="1" applyFill="1" applyBorder="1"/>
    <xf numFmtId="0" fontId="0" fillId="0" borderId="79" xfId="0" applyFont="1" applyBorder="1"/>
    <xf numFmtId="0" fontId="0" fillId="0" borderId="98" xfId="0" applyFont="1" applyBorder="1"/>
    <xf numFmtId="2" fontId="0" fillId="0" borderId="82" xfId="0" applyNumberFormat="1" applyFont="1" applyBorder="1"/>
    <xf numFmtId="0" fontId="0" fillId="0" borderId="101" xfId="0" applyFont="1" applyBorder="1"/>
    <xf numFmtId="0" fontId="0" fillId="0" borderId="22" xfId="0" applyBorder="1" applyAlignment="1">
      <alignment vertical="center"/>
    </xf>
    <xf numFmtId="0" fontId="28" fillId="0" borderId="97" xfId="0" applyFont="1" applyBorder="1" applyAlignment="1">
      <alignment vertical="center" wrapText="1"/>
    </xf>
    <xf numFmtId="0" fontId="0" fillId="0" borderId="24" xfId="0" applyBorder="1" applyAlignment="1">
      <alignment vertical="center"/>
    </xf>
    <xf numFmtId="0" fontId="0" fillId="4" borderId="97" xfId="0" applyFill="1" applyBorder="1" applyAlignment="1">
      <alignment horizontal="left" vertical="center"/>
    </xf>
    <xf numFmtId="9" fontId="0" fillId="4" borderId="79" xfId="0" applyNumberFormat="1" applyFill="1" applyBorder="1"/>
    <xf numFmtId="0" fontId="0" fillId="4" borderId="97" xfId="0" applyFont="1" applyFill="1" applyBorder="1" applyAlignment="1">
      <alignment vertical="center"/>
    </xf>
    <xf numFmtId="0" fontId="0" fillId="4" borderId="97" xfId="0" applyFill="1" applyBorder="1"/>
    <xf numFmtId="2" fontId="0" fillId="0" borderId="114" xfId="0" applyNumberFormat="1" applyFont="1" applyBorder="1"/>
    <xf numFmtId="0" fontId="0" fillId="0" borderId="114" xfId="0" applyFont="1" applyBorder="1"/>
    <xf numFmtId="0" fontId="29" fillId="0" borderId="114" xfId="0" applyFont="1" applyBorder="1" applyAlignment="1">
      <alignment vertical="center"/>
    </xf>
    <xf numFmtId="0" fontId="0" fillId="0" borderId="114" xfId="0" applyFont="1" applyFill="1" applyBorder="1"/>
    <xf numFmtId="9" fontId="0" fillId="0" borderId="114" xfId="1" applyFont="1" applyFill="1" applyBorder="1" applyAlignment="1">
      <alignment horizontal="center"/>
    </xf>
    <xf numFmtId="0" fontId="16" fillId="0" borderId="86" xfId="0" applyFont="1" applyBorder="1" applyAlignment="1">
      <alignment horizontal="right"/>
    </xf>
    <xf numFmtId="0" fontId="16" fillId="0" borderId="114" xfId="0" applyFont="1" applyBorder="1" applyAlignment="1">
      <alignment vertical="center"/>
    </xf>
    <xf numFmtId="0" fontId="0" fillId="0" borderId="115" xfId="0" applyBorder="1"/>
    <xf numFmtId="9" fontId="0" fillId="0" borderId="115" xfId="0" applyNumberFormat="1" applyBorder="1" applyAlignment="1">
      <alignment vertical="center"/>
    </xf>
    <xf numFmtId="0" fontId="0" fillId="0" borderId="115" xfId="0" applyFont="1" applyBorder="1" applyAlignment="1">
      <alignment vertical="center"/>
    </xf>
    <xf numFmtId="2" fontId="0" fillId="0" borderId="115" xfId="0" applyNumberFormat="1" applyFont="1" applyBorder="1"/>
    <xf numFmtId="0" fontId="0" fillId="0" borderId="115" xfId="0" applyFont="1" applyFill="1" applyBorder="1"/>
    <xf numFmtId="0" fontId="0" fillId="0" borderId="79" xfId="0" applyFont="1" applyFill="1" applyBorder="1"/>
    <xf numFmtId="0" fontId="0" fillId="0" borderId="115" xfId="0" applyFont="1" applyBorder="1"/>
    <xf numFmtId="0" fontId="0" fillId="0" borderId="118" xfId="0" applyFont="1" applyFill="1" applyBorder="1"/>
    <xf numFmtId="2" fontId="0" fillId="0" borderId="22" xfId="0" applyNumberFormat="1" applyFont="1" applyBorder="1"/>
    <xf numFmtId="0" fontId="0" fillId="0" borderId="22" xfId="0" applyFont="1" applyBorder="1"/>
    <xf numFmtId="9" fontId="0" fillId="0" borderId="63" xfId="1" applyFont="1" applyFill="1" applyBorder="1" applyAlignment="1">
      <alignment horizontal="center"/>
    </xf>
    <xf numFmtId="9" fontId="0" fillId="0" borderId="115" xfId="1" applyFont="1" applyFill="1" applyBorder="1" applyAlignment="1">
      <alignment horizontal="center"/>
    </xf>
    <xf numFmtId="0" fontId="0" fillId="0" borderId="0" xfId="0" applyFont="1" applyFill="1" applyBorder="1"/>
    <xf numFmtId="0" fontId="15" fillId="24" borderId="86" xfId="0" applyFont="1" applyFill="1" applyBorder="1" applyAlignment="1">
      <alignment horizontal="left" vertical="center" wrapText="1"/>
    </xf>
    <xf numFmtId="0" fontId="0" fillId="0" borderId="115" xfId="0" applyFont="1" applyBorder="1" applyAlignment="1">
      <alignment horizontal="center" vertical="center" wrapText="1"/>
    </xf>
    <xf numFmtId="9" fontId="0" fillId="0" borderId="115" xfId="0" applyNumberFormat="1" applyFont="1" applyBorder="1"/>
    <xf numFmtId="0" fontId="0" fillId="0" borderId="118" xfId="0" applyFont="1" applyBorder="1" applyAlignment="1">
      <alignment horizontal="center" vertical="center" wrapText="1"/>
    </xf>
    <xf numFmtId="0" fontId="30" fillId="24" borderId="86" xfId="0" applyFont="1" applyFill="1" applyBorder="1" applyAlignment="1">
      <alignment horizontal="center" vertical="center" wrapText="1"/>
    </xf>
    <xf numFmtId="2" fontId="0" fillId="0" borderId="24" xfId="0" applyNumberFormat="1" applyFont="1" applyBorder="1"/>
    <xf numFmtId="0" fontId="0" fillId="0" borderId="119" xfId="0" applyFont="1" applyFill="1" applyBorder="1"/>
    <xf numFmtId="2" fontId="0" fillId="0" borderId="9" xfId="0" applyNumberFormat="1" applyFont="1" applyBorder="1"/>
    <xf numFmtId="0" fontId="31" fillId="17" borderId="115" xfId="3" applyNumberFormat="1" applyFont="1" applyFill="1" applyBorder="1" applyAlignment="1">
      <alignment horizontal="left" vertical="top" wrapText="1"/>
    </xf>
    <xf numFmtId="0" fontId="2" fillId="0" borderId="9" xfId="0" applyFont="1" applyFill="1" applyBorder="1"/>
    <xf numFmtId="9" fontId="2" fillId="0" borderId="9" xfId="0" applyNumberFormat="1" applyFont="1" applyFill="1" applyBorder="1"/>
    <xf numFmtId="2" fontId="32" fillId="0" borderId="118" xfId="3" applyNumberFormat="1" applyFont="1" applyFill="1" applyBorder="1" applyAlignment="1">
      <alignment horizontal="center" vertical="center" wrapText="1"/>
    </xf>
    <xf numFmtId="0" fontId="2" fillId="0" borderId="0" xfId="0" applyFont="1"/>
    <xf numFmtId="0" fontId="0" fillId="0" borderId="115" xfId="0" applyFill="1" applyBorder="1"/>
    <xf numFmtId="0" fontId="2" fillId="0" borderId="115" xfId="0" applyFont="1" applyFill="1" applyBorder="1"/>
    <xf numFmtId="2" fontId="15" fillId="0" borderId="118" xfId="3" applyNumberFormat="1" applyFont="1" applyFill="1" applyBorder="1" applyAlignment="1">
      <alignment horizontal="center" vertical="center" wrapText="1"/>
    </xf>
    <xf numFmtId="0" fontId="2" fillId="0" borderId="0" xfId="0" applyFont="1" applyFill="1" applyBorder="1"/>
    <xf numFmtId="0" fontId="0" fillId="0" borderId="121" xfId="0" applyFill="1" applyBorder="1"/>
    <xf numFmtId="0" fontId="2" fillId="0" borderId="121" xfId="0" applyFont="1" applyFill="1" applyBorder="1"/>
    <xf numFmtId="0" fontId="2" fillId="0" borderId="104" xfId="0" applyFont="1" applyFill="1" applyBorder="1"/>
    <xf numFmtId="9" fontId="2" fillId="0" borderId="104" xfId="0" applyNumberFormat="1" applyFont="1" applyFill="1" applyBorder="1"/>
    <xf numFmtId="2" fontId="2" fillId="0" borderId="105" xfId="0" applyNumberFormat="1" applyFont="1" applyFill="1" applyBorder="1" applyAlignment="1">
      <alignment horizontal="center" vertical="center"/>
    </xf>
    <xf numFmtId="0" fontId="15" fillId="17" borderId="115" xfId="3" applyNumberFormat="1" applyFont="1" applyFill="1" applyBorder="1" applyAlignment="1">
      <alignment horizontal="left" vertical="top" wrapText="1"/>
    </xf>
    <xf numFmtId="2" fontId="26" fillId="0" borderId="115" xfId="3" applyNumberFormat="1" applyFont="1" applyFill="1" applyBorder="1" applyAlignment="1">
      <alignment horizontal="center" vertical="center" wrapText="1"/>
    </xf>
    <xf numFmtId="2" fontId="0" fillId="0" borderId="97" xfId="0" applyNumberFormat="1" applyFont="1" applyBorder="1"/>
    <xf numFmtId="0" fontId="16" fillId="0" borderId="86" xfId="0" applyFont="1" applyBorder="1" applyAlignment="1">
      <alignment vertical="center"/>
    </xf>
    <xf numFmtId="0" fontId="16" fillId="0" borderId="97" xfId="0" applyFont="1" applyBorder="1" applyAlignment="1">
      <alignment vertical="center"/>
    </xf>
    <xf numFmtId="0" fontId="0" fillId="0" borderId="98" xfId="0" applyFont="1" applyBorder="1" applyAlignment="1">
      <alignment horizontal="right" vertical="center" wrapText="1"/>
    </xf>
    <xf numFmtId="0" fontId="21" fillId="24" borderId="86" xfId="0" applyFont="1" applyFill="1" applyBorder="1" applyAlignment="1">
      <alignment horizontal="center" vertical="center" wrapText="1"/>
    </xf>
    <xf numFmtId="0" fontId="15" fillId="17" borderId="105" xfId="0" applyFont="1" applyFill="1" applyBorder="1" applyAlignment="1">
      <alignment horizontal="right" vertical="center" wrapText="1"/>
    </xf>
    <xf numFmtId="0" fontId="0" fillId="0" borderId="17" xfId="0" applyFont="1" applyFill="1" applyBorder="1"/>
    <xf numFmtId="0" fontId="0" fillId="17" borderId="79" xfId="0" applyFont="1" applyFill="1" applyBorder="1" applyAlignment="1">
      <alignment horizontal="right"/>
    </xf>
    <xf numFmtId="0" fontId="21" fillId="24" borderId="0" xfId="0" applyFont="1" applyFill="1" applyBorder="1" applyAlignment="1">
      <alignment horizontal="center" vertical="center" wrapText="1"/>
    </xf>
    <xf numFmtId="0" fontId="0" fillId="4" borderId="79" xfId="0" applyFill="1" applyBorder="1"/>
    <xf numFmtId="0" fontId="0" fillId="4" borderId="98" xfId="0" applyFill="1" applyBorder="1"/>
    <xf numFmtId="0" fontId="19" fillId="4" borderId="92" xfId="0" applyFont="1" applyFill="1" applyBorder="1" applyAlignment="1">
      <alignment vertical="center" wrapText="1"/>
    </xf>
    <xf numFmtId="0" fontId="20" fillId="4" borderId="0" xfId="0" applyFont="1" applyFill="1" applyAlignment="1">
      <alignment horizontal="center" vertical="center" wrapText="1"/>
    </xf>
    <xf numFmtId="0" fontId="19" fillId="4" borderId="86" xfId="0" applyFont="1" applyFill="1" applyBorder="1" applyAlignment="1">
      <alignment vertical="center" wrapText="1"/>
    </xf>
    <xf numFmtId="0" fontId="17" fillId="4" borderId="86" xfId="0" applyFont="1" applyFill="1" applyBorder="1" applyAlignment="1">
      <alignment horizontal="left" vertical="center" wrapText="1"/>
    </xf>
    <xf numFmtId="0" fontId="18" fillId="4" borderId="87" xfId="0" applyFont="1" applyFill="1" applyBorder="1" applyAlignment="1">
      <alignment horizontal="center" vertical="center" wrapText="1"/>
    </xf>
    <xf numFmtId="0" fontId="18" fillId="4" borderId="88" xfId="0" applyFont="1" applyFill="1" applyBorder="1" applyAlignment="1">
      <alignment horizontal="center" vertical="center" wrapText="1"/>
    </xf>
    <xf numFmtId="0" fontId="16" fillId="4" borderId="86" xfId="0" applyFont="1" applyFill="1" applyBorder="1" applyAlignment="1">
      <alignment vertical="center"/>
    </xf>
    <xf numFmtId="9" fontId="0" fillId="4" borderId="4" xfId="1" applyFont="1" applyFill="1" applyBorder="1" applyAlignment="1">
      <alignment horizontal="center"/>
    </xf>
    <xf numFmtId="2" fontId="16" fillId="4" borderId="86" xfId="0" applyNumberFormat="1" applyFont="1" applyFill="1" applyBorder="1" applyAlignment="1">
      <alignment horizontal="right" vertical="center"/>
    </xf>
    <xf numFmtId="2" fontId="0" fillId="25" borderId="12" xfId="0" applyNumberFormat="1" applyFill="1" applyBorder="1"/>
    <xf numFmtId="0" fontId="0" fillId="25" borderId="9" xfId="0" applyFill="1" applyBorder="1"/>
    <xf numFmtId="0" fontId="0" fillId="25" borderId="4" xfId="0" applyFill="1" applyBorder="1"/>
    <xf numFmtId="9" fontId="0" fillId="25" borderId="4" xfId="0" applyNumberFormat="1" applyFill="1" applyBorder="1"/>
    <xf numFmtId="0" fontId="0" fillId="25" borderId="5" xfId="0" applyFill="1" applyBorder="1"/>
    <xf numFmtId="0" fontId="0" fillId="25" borderId="0" xfId="0" applyFill="1"/>
    <xf numFmtId="0" fontId="0" fillId="4" borderId="86" xfId="0" applyFont="1" applyFill="1" applyBorder="1" applyAlignment="1">
      <alignment vertical="center"/>
    </xf>
    <xf numFmtId="0" fontId="0" fillId="4" borderId="97" xfId="0" applyFont="1" applyFill="1" applyBorder="1"/>
    <xf numFmtId="9" fontId="0" fillId="4" borderId="100" xfId="1" applyFont="1" applyFill="1" applyBorder="1" applyAlignment="1">
      <alignment horizontal="center"/>
    </xf>
    <xf numFmtId="0" fontId="21" fillId="4" borderId="86" xfId="0" applyFont="1" applyFill="1" applyBorder="1" applyAlignment="1">
      <alignment vertical="center"/>
    </xf>
    <xf numFmtId="2" fontId="0" fillId="4" borderId="0" xfId="0" applyNumberFormat="1" applyFont="1" applyFill="1"/>
    <xf numFmtId="0" fontId="0" fillId="4" borderId="0" xfId="0" applyFont="1" applyFill="1"/>
    <xf numFmtId="0" fontId="0" fillId="0" borderId="97" xfId="0" applyBorder="1" applyAlignment="1">
      <alignment vertical="center"/>
    </xf>
    <xf numFmtId="0" fontId="28" fillId="0" borderId="39" xfId="0" applyFont="1" applyBorder="1" applyAlignment="1">
      <alignment vertical="center" wrapText="1"/>
    </xf>
    <xf numFmtId="0" fontId="0" fillId="0" borderId="97" xfId="0" applyBorder="1" applyAlignment="1">
      <alignment vertical="center" wrapText="1"/>
    </xf>
    <xf numFmtId="168" fontId="23" fillId="17" borderId="118" xfId="4" applyNumberFormat="1" applyFont="1" applyFill="1" applyBorder="1" applyAlignment="1">
      <alignment horizontal="right" vertical="center"/>
    </xf>
    <xf numFmtId="0" fontId="0" fillId="17" borderId="115" xfId="0" applyFill="1" applyBorder="1"/>
    <xf numFmtId="0" fontId="0" fillId="0" borderId="129" xfId="0" applyBorder="1"/>
    <xf numFmtId="0" fontId="0" fillId="0" borderId="111" xfId="0" applyBorder="1"/>
    <xf numFmtId="0" fontId="0" fillId="0" borderId="104" xfId="0" applyFill="1" applyBorder="1"/>
    <xf numFmtId="9" fontId="0" fillId="0" borderId="104" xfId="0" applyNumberFormat="1" applyFill="1" applyBorder="1"/>
    <xf numFmtId="168" fontId="23" fillId="17" borderId="101" xfId="4" applyNumberFormat="1" applyFont="1" applyFill="1" applyBorder="1" applyAlignment="1">
      <alignment horizontal="right" vertical="center"/>
    </xf>
    <xf numFmtId="3" fontId="22" fillId="0" borderId="115" xfId="0" applyNumberFormat="1" applyFont="1" applyFill="1" applyBorder="1" applyAlignment="1">
      <alignment wrapText="1"/>
    </xf>
    <xf numFmtId="9" fontId="0" fillId="0" borderId="115" xfId="0" applyNumberFormat="1" applyFill="1" applyBorder="1"/>
    <xf numFmtId="0" fontId="0" fillId="0" borderId="118" xfId="0" applyFont="1" applyBorder="1" applyAlignment="1">
      <alignment vertical="center"/>
    </xf>
    <xf numFmtId="0" fontId="0" fillId="0" borderId="118" xfId="0" applyFill="1" applyBorder="1"/>
    <xf numFmtId="0" fontId="0" fillId="0" borderId="118" xfId="0" applyBorder="1"/>
    <xf numFmtId="0" fontId="0" fillId="0" borderId="121" xfId="0" applyBorder="1"/>
    <xf numFmtId="3" fontId="22" fillId="0" borderId="121" xfId="0" applyNumberFormat="1" applyFont="1" applyFill="1" applyBorder="1" applyAlignment="1">
      <alignment wrapText="1"/>
    </xf>
    <xf numFmtId="9" fontId="0" fillId="0" borderId="121" xfId="0" applyNumberFormat="1" applyFill="1" applyBorder="1"/>
    <xf numFmtId="0" fontId="0" fillId="0" borderId="79" xfId="0" applyBorder="1"/>
    <xf numFmtId="0" fontId="0" fillId="0" borderId="105" xfId="0" applyFill="1" applyBorder="1"/>
    <xf numFmtId="2" fontId="0" fillId="0" borderId="134" xfId="0" applyNumberFormat="1" applyFont="1" applyBorder="1"/>
    <xf numFmtId="0" fontId="27" fillId="0" borderId="86" xfId="0" applyFont="1" applyBorder="1" applyAlignment="1">
      <alignment vertical="center" wrapText="1"/>
    </xf>
    <xf numFmtId="0" fontId="0" fillId="0" borderId="118" xfId="0" applyFont="1" applyBorder="1" applyAlignment="1">
      <alignment horizontal="right" vertical="center" wrapText="1"/>
    </xf>
    <xf numFmtId="0" fontId="27" fillId="24" borderId="86" xfId="0" applyFont="1" applyFill="1" applyBorder="1" applyAlignment="1">
      <alignment vertical="center" wrapText="1"/>
    </xf>
    <xf numFmtId="0" fontId="16" fillId="0" borderId="115" xfId="0" applyFont="1" applyBorder="1" applyAlignment="1">
      <alignment vertical="center"/>
    </xf>
    <xf numFmtId="2" fontId="0" fillId="0" borderId="132" xfId="0" applyNumberFormat="1" applyFont="1" applyBorder="1"/>
    <xf numFmtId="0" fontId="0" fillId="0" borderId="121" xfId="0" applyFont="1" applyBorder="1"/>
    <xf numFmtId="0" fontId="21" fillId="0" borderId="111" xfId="0" applyFont="1" applyBorder="1"/>
    <xf numFmtId="0" fontId="0" fillId="0" borderId="121" xfId="0" applyFont="1" applyFill="1" applyBorder="1"/>
    <xf numFmtId="9" fontId="0" fillId="0" borderId="121" xfId="1" applyFont="1" applyFill="1" applyBorder="1" applyAlignment="1">
      <alignment horizontal="center"/>
    </xf>
    <xf numFmtId="0" fontId="0" fillId="0" borderId="136" xfId="0" applyBorder="1" applyAlignment="1">
      <alignment vertical="center"/>
    </xf>
    <xf numFmtId="0" fontId="28" fillId="0" borderId="136" xfId="0" applyFont="1" applyBorder="1" applyAlignment="1">
      <alignment vertical="center" wrapText="1"/>
    </xf>
    <xf numFmtId="0" fontId="0" fillId="0" borderId="136" xfId="0" applyFont="1" applyBorder="1" applyAlignment="1">
      <alignment vertical="center"/>
    </xf>
    <xf numFmtId="0" fontId="28" fillId="0" borderId="137" xfId="0" applyFont="1" applyBorder="1" applyAlignment="1">
      <alignment vertical="center" wrapText="1"/>
    </xf>
    <xf numFmtId="0" fontId="0" fillId="0" borderId="136" xfId="0" applyBorder="1" applyAlignment="1">
      <alignment vertical="center" wrapText="1"/>
    </xf>
    <xf numFmtId="0" fontId="0" fillId="0" borderId="136" xfId="0" applyBorder="1"/>
    <xf numFmtId="0" fontId="0" fillId="0" borderId="137" xfId="0" applyBorder="1"/>
    <xf numFmtId="0" fontId="0" fillId="0" borderId="141" xfId="0" applyBorder="1"/>
    <xf numFmtId="0" fontId="0" fillId="0" borderId="142" xfId="0" applyFill="1" applyBorder="1"/>
    <xf numFmtId="2" fontId="0" fillId="0" borderId="143" xfId="0" applyNumberFormat="1" applyFont="1" applyBorder="1"/>
    <xf numFmtId="0" fontId="0" fillId="0" borderId="143" xfId="0" applyFont="1" applyFill="1" applyBorder="1"/>
    <xf numFmtId="0" fontId="0" fillId="0" borderId="143" xfId="0" applyFont="1" applyBorder="1"/>
    <xf numFmtId="0" fontId="0" fillId="0" borderId="143" xfId="0" applyFont="1" applyBorder="1" applyAlignment="1">
      <alignment horizontal="center" vertical="center" wrapText="1"/>
    </xf>
    <xf numFmtId="9" fontId="0" fillId="0" borderId="143" xfId="0" applyNumberFormat="1" applyFont="1" applyBorder="1"/>
    <xf numFmtId="0" fontId="28" fillId="0" borderId="143" xfId="0" applyFont="1" applyBorder="1" applyAlignment="1">
      <alignment vertical="center" wrapText="1"/>
    </xf>
    <xf numFmtId="2" fontId="0" fillId="0" borderId="143" xfId="0" applyNumberFormat="1" applyFont="1" applyBorder="1" applyAlignment="1">
      <alignment horizontal="center" vertical="center"/>
    </xf>
    <xf numFmtId="9" fontId="0" fillId="0" borderId="143" xfId="1" applyFont="1" applyFill="1" applyBorder="1" applyAlignment="1">
      <alignment horizontal="center"/>
    </xf>
    <xf numFmtId="0" fontId="16" fillId="0" borderId="143" xfId="0" applyFont="1" applyBorder="1" applyAlignment="1">
      <alignment vertical="center"/>
    </xf>
    <xf numFmtId="0" fontId="0" fillId="0" borderId="134" xfId="0" applyBorder="1" applyAlignment="1">
      <alignment vertical="center"/>
    </xf>
    <xf numFmtId="0" fontId="0" fillId="0" borderId="143" xfId="0" applyBorder="1" applyAlignment="1">
      <alignment horizontal="left" vertical="center"/>
    </xf>
    <xf numFmtId="0" fontId="0" fillId="0" borderId="9" xfId="0" applyBorder="1" applyAlignment="1">
      <alignment vertical="center"/>
    </xf>
    <xf numFmtId="2" fontId="0" fillId="0" borderId="90" xfId="0" applyNumberFormat="1" applyFont="1" applyFill="1" applyBorder="1"/>
    <xf numFmtId="0" fontId="15" fillId="17" borderId="143" xfId="0" applyNumberFormat="1" applyFont="1" applyFill="1" applyBorder="1" applyAlignment="1">
      <alignment horizontal="left" vertical="top" wrapText="1"/>
    </xf>
    <xf numFmtId="9" fontId="0" fillId="0" borderId="9" xfId="0" applyNumberFormat="1" applyFont="1" applyFill="1" applyBorder="1"/>
    <xf numFmtId="2" fontId="15" fillId="0" borderId="143" xfId="0" applyNumberFormat="1" applyFont="1" applyFill="1" applyBorder="1" applyAlignment="1">
      <alignment horizontal="center" vertical="center" wrapText="1"/>
    </xf>
    <xf numFmtId="0" fontId="15" fillId="17" borderId="143" xfId="3" applyNumberFormat="1" applyFont="1" applyFill="1" applyBorder="1" applyAlignment="1">
      <alignment horizontal="left" vertical="top" wrapText="1"/>
    </xf>
    <xf numFmtId="0" fontId="0" fillId="0" borderId="143" xfId="0" applyFill="1" applyBorder="1"/>
    <xf numFmtId="2" fontId="26" fillId="0" borderId="143" xfId="3" applyNumberFormat="1" applyFont="1" applyFill="1" applyBorder="1" applyAlignment="1">
      <alignment horizontal="center" vertical="center" wrapText="1"/>
    </xf>
    <xf numFmtId="0" fontId="2" fillId="0" borderId="142" xfId="0" applyFont="1" applyFill="1" applyBorder="1"/>
    <xf numFmtId="0" fontId="31" fillId="17" borderId="143" xfId="3" applyNumberFormat="1" applyFont="1" applyFill="1" applyBorder="1" applyAlignment="1">
      <alignment horizontal="left" vertical="top" wrapText="1"/>
    </xf>
    <xf numFmtId="2" fontId="26" fillId="17" borderId="143" xfId="3" applyNumberFormat="1" applyFont="1" applyFill="1" applyBorder="1" applyAlignment="1">
      <alignment horizontal="center" vertical="center" wrapText="1"/>
    </xf>
    <xf numFmtId="2" fontId="0" fillId="0" borderId="109" xfId="0" applyNumberFormat="1" applyFont="1" applyBorder="1"/>
    <xf numFmtId="0" fontId="27" fillId="24" borderId="9" xfId="0" applyFont="1" applyFill="1" applyBorder="1" applyAlignment="1">
      <alignment vertical="center" wrapText="1"/>
    </xf>
    <xf numFmtId="0" fontId="0" fillId="0" borderId="9" xfId="0" applyFont="1" applyBorder="1" applyAlignment="1">
      <alignment horizontal="center" vertical="center" wrapText="1"/>
    </xf>
    <xf numFmtId="9" fontId="0" fillId="0" borderId="9" xfId="0" applyNumberFormat="1" applyFont="1" applyBorder="1"/>
    <xf numFmtId="2" fontId="27" fillId="17" borderId="79" xfId="0" applyNumberFormat="1" applyFont="1" applyFill="1" applyBorder="1" applyAlignment="1">
      <alignment horizontal="right" vertical="center"/>
    </xf>
    <xf numFmtId="2" fontId="0" fillId="0" borderId="130" xfId="0" applyNumberFormat="1" applyFont="1" applyBorder="1"/>
    <xf numFmtId="0" fontId="27" fillId="24" borderId="143" xfId="0" applyFont="1" applyFill="1" applyBorder="1" applyAlignment="1">
      <alignment vertical="center" wrapText="1"/>
    </xf>
    <xf numFmtId="2" fontId="27" fillId="17" borderId="118" xfId="0" applyNumberFormat="1" applyFont="1" applyFill="1" applyBorder="1" applyAlignment="1">
      <alignment horizontal="right" vertical="center"/>
    </xf>
    <xf numFmtId="0" fontId="0" fillId="0" borderId="142" xfId="0" applyFont="1" applyBorder="1"/>
    <xf numFmtId="0" fontId="0" fillId="0" borderId="142" xfId="0" applyFont="1" applyFill="1" applyBorder="1"/>
    <xf numFmtId="9" fontId="0" fillId="0" borderId="142" xfId="0" applyNumberFormat="1" applyFont="1" applyBorder="1"/>
    <xf numFmtId="0" fontId="0" fillId="17" borderId="133" xfId="0" applyFont="1" applyFill="1" applyBorder="1" applyAlignment="1">
      <alignment horizontal="right"/>
    </xf>
    <xf numFmtId="0" fontId="16" fillId="0" borderId="9" xfId="0" applyFont="1" applyBorder="1" applyAlignment="1">
      <alignment vertical="center"/>
    </xf>
    <xf numFmtId="9" fontId="0" fillId="0" borderId="9" xfId="1" applyFont="1" applyFill="1" applyBorder="1" applyAlignment="1">
      <alignment horizontal="center"/>
    </xf>
    <xf numFmtId="0" fontId="16" fillId="0" borderId="79" xfId="0" applyFont="1" applyBorder="1" applyAlignment="1">
      <alignment vertical="center"/>
    </xf>
    <xf numFmtId="0" fontId="16" fillId="0" borderId="118" xfId="0" applyFont="1" applyBorder="1" applyAlignment="1">
      <alignment vertical="center"/>
    </xf>
    <xf numFmtId="2" fontId="0" fillId="0" borderId="131" xfId="0" applyNumberFormat="1" applyFont="1" applyBorder="1"/>
    <xf numFmtId="0" fontId="0" fillId="0" borderId="134" xfId="0" applyFont="1" applyBorder="1"/>
    <xf numFmtId="0" fontId="16" fillId="0" borderId="134" xfId="0" applyFont="1" applyBorder="1" applyAlignment="1">
      <alignment vertical="center"/>
    </xf>
    <xf numFmtId="0" fontId="16" fillId="0" borderId="142" xfId="0" applyFont="1" applyBorder="1" applyAlignment="1">
      <alignment vertical="center"/>
    </xf>
    <xf numFmtId="9" fontId="0" fillId="0" borderId="142" xfId="1" applyFont="1" applyFill="1" applyBorder="1" applyAlignment="1">
      <alignment horizontal="center"/>
    </xf>
    <xf numFmtId="0" fontId="3" fillId="0" borderId="0" xfId="0" applyFont="1"/>
    <xf numFmtId="2" fontId="3" fillId="0" borderId="143" xfId="0" applyNumberFormat="1" applyFont="1" applyBorder="1"/>
    <xf numFmtId="0" fontId="3" fillId="0" borderId="143" xfId="0" applyFont="1" applyBorder="1"/>
    <xf numFmtId="0" fontId="33" fillId="0" borderId="86" xfId="0" applyFont="1" applyBorder="1" applyAlignment="1">
      <alignment vertical="center"/>
    </xf>
    <xf numFmtId="0" fontId="3" fillId="0" borderId="143" xfId="0" applyFont="1" applyFill="1" applyBorder="1"/>
    <xf numFmtId="9" fontId="3" fillId="0" borderId="143" xfId="1" applyFont="1" applyFill="1" applyBorder="1" applyAlignment="1">
      <alignment horizontal="center"/>
    </xf>
    <xf numFmtId="0" fontId="3" fillId="0" borderId="0" xfId="0" applyFont="1" applyFill="1" applyBorder="1"/>
    <xf numFmtId="2" fontId="3" fillId="0" borderId="109" xfId="0" applyNumberFormat="1" applyFont="1" applyBorder="1"/>
    <xf numFmtId="0" fontId="3" fillId="0" borderId="9" xfId="0" applyFont="1" applyBorder="1"/>
    <xf numFmtId="0" fontId="34" fillId="24" borderId="146" xfId="0" applyFont="1" applyFill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9" fontId="3" fillId="0" borderId="9" xfId="0" applyNumberFormat="1" applyFont="1" applyBorder="1"/>
    <xf numFmtId="0" fontId="34" fillId="17" borderId="147" xfId="0" applyFont="1" applyFill="1" applyBorder="1" applyAlignment="1">
      <alignment horizontal="right" vertical="center" wrapText="1"/>
    </xf>
    <xf numFmtId="2" fontId="3" fillId="0" borderId="130" xfId="0" applyNumberFormat="1" applyFont="1" applyBorder="1"/>
    <xf numFmtId="0" fontId="3" fillId="0" borderId="143" xfId="0" applyFont="1" applyBorder="1" applyAlignment="1">
      <alignment horizontal="center" vertical="center" wrapText="1"/>
    </xf>
    <xf numFmtId="9" fontId="3" fillId="0" borderId="143" xfId="0" applyNumberFormat="1" applyFont="1" applyBorder="1"/>
    <xf numFmtId="0" fontId="3" fillId="0" borderId="134" xfId="0" applyFont="1" applyBorder="1" applyAlignment="1">
      <alignment vertical="center"/>
    </xf>
    <xf numFmtId="0" fontId="36" fillId="0" borderId="143" xfId="0" applyFont="1" applyBorder="1" applyAlignment="1">
      <alignment vertical="center" wrapText="1"/>
    </xf>
    <xf numFmtId="9" fontId="3" fillId="0" borderId="79" xfId="0" applyNumberFormat="1" applyFont="1" applyFill="1" applyBorder="1"/>
    <xf numFmtId="2" fontId="3" fillId="0" borderId="143" xfId="0" applyNumberFormat="1" applyFont="1" applyBorder="1" applyAlignment="1">
      <alignment horizontal="center" vertical="center"/>
    </xf>
    <xf numFmtId="0" fontId="3" fillId="0" borderId="24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43" xfId="0" applyFont="1" applyBorder="1" applyAlignment="1">
      <alignment horizontal="left" vertical="center"/>
    </xf>
    <xf numFmtId="0" fontId="27" fillId="24" borderId="146" xfId="0" applyFont="1" applyFill="1" applyBorder="1" applyAlignment="1">
      <alignment vertical="center" wrapText="1"/>
    </xf>
    <xf numFmtId="0" fontId="27" fillId="17" borderId="147" xfId="0" applyFont="1" applyFill="1" applyBorder="1" applyAlignment="1">
      <alignment horizontal="right" vertical="center" wrapText="1"/>
    </xf>
    <xf numFmtId="0" fontId="37" fillId="24" borderId="148" xfId="0" applyFont="1" applyFill="1" applyBorder="1" applyAlignment="1">
      <alignment vertical="center" wrapText="1"/>
    </xf>
    <xf numFmtId="0" fontId="38" fillId="0" borderId="92" xfId="0" applyFont="1" applyBorder="1" applyAlignment="1">
      <alignment horizontal="center" vertical="center"/>
    </xf>
    <xf numFmtId="0" fontId="37" fillId="24" borderId="108" xfId="0" applyFont="1" applyFill="1" applyBorder="1" applyAlignment="1">
      <alignment vertical="center" wrapText="1"/>
    </xf>
    <xf numFmtId="0" fontId="38" fillId="0" borderId="86" xfId="0" applyFont="1" applyBorder="1" applyAlignment="1">
      <alignment horizontal="center" vertical="center"/>
    </xf>
    <xf numFmtId="0" fontId="38" fillId="24" borderId="108" xfId="0" applyFont="1" applyFill="1" applyBorder="1" applyAlignment="1">
      <alignment vertical="center" wrapText="1"/>
    </xf>
    <xf numFmtId="9" fontId="0" fillId="0" borderId="143" xfId="0" applyNumberFormat="1" applyFill="1" applyBorder="1"/>
    <xf numFmtId="0" fontId="0" fillId="0" borderId="149" xfId="0" applyFill="1" applyBorder="1"/>
    <xf numFmtId="0" fontId="0" fillId="0" borderId="143" xfId="0" applyBorder="1"/>
    <xf numFmtId="0" fontId="0" fillId="0" borderId="149" xfId="0" applyBorder="1"/>
    <xf numFmtId="0" fontId="0" fillId="0" borderId="144" xfId="0" applyBorder="1"/>
    <xf numFmtId="0" fontId="28" fillId="0" borderId="119" xfId="0" applyFont="1" applyBorder="1" applyAlignment="1">
      <alignment vertical="center" wrapText="1"/>
    </xf>
    <xf numFmtId="9" fontId="0" fillId="0" borderId="150" xfId="0" applyNumberFormat="1" applyFill="1" applyBorder="1"/>
    <xf numFmtId="0" fontId="0" fillId="0" borderId="119" xfId="0" applyBorder="1" applyAlignment="1">
      <alignment horizontal="left" vertical="center"/>
    </xf>
    <xf numFmtId="0" fontId="0" fillId="0" borderId="128" xfId="0" applyBorder="1"/>
    <xf numFmtId="0" fontId="15" fillId="4" borderId="115" xfId="3" applyNumberFormat="1" applyFont="1" applyFill="1" applyBorder="1" applyAlignment="1">
      <alignment horizontal="left" vertical="top" wrapText="1"/>
    </xf>
    <xf numFmtId="0" fontId="31" fillId="4" borderId="115" xfId="3" applyNumberFormat="1" applyFont="1" applyFill="1" applyBorder="1" applyAlignment="1">
      <alignment horizontal="left" vertical="top" wrapText="1"/>
    </xf>
    <xf numFmtId="2" fontId="0" fillId="0" borderId="134" xfId="0" applyNumberFormat="1" applyFont="1" applyFill="1" applyBorder="1"/>
    <xf numFmtId="2" fontId="0" fillId="0" borderId="152" xfId="0" applyNumberFormat="1" applyFont="1" applyBorder="1"/>
    <xf numFmtId="0" fontId="0" fillId="0" borderId="152" xfId="0" applyFont="1" applyBorder="1"/>
    <xf numFmtId="0" fontId="0" fillId="0" borderId="152" xfId="0" applyFont="1" applyFill="1" applyBorder="1"/>
    <xf numFmtId="9" fontId="0" fillId="0" borderId="152" xfId="1" applyFont="1" applyFill="1" applyBorder="1" applyAlignment="1">
      <alignment horizontal="center"/>
    </xf>
    <xf numFmtId="0" fontId="0" fillId="0" borderId="153" xfId="0" applyBorder="1"/>
    <xf numFmtId="9" fontId="0" fillId="0" borderId="153" xfId="0" applyNumberFormat="1" applyBorder="1" applyAlignment="1">
      <alignment horizontal="center" vertical="center"/>
    </xf>
    <xf numFmtId="2" fontId="0" fillId="0" borderId="153" xfId="0" applyNumberFormat="1" applyBorder="1" applyAlignment="1">
      <alignment horizontal="center" vertical="center"/>
    </xf>
    <xf numFmtId="2" fontId="0" fillId="0" borderId="153" xfId="0" applyNumberFormat="1" applyFont="1" applyBorder="1" applyAlignment="1">
      <alignment horizontal="center" vertical="center"/>
    </xf>
    <xf numFmtId="2" fontId="0" fillId="0" borderId="156" xfId="0" applyNumberFormat="1" applyFont="1" applyBorder="1"/>
    <xf numFmtId="0" fontId="0" fillId="0" borderId="157" xfId="0" applyFont="1" applyBorder="1"/>
    <xf numFmtId="0" fontId="16" fillId="0" borderId="157" xfId="0" applyFont="1" applyBorder="1" applyAlignment="1">
      <alignment vertical="center"/>
    </xf>
    <xf numFmtId="9" fontId="0" fillId="0" borderId="157" xfId="1" applyFont="1" applyFill="1" applyBorder="1" applyAlignment="1">
      <alignment horizontal="center"/>
    </xf>
    <xf numFmtId="0" fontId="16" fillId="0" borderId="158" xfId="0" applyFont="1" applyBorder="1" applyAlignment="1">
      <alignment vertical="center"/>
    </xf>
    <xf numFmtId="0" fontId="0" fillId="0" borderId="157" xfId="0" applyFont="1" applyFill="1" applyBorder="1"/>
    <xf numFmtId="2" fontId="0" fillId="0" borderId="154" xfId="0" applyNumberFormat="1" applyFont="1" applyBorder="1"/>
    <xf numFmtId="0" fontId="0" fillId="0" borderId="159" xfId="0" applyFont="1" applyBorder="1"/>
    <xf numFmtId="0" fontId="16" fillId="0" borderId="159" xfId="0" applyFont="1" applyBorder="1" applyAlignment="1">
      <alignment vertical="center"/>
    </xf>
    <xf numFmtId="9" fontId="0" fillId="0" borderId="159" xfId="1" applyFont="1" applyFill="1" applyBorder="1" applyAlignment="1">
      <alignment horizontal="center"/>
    </xf>
    <xf numFmtId="0" fontId="0" fillId="0" borderId="157" xfId="0" applyBorder="1" applyAlignment="1">
      <alignment vertical="center"/>
    </xf>
    <xf numFmtId="0" fontId="28" fillId="0" borderId="160" xfId="0" applyFont="1" applyBorder="1" applyAlignment="1">
      <alignment vertical="center" wrapText="1"/>
    </xf>
    <xf numFmtId="0" fontId="0" fillId="0" borderId="157" xfId="0" applyFont="1" applyBorder="1" applyAlignment="1">
      <alignment vertical="center"/>
    </xf>
    <xf numFmtId="0" fontId="0" fillId="0" borderId="157" xfId="0" applyBorder="1" applyAlignment="1">
      <alignment vertical="center" wrapText="1"/>
    </xf>
    <xf numFmtId="0" fontId="0" fillId="0" borderId="157" xfId="0" applyBorder="1"/>
    <xf numFmtId="0" fontId="0" fillId="0" borderId="165" xfId="0" applyBorder="1" applyAlignment="1">
      <alignment vertical="center"/>
    </xf>
    <xf numFmtId="0" fontId="28" fillId="0" borderId="163" xfId="0" applyFont="1" applyBorder="1" applyAlignment="1">
      <alignment vertical="center" wrapText="1"/>
    </xf>
    <xf numFmtId="9" fontId="0" fillId="0" borderId="163" xfId="0" applyNumberFormat="1" applyBorder="1" applyAlignment="1">
      <alignment horizontal="center" vertical="center"/>
    </xf>
    <xf numFmtId="2" fontId="0" fillId="0" borderId="163" xfId="0" applyNumberFormat="1" applyBorder="1" applyAlignment="1">
      <alignment horizontal="center" vertical="center"/>
    </xf>
    <xf numFmtId="2" fontId="0" fillId="0" borderId="163" xfId="0" applyNumberFormat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4" fontId="28" fillId="0" borderId="163" xfId="0" applyNumberFormat="1" applyFont="1" applyBorder="1" applyAlignment="1">
      <alignment horizontal="center" vertical="center"/>
    </xf>
    <xf numFmtId="0" fontId="0" fillId="0" borderId="163" xfId="0" applyFill="1" applyBorder="1"/>
    <xf numFmtId="9" fontId="0" fillId="0" borderId="163" xfId="0" applyNumberFormat="1" applyFill="1" applyBorder="1"/>
    <xf numFmtId="0" fontId="0" fillId="0" borderId="163" xfId="0" applyBorder="1"/>
    <xf numFmtId="0" fontId="0" fillId="0" borderId="169" xfId="0" applyBorder="1"/>
    <xf numFmtId="0" fontId="0" fillId="0" borderId="167" xfId="0" applyBorder="1"/>
    <xf numFmtId="0" fontId="0" fillId="0" borderId="168" xfId="0" applyBorder="1"/>
    <xf numFmtId="0" fontId="0" fillId="0" borderId="169" xfId="0" applyFill="1" applyBorder="1"/>
    <xf numFmtId="0" fontId="0" fillId="0" borderId="167" xfId="0" applyFill="1" applyBorder="1"/>
    <xf numFmtId="0" fontId="0" fillId="0" borderId="168" xfId="0" applyFill="1" applyBorder="1"/>
    <xf numFmtId="0" fontId="25" fillId="17" borderId="163" xfId="3" applyNumberFormat="1" applyFont="1" applyFill="1" applyBorder="1" applyAlignment="1">
      <alignment horizontal="left" vertical="top" wrapText="1"/>
    </xf>
    <xf numFmtId="2" fontId="26" fillId="0" borderId="163" xfId="3" applyNumberFormat="1" applyFont="1" applyFill="1" applyBorder="1" applyAlignment="1">
      <alignment horizontal="center" vertical="center" wrapText="1"/>
    </xf>
    <xf numFmtId="0" fontId="39" fillId="22" borderId="9" xfId="2" applyNumberFormat="1" applyFont="1" applyFill="1" applyBorder="1" applyAlignment="1">
      <alignment horizontal="left" vertical="center" wrapText="1"/>
    </xf>
    <xf numFmtId="0" fontId="40" fillId="0" borderId="79" xfId="0" applyFont="1" applyFill="1" applyBorder="1" applyAlignment="1">
      <alignment horizontal="center" vertical="center"/>
    </xf>
    <xf numFmtId="0" fontId="39" fillId="22" borderId="163" xfId="2" applyNumberFormat="1" applyFont="1" applyFill="1" applyBorder="1" applyAlignment="1">
      <alignment horizontal="left" vertical="center" wrapText="1"/>
    </xf>
    <xf numFmtId="0" fontId="40" fillId="0" borderId="172" xfId="0" applyFont="1" applyFill="1" applyBorder="1" applyAlignment="1">
      <alignment horizontal="center" vertical="center"/>
    </xf>
    <xf numFmtId="0" fontId="0" fillId="0" borderId="172" xfId="0" applyFill="1" applyBorder="1"/>
    <xf numFmtId="0" fontId="0" fillId="0" borderId="173" xfId="0" applyFill="1" applyBorder="1"/>
    <xf numFmtId="0" fontId="0" fillId="0" borderId="174" xfId="0" applyFill="1" applyBorder="1"/>
    <xf numFmtId="4" fontId="0" fillId="26" borderId="172" xfId="0" applyNumberFormat="1" applyFill="1" applyBorder="1" applyAlignment="1">
      <alignment horizontal="center" vertical="center" wrapText="1"/>
    </xf>
    <xf numFmtId="4" fontId="0" fillId="0" borderId="172" xfId="0" applyNumberFormat="1" applyBorder="1" applyAlignment="1">
      <alignment horizontal="center" vertical="center"/>
    </xf>
    <xf numFmtId="0" fontId="0" fillId="26" borderId="175" xfId="0" applyFill="1" applyBorder="1" applyAlignment="1">
      <alignment horizontal="left" vertical="top" wrapText="1"/>
    </xf>
    <xf numFmtId="0" fontId="0" fillId="0" borderId="173" xfId="0" applyBorder="1"/>
    <xf numFmtId="4" fontId="0" fillId="0" borderId="174" xfId="0" applyNumberFormat="1" applyBorder="1" applyAlignment="1">
      <alignment horizontal="center" vertical="center"/>
    </xf>
    <xf numFmtId="0" fontId="15" fillId="17" borderId="163" xfId="3" applyNumberFormat="1" applyFont="1" applyFill="1" applyBorder="1" applyAlignment="1">
      <alignment horizontal="left" vertical="top" wrapText="1"/>
    </xf>
    <xf numFmtId="2" fontId="15" fillId="0" borderId="163" xfId="3" applyNumberFormat="1" applyFont="1" applyFill="1" applyBorder="1" applyAlignment="1">
      <alignment horizontal="center" vertical="center" wrapText="1"/>
    </xf>
    <xf numFmtId="0" fontId="2" fillId="0" borderId="163" xfId="0" applyFont="1" applyFill="1" applyBorder="1"/>
    <xf numFmtId="2" fontId="2" fillId="0" borderId="10" xfId="0" applyNumberFormat="1" applyFont="1" applyFill="1" applyBorder="1" applyAlignment="1">
      <alignment horizontal="center" vertical="center"/>
    </xf>
    <xf numFmtId="0" fontId="31" fillId="17" borderId="163" xfId="3" applyNumberFormat="1" applyFont="1" applyFill="1" applyBorder="1" applyAlignment="1">
      <alignment horizontal="left" vertical="top" wrapText="1"/>
    </xf>
    <xf numFmtId="2" fontId="32" fillId="0" borderId="172" xfId="3" applyNumberFormat="1" applyFont="1" applyFill="1" applyBorder="1" applyAlignment="1">
      <alignment horizontal="center" vertical="center" wrapText="1"/>
    </xf>
    <xf numFmtId="2" fontId="15" fillId="0" borderId="172" xfId="3" applyNumberFormat="1" applyFont="1" applyFill="1" applyBorder="1" applyAlignment="1">
      <alignment horizontal="center" vertical="center" wrapText="1"/>
    </xf>
    <xf numFmtId="0" fontId="2" fillId="0" borderId="173" xfId="0" applyFont="1" applyFill="1" applyBorder="1"/>
    <xf numFmtId="0" fontId="15" fillId="22" borderId="163" xfId="2" applyNumberFormat="1" applyFont="1" applyFill="1" applyBorder="1" applyAlignment="1">
      <alignment horizontal="left" vertical="center" wrapText="1"/>
    </xf>
    <xf numFmtId="0" fontId="15" fillId="0" borderId="163" xfId="0" applyNumberFormat="1" applyFont="1" applyFill="1" applyBorder="1" applyAlignment="1">
      <alignment horizontal="left" vertical="center" wrapText="1"/>
    </xf>
    <xf numFmtId="0" fontId="39" fillId="22" borderId="173" xfId="2" applyNumberFormat="1" applyFont="1" applyFill="1" applyBorder="1" applyAlignment="1">
      <alignment horizontal="left" vertical="center" wrapText="1"/>
    </xf>
    <xf numFmtId="0" fontId="40" fillId="0" borderId="174" xfId="0" applyFont="1" applyFill="1" applyBorder="1" applyAlignment="1">
      <alignment horizontal="center" vertical="center"/>
    </xf>
    <xf numFmtId="4" fontId="0" fillId="0" borderId="163" xfId="0" applyNumberFormat="1" applyBorder="1" applyAlignment="1">
      <alignment horizontal="center" vertical="center"/>
    </xf>
    <xf numFmtId="0" fontId="15" fillId="0" borderId="79" xfId="0" applyFont="1" applyFill="1" applyBorder="1" applyAlignment="1">
      <alignment horizontal="center" vertical="center"/>
    </xf>
    <xf numFmtId="0" fontId="15" fillId="0" borderId="172" xfId="0" applyFont="1" applyFill="1" applyBorder="1" applyAlignment="1">
      <alignment horizontal="center" vertical="center"/>
    </xf>
    <xf numFmtId="0" fontId="15" fillId="17" borderId="173" xfId="3" applyNumberFormat="1" applyFont="1" applyFill="1" applyBorder="1" applyAlignment="1">
      <alignment horizontal="left" vertical="top" wrapText="1"/>
    </xf>
    <xf numFmtId="2" fontId="15" fillId="0" borderId="174" xfId="3" applyNumberFormat="1" applyFont="1" applyFill="1" applyBorder="1" applyAlignment="1">
      <alignment horizontal="center" vertical="center" wrapText="1"/>
    </xf>
    <xf numFmtId="0" fontId="15" fillId="17" borderId="163" xfId="0" applyNumberFormat="1" applyFont="1" applyFill="1" applyBorder="1" applyAlignment="1">
      <alignment horizontal="left" vertical="top" wrapText="1"/>
    </xf>
    <xf numFmtId="2" fontId="15" fillId="0" borderId="163" xfId="0" applyNumberFormat="1" applyFont="1" applyFill="1" applyBorder="1" applyAlignment="1">
      <alignment horizontal="center" vertical="center" wrapText="1"/>
    </xf>
    <xf numFmtId="0" fontId="0" fillId="0" borderId="163" xfId="0" applyFont="1" applyFill="1" applyBorder="1"/>
    <xf numFmtId="2" fontId="15" fillId="17" borderId="172" xfId="0" applyNumberFormat="1" applyFont="1" applyFill="1" applyBorder="1" applyAlignment="1">
      <alignment vertical="center" wrapText="1"/>
    </xf>
    <xf numFmtId="2" fontId="15" fillId="17" borderId="0" xfId="0" applyNumberFormat="1" applyFont="1" applyFill="1" applyBorder="1" applyAlignment="1">
      <alignment horizontal="right" vertical="top" wrapText="1"/>
    </xf>
    <xf numFmtId="0" fontId="15" fillId="17" borderId="173" xfId="0" applyNumberFormat="1" applyFont="1" applyFill="1" applyBorder="1" applyAlignment="1">
      <alignment horizontal="left" vertical="top" wrapText="1"/>
    </xf>
    <xf numFmtId="9" fontId="0" fillId="0" borderId="104" xfId="0" applyNumberFormat="1" applyFont="1" applyFill="1" applyBorder="1"/>
    <xf numFmtId="2" fontId="15" fillId="17" borderId="174" xfId="0" applyNumberFormat="1" applyFont="1" applyFill="1" applyBorder="1" applyAlignment="1">
      <alignment vertical="center" wrapText="1"/>
    </xf>
    <xf numFmtId="166" fontId="15" fillId="17" borderId="0" xfId="0" applyNumberFormat="1" applyFont="1" applyFill="1" applyBorder="1" applyAlignment="1">
      <alignment horizontal="right" vertical="top" wrapText="1"/>
    </xf>
    <xf numFmtId="0" fontId="15" fillId="0" borderId="163" xfId="3" applyNumberFormat="1" applyFont="1" applyBorder="1" applyAlignment="1">
      <alignment horizontal="left" vertical="top" wrapText="1"/>
    </xf>
    <xf numFmtId="0" fontId="15" fillId="0" borderId="163" xfId="3" applyNumberFormat="1" applyFont="1" applyFill="1" applyBorder="1" applyAlignment="1">
      <alignment horizontal="right" vertical="center" wrapText="1"/>
    </xf>
    <xf numFmtId="0" fontId="15" fillId="22" borderId="163" xfId="2" applyNumberFormat="1" applyFont="1" applyFill="1" applyBorder="1" applyAlignment="1">
      <alignment horizontal="left" vertical="top" wrapText="1"/>
    </xf>
    <xf numFmtId="0" fontId="15" fillId="0" borderId="163" xfId="3" applyFont="1" applyFill="1" applyBorder="1" applyAlignment="1">
      <alignment horizontal="left" vertical="top" wrapText="1"/>
    </xf>
    <xf numFmtId="2" fontId="0" fillId="0" borderId="0" xfId="0" applyNumberFormat="1" applyFill="1" applyBorder="1"/>
    <xf numFmtId="2" fontId="15" fillId="0" borderId="163" xfId="3" applyNumberFormat="1" applyFont="1" applyFill="1" applyBorder="1" applyAlignment="1">
      <alignment horizontal="right" vertical="center"/>
    </xf>
    <xf numFmtId="0" fontId="0" fillId="26" borderId="176" xfId="0" applyFill="1" applyBorder="1" applyAlignment="1">
      <alignment horizontal="left" vertical="top" wrapText="1"/>
    </xf>
    <xf numFmtId="2" fontId="26" fillId="17" borderId="163" xfId="3" applyNumberFormat="1" applyFont="1" applyFill="1" applyBorder="1" applyAlignment="1">
      <alignment horizontal="center" vertical="center" wrapText="1"/>
    </xf>
    <xf numFmtId="2" fontId="0" fillId="0" borderId="68" xfId="0" applyNumberFormat="1" applyFill="1" applyBorder="1"/>
    <xf numFmtId="2" fontId="0" fillId="0" borderId="24" xfId="0" applyNumberFormat="1" applyFill="1" applyBorder="1"/>
    <xf numFmtId="2" fontId="0" fillId="0" borderId="163" xfId="0" applyNumberFormat="1" applyBorder="1"/>
    <xf numFmtId="0" fontId="39" fillId="22" borderId="163" xfId="2" applyNumberFormat="1" applyFont="1" applyFill="1" applyBorder="1" applyAlignment="1">
      <alignment horizontal="left" vertical="top" wrapText="1"/>
    </xf>
    <xf numFmtId="4" fontId="41" fillId="0" borderId="163" xfId="3" applyNumberFormat="1" applyFont="1" applyBorder="1" applyAlignment="1">
      <alignment horizontal="center" vertical="center"/>
    </xf>
    <xf numFmtId="0" fontId="0" fillId="0" borderId="164" xfId="0" applyFill="1" applyBorder="1"/>
    <xf numFmtId="2" fontId="0" fillId="0" borderId="163" xfId="0" applyNumberFormat="1" applyFill="1" applyBorder="1"/>
    <xf numFmtId="2" fontId="0" fillId="0" borderId="164" xfId="0" applyNumberFormat="1" applyFont="1" applyFill="1" applyBorder="1"/>
    <xf numFmtId="2" fontId="0" fillId="0" borderId="9" xfId="0" applyNumberFormat="1" applyBorder="1"/>
    <xf numFmtId="2" fontId="15" fillId="0" borderId="163" xfId="3" applyNumberFormat="1" applyFont="1" applyFill="1" applyBorder="1" applyAlignment="1">
      <alignment horizontal="right" vertical="center" wrapText="1"/>
    </xf>
    <xf numFmtId="2" fontId="0" fillId="0" borderId="24" xfId="0" applyNumberFormat="1" applyBorder="1"/>
    <xf numFmtId="2" fontId="0" fillId="0" borderId="163" xfId="0" applyNumberFormat="1" applyFont="1" applyBorder="1"/>
    <xf numFmtId="0" fontId="15" fillId="0" borderId="163" xfId="6" applyNumberFormat="1" applyFont="1" applyBorder="1" applyAlignment="1">
      <alignment horizontal="left" vertical="center" wrapText="1"/>
    </xf>
    <xf numFmtId="4" fontId="15" fillId="17" borderId="163" xfId="2" applyNumberFormat="1" applyFont="1" applyFill="1" applyBorder="1" applyAlignment="1">
      <alignment horizontal="center" vertical="center" wrapText="1"/>
    </xf>
    <xf numFmtId="0" fontId="0" fillId="0" borderId="163" xfId="0" applyFont="1" applyBorder="1"/>
    <xf numFmtId="0" fontId="15" fillId="17" borderId="163" xfId="6" applyNumberFormat="1" applyFont="1" applyFill="1" applyBorder="1" applyAlignment="1">
      <alignment horizontal="left" vertical="center" wrapText="1"/>
    </xf>
    <xf numFmtId="0" fontId="15" fillId="0" borderId="163" xfId="2" applyNumberFormat="1" applyFont="1" applyBorder="1" applyAlignment="1">
      <alignment horizontal="left" vertical="center" wrapText="1"/>
    </xf>
    <xf numFmtId="2" fontId="0" fillId="0" borderId="162" xfId="0" applyNumberFormat="1" applyFont="1" applyFill="1" applyBorder="1"/>
    <xf numFmtId="0" fontId="22" fillId="0" borderId="163" xfId="3" applyNumberFormat="1" applyFont="1" applyBorder="1" applyAlignment="1">
      <alignment horizontal="left" vertical="top" wrapText="1"/>
    </xf>
    <xf numFmtId="2" fontId="26" fillId="17" borderId="172" xfId="3" applyNumberFormat="1" applyFont="1" applyFill="1" applyBorder="1" applyAlignment="1">
      <alignment horizontal="center" vertical="center" wrapText="1"/>
    </xf>
    <xf numFmtId="0" fontId="0" fillId="0" borderId="173" xfId="0" applyFont="1" applyFill="1" applyBorder="1"/>
    <xf numFmtId="0" fontId="31" fillId="17" borderId="173" xfId="3" applyNumberFormat="1" applyFont="1" applyFill="1" applyBorder="1" applyAlignment="1">
      <alignment horizontal="left" vertical="top" wrapText="1"/>
    </xf>
    <xf numFmtId="2" fontId="26" fillId="17" borderId="174" xfId="3" applyNumberFormat="1" applyFont="1" applyFill="1" applyBorder="1" applyAlignment="1">
      <alignment horizontal="center" vertical="center" wrapText="1"/>
    </xf>
    <xf numFmtId="9" fontId="0" fillId="0" borderId="164" xfId="0" applyNumberFormat="1" applyBorder="1" applyAlignment="1">
      <alignment vertical="center"/>
    </xf>
    <xf numFmtId="2" fontId="0" fillId="0" borderId="164" xfId="0" applyNumberFormat="1" applyBorder="1" applyAlignment="1">
      <alignment vertical="center"/>
    </xf>
    <xf numFmtId="2" fontId="0" fillId="0" borderId="164" xfId="0" applyNumberFormat="1" applyFont="1" applyBorder="1" applyAlignment="1">
      <alignment vertical="center"/>
    </xf>
    <xf numFmtId="9" fontId="0" fillId="0" borderId="163" xfId="0" applyNumberFormat="1" applyBorder="1" applyAlignment="1">
      <alignment vertical="center"/>
    </xf>
    <xf numFmtId="2" fontId="0" fillId="0" borderId="163" xfId="0" applyNumberFormat="1" applyBorder="1" applyAlignment="1">
      <alignment vertical="center"/>
    </xf>
    <xf numFmtId="2" fontId="0" fillId="0" borderId="163" xfId="0" applyNumberFormat="1" applyFont="1" applyBorder="1" applyAlignment="1">
      <alignment vertical="center"/>
    </xf>
    <xf numFmtId="0" fontId="0" fillId="0" borderId="177" xfId="0" applyBorder="1"/>
    <xf numFmtId="0" fontId="0" fillId="0" borderId="105" xfId="0" applyBorder="1"/>
    <xf numFmtId="0" fontId="16" fillId="0" borderId="163" xfId="0" applyFont="1" applyBorder="1" applyAlignment="1">
      <alignment vertical="center"/>
    </xf>
    <xf numFmtId="9" fontId="0" fillId="0" borderId="163" xfId="1" applyFont="1" applyFill="1" applyBorder="1" applyAlignment="1">
      <alignment horizontal="center"/>
    </xf>
    <xf numFmtId="0" fontId="16" fillId="0" borderId="172" xfId="0" applyFont="1" applyBorder="1" applyAlignment="1">
      <alignment vertical="center"/>
    </xf>
    <xf numFmtId="0" fontId="0" fillId="0" borderId="156" xfId="0" applyBorder="1"/>
    <xf numFmtId="0" fontId="16" fillId="0" borderId="172" xfId="0" applyFont="1" applyFill="1" applyBorder="1" applyAlignment="1">
      <alignment vertical="center"/>
    </xf>
    <xf numFmtId="0" fontId="0" fillId="0" borderId="154" xfId="0" applyBorder="1"/>
    <xf numFmtId="9" fontId="0" fillId="0" borderId="173" xfId="1" applyFont="1" applyFill="1" applyBorder="1" applyAlignment="1">
      <alignment horizontal="center"/>
    </xf>
    <xf numFmtId="0" fontId="16" fillId="0" borderId="174" xfId="0" applyFont="1" applyFill="1" applyBorder="1" applyAlignment="1">
      <alignment vertical="center"/>
    </xf>
    <xf numFmtId="0" fontId="14" fillId="22" borderId="112" xfId="7" applyNumberFormat="1" applyFont="1" applyFill="1" applyBorder="1" applyAlignment="1">
      <alignment horizontal="left" vertical="top" wrapText="1"/>
    </xf>
    <xf numFmtId="9" fontId="0" fillId="0" borderId="163" xfId="0" applyNumberFormat="1" applyBorder="1" applyAlignment="1">
      <alignment horizontal="center" vertical="center"/>
    </xf>
    <xf numFmtId="0" fontId="28" fillId="0" borderId="0" xfId="0" applyFont="1" applyBorder="1" applyAlignment="1">
      <alignment vertical="center" wrapText="1"/>
    </xf>
    <xf numFmtId="0" fontId="27" fillId="17" borderId="175" xfId="0" applyFont="1" applyFill="1" applyBorder="1" applyAlignment="1">
      <alignment horizontal="left" vertical="center" wrapText="1"/>
    </xf>
    <xf numFmtId="4" fontId="0" fillId="0" borderId="135" xfId="0" applyNumberFormat="1" applyBorder="1" applyAlignment="1">
      <alignment horizontal="center" vertical="center"/>
    </xf>
    <xf numFmtId="0" fontId="27" fillId="17" borderId="176" xfId="0" applyFont="1" applyFill="1" applyBorder="1" applyAlignment="1">
      <alignment horizontal="left" vertical="center" wrapText="1"/>
    </xf>
    <xf numFmtId="2" fontId="0" fillId="0" borderId="177" xfId="0" applyNumberFormat="1" applyFill="1" applyBorder="1"/>
    <xf numFmtId="0" fontId="31" fillId="22" borderId="9" xfId="2" applyNumberFormat="1" applyFont="1" applyFill="1" applyBorder="1" applyAlignment="1">
      <alignment horizontal="left" vertical="top" wrapText="1"/>
    </xf>
    <xf numFmtId="2" fontId="15" fillId="0" borderId="79" xfId="3" applyNumberFormat="1" applyFont="1" applyFill="1" applyBorder="1" applyAlignment="1">
      <alignment horizontal="right" vertical="center" wrapText="1"/>
    </xf>
    <xf numFmtId="0" fontId="31" fillId="22" borderId="163" xfId="2" applyNumberFormat="1" applyFont="1" applyFill="1" applyBorder="1" applyAlignment="1">
      <alignment horizontal="left" vertical="top" wrapText="1"/>
    </xf>
    <xf numFmtId="2" fontId="15" fillId="0" borderId="172" xfId="3" applyNumberFormat="1" applyFont="1" applyFill="1" applyBorder="1" applyAlignment="1">
      <alignment horizontal="right" vertical="center" wrapText="1"/>
    </xf>
    <xf numFmtId="0" fontId="31" fillId="0" borderId="163" xfId="0" applyNumberFormat="1" applyFont="1" applyBorder="1" applyAlignment="1">
      <alignment horizontal="left" vertical="center" wrapText="1"/>
    </xf>
    <xf numFmtId="0" fontId="31" fillId="0" borderId="163" xfId="0" applyNumberFormat="1" applyFont="1" applyFill="1" applyBorder="1" applyAlignment="1">
      <alignment horizontal="left" vertical="center" wrapText="1"/>
    </xf>
    <xf numFmtId="2" fontId="15" fillId="0" borderId="172" xfId="3" applyNumberFormat="1" applyFont="1" applyFill="1" applyBorder="1" applyAlignment="1">
      <alignment horizontal="right" vertical="center"/>
    </xf>
    <xf numFmtId="2" fontId="0" fillId="0" borderId="172" xfId="0" applyNumberFormat="1" applyFill="1" applyBorder="1"/>
    <xf numFmtId="9" fontId="0" fillId="0" borderId="173" xfId="0" applyNumberFormat="1" applyFill="1" applyBorder="1"/>
    <xf numFmtId="2" fontId="0" fillId="0" borderId="174" xfId="0" applyNumberFormat="1" applyBorder="1"/>
    <xf numFmtId="0" fontId="0" fillId="0" borderId="24" xfId="0" applyFont="1" applyBorder="1"/>
    <xf numFmtId="0" fontId="27" fillId="24" borderId="0" xfId="0" applyFont="1" applyFill="1" applyBorder="1" applyAlignment="1">
      <alignment vertical="center" wrapText="1"/>
    </xf>
    <xf numFmtId="0" fontId="0" fillId="0" borderId="164" xfId="0" applyFont="1" applyBorder="1" applyAlignment="1">
      <alignment horizontal="center" vertical="center" wrapText="1"/>
    </xf>
    <xf numFmtId="9" fontId="0" fillId="0" borderId="24" xfId="0" applyNumberFormat="1" applyFont="1" applyBorder="1"/>
    <xf numFmtId="0" fontId="27" fillId="17" borderId="178" xfId="0" applyFont="1" applyFill="1" applyBorder="1" applyAlignment="1">
      <alignment horizontal="right" vertical="center" wrapText="1"/>
    </xf>
    <xf numFmtId="0" fontId="0" fillId="0" borderId="172" xfId="0" applyBorder="1"/>
    <xf numFmtId="0" fontId="0" fillId="0" borderId="173" xfId="0" applyFont="1" applyBorder="1"/>
    <xf numFmtId="0" fontId="0" fillId="0" borderId="174" xfId="0" applyBorder="1"/>
    <xf numFmtId="166" fontId="0" fillId="4" borderId="22" xfId="0" applyNumberFormat="1" applyFill="1" applyBorder="1"/>
    <xf numFmtId="2" fontId="0" fillId="0" borderId="22" xfId="0" applyNumberFormat="1" applyBorder="1"/>
    <xf numFmtId="167" fontId="0" fillId="0" borderId="22" xfId="0" applyNumberFormat="1" applyBorder="1"/>
    <xf numFmtId="2" fontId="0" fillId="0" borderId="162" xfId="0" applyNumberFormat="1" applyFont="1" applyBorder="1"/>
    <xf numFmtId="0" fontId="0" fillId="0" borderId="164" xfId="0" applyFont="1" applyBorder="1"/>
    <xf numFmtId="0" fontId="16" fillId="0" borderId="164" xfId="0" applyFont="1" applyBorder="1" applyAlignment="1">
      <alignment vertical="center"/>
    </xf>
    <xf numFmtId="0" fontId="16" fillId="0" borderId="173" xfId="0" applyFont="1" applyBorder="1" applyAlignment="1">
      <alignment vertical="center"/>
    </xf>
    <xf numFmtId="2" fontId="0" fillId="0" borderId="90" xfId="0" applyNumberFormat="1" applyBorder="1"/>
    <xf numFmtId="0" fontId="0" fillId="0" borderId="128" xfId="0" applyFill="1" applyBorder="1"/>
    <xf numFmtId="0" fontId="37" fillId="24" borderId="163" xfId="0" applyFont="1" applyFill="1" applyBorder="1" applyAlignment="1">
      <alignment vertical="center" wrapText="1"/>
    </xf>
    <xf numFmtId="0" fontId="0" fillId="0" borderId="119" xfId="0" applyFill="1" applyBorder="1"/>
    <xf numFmtId="0" fontId="0" fillId="0" borderId="119" xfId="0" applyBorder="1"/>
    <xf numFmtId="2" fontId="26" fillId="0" borderId="172" xfId="3" applyNumberFormat="1" applyFont="1" applyFill="1" applyBorder="1" applyAlignment="1">
      <alignment horizontal="center" vertical="center" wrapText="1"/>
    </xf>
    <xf numFmtId="0" fontId="0" fillId="0" borderId="104" xfId="0" applyFont="1" applyFill="1" applyBorder="1"/>
    <xf numFmtId="2" fontId="27" fillId="17" borderId="178" xfId="0" applyNumberFormat="1" applyFont="1" applyFill="1" applyBorder="1" applyAlignment="1">
      <alignment horizontal="right" vertical="center" wrapText="1"/>
    </xf>
    <xf numFmtId="2" fontId="0" fillId="0" borderId="172" xfId="0" applyNumberFormat="1" applyBorder="1"/>
    <xf numFmtId="14" fontId="0" fillId="0" borderId="177" xfId="0" applyNumberFormat="1" applyBorder="1"/>
    <xf numFmtId="9" fontId="0" fillId="0" borderId="163" xfId="0" applyNumberFormat="1" applyFont="1" applyBorder="1"/>
    <xf numFmtId="0" fontId="27" fillId="17" borderId="163" xfId="0" applyFont="1" applyFill="1" applyBorder="1" applyAlignment="1">
      <alignment horizontal="right" vertical="center" wrapText="1"/>
    </xf>
    <xf numFmtId="0" fontId="0" fillId="0" borderId="73" xfId="0" applyBorder="1"/>
    <xf numFmtId="9" fontId="0" fillId="0" borderId="59" xfId="1" applyFont="1" applyBorder="1"/>
    <xf numFmtId="0" fontId="0" fillId="0" borderId="74" xfId="0" applyBorder="1"/>
    <xf numFmtId="9" fontId="0" fillId="0" borderId="163" xfId="1" applyFont="1" applyBorder="1"/>
    <xf numFmtId="9" fontId="0" fillId="0" borderId="173" xfId="1" applyFont="1" applyBorder="1"/>
    <xf numFmtId="2" fontId="0" fillId="0" borderId="129" xfId="0" applyNumberFormat="1" applyFill="1" applyBorder="1"/>
    <xf numFmtId="0" fontId="31" fillId="22" borderId="173" xfId="2" applyNumberFormat="1" applyFont="1" applyFill="1" applyBorder="1" applyAlignment="1">
      <alignment horizontal="left" vertical="top" wrapText="1"/>
    </xf>
    <xf numFmtId="2" fontId="15" fillId="0" borderId="174" xfId="3" applyNumberFormat="1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9" xfId="0" applyFill="1" applyBorder="1" applyAlignment="1">
      <alignment wrapText="1"/>
    </xf>
    <xf numFmtId="0" fontId="0" fillId="17" borderId="163" xfId="0" applyFill="1" applyBorder="1"/>
    <xf numFmtId="0" fontId="16" fillId="17" borderId="163" xfId="0" applyFont="1" applyFill="1" applyBorder="1" applyAlignment="1">
      <alignment vertical="center"/>
    </xf>
    <xf numFmtId="0" fontId="16" fillId="0" borderId="174" xfId="0" applyFont="1" applyBorder="1" applyAlignment="1">
      <alignment vertical="center"/>
    </xf>
    <xf numFmtId="0" fontId="42" fillId="24" borderId="0" xfId="0" applyFont="1" applyFill="1" applyBorder="1" applyAlignment="1">
      <alignment vertical="center" wrapText="1"/>
    </xf>
    <xf numFmtId="169" fontId="0" fillId="0" borderId="0" xfId="0" applyNumberFormat="1"/>
    <xf numFmtId="0" fontId="31" fillId="22" borderId="164" xfId="2" applyNumberFormat="1" applyFont="1" applyFill="1" applyBorder="1" applyAlignment="1">
      <alignment horizontal="left" vertical="top" wrapText="1"/>
    </xf>
    <xf numFmtId="2" fontId="15" fillId="0" borderId="135" xfId="3" applyNumberFormat="1" applyFont="1" applyFill="1" applyBorder="1" applyAlignment="1">
      <alignment horizontal="right" vertical="center" wrapText="1"/>
    </xf>
    <xf numFmtId="0" fontId="27" fillId="17" borderId="172" xfId="0" applyFont="1" applyFill="1" applyBorder="1" applyAlignment="1">
      <alignment horizontal="right" vertical="center" wrapText="1"/>
    </xf>
    <xf numFmtId="9" fontId="0" fillId="0" borderId="173" xfId="0" applyNumberFormat="1" applyFont="1" applyBorder="1"/>
    <xf numFmtId="0" fontId="27" fillId="17" borderId="174" xfId="0" applyFont="1" applyFill="1" applyBorder="1" applyAlignment="1">
      <alignment horizontal="right" vertical="center" wrapText="1"/>
    </xf>
    <xf numFmtId="0" fontId="16" fillId="17" borderId="173" xfId="0" applyFont="1" applyFill="1" applyBorder="1" applyAlignment="1">
      <alignment vertical="center"/>
    </xf>
    <xf numFmtId="0" fontId="43" fillId="0" borderId="0" xfId="0" applyFont="1"/>
    <xf numFmtId="2" fontId="43" fillId="0" borderId="90" xfId="0" applyNumberFormat="1" applyFont="1" applyFill="1" applyBorder="1"/>
    <xf numFmtId="0" fontId="43" fillId="0" borderId="9" xfId="0" applyFont="1" applyFill="1" applyBorder="1"/>
    <xf numFmtId="0" fontId="44" fillId="22" borderId="72" xfId="8" applyNumberFormat="1" applyFont="1" applyFill="1" applyBorder="1" applyAlignment="1">
      <alignment horizontal="left" vertical="top"/>
    </xf>
    <xf numFmtId="9" fontId="43" fillId="0" borderId="9" xfId="0" applyNumberFormat="1" applyFont="1" applyFill="1" applyBorder="1"/>
    <xf numFmtId="2" fontId="44" fillId="22" borderId="72" xfId="8" applyNumberFormat="1" applyFont="1" applyFill="1" applyBorder="1" applyAlignment="1">
      <alignment horizontal="right" vertical="top"/>
    </xf>
    <xf numFmtId="0" fontId="43" fillId="0" borderId="179" xfId="0" applyFont="1" applyFill="1" applyBorder="1"/>
    <xf numFmtId="0" fontId="43" fillId="0" borderId="0" xfId="0" applyFont="1" applyFill="1" applyBorder="1"/>
    <xf numFmtId="0" fontId="43" fillId="0" borderId="180" xfId="0" applyFont="1" applyFill="1" applyBorder="1"/>
    <xf numFmtId="0" fontId="44" fillId="22" borderId="181" xfId="8" applyNumberFormat="1" applyFont="1" applyFill="1" applyBorder="1" applyAlignment="1">
      <alignment horizontal="left" vertical="top"/>
    </xf>
    <xf numFmtId="0" fontId="43" fillId="0" borderId="24" xfId="0" applyFont="1" applyFill="1" applyBorder="1"/>
    <xf numFmtId="9" fontId="43" fillId="0" borderId="24" xfId="0" applyNumberFormat="1" applyFont="1" applyFill="1" applyBorder="1"/>
    <xf numFmtId="2" fontId="44" fillId="22" borderId="181" xfId="8" applyNumberFormat="1" applyFont="1" applyFill="1" applyBorder="1" applyAlignment="1">
      <alignment horizontal="right" vertical="top"/>
    </xf>
    <xf numFmtId="0" fontId="43" fillId="0" borderId="163" xfId="0" applyFont="1" applyFill="1" applyBorder="1"/>
    <xf numFmtId="0" fontId="44" fillId="22" borderId="163" xfId="8" applyNumberFormat="1" applyFont="1" applyFill="1" applyBorder="1" applyAlignment="1">
      <alignment horizontal="left" vertical="top"/>
    </xf>
    <xf numFmtId="9" fontId="43" fillId="0" borderId="163" xfId="0" applyNumberFormat="1" applyFont="1" applyFill="1" applyBorder="1"/>
    <xf numFmtId="2" fontId="44" fillId="22" borderId="163" xfId="8" applyNumberFormat="1" applyFont="1" applyFill="1" applyBorder="1" applyAlignment="1">
      <alignment horizontal="right" vertical="top"/>
    </xf>
    <xf numFmtId="0" fontId="43" fillId="0" borderId="163" xfId="0" applyFont="1" applyBorder="1"/>
    <xf numFmtId="2" fontId="15" fillId="0" borderId="174" xfId="3" applyNumberFormat="1" applyFont="1" applyFill="1" applyBorder="1" applyAlignment="1">
      <alignment horizontal="right" vertical="center" wrapText="1"/>
    </xf>
    <xf numFmtId="0" fontId="0" fillId="0" borderId="109" xfId="0" applyBorder="1"/>
    <xf numFmtId="0" fontId="16" fillId="17" borderId="9" xfId="0" applyFont="1" applyFill="1" applyBorder="1" applyAlignment="1">
      <alignment vertical="center"/>
    </xf>
    <xf numFmtId="0" fontId="0" fillId="0" borderId="179" xfId="0" applyBorder="1"/>
    <xf numFmtId="9" fontId="0" fillId="0" borderId="179" xfId="1" applyFont="1" applyFill="1" applyBorder="1" applyAlignment="1">
      <alignment horizontal="center"/>
    </xf>
    <xf numFmtId="0" fontId="0" fillId="0" borderId="179" xfId="0" applyFill="1" applyBorder="1"/>
    <xf numFmtId="2" fontId="0" fillId="0" borderId="156" xfId="0" applyNumberFormat="1" applyFill="1" applyBorder="1"/>
    <xf numFmtId="0" fontId="15" fillId="17" borderId="179" xfId="3" applyNumberFormat="1" applyFont="1" applyFill="1" applyBorder="1" applyAlignment="1">
      <alignment horizontal="left" vertical="top" wrapText="1"/>
    </xf>
    <xf numFmtId="9" fontId="0" fillId="0" borderId="179" xfId="0" applyNumberFormat="1" applyFill="1" applyBorder="1"/>
    <xf numFmtId="2" fontId="25" fillId="17" borderId="179" xfId="0" applyNumberFormat="1" applyFont="1" applyFill="1" applyBorder="1" applyAlignment="1">
      <alignment horizontal="center" vertical="center" wrapText="1"/>
    </xf>
    <xf numFmtId="2" fontId="0" fillId="0" borderId="156" xfId="0" applyNumberFormat="1" applyBorder="1"/>
    <xf numFmtId="0" fontId="22" fillId="17" borderId="179" xfId="0" applyNumberFormat="1" applyFont="1" applyFill="1" applyBorder="1" applyAlignment="1">
      <alignment horizontal="left" vertical="top" wrapText="1"/>
    </xf>
    <xf numFmtId="2" fontId="0" fillId="0" borderId="154" xfId="0" applyNumberFormat="1" applyBorder="1"/>
    <xf numFmtId="0" fontId="2" fillId="0" borderId="173" xfId="0" applyFont="1" applyBorder="1"/>
    <xf numFmtId="0" fontId="44" fillId="22" borderId="182" xfId="8" applyNumberFormat="1" applyFont="1" applyFill="1" applyBorder="1" applyAlignment="1">
      <alignment horizontal="left" vertical="top"/>
    </xf>
    <xf numFmtId="0" fontId="0" fillId="17" borderId="179" xfId="0" applyFill="1" applyBorder="1"/>
    <xf numFmtId="2" fontId="11" fillId="0" borderId="179" xfId="0" applyNumberFormat="1" applyFont="1" applyBorder="1"/>
    <xf numFmtId="0" fontId="11" fillId="17" borderId="179" xfId="0" applyFont="1" applyFill="1" applyBorder="1" applyAlignment="1">
      <alignment horizontal="left" vertical="top"/>
    </xf>
    <xf numFmtId="2" fontId="11" fillId="0" borderId="179" xfId="0" applyNumberFormat="1" applyFont="1" applyFill="1" applyBorder="1"/>
    <xf numFmtId="0" fontId="0" fillId="0" borderId="183" xfId="0" applyFill="1" applyBorder="1"/>
    <xf numFmtId="0" fontId="22" fillId="0" borderId="179" xfId="3" applyNumberFormat="1" applyFont="1" applyBorder="1" applyAlignment="1">
      <alignment horizontal="left" vertical="top" wrapText="1"/>
    </xf>
    <xf numFmtId="0" fontId="0" fillId="0" borderId="179" xfId="0" applyFont="1" applyFill="1" applyBorder="1"/>
    <xf numFmtId="0" fontId="0" fillId="0" borderId="177" xfId="0" applyBorder="1" applyAlignment="1">
      <alignment vertical="center"/>
    </xf>
    <xf numFmtId="0" fontId="2" fillId="0" borderId="179" xfId="0" applyFont="1" applyFill="1" applyBorder="1"/>
    <xf numFmtId="9" fontId="2" fillId="0" borderId="179" xfId="0" applyNumberFormat="1" applyFont="1" applyFill="1" applyBorder="1"/>
    <xf numFmtId="0" fontId="15" fillId="17" borderId="183" xfId="3" applyNumberFormat="1" applyFont="1" applyFill="1" applyBorder="1" applyAlignment="1">
      <alignment horizontal="left" vertical="top" wrapText="1"/>
    </xf>
    <xf numFmtId="2" fontId="15" fillId="0" borderId="135" xfId="3" applyNumberFormat="1" applyFont="1" applyFill="1" applyBorder="1" applyAlignment="1">
      <alignment horizontal="center" vertical="center" wrapText="1"/>
    </xf>
    <xf numFmtId="0" fontId="28" fillId="0" borderId="179" xfId="0" applyFont="1" applyBorder="1" applyAlignment="1">
      <alignment vertical="center" wrapText="1"/>
    </xf>
    <xf numFmtId="2" fontId="0" fillId="0" borderId="179" xfId="0" applyNumberFormat="1" applyBorder="1" applyAlignment="1">
      <alignment horizontal="center" vertical="center"/>
    </xf>
    <xf numFmtId="2" fontId="0" fillId="0" borderId="179" xfId="0" applyNumberFormat="1" applyFont="1" applyBorder="1" applyAlignment="1">
      <alignment horizontal="center" vertical="center"/>
    </xf>
    <xf numFmtId="2" fontId="0" fillId="0" borderId="179" xfId="0" applyNumberFormat="1" applyFont="1" applyBorder="1"/>
    <xf numFmtId="0" fontId="0" fillId="0" borderId="179" xfId="0" applyFont="1" applyBorder="1"/>
    <xf numFmtId="9" fontId="0" fillId="0" borderId="179" xfId="0" applyNumberFormat="1" applyFont="1" applyBorder="1"/>
    <xf numFmtId="0" fontId="27" fillId="17" borderId="179" xfId="0" applyFont="1" applyFill="1" applyBorder="1" applyAlignment="1">
      <alignment horizontal="right" vertical="center" wrapText="1"/>
    </xf>
    <xf numFmtId="0" fontId="15" fillId="0" borderId="184" xfId="3" applyFont="1" applyFill="1" applyBorder="1" applyAlignment="1">
      <alignment horizontal="left" vertical="top" wrapText="1"/>
    </xf>
    <xf numFmtId="0" fontId="15" fillId="0" borderId="175" xfId="3" applyFont="1" applyFill="1" applyBorder="1" applyAlignment="1">
      <alignment horizontal="left" vertical="top" wrapText="1"/>
    </xf>
    <xf numFmtId="9" fontId="43" fillId="0" borderId="179" xfId="0" applyNumberFormat="1" applyFont="1" applyFill="1" applyBorder="1"/>
    <xf numFmtId="0" fontId="15" fillId="0" borderId="176" xfId="3" applyFont="1" applyFill="1" applyBorder="1" applyAlignment="1">
      <alignment horizontal="left" vertical="top" wrapText="1"/>
    </xf>
    <xf numFmtId="9" fontId="43" fillId="0" borderId="173" xfId="0" applyNumberFormat="1" applyFont="1" applyFill="1" applyBorder="1"/>
    <xf numFmtId="0" fontId="37" fillId="24" borderId="179" xfId="0" applyFont="1" applyFill="1" applyBorder="1" applyAlignment="1">
      <alignment vertical="center" wrapText="1"/>
    </xf>
    <xf numFmtId="0" fontId="0" fillId="0" borderId="183" xfId="0" applyBorder="1" applyAlignment="1">
      <alignment vertical="center"/>
    </xf>
    <xf numFmtId="2" fontId="15" fillId="0" borderId="179" xfId="0" applyNumberFormat="1" applyFont="1" applyBorder="1" applyAlignment="1">
      <alignment horizontal="center" vertical="center"/>
    </xf>
    <xf numFmtId="0" fontId="22" fillId="0" borderId="183" xfId="3" applyNumberFormat="1" applyFont="1" applyBorder="1" applyAlignment="1">
      <alignment horizontal="left" vertical="top" wrapText="1"/>
    </xf>
    <xf numFmtId="2" fontId="26" fillId="0" borderId="135" xfId="3" applyNumberFormat="1" applyFont="1" applyFill="1" applyBorder="1" applyAlignment="1">
      <alignment horizontal="center" vertical="center" wrapText="1"/>
    </xf>
    <xf numFmtId="0" fontId="0" fillId="0" borderId="183" xfId="0" applyFont="1" applyFill="1" applyBorder="1"/>
    <xf numFmtId="0" fontId="0" fillId="0" borderId="79" xfId="0" applyFill="1" applyBorder="1" applyAlignment="1">
      <alignment horizontal="center"/>
    </xf>
    <xf numFmtId="2" fontId="0" fillId="0" borderId="172" xfId="0" applyNumberFormat="1" applyFont="1" applyBorder="1" applyAlignment="1">
      <alignment horizontal="center" vertical="center"/>
    </xf>
    <xf numFmtId="0" fontId="28" fillId="0" borderId="173" xfId="0" applyFont="1" applyBorder="1" applyAlignment="1">
      <alignment vertical="center" wrapText="1"/>
    </xf>
    <xf numFmtId="2" fontId="0" fillId="0" borderId="173" xfId="0" applyNumberFormat="1" applyBorder="1" applyAlignment="1">
      <alignment horizontal="center" vertical="center"/>
    </xf>
    <xf numFmtId="2" fontId="0" fillId="0" borderId="174" xfId="0" applyNumberFormat="1" applyFont="1" applyBorder="1" applyAlignment="1">
      <alignment horizontal="center" vertical="center"/>
    </xf>
    <xf numFmtId="9" fontId="0" fillId="0" borderId="179" xfId="0" applyNumberFormat="1" applyFont="1" applyFill="1" applyBorder="1"/>
    <xf numFmtId="0" fontId="43" fillId="0" borderId="185" xfId="0" applyFont="1" applyFill="1" applyBorder="1"/>
    <xf numFmtId="0" fontId="43" fillId="0" borderId="186" xfId="0" applyFont="1" applyFill="1" applyBorder="1"/>
    <xf numFmtId="0" fontId="44" fillId="22" borderId="187" xfId="8" applyNumberFormat="1" applyFont="1" applyFill="1" applyBorder="1" applyAlignment="1">
      <alignment horizontal="left" vertical="top"/>
    </xf>
    <xf numFmtId="2" fontId="44" fillId="22" borderId="187" xfId="8" applyNumberFormat="1" applyFont="1" applyFill="1" applyBorder="1" applyAlignment="1">
      <alignment horizontal="right" vertical="top"/>
    </xf>
    <xf numFmtId="0" fontId="44" fillId="22" borderId="185" xfId="8" applyNumberFormat="1" applyFont="1" applyFill="1" applyBorder="1" applyAlignment="1">
      <alignment horizontal="left" vertical="top"/>
    </xf>
    <xf numFmtId="9" fontId="43" fillId="0" borderId="185" xfId="0" applyNumberFormat="1" applyFont="1" applyFill="1" applyBorder="1"/>
    <xf numFmtId="2" fontId="44" fillId="22" borderId="185" xfId="8" applyNumberFormat="1" applyFont="1" applyFill="1" applyBorder="1" applyAlignment="1">
      <alignment horizontal="right" vertical="top"/>
    </xf>
    <xf numFmtId="0" fontId="43" fillId="0" borderId="185" xfId="0" applyFont="1" applyBorder="1"/>
    <xf numFmtId="0" fontId="0" fillId="0" borderId="185" xfId="0" applyBorder="1"/>
    <xf numFmtId="0" fontId="0" fillId="0" borderId="185" xfId="0" applyFont="1" applyBorder="1"/>
    <xf numFmtId="9" fontId="0" fillId="0" borderId="185" xfId="0" applyNumberFormat="1" applyFont="1" applyBorder="1"/>
    <xf numFmtId="9" fontId="0" fillId="0" borderId="185" xfId="1" applyFont="1" applyBorder="1"/>
    <xf numFmtId="0" fontId="22" fillId="0" borderId="185" xfId="3" applyNumberFormat="1" applyFont="1" applyBorder="1" applyAlignment="1">
      <alignment horizontal="left" vertical="top" wrapText="1"/>
    </xf>
    <xf numFmtId="0" fontId="0" fillId="0" borderId="185" xfId="0" applyFont="1" applyFill="1" applyBorder="1"/>
    <xf numFmtId="0" fontId="22" fillId="0" borderId="186" xfId="3" applyNumberFormat="1" applyFont="1" applyBorder="1" applyAlignment="1">
      <alignment horizontal="left" vertical="top" wrapText="1"/>
    </xf>
    <xf numFmtId="0" fontId="0" fillId="0" borderId="186" xfId="0" applyFont="1" applyFill="1" applyBorder="1"/>
    <xf numFmtId="9" fontId="43" fillId="0" borderId="97" xfId="0" applyNumberFormat="1" applyFont="1" applyFill="1" applyBorder="1"/>
    <xf numFmtId="2" fontId="15" fillId="0" borderId="98" xfId="3" applyNumberFormat="1" applyFont="1" applyFill="1" applyBorder="1" applyAlignment="1">
      <alignment horizontal="right" vertical="center" wrapText="1"/>
    </xf>
    <xf numFmtId="0" fontId="0" fillId="0" borderId="96" xfId="0" applyBorder="1"/>
    <xf numFmtId="0" fontId="15" fillId="22" borderId="185" xfId="2" applyNumberFormat="1" applyFont="1" applyFill="1" applyBorder="1" applyAlignment="1">
      <alignment horizontal="left" vertical="center" wrapText="1"/>
    </xf>
    <xf numFmtId="0" fontId="0" fillId="0" borderId="185" xfId="0" applyFill="1" applyBorder="1"/>
    <xf numFmtId="0" fontId="15" fillId="0" borderId="185" xfId="0" applyNumberFormat="1" applyFont="1" applyFill="1" applyBorder="1" applyAlignment="1">
      <alignment horizontal="left" vertical="center" wrapText="1"/>
    </xf>
    <xf numFmtId="0" fontId="39" fillId="22" borderId="185" xfId="2" applyNumberFormat="1" applyFont="1" applyFill="1" applyBorder="1" applyAlignment="1">
      <alignment horizontal="left" vertical="center" wrapText="1"/>
    </xf>
    <xf numFmtId="0" fontId="15" fillId="17" borderId="185" xfId="3" applyNumberFormat="1" applyFont="1" applyFill="1" applyBorder="1" applyAlignment="1">
      <alignment horizontal="left" vertical="top" wrapText="1"/>
    </xf>
    <xf numFmtId="9" fontId="0" fillId="0" borderId="97" xfId="0" applyNumberFormat="1" applyBorder="1" applyAlignment="1">
      <alignment vertical="center"/>
    </xf>
    <xf numFmtId="2" fontId="0" fillId="0" borderId="97" xfId="0" applyNumberFormat="1" applyBorder="1" applyAlignment="1">
      <alignment horizontal="center" vertical="center"/>
    </xf>
    <xf numFmtId="2" fontId="0" fillId="0" borderId="97" xfId="0" applyNumberFormat="1" applyFont="1" applyBorder="1" applyAlignment="1">
      <alignment horizontal="center" vertical="center"/>
    </xf>
    <xf numFmtId="4" fontId="0" fillId="0" borderId="98" xfId="0" applyNumberFormat="1" applyBorder="1" applyAlignment="1">
      <alignment horizontal="center" vertical="center"/>
    </xf>
    <xf numFmtId="166" fontId="0" fillId="0" borderId="0" xfId="0" applyNumberFormat="1"/>
    <xf numFmtId="0" fontId="0" fillId="0" borderId="185" xfId="0" applyBorder="1" applyAlignment="1">
      <alignment vertical="center"/>
    </xf>
    <xf numFmtId="0" fontId="28" fillId="0" borderId="185" xfId="0" applyFont="1" applyBorder="1" applyAlignment="1">
      <alignment vertical="center" wrapText="1"/>
    </xf>
    <xf numFmtId="9" fontId="0" fillId="0" borderId="185" xfId="0" applyNumberFormat="1" applyBorder="1" applyAlignment="1">
      <alignment vertical="center"/>
    </xf>
    <xf numFmtId="2" fontId="0" fillId="0" borderId="185" xfId="0" applyNumberFormat="1" applyBorder="1" applyAlignment="1">
      <alignment horizontal="center" vertical="center"/>
    </xf>
    <xf numFmtId="2" fontId="0" fillId="0" borderId="185" xfId="0" applyNumberFormat="1" applyFont="1" applyBorder="1" applyAlignment="1">
      <alignment horizontal="center" vertical="center"/>
    </xf>
    <xf numFmtId="0" fontId="0" fillId="17" borderId="98" xfId="0" applyFill="1" applyBorder="1"/>
    <xf numFmtId="0" fontId="11" fillId="17" borderId="97" xfId="0" applyFont="1" applyFill="1" applyBorder="1" applyAlignment="1">
      <alignment horizontal="left" vertical="top"/>
    </xf>
    <xf numFmtId="0" fontId="11" fillId="17" borderId="22" xfId="0" applyFont="1" applyFill="1" applyBorder="1" applyAlignment="1">
      <alignment horizontal="left" vertical="top"/>
    </xf>
    <xf numFmtId="0" fontId="0" fillId="17" borderId="91" xfId="0" applyFill="1" applyBorder="1"/>
    <xf numFmtId="1" fontId="0" fillId="0" borderId="97" xfId="0" applyNumberFormat="1" applyFill="1" applyBorder="1" applyAlignment="1">
      <alignment wrapText="1"/>
    </xf>
    <xf numFmtId="0" fontId="27" fillId="17" borderId="97" xfId="0" applyFont="1" applyFill="1" applyBorder="1" applyAlignment="1">
      <alignment horizontal="right" vertical="center" wrapText="1"/>
    </xf>
    <xf numFmtId="0" fontId="31" fillId="24" borderId="0" xfId="0" applyFont="1" applyFill="1" applyBorder="1" applyAlignment="1">
      <alignment vertical="center" wrapText="1"/>
    </xf>
    <xf numFmtId="0" fontId="37" fillId="0" borderId="97" xfId="0" applyFont="1" applyBorder="1"/>
    <xf numFmtId="2" fontId="0" fillId="0" borderId="96" xfId="0" applyNumberFormat="1" applyFill="1" applyBorder="1"/>
    <xf numFmtId="0" fontId="15" fillId="17" borderId="97" xfId="3" applyNumberFormat="1" applyFont="1" applyFill="1" applyBorder="1" applyAlignment="1">
      <alignment horizontal="left" vertical="top" wrapText="1"/>
    </xf>
    <xf numFmtId="2" fontId="25" fillId="17" borderId="97" xfId="0" applyNumberFormat="1" applyFont="1" applyFill="1" applyBorder="1" applyAlignment="1">
      <alignment horizontal="center" vertical="center" wrapText="1"/>
    </xf>
    <xf numFmtId="2" fontId="0" fillId="0" borderId="96" xfId="0" applyNumberFormat="1" applyBorder="1"/>
    <xf numFmtId="0" fontId="22" fillId="17" borderId="97" xfId="0" applyNumberFormat="1" applyFont="1" applyFill="1" applyBorder="1" applyAlignment="1">
      <alignment horizontal="left" vertical="top" wrapText="1"/>
    </xf>
    <xf numFmtId="2" fontId="43" fillId="0" borderId="197" xfId="0" applyNumberFormat="1" applyFont="1" applyFill="1" applyBorder="1"/>
    <xf numFmtId="0" fontId="43" fillId="0" borderId="104" xfId="0" applyFont="1" applyFill="1" applyBorder="1"/>
    <xf numFmtId="9" fontId="43" fillId="0" borderId="104" xfId="0" applyNumberFormat="1" applyFont="1" applyFill="1" applyBorder="1"/>
    <xf numFmtId="2" fontId="44" fillId="22" borderId="198" xfId="8" applyNumberFormat="1" applyFont="1" applyFill="1" applyBorder="1" applyAlignment="1">
      <alignment horizontal="right" vertical="top"/>
    </xf>
    <xf numFmtId="9" fontId="0" fillId="0" borderId="0" xfId="0" applyNumberFormat="1" applyFont="1" applyBorder="1"/>
    <xf numFmtId="0" fontId="0" fillId="0" borderId="199" xfId="0" applyBorder="1"/>
    <xf numFmtId="2" fontId="0" fillId="0" borderId="200" xfId="0" applyNumberFormat="1" applyFont="1" applyFill="1" applyBorder="1"/>
    <xf numFmtId="0" fontId="22" fillId="0" borderId="199" xfId="3" applyNumberFormat="1" applyFont="1" applyBorder="1" applyAlignment="1">
      <alignment horizontal="left" vertical="top" wrapText="1"/>
    </xf>
    <xf numFmtId="2" fontId="26" fillId="0" borderId="203" xfId="3" applyNumberFormat="1" applyFont="1" applyFill="1" applyBorder="1" applyAlignment="1">
      <alignment horizontal="center" vertical="center" wrapText="1"/>
    </xf>
    <xf numFmtId="0" fontId="0" fillId="0" borderId="199" xfId="0" applyFont="1" applyFill="1" applyBorder="1"/>
    <xf numFmtId="9" fontId="0" fillId="0" borderId="199" xfId="1" applyFont="1" applyBorder="1"/>
    <xf numFmtId="0" fontId="0" fillId="0" borderId="204" xfId="0" applyFont="1" applyFill="1" applyBorder="1"/>
    <xf numFmtId="0" fontId="22" fillId="0" borderId="204" xfId="3" applyNumberFormat="1" applyFont="1" applyBorder="1" applyAlignment="1">
      <alignment horizontal="left" vertical="top" wrapText="1"/>
    </xf>
    <xf numFmtId="9" fontId="0" fillId="0" borderId="204" xfId="1" applyFont="1" applyBorder="1"/>
    <xf numFmtId="2" fontId="26" fillId="0" borderId="205" xfId="3" applyNumberFormat="1" applyFont="1" applyFill="1" applyBorder="1" applyAlignment="1">
      <alignment horizontal="center" vertical="center" wrapText="1"/>
    </xf>
    <xf numFmtId="0" fontId="0" fillId="0" borderId="199" xfId="0" applyFill="1" applyBorder="1"/>
    <xf numFmtId="0" fontId="0" fillId="0" borderId="204" xfId="0" applyFill="1" applyBorder="1"/>
    <xf numFmtId="0" fontId="15" fillId="17" borderId="199" xfId="3" applyNumberFormat="1" applyFont="1" applyFill="1" applyBorder="1" applyAlignment="1">
      <alignment horizontal="left" vertical="top" wrapText="1"/>
    </xf>
    <xf numFmtId="0" fontId="2" fillId="0" borderId="199" xfId="0" applyFont="1" applyFill="1" applyBorder="1"/>
    <xf numFmtId="9" fontId="2" fillId="0" borderId="199" xfId="0" applyNumberFormat="1" applyFont="1" applyFill="1" applyBorder="1"/>
    <xf numFmtId="2" fontId="15" fillId="0" borderId="203" xfId="3" applyNumberFormat="1" applyFont="1" applyFill="1" applyBorder="1" applyAlignment="1">
      <alignment horizontal="center" vertical="center" wrapText="1"/>
    </xf>
    <xf numFmtId="0" fontId="15" fillId="17" borderId="22" xfId="3" applyNumberFormat="1" applyFont="1" applyFill="1" applyBorder="1" applyAlignment="1">
      <alignment horizontal="left" vertical="top" wrapText="1"/>
    </xf>
    <xf numFmtId="2" fontId="15" fillId="0" borderId="91" xfId="3" applyNumberFormat="1" applyFont="1" applyFill="1" applyBorder="1" applyAlignment="1">
      <alignment horizontal="center" vertical="center" wrapText="1"/>
    </xf>
    <xf numFmtId="0" fontId="15" fillId="17" borderId="204" xfId="3" applyNumberFormat="1" applyFont="1" applyFill="1" applyBorder="1" applyAlignment="1">
      <alignment horizontal="left" vertical="top" wrapText="1"/>
    </xf>
    <xf numFmtId="2" fontId="15" fillId="0" borderId="205" xfId="3" applyNumberFormat="1" applyFont="1" applyFill="1" applyBorder="1" applyAlignment="1">
      <alignment horizontal="center" vertical="center" wrapText="1"/>
    </xf>
    <xf numFmtId="9" fontId="43" fillId="0" borderId="199" xfId="0" applyNumberFormat="1" applyFont="1" applyFill="1" applyBorder="1"/>
    <xf numFmtId="0" fontId="28" fillId="0" borderId="199" xfId="0" applyFont="1" applyBorder="1" applyAlignment="1">
      <alignment vertical="center" wrapText="1"/>
    </xf>
    <xf numFmtId="0" fontId="0" fillId="0" borderId="212" xfId="0" applyFill="1" applyBorder="1"/>
    <xf numFmtId="9" fontId="0" fillId="0" borderId="199" xfId="0" applyNumberFormat="1" applyFill="1" applyBorder="1"/>
    <xf numFmtId="0" fontId="0" fillId="0" borderId="203" xfId="0" applyFill="1" applyBorder="1"/>
    <xf numFmtId="0" fontId="0" fillId="0" borderId="212" xfId="0" applyBorder="1"/>
    <xf numFmtId="0" fontId="0" fillId="0" borderId="204" xfId="0" applyBorder="1"/>
    <xf numFmtId="9" fontId="0" fillId="0" borderId="204" xfId="0" applyNumberFormat="1" applyFill="1" applyBorder="1"/>
    <xf numFmtId="0" fontId="0" fillId="0" borderId="205" xfId="0" applyFill="1" applyBorder="1"/>
    <xf numFmtId="2" fontId="0" fillId="0" borderId="199" xfId="0" applyNumberFormat="1" applyFont="1" applyBorder="1"/>
    <xf numFmtId="0" fontId="0" fillId="0" borderId="199" xfId="0" applyFont="1" applyBorder="1"/>
    <xf numFmtId="9" fontId="0" fillId="0" borderId="199" xfId="0" applyNumberFormat="1" applyFont="1" applyBorder="1"/>
    <xf numFmtId="0" fontId="27" fillId="17" borderId="199" xfId="0" applyFont="1" applyFill="1" applyBorder="1" applyAlignment="1">
      <alignment horizontal="right" vertical="center" wrapText="1"/>
    </xf>
    <xf numFmtId="9" fontId="0" fillId="0" borderId="199" xfId="0" applyNumberFormat="1" applyFont="1" applyFill="1" applyBorder="1" applyAlignment="1">
      <alignment horizontal="center"/>
    </xf>
    <xf numFmtId="2" fontId="0" fillId="0" borderId="199" xfId="0" applyNumberFormat="1" applyBorder="1" applyAlignment="1">
      <alignment horizontal="center" vertical="center"/>
    </xf>
    <xf numFmtId="2" fontId="0" fillId="0" borderId="199" xfId="0" applyNumberFormat="1" applyFont="1" applyBorder="1" applyAlignment="1">
      <alignment horizontal="center" vertical="center"/>
    </xf>
    <xf numFmtId="0" fontId="0" fillId="0" borderId="199" xfId="0" applyBorder="1" applyAlignment="1">
      <alignment horizontal="center"/>
    </xf>
    <xf numFmtId="2" fontId="0" fillId="0" borderId="199" xfId="0" applyNumberFormat="1" applyFont="1" applyFill="1" applyBorder="1" applyAlignment="1">
      <alignment horizontal="center" vertical="center"/>
    </xf>
    <xf numFmtId="2" fontId="0" fillId="0" borderId="109" xfId="0" applyNumberFormat="1" applyFill="1" applyBorder="1"/>
    <xf numFmtId="4" fontId="0" fillId="0" borderId="79" xfId="0" applyNumberFormat="1" applyBorder="1" applyAlignment="1">
      <alignment horizontal="center" vertical="center"/>
    </xf>
    <xf numFmtId="2" fontId="0" fillId="0" borderId="213" xfId="0" applyNumberFormat="1" applyBorder="1"/>
    <xf numFmtId="4" fontId="0" fillId="0" borderId="203" xfId="0" applyNumberFormat="1" applyBorder="1" applyAlignment="1">
      <alignment horizontal="center" vertical="center"/>
    </xf>
    <xf numFmtId="2" fontId="0" fillId="0" borderId="197" xfId="0" applyNumberFormat="1" applyFill="1" applyBorder="1"/>
    <xf numFmtId="4" fontId="0" fillId="0" borderId="205" xfId="0" applyNumberFormat="1" applyBorder="1" applyAlignment="1">
      <alignment horizontal="center" vertical="center"/>
    </xf>
    <xf numFmtId="0" fontId="27" fillId="17" borderId="79" xfId="0" applyFont="1" applyFill="1" applyBorder="1" applyAlignment="1">
      <alignment horizontal="right" vertical="center" wrapText="1"/>
    </xf>
    <xf numFmtId="0" fontId="27" fillId="17" borderId="205" xfId="0" applyFont="1" applyFill="1" applyBorder="1" applyAlignment="1">
      <alignment horizontal="right" vertical="center" wrapText="1"/>
    </xf>
    <xf numFmtId="0" fontId="15" fillId="0" borderId="0" xfId="0" applyFont="1"/>
    <xf numFmtId="14" fontId="15" fillId="0" borderId="177" xfId="0" applyNumberFormat="1" applyFont="1" applyBorder="1"/>
    <xf numFmtId="0" fontId="15" fillId="0" borderId="9" xfId="0" applyFont="1" applyFill="1" applyBorder="1"/>
    <xf numFmtId="0" fontId="15" fillId="0" borderId="199" xfId="0" applyFont="1" applyFill="1" applyBorder="1"/>
    <xf numFmtId="9" fontId="15" fillId="0" borderId="9" xfId="0" applyNumberFormat="1" applyFont="1" applyFill="1" applyBorder="1"/>
    <xf numFmtId="0" fontId="15" fillId="0" borderId="79" xfId="0" applyFont="1" applyBorder="1"/>
    <xf numFmtId="2" fontId="15" fillId="0" borderId="64" xfId="0" applyNumberFormat="1" applyFont="1" applyBorder="1"/>
    <xf numFmtId="2" fontId="15" fillId="0" borderId="82" xfId="0" applyNumberFormat="1" applyFont="1" applyBorder="1"/>
    <xf numFmtId="0" fontId="15" fillId="0" borderId="204" xfId="0" applyFont="1" applyFill="1" applyBorder="1"/>
    <xf numFmtId="0" fontId="15" fillId="0" borderId="104" xfId="0" applyFont="1" applyFill="1" applyBorder="1"/>
    <xf numFmtId="0" fontId="15" fillId="0" borderId="24" xfId="0" applyFont="1" applyBorder="1"/>
    <xf numFmtId="0" fontId="15" fillId="0" borderId="9" xfId="0" applyFont="1" applyBorder="1" applyAlignment="1">
      <alignment horizontal="center" vertical="center" wrapText="1"/>
    </xf>
    <xf numFmtId="9" fontId="15" fillId="0" borderId="9" xfId="0" applyNumberFormat="1" applyFont="1" applyBorder="1"/>
    <xf numFmtId="2" fontId="15" fillId="0" borderId="206" xfId="0" applyNumberFormat="1" applyFont="1" applyBorder="1"/>
    <xf numFmtId="0" fontId="15" fillId="0" borderId="204" xfId="0" applyFont="1" applyBorder="1"/>
    <xf numFmtId="9" fontId="15" fillId="0" borderId="204" xfId="0" applyNumberFormat="1" applyFont="1" applyBorder="1"/>
    <xf numFmtId="1" fontId="15" fillId="0" borderId="199" xfId="0" applyNumberFormat="1" applyFont="1" applyFill="1" applyBorder="1" applyAlignment="1">
      <alignment wrapText="1"/>
    </xf>
    <xf numFmtId="0" fontId="15" fillId="0" borderId="199" xfId="0" applyFont="1" applyBorder="1" applyAlignment="1">
      <alignment vertical="center"/>
    </xf>
    <xf numFmtId="2" fontId="15" fillId="0" borderId="199" xfId="0" applyNumberFormat="1" applyFont="1" applyBorder="1" applyAlignment="1">
      <alignment vertical="center"/>
    </xf>
    <xf numFmtId="0" fontId="15" fillId="0" borderId="24" xfId="0" applyFont="1" applyBorder="1" applyAlignment="1">
      <alignment vertical="center"/>
    </xf>
    <xf numFmtId="0" fontId="15" fillId="0" borderId="38" xfId="0" applyFont="1" applyBorder="1" applyAlignment="1">
      <alignment vertical="center"/>
    </xf>
    <xf numFmtId="0" fontId="15" fillId="0" borderId="9" xfId="0" applyFont="1" applyBorder="1" applyAlignment="1">
      <alignment vertical="center"/>
    </xf>
    <xf numFmtId="0" fontId="15" fillId="0" borderId="78" xfId="0" applyFont="1" applyBorder="1" applyAlignment="1">
      <alignment vertical="center"/>
    </xf>
    <xf numFmtId="0" fontId="0" fillId="0" borderId="78" xfId="0" applyBorder="1" applyAlignment="1">
      <alignment horizontal="center" vertical="center"/>
    </xf>
    <xf numFmtId="0" fontId="0" fillId="0" borderId="199" xfId="0" applyBorder="1" applyAlignment="1">
      <alignment horizontal="center" vertical="center"/>
    </xf>
    <xf numFmtId="1" fontId="0" fillId="0" borderId="199" xfId="0" applyNumberFormat="1" applyFill="1" applyBorder="1" applyAlignment="1">
      <alignment wrapText="1"/>
    </xf>
    <xf numFmtId="9" fontId="0" fillId="0" borderId="199" xfId="0" applyNumberFormat="1" applyBorder="1" applyAlignment="1">
      <alignment horizontal="center" vertical="center"/>
    </xf>
    <xf numFmtId="2" fontId="0" fillId="0" borderId="199" xfId="0" applyNumberFormat="1" applyBorder="1" applyAlignment="1">
      <alignment vertical="center"/>
    </xf>
    <xf numFmtId="0" fontId="0" fillId="26" borderId="215" xfId="0" applyFill="1" applyBorder="1" applyAlignment="1">
      <alignment wrapText="1"/>
    </xf>
    <xf numFmtId="2" fontId="0" fillId="0" borderId="199" xfId="0" applyNumberFormat="1" applyFont="1" applyBorder="1" applyAlignment="1">
      <alignment vertical="center"/>
    </xf>
    <xf numFmtId="0" fontId="44" fillId="22" borderId="217" xfId="8" applyNumberFormat="1" applyFont="1" applyFill="1" applyBorder="1" applyAlignment="1">
      <alignment horizontal="left" vertical="top"/>
    </xf>
    <xf numFmtId="0" fontId="0" fillId="0" borderId="59" xfId="0" applyFill="1" applyBorder="1"/>
    <xf numFmtId="0" fontId="44" fillId="22" borderId="218" xfId="8" applyNumberFormat="1" applyFont="1" applyFill="1" applyBorder="1" applyAlignment="1">
      <alignment horizontal="left" vertical="top"/>
    </xf>
    <xf numFmtId="0" fontId="0" fillId="0" borderId="219" xfId="0" applyFill="1" applyBorder="1"/>
    <xf numFmtId="4" fontId="0" fillId="0" borderId="9" xfId="0" applyNumberFormat="1" applyFill="1" applyBorder="1"/>
    <xf numFmtId="4" fontId="0" fillId="0" borderId="204" xfId="0" applyNumberFormat="1" applyFill="1" applyBorder="1"/>
    <xf numFmtId="4" fontId="46" fillId="24" borderId="0" xfId="0" applyNumberFormat="1" applyFont="1" applyFill="1" applyBorder="1" applyAlignment="1">
      <alignment horizontal="right" vertical="center" wrapText="1"/>
    </xf>
    <xf numFmtId="0" fontId="22" fillId="0" borderId="185" xfId="0" applyNumberFormat="1" applyFont="1" applyFill="1" applyBorder="1" applyAlignment="1">
      <alignment horizontal="left" vertical="top" wrapText="1"/>
    </xf>
    <xf numFmtId="0" fontId="2" fillId="0" borderId="185" xfId="0" applyFont="1" applyFill="1" applyBorder="1"/>
    <xf numFmtId="9" fontId="2" fillId="0" borderId="185" xfId="0" applyNumberFormat="1" applyFont="1" applyFill="1" applyBorder="1"/>
    <xf numFmtId="2" fontId="15" fillId="0" borderId="224" xfId="3" applyNumberFormat="1" applyFont="1" applyFill="1" applyBorder="1" applyAlignment="1">
      <alignment horizontal="center" vertical="center" wrapText="1"/>
    </xf>
    <xf numFmtId="2" fontId="0" fillId="0" borderId="73" xfId="0" applyNumberFormat="1" applyFill="1" applyBorder="1"/>
    <xf numFmtId="0" fontId="15" fillId="0" borderId="185" xfId="3" applyFont="1" applyFill="1" applyBorder="1" applyAlignment="1">
      <alignment horizontal="left" vertical="top" wrapText="1"/>
    </xf>
    <xf numFmtId="0" fontId="0" fillId="0" borderId="225" xfId="0" applyBorder="1"/>
    <xf numFmtId="2" fontId="15" fillId="0" borderId="224" xfId="3" applyNumberFormat="1" applyFont="1" applyFill="1" applyBorder="1" applyAlignment="1">
      <alignment horizontal="right" vertical="center" wrapText="1"/>
    </xf>
    <xf numFmtId="0" fontId="0" fillId="0" borderId="213" xfId="0" applyBorder="1"/>
    <xf numFmtId="0" fontId="0" fillId="0" borderId="203" xfId="0" applyBorder="1"/>
    <xf numFmtId="0" fontId="0" fillId="0" borderId="206" xfId="0" applyBorder="1"/>
    <xf numFmtId="0" fontId="31" fillId="4" borderId="9" xfId="2" applyNumberFormat="1" applyFont="1" applyFill="1" applyBorder="1" applyAlignment="1">
      <alignment horizontal="left" vertical="top" wrapText="1"/>
    </xf>
    <xf numFmtId="0" fontId="31" fillId="4" borderId="173" xfId="2" applyNumberFormat="1" applyFont="1" applyFill="1" applyBorder="1" applyAlignment="1">
      <alignment horizontal="left" vertical="top" wrapText="1"/>
    </xf>
    <xf numFmtId="0" fontId="22" fillId="4" borderId="163" xfId="3" applyNumberFormat="1" applyFont="1" applyFill="1" applyBorder="1" applyAlignment="1">
      <alignment horizontal="left" vertical="top" wrapText="1"/>
    </xf>
    <xf numFmtId="0" fontId="15" fillId="4" borderId="173" xfId="3" applyNumberFormat="1" applyFont="1" applyFill="1" applyBorder="1" applyAlignment="1">
      <alignment horizontal="left" vertical="top" wrapText="1"/>
    </xf>
    <xf numFmtId="0" fontId="37" fillId="4" borderId="163" xfId="0" applyFont="1" applyFill="1" applyBorder="1" applyAlignment="1">
      <alignment vertical="center" wrapText="1"/>
    </xf>
    <xf numFmtId="0" fontId="0" fillId="4" borderId="179" xfId="0" applyFill="1" applyBorder="1"/>
    <xf numFmtId="0" fontId="22" fillId="4" borderId="179" xfId="0" applyNumberFormat="1" applyFont="1" applyFill="1" applyBorder="1" applyAlignment="1">
      <alignment horizontal="left" vertical="top" wrapText="1"/>
    </xf>
    <xf numFmtId="4" fontId="0" fillId="0" borderId="79" xfId="0" applyNumberFormat="1" applyFill="1" applyBorder="1"/>
    <xf numFmtId="0" fontId="44" fillId="22" borderId="226" xfId="8" applyNumberFormat="1" applyFont="1" applyFill="1" applyBorder="1" applyAlignment="1">
      <alignment horizontal="left" vertical="top"/>
    </xf>
    <xf numFmtId="4" fontId="0" fillId="0" borderId="105" xfId="0" applyNumberFormat="1" applyFill="1" applyBorder="1"/>
    <xf numFmtId="0" fontId="13" fillId="0" borderId="0" xfId="9"/>
    <xf numFmtId="2" fontId="0" fillId="0" borderId="185" xfId="0" applyNumberFormat="1" applyBorder="1" applyAlignment="1">
      <alignment vertical="center"/>
    </xf>
    <xf numFmtId="2" fontId="0" fillId="0" borderId="185" xfId="0" applyNumberFormat="1" applyFont="1" applyBorder="1" applyAlignment="1">
      <alignment vertical="center"/>
    </xf>
    <xf numFmtId="1" fontId="0" fillId="0" borderId="185" xfId="0" applyNumberFormat="1" applyFill="1" applyBorder="1" applyAlignment="1">
      <alignment wrapText="1"/>
    </xf>
    <xf numFmtId="0" fontId="22" fillId="4" borderId="185" xfId="3" applyNumberFormat="1" applyFont="1" applyFill="1" applyBorder="1" applyAlignment="1">
      <alignment horizontal="left" vertical="top" wrapText="1"/>
    </xf>
    <xf numFmtId="0" fontId="0" fillId="4" borderId="173" xfId="0" applyFill="1" applyBorder="1"/>
    <xf numFmtId="0" fontId="11" fillId="4" borderId="97" xfId="0" applyFont="1" applyFill="1" applyBorder="1" applyAlignment="1">
      <alignment horizontal="left" vertical="top"/>
    </xf>
    <xf numFmtId="0" fontId="44" fillId="4" borderId="195" xfId="8" applyNumberFormat="1" applyFont="1" applyFill="1" applyBorder="1" applyAlignment="1">
      <alignment horizontal="left" vertical="top"/>
    </xf>
    <xf numFmtId="0" fontId="44" fillId="4" borderId="196" xfId="8" applyNumberFormat="1" applyFont="1" applyFill="1" applyBorder="1" applyAlignment="1">
      <alignment horizontal="left" vertical="top"/>
    </xf>
    <xf numFmtId="9" fontId="0" fillId="0" borderId="211" xfId="0" applyNumberFormat="1" applyBorder="1" applyAlignment="1">
      <alignment vertical="center"/>
    </xf>
    <xf numFmtId="2" fontId="0" fillId="0" borderId="211" xfId="0" applyNumberFormat="1" applyBorder="1" applyAlignment="1">
      <alignment vertical="center"/>
    </xf>
    <xf numFmtId="2" fontId="0" fillId="0" borderId="211" xfId="0" applyNumberFormat="1" applyFont="1" applyBorder="1" applyAlignment="1">
      <alignment vertical="center"/>
    </xf>
    <xf numFmtId="9" fontId="0" fillId="0" borderId="199" xfId="0" applyNumberFormat="1" applyBorder="1" applyAlignment="1">
      <alignment vertical="center"/>
    </xf>
    <xf numFmtId="2" fontId="23" fillId="0" borderId="109" xfId="0" applyNumberFormat="1" applyFont="1" applyFill="1" applyBorder="1"/>
    <xf numFmtId="0" fontId="15" fillId="17" borderId="9" xfId="3" applyNumberFormat="1" applyFont="1" applyFill="1" applyBorder="1" applyAlignment="1">
      <alignment horizontal="left" vertical="top" wrapText="1"/>
    </xf>
    <xf numFmtId="2" fontId="44" fillId="22" borderId="79" xfId="8" applyNumberFormat="1" applyFont="1" applyFill="1" applyBorder="1" applyAlignment="1">
      <alignment horizontal="right" vertical="top"/>
    </xf>
    <xf numFmtId="9" fontId="43" fillId="0" borderId="204" xfId="0" applyNumberFormat="1" applyFont="1" applyFill="1" applyBorder="1"/>
    <xf numFmtId="0" fontId="0" fillId="0" borderId="205" xfId="0" applyBorder="1"/>
    <xf numFmtId="0" fontId="44" fillId="22" borderId="228" xfId="8" applyNumberFormat="1" applyFont="1" applyFill="1" applyBorder="1" applyAlignment="1">
      <alignment horizontal="left" vertical="top"/>
    </xf>
    <xf numFmtId="0" fontId="0" fillId="0" borderId="229" xfId="0" applyFill="1" applyBorder="1"/>
    <xf numFmtId="0" fontId="44" fillId="22" borderId="230" xfId="8" applyNumberFormat="1" applyFont="1" applyFill="1" applyBorder="1" applyAlignment="1">
      <alignment horizontal="left" vertical="top"/>
    </xf>
    <xf numFmtId="0" fontId="0" fillId="0" borderId="231" xfId="0" applyFill="1" applyBorder="1"/>
    <xf numFmtId="0" fontId="0" fillId="0" borderId="232" xfId="0" applyFont="1" applyFill="1" applyBorder="1"/>
    <xf numFmtId="0" fontId="22" fillId="0" borderId="232" xfId="3" applyNumberFormat="1" applyFont="1" applyBorder="1" applyAlignment="1">
      <alignment horizontal="left" vertical="top" wrapText="1"/>
    </xf>
    <xf numFmtId="2" fontId="26" fillId="0" borderId="224" xfId="3" applyNumberFormat="1" applyFont="1" applyFill="1" applyBorder="1" applyAlignment="1">
      <alignment horizontal="center" vertical="center" wrapText="1"/>
    </xf>
    <xf numFmtId="0" fontId="22" fillId="0" borderId="172" xfId="0" applyFont="1" applyFill="1" applyBorder="1" applyAlignment="1">
      <alignment horizontal="center" vertical="center"/>
    </xf>
    <xf numFmtId="0" fontId="0" fillId="0" borderId="186" xfId="0" applyFill="1" applyBorder="1"/>
    <xf numFmtId="0" fontId="15" fillId="22" borderId="186" xfId="2" applyNumberFormat="1" applyFont="1" applyFill="1" applyBorder="1" applyAlignment="1">
      <alignment horizontal="left" vertical="center" wrapText="1"/>
    </xf>
    <xf numFmtId="0" fontId="22" fillId="0" borderId="135" xfId="0" applyFont="1" applyFill="1" applyBorder="1" applyAlignment="1">
      <alignment horizontal="center" vertical="center"/>
    </xf>
    <xf numFmtId="0" fontId="15" fillId="22" borderId="231" xfId="2" applyNumberFormat="1" applyFont="1" applyFill="1" applyBorder="1" applyAlignment="1">
      <alignment horizontal="left" vertical="center" wrapText="1"/>
    </xf>
    <xf numFmtId="0" fontId="22" fillId="0" borderId="224" xfId="0" applyFont="1" applyFill="1" applyBorder="1" applyAlignment="1">
      <alignment horizontal="center" vertical="center"/>
    </xf>
    <xf numFmtId="0" fontId="32" fillId="0" borderId="78" xfId="10" applyFont="1" applyFill="1" applyBorder="1" applyAlignment="1">
      <alignment horizontal="left" vertical="center" wrapText="1"/>
    </xf>
    <xf numFmtId="0" fontId="0" fillId="0" borderId="231" xfId="0" applyBorder="1"/>
    <xf numFmtId="4" fontId="0" fillId="0" borderId="224" xfId="0" applyNumberFormat="1" applyBorder="1" applyAlignment="1">
      <alignment horizontal="center" vertical="center"/>
    </xf>
    <xf numFmtId="0" fontId="0" fillId="0" borderId="233" xfId="0" applyBorder="1"/>
    <xf numFmtId="0" fontId="44" fillId="22" borderId="235" xfId="8" applyNumberFormat="1" applyFont="1" applyFill="1" applyBorder="1" applyAlignment="1">
      <alignment horizontal="left" vertical="top"/>
    </xf>
    <xf numFmtId="0" fontId="44" fillId="22" borderId="236" xfId="8" applyNumberFormat="1" applyFont="1" applyFill="1" applyBorder="1" applyAlignment="1">
      <alignment horizontal="left" vertical="top"/>
    </xf>
    <xf numFmtId="0" fontId="0" fillId="0" borderId="237" xfId="0" applyFill="1" applyBorder="1"/>
    <xf numFmtId="0" fontId="0" fillId="0" borderId="234" xfId="0" applyFill="1" applyBorder="1"/>
    <xf numFmtId="0" fontId="44" fillId="22" borderId="238" xfId="8" applyNumberFormat="1" applyFont="1" applyFill="1" applyBorder="1" applyAlignment="1">
      <alignment horizontal="left" vertical="top"/>
    </xf>
    <xf numFmtId="0" fontId="0" fillId="0" borderId="239" xfId="0" applyFill="1" applyBorder="1"/>
    <xf numFmtId="2" fontId="0" fillId="0" borderId="213" xfId="0" applyNumberFormat="1" applyFill="1" applyBorder="1"/>
    <xf numFmtId="2" fontId="25" fillId="17" borderId="199" xfId="0" applyNumberFormat="1" applyFont="1" applyFill="1" applyBorder="1" applyAlignment="1">
      <alignment horizontal="center" vertical="center" wrapText="1"/>
    </xf>
    <xf numFmtId="0" fontId="22" fillId="17" borderId="199" xfId="0" applyNumberFormat="1" applyFont="1" applyFill="1" applyBorder="1" applyAlignment="1">
      <alignment horizontal="left" vertical="top" wrapText="1"/>
    </xf>
    <xf numFmtId="0" fontId="15" fillId="0" borderId="199" xfId="3" applyNumberFormat="1" applyFont="1" applyFill="1" applyBorder="1" applyAlignment="1">
      <alignment horizontal="left" vertical="top" wrapText="1"/>
    </xf>
    <xf numFmtId="0" fontId="0" fillId="0" borderId="199" xfId="0" applyFill="1" applyBorder="1" applyAlignment="1">
      <alignment wrapText="1"/>
    </xf>
    <xf numFmtId="0" fontId="22" fillId="0" borderId="199" xfId="0" applyNumberFormat="1" applyFont="1" applyFill="1" applyBorder="1" applyAlignment="1">
      <alignment horizontal="left" vertical="top" wrapText="1"/>
    </xf>
    <xf numFmtId="2" fontId="0" fillId="0" borderId="206" xfId="0" applyNumberFormat="1" applyBorder="1"/>
    <xf numFmtId="0" fontId="0" fillId="0" borderId="239" xfId="0" applyFont="1" applyFill="1" applyBorder="1"/>
    <xf numFmtId="9" fontId="0" fillId="0" borderId="239" xfId="0" applyNumberFormat="1" applyFill="1" applyBorder="1"/>
    <xf numFmtId="9" fontId="0" fillId="0" borderId="22" xfId="0" applyNumberFormat="1" applyBorder="1"/>
    <xf numFmtId="0" fontId="0" fillId="4" borderId="172" xfId="0" applyFill="1" applyBorder="1"/>
    <xf numFmtId="0" fontId="44" fillId="4" borderId="216" xfId="8" applyNumberFormat="1" applyFont="1" applyFill="1" applyBorder="1" applyAlignment="1">
      <alignment horizontal="left" vertical="top"/>
    </xf>
    <xf numFmtId="0" fontId="0" fillId="4" borderId="204" xfId="0" applyFill="1" applyBorder="1"/>
    <xf numFmtId="9" fontId="0" fillId="4" borderId="204" xfId="0" applyNumberFormat="1" applyFill="1" applyBorder="1"/>
    <xf numFmtId="0" fontId="0" fillId="4" borderId="205" xfId="0" applyFill="1" applyBorder="1"/>
    <xf numFmtId="0" fontId="44" fillId="4" borderId="217" xfId="8" applyNumberFormat="1" applyFont="1" applyFill="1" applyBorder="1" applyAlignment="1">
      <alignment horizontal="left" vertical="top"/>
    </xf>
    <xf numFmtId="0" fontId="0" fillId="4" borderId="59" xfId="0" applyFill="1" applyBorder="1"/>
    <xf numFmtId="4" fontId="0" fillId="4" borderId="9" xfId="0" applyNumberFormat="1" applyFill="1" applyBorder="1"/>
    <xf numFmtId="4" fontId="46" fillId="4" borderId="0" xfId="0" applyNumberFormat="1" applyFont="1" applyFill="1" applyBorder="1" applyAlignment="1">
      <alignment horizontal="right" vertical="center" wrapText="1"/>
    </xf>
    <xf numFmtId="0" fontId="44" fillId="4" borderId="218" xfId="8" applyNumberFormat="1" applyFont="1" applyFill="1" applyBorder="1" applyAlignment="1">
      <alignment horizontal="left" vertical="top"/>
    </xf>
    <xf numFmtId="0" fontId="0" fillId="4" borderId="219" xfId="0" applyFill="1" applyBorder="1"/>
    <xf numFmtId="0" fontId="15" fillId="4" borderId="97" xfId="3" applyNumberFormat="1" applyFont="1" applyFill="1" applyBorder="1" applyAlignment="1">
      <alignment horizontal="left" vertical="top" wrapText="1"/>
    </xf>
    <xf numFmtId="9" fontId="0" fillId="4" borderId="97" xfId="0" applyNumberFormat="1" applyFill="1" applyBorder="1"/>
    <xf numFmtId="2" fontId="25" fillId="4" borderId="97" xfId="0" applyNumberFormat="1" applyFont="1" applyFill="1" applyBorder="1" applyAlignment="1">
      <alignment horizontal="center" vertical="center" wrapText="1"/>
    </xf>
    <xf numFmtId="0" fontId="15" fillId="4" borderId="59" xfId="3" applyFont="1" applyFill="1" applyBorder="1" applyAlignment="1">
      <alignment horizontal="left" vertical="top" wrapText="1"/>
    </xf>
    <xf numFmtId="9" fontId="43" fillId="4" borderId="59" xfId="0" applyNumberFormat="1" applyFont="1" applyFill="1" applyBorder="1"/>
    <xf numFmtId="2" fontId="15" fillId="4" borderId="74" xfId="3" applyNumberFormat="1" applyFont="1" applyFill="1" applyBorder="1" applyAlignment="1">
      <alignment horizontal="right" vertical="center" wrapText="1"/>
    </xf>
    <xf numFmtId="9" fontId="43" fillId="4" borderId="9" xfId="0" applyNumberFormat="1" applyFont="1" applyFill="1" applyBorder="1"/>
    <xf numFmtId="9" fontId="43" fillId="4" borderId="199" xfId="0" applyNumberFormat="1" applyFont="1" applyFill="1" applyBorder="1"/>
    <xf numFmtId="0" fontId="44" fillId="22" borderId="240" xfId="8" applyNumberFormat="1" applyFont="1" applyFill="1" applyBorder="1" applyAlignment="1">
      <alignment horizontal="left" vertical="top"/>
    </xf>
    <xf numFmtId="0" fontId="0" fillId="0" borderId="241" xfId="0" applyFill="1" applyBorder="1"/>
    <xf numFmtId="2" fontId="0" fillId="0" borderId="199" xfId="0" applyNumberFormat="1" applyBorder="1"/>
    <xf numFmtId="9" fontId="0" fillId="0" borderId="234" xfId="1" applyFont="1" applyBorder="1"/>
    <xf numFmtId="0" fontId="0" fillId="0" borderId="22" xfId="0" applyFont="1" applyFill="1" applyBorder="1"/>
    <xf numFmtId="0" fontId="22" fillId="0" borderId="22" xfId="3" applyNumberFormat="1" applyFont="1" applyBorder="1" applyAlignment="1">
      <alignment horizontal="left" vertical="top" wrapText="1"/>
    </xf>
    <xf numFmtId="0" fontId="15" fillId="11" borderId="97" xfId="3" applyNumberFormat="1" applyFont="1" applyFill="1" applyBorder="1" applyAlignment="1">
      <alignment horizontal="left" vertical="top" wrapText="1"/>
    </xf>
    <xf numFmtId="0" fontId="44" fillId="11" borderId="216" xfId="8" applyNumberFormat="1" applyFont="1" applyFill="1" applyBorder="1" applyAlignment="1">
      <alignment horizontal="left" vertical="top"/>
    </xf>
    <xf numFmtId="0" fontId="44" fillId="11" borderId="218" xfId="8" applyNumberFormat="1" applyFont="1" applyFill="1" applyBorder="1" applyAlignment="1">
      <alignment horizontal="left" vertical="top"/>
    </xf>
    <xf numFmtId="0" fontId="44" fillId="11" borderId="220" xfId="8" applyNumberFormat="1" applyFont="1" applyFill="1" applyBorder="1" applyAlignment="1">
      <alignment horizontal="left" vertical="top"/>
    </xf>
    <xf numFmtId="0" fontId="15" fillId="11" borderId="185" xfId="3" applyFont="1" applyFill="1" applyBorder="1" applyAlignment="1">
      <alignment horizontal="left" vertical="top" wrapText="1"/>
    </xf>
    <xf numFmtId="0" fontId="0" fillId="11" borderId="173" xfId="0" applyFill="1" applyBorder="1"/>
    <xf numFmtId="0" fontId="0" fillId="11" borderId="9" xfId="0" applyFill="1" applyBorder="1"/>
    <xf numFmtId="0" fontId="0" fillId="11" borderId="179" xfId="0" applyFill="1" applyBorder="1"/>
    <xf numFmtId="0" fontId="15" fillId="11" borderId="199" xfId="3" applyNumberFormat="1" applyFont="1" applyFill="1" applyBorder="1" applyAlignment="1">
      <alignment horizontal="left" vertical="top" wrapText="1"/>
    </xf>
    <xf numFmtId="0" fontId="0" fillId="11" borderId="199" xfId="0" applyFill="1" applyBorder="1"/>
    <xf numFmtId="0" fontId="22" fillId="11" borderId="173" xfId="0" applyNumberFormat="1" applyFont="1" applyFill="1" applyBorder="1" applyAlignment="1">
      <alignment horizontal="left" vertical="top" wrapText="1"/>
    </xf>
    <xf numFmtId="0" fontId="31" fillId="11" borderId="0" xfId="0" applyFont="1" applyFill="1" applyBorder="1" applyAlignment="1">
      <alignment vertical="center" wrapText="1"/>
    </xf>
    <xf numFmtId="0" fontId="31" fillId="11" borderId="204" xfId="0" applyFont="1" applyFill="1" applyBorder="1"/>
    <xf numFmtId="0" fontId="15" fillId="11" borderId="215" xfId="0" applyFont="1" applyFill="1" applyBorder="1" applyAlignment="1">
      <alignment wrapText="1"/>
    </xf>
    <xf numFmtId="0" fontId="0" fillId="11" borderId="215" xfId="0" applyFill="1" applyBorder="1" applyAlignment="1">
      <alignment wrapText="1"/>
    </xf>
    <xf numFmtId="0" fontId="28" fillId="11" borderId="199" xfId="0" applyFont="1" applyFill="1" applyBorder="1" applyAlignment="1">
      <alignment vertical="center" wrapText="1"/>
    </xf>
    <xf numFmtId="0" fontId="0" fillId="0" borderId="241" xfId="0" applyBorder="1"/>
    <xf numFmtId="0" fontId="0" fillId="0" borderId="162" xfId="0" applyBorder="1"/>
    <xf numFmtId="0" fontId="0" fillId="0" borderId="186" xfId="0" applyBorder="1"/>
    <xf numFmtId="2" fontId="44" fillId="22" borderId="242" xfId="8" applyNumberFormat="1" applyFont="1" applyFill="1" applyBorder="1" applyAlignment="1">
      <alignment horizontal="right" vertical="top"/>
    </xf>
    <xf numFmtId="9" fontId="43" fillId="0" borderId="241" xfId="0" applyNumberFormat="1" applyFont="1" applyFill="1" applyBorder="1"/>
    <xf numFmtId="0" fontId="0" fillId="0" borderId="224" xfId="0" applyBorder="1"/>
    <xf numFmtId="0" fontId="48" fillId="22" borderId="243" xfId="8" applyNumberFormat="1" applyFont="1" applyFill="1" applyBorder="1" applyAlignment="1">
      <alignment horizontal="left" vertical="top"/>
    </xf>
    <xf numFmtId="2" fontId="44" fillId="22" borderId="244" xfId="8" applyNumberFormat="1" applyFont="1" applyFill="1" applyBorder="1" applyAlignment="1">
      <alignment horizontal="right" vertical="top"/>
    </xf>
    <xf numFmtId="2" fontId="43" fillId="0" borderId="0" xfId="0" applyNumberFormat="1" applyFont="1" applyFill="1" applyBorder="1" applyAlignment="1">
      <alignment horizontal="right" vertical="top" wrapText="1"/>
    </xf>
    <xf numFmtId="2" fontId="43" fillId="26" borderId="0" xfId="0" applyNumberFormat="1" applyFont="1" applyFill="1" applyBorder="1" applyAlignment="1">
      <alignment horizontal="right" vertical="top" wrapText="1"/>
    </xf>
    <xf numFmtId="0" fontId="0" fillId="0" borderId="82" xfId="0" applyBorder="1"/>
    <xf numFmtId="2" fontId="44" fillId="22" borderId="246" xfId="8" applyNumberFormat="1" applyFont="1" applyFill="1" applyBorder="1" applyAlignment="1">
      <alignment horizontal="right" vertical="top"/>
    </xf>
    <xf numFmtId="2" fontId="0" fillId="0" borderId="247" xfId="0" applyNumberFormat="1" applyFont="1" applyBorder="1"/>
    <xf numFmtId="0" fontId="0" fillId="0" borderId="247" xfId="0" applyFont="1" applyBorder="1"/>
    <xf numFmtId="0" fontId="0" fillId="0" borderId="247" xfId="0" applyBorder="1"/>
    <xf numFmtId="9" fontId="0" fillId="0" borderId="247" xfId="0" applyNumberFormat="1" applyFont="1" applyBorder="1"/>
    <xf numFmtId="0" fontId="27" fillId="17" borderId="247" xfId="0" applyFont="1" applyFill="1" applyBorder="1" applyAlignment="1">
      <alignment horizontal="right" vertical="center" wrapText="1"/>
    </xf>
    <xf numFmtId="2" fontId="0" fillId="0" borderId="247" xfId="0" applyNumberFormat="1" applyBorder="1"/>
    <xf numFmtId="0" fontId="31" fillId="0" borderId="204" xfId="0" applyFont="1" applyBorder="1"/>
    <xf numFmtId="9" fontId="43" fillId="0" borderId="59" xfId="0" applyNumberFormat="1" applyFont="1" applyFill="1" applyBorder="1"/>
    <xf numFmtId="2" fontId="15" fillId="0" borderId="74" xfId="3" applyNumberFormat="1" applyFont="1" applyFill="1" applyBorder="1" applyAlignment="1">
      <alignment horizontal="right" vertical="center" wrapText="1"/>
    </xf>
    <xf numFmtId="0" fontId="0" fillId="0" borderId="247" xfId="0" applyFill="1" applyBorder="1"/>
    <xf numFmtId="0" fontId="15" fillId="0" borderId="247" xfId="3" applyFont="1" applyFill="1" applyBorder="1" applyAlignment="1">
      <alignment horizontal="left" vertical="top" wrapText="1"/>
    </xf>
    <xf numFmtId="9" fontId="43" fillId="0" borderId="247" xfId="0" applyNumberFormat="1" applyFont="1" applyFill="1" applyBorder="1"/>
    <xf numFmtId="2" fontId="15" fillId="0" borderId="203" xfId="3" applyNumberFormat="1" applyFont="1" applyFill="1" applyBorder="1" applyAlignment="1">
      <alignment horizontal="right" vertical="center" wrapText="1"/>
    </xf>
    <xf numFmtId="2" fontId="15" fillId="0" borderId="205" xfId="3" applyNumberFormat="1" applyFont="1" applyFill="1" applyBorder="1" applyAlignment="1">
      <alignment horizontal="right" vertical="center" wrapText="1"/>
    </xf>
    <xf numFmtId="1" fontId="0" fillId="0" borderId="247" xfId="0" applyNumberFormat="1" applyFill="1" applyBorder="1" applyAlignment="1">
      <alignment wrapText="1"/>
    </xf>
    <xf numFmtId="0" fontId="0" fillId="0" borderId="247" xfId="0" applyBorder="1" applyAlignment="1">
      <alignment vertical="center"/>
    </xf>
    <xf numFmtId="0" fontId="22" fillId="0" borderId="247" xfId="0" applyNumberFormat="1" applyFont="1" applyFill="1" applyBorder="1" applyAlignment="1">
      <alignment horizontal="left" vertical="top" wrapText="1"/>
    </xf>
    <xf numFmtId="0" fontId="2" fillId="0" borderId="247" xfId="0" applyFont="1" applyFill="1" applyBorder="1"/>
    <xf numFmtId="9" fontId="2" fillId="0" borderId="247" xfId="0" applyNumberFormat="1" applyFont="1" applyFill="1" applyBorder="1"/>
    <xf numFmtId="0" fontId="44" fillId="22" borderId="248" xfId="8" applyNumberFormat="1" applyFont="1" applyFill="1" applyBorder="1" applyAlignment="1">
      <alignment horizontal="left" vertical="top"/>
    </xf>
    <xf numFmtId="0" fontId="0" fillId="0" borderId="249" xfId="0" applyFill="1" applyBorder="1"/>
    <xf numFmtId="0" fontId="15" fillId="17" borderId="247" xfId="3" applyNumberFormat="1" applyFont="1" applyFill="1" applyBorder="1" applyAlignment="1">
      <alignment horizontal="left" vertical="top" wrapText="1"/>
    </xf>
    <xf numFmtId="9" fontId="0" fillId="0" borderId="247" xfId="0" applyNumberFormat="1" applyFill="1" applyBorder="1"/>
    <xf numFmtId="2" fontId="25" fillId="17" borderId="247" xfId="0" applyNumberFormat="1" applyFont="1" applyFill="1" applyBorder="1" applyAlignment="1">
      <alignment horizontal="center" vertical="center" wrapText="1"/>
    </xf>
    <xf numFmtId="0" fontId="22" fillId="17" borderId="247" xfId="0" applyNumberFormat="1" applyFont="1" applyFill="1" applyBorder="1" applyAlignment="1">
      <alignment horizontal="left" vertical="top" wrapText="1"/>
    </xf>
    <xf numFmtId="0" fontId="15" fillId="0" borderId="247" xfId="3" applyNumberFormat="1" applyFont="1" applyFill="1" applyBorder="1" applyAlignment="1">
      <alignment horizontal="left" vertical="top" wrapText="1"/>
    </xf>
    <xf numFmtId="9" fontId="0" fillId="0" borderId="247" xfId="0" applyNumberFormat="1" applyBorder="1" applyAlignment="1">
      <alignment vertical="center"/>
    </xf>
    <xf numFmtId="2" fontId="0" fillId="0" borderId="247" xfId="0" applyNumberFormat="1" applyBorder="1" applyAlignment="1">
      <alignment vertical="center"/>
    </xf>
    <xf numFmtId="2" fontId="0" fillId="0" borderId="247" xfId="0" applyNumberFormat="1" applyFont="1" applyBorder="1" applyAlignment="1">
      <alignment vertical="center"/>
    </xf>
    <xf numFmtId="0" fontId="27" fillId="17" borderId="79" xfId="0" applyFont="1" applyFill="1" applyBorder="1" applyAlignment="1">
      <alignment horizontal="right" vertical="center" wrapText="1"/>
    </xf>
    <xf numFmtId="0" fontId="27" fillId="17" borderId="252" xfId="0" applyFont="1" applyFill="1" applyBorder="1" applyAlignment="1">
      <alignment horizontal="right" vertical="center" wrapText="1"/>
    </xf>
    <xf numFmtId="0" fontId="15" fillId="0" borderId="0" xfId="0" applyFont="1"/>
    <xf numFmtId="2" fontId="15" fillId="0" borderId="64" xfId="0" applyNumberFormat="1" applyFont="1" applyBorder="1"/>
    <xf numFmtId="0" fontId="15" fillId="0" borderId="24" xfId="0" applyFont="1" applyBorder="1"/>
    <xf numFmtId="0" fontId="15" fillId="0" borderId="9" xfId="0" applyFont="1" applyBorder="1" applyAlignment="1">
      <alignment horizontal="center" vertical="center" wrapText="1"/>
    </xf>
    <xf numFmtId="9" fontId="15" fillId="0" borderId="9" xfId="0" applyNumberFormat="1" applyFont="1" applyBorder="1"/>
    <xf numFmtId="2" fontId="15" fillId="0" borderId="250" xfId="0" applyNumberFormat="1" applyFont="1" applyBorder="1"/>
    <xf numFmtId="0" fontId="15" fillId="0" borderId="251" xfId="0" applyFont="1" applyBorder="1"/>
    <xf numFmtId="0" fontId="31" fillId="0" borderId="251" xfId="0" applyFont="1" applyBorder="1"/>
    <xf numFmtId="9" fontId="15" fillId="0" borderId="251" xfId="0" applyNumberFormat="1" applyFont="1" applyBorder="1"/>
    <xf numFmtId="0" fontId="15" fillId="11" borderId="9" xfId="3" applyNumberFormat="1" applyFont="1" applyFill="1" applyBorder="1" applyAlignment="1">
      <alignment horizontal="left" vertical="top" wrapText="1"/>
    </xf>
    <xf numFmtId="0" fontId="32" fillId="11" borderId="78" xfId="10" applyFont="1" applyFill="1" applyBorder="1" applyAlignment="1">
      <alignment horizontal="left" vertical="center" wrapText="1"/>
    </xf>
    <xf numFmtId="0" fontId="44" fillId="11" borderId="217" xfId="8" applyNumberFormat="1" applyFont="1" applyFill="1" applyBorder="1" applyAlignment="1">
      <alignment horizontal="left" vertical="top"/>
    </xf>
    <xf numFmtId="0" fontId="44" fillId="11" borderId="228" xfId="8" applyNumberFormat="1" applyFont="1" applyFill="1" applyBorder="1" applyAlignment="1">
      <alignment horizontal="left" vertical="top"/>
    </xf>
    <xf numFmtId="0" fontId="44" fillId="11" borderId="235" xfId="8" applyNumberFormat="1" applyFont="1" applyFill="1" applyBorder="1" applyAlignment="1">
      <alignment horizontal="left" vertical="top"/>
    </xf>
    <xf numFmtId="0" fontId="43" fillId="11" borderId="9" xfId="0" applyFont="1" applyFill="1" applyBorder="1"/>
    <xf numFmtId="0" fontId="48" fillId="11" borderId="243" xfId="8" applyNumberFormat="1" applyFont="1" applyFill="1" applyBorder="1" applyAlignment="1">
      <alignment horizontal="left" vertical="top"/>
    </xf>
    <xf numFmtId="0" fontId="48" fillId="11" borderId="245" xfId="8" applyNumberFormat="1" applyFont="1" applyFill="1" applyBorder="1" applyAlignment="1">
      <alignment horizontal="left" vertical="top"/>
    </xf>
    <xf numFmtId="0" fontId="0" fillId="0" borderId="251" xfId="0" applyFill="1" applyBorder="1"/>
    <xf numFmtId="0" fontId="0" fillId="0" borderId="251" xfId="0" applyBorder="1"/>
    <xf numFmtId="4" fontId="0" fillId="0" borderId="252" xfId="0" applyNumberFormat="1" applyBorder="1" applyAlignment="1">
      <alignment horizontal="center" vertical="center"/>
    </xf>
    <xf numFmtId="0" fontId="22" fillId="0" borderId="247" xfId="3" applyNumberFormat="1" applyFont="1" applyBorder="1" applyAlignment="1">
      <alignment horizontal="left" vertical="top" wrapText="1"/>
    </xf>
    <xf numFmtId="0" fontId="0" fillId="0" borderId="247" xfId="0" applyFont="1" applyFill="1" applyBorder="1"/>
    <xf numFmtId="9" fontId="0" fillId="0" borderId="247" xfId="1" applyFont="1" applyBorder="1"/>
    <xf numFmtId="0" fontId="0" fillId="0" borderId="251" xfId="0" applyFont="1" applyFill="1" applyBorder="1"/>
    <xf numFmtId="0" fontId="22" fillId="0" borderId="251" xfId="3" applyNumberFormat="1" applyFont="1" applyBorder="1" applyAlignment="1">
      <alignment horizontal="left" vertical="top" wrapText="1"/>
    </xf>
    <xf numFmtId="2" fontId="26" fillId="0" borderId="252" xfId="3" applyNumberFormat="1" applyFont="1" applyFill="1" applyBorder="1" applyAlignment="1">
      <alignment horizontal="center" vertical="center" wrapText="1"/>
    </xf>
    <xf numFmtId="2" fontId="0" fillId="0" borderId="247" xfId="0" applyNumberFormat="1" applyBorder="1" applyAlignment="1">
      <alignment horizontal="center" vertical="center"/>
    </xf>
    <xf numFmtId="0" fontId="0" fillId="0" borderId="229" xfId="0" applyBorder="1"/>
    <xf numFmtId="2" fontId="15" fillId="0" borderId="252" xfId="3" applyNumberFormat="1" applyFont="1" applyFill="1" applyBorder="1" applyAlignment="1">
      <alignment horizontal="center" vertical="center" wrapText="1"/>
    </xf>
    <xf numFmtId="9" fontId="43" fillId="0" borderId="229" xfId="0" applyNumberFormat="1" applyFont="1" applyFill="1" applyBorder="1"/>
    <xf numFmtId="9" fontId="43" fillId="0" borderId="249" xfId="0" applyNumberFormat="1" applyFont="1" applyFill="1" applyBorder="1"/>
    <xf numFmtId="0" fontId="0" fillId="26" borderId="253" xfId="0" applyFill="1" applyBorder="1" applyAlignment="1">
      <alignment wrapText="1"/>
    </xf>
    <xf numFmtId="0" fontId="0" fillId="26" borderId="9" xfId="0" applyFill="1" applyBorder="1" applyAlignment="1">
      <alignment wrapText="1"/>
    </xf>
    <xf numFmtId="0" fontId="0" fillId="0" borderId="250" xfId="0" applyBorder="1"/>
    <xf numFmtId="0" fontId="0" fillId="0" borderId="249" xfId="0" applyBorder="1"/>
    <xf numFmtId="0" fontId="14" fillId="22" borderId="254" xfId="8" applyNumberFormat="1" applyFont="1" applyFill="1" applyBorder="1" applyAlignment="1">
      <alignment horizontal="left" vertical="top"/>
    </xf>
    <xf numFmtId="2" fontId="14" fillId="22" borderId="255" xfId="8" applyNumberFormat="1" applyFont="1" applyFill="1" applyBorder="1" applyAlignment="1">
      <alignment horizontal="right" vertical="top"/>
    </xf>
    <xf numFmtId="0" fontId="14" fillId="22" borderId="256" xfId="8" applyNumberFormat="1" applyFont="1" applyFill="1" applyBorder="1" applyAlignment="1">
      <alignment horizontal="left" vertical="top"/>
    </xf>
    <xf numFmtId="2" fontId="14" fillId="22" borderId="246" xfId="8" applyNumberFormat="1" applyFont="1" applyFill="1" applyBorder="1" applyAlignment="1">
      <alignment horizontal="right" vertical="top"/>
    </xf>
    <xf numFmtId="0" fontId="0" fillId="0" borderId="258" xfId="0" applyFill="1" applyBorder="1"/>
    <xf numFmtId="2" fontId="0" fillId="0" borderId="229" xfId="0" applyNumberFormat="1" applyFont="1" applyBorder="1"/>
    <xf numFmtId="0" fontId="0" fillId="0" borderId="229" xfId="0" applyFont="1" applyBorder="1"/>
    <xf numFmtId="9" fontId="0" fillId="0" borderId="229" xfId="0" applyNumberFormat="1" applyFont="1" applyBorder="1"/>
    <xf numFmtId="0" fontId="27" fillId="17" borderId="229" xfId="0" applyFont="1" applyFill="1" applyBorder="1" applyAlignment="1">
      <alignment horizontal="right" vertical="center" wrapText="1"/>
    </xf>
    <xf numFmtId="2" fontId="0" fillId="0" borderId="229" xfId="0" applyNumberFormat="1" applyBorder="1"/>
    <xf numFmtId="9" fontId="0" fillId="0" borderId="258" xfId="0" applyNumberFormat="1" applyBorder="1" applyAlignment="1">
      <alignment vertical="center"/>
    </xf>
    <xf numFmtId="2" fontId="0" fillId="0" borderId="258" xfId="0" applyNumberFormat="1" applyBorder="1" applyAlignment="1">
      <alignment vertical="center"/>
    </xf>
    <xf numFmtId="2" fontId="0" fillId="0" borderId="258" xfId="0" applyNumberFormat="1" applyFont="1" applyBorder="1" applyAlignment="1">
      <alignment vertical="center"/>
    </xf>
    <xf numFmtId="1" fontId="0" fillId="0" borderId="258" xfId="0" applyNumberFormat="1" applyFill="1" applyBorder="1" applyAlignment="1">
      <alignment wrapText="1"/>
    </xf>
    <xf numFmtId="0" fontId="0" fillId="0" borderId="258" xfId="0" applyBorder="1"/>
    <xf numFmtId="9" fontId="0" fillId="0" borderId="258" xfId="0" applyNumberFormat="1" applyFont="1" applyBorder="1"/>
    <xf numFmtId="0" fontId="0" fillId="0" borderId="262" xfId="0" applyBorder="1"/>
    <xf numFmtId="0" fontId="0" fillId="0" borderId="258" xfId="0" applyFont="1" applyBorder="1"/>
    <xf numFmtId="0" fontId="16" fillId="0" borderId="263" xfId="0" applyFont="1" applyBorder="1" applyAlignment="1">
      <alignment vertical="center"/>
    </xf>
    <xf numFmtId="0" fontId="16" fillId="0" borderId="263" xfId="0" applyFont="1" applyFill="1" applyBorder="1" applyAlignment="1">
      <alignment vertical="center"/>
    </xf>
    <xf numFmtId="0" fontId="0" fillId="0" borderId="260" xfId="0" applyBorder="1"/>
    <xf numFmtId="0" fontId="0" fillId="0" borderId="261" xfId="0" applyBorder="1"/>
    <xf numFmtId="9" fontId="0" fillId="0" borderId="261" xfId="0" applyNumberFormat="1" applyFont="1" applyBorder="1"/>
    <xf numFmtId="0" fontId="16" fillId="0" borderId="257" xfId="0" applyFont="1" applyFill="1" applyBorder="1" applyAlignment="1">
      <alignment vertical="center"/>
    </xf>
    <xf numFmtId="0" fontId="44" fillId="22" borderId="264" xfId="8" applyNumberFormat="1" applyFont="1" applyFill="1" applyBorder="1" applyAlignment="1">
      <alignment horizontal="left" vertical="top"/>
    </xf>
    <xf numFmtId="0" fontId="0" fillId="0" borderId="265" xfId="0" applyFill="1" applyBorder="1"/>
    <xf numFmtId="0" fontId="23" fillId="0" borderId="0" xfId="0" applyFont="1"/>
    <xf numFmtId="2" fontId="23" fillId="0" borderId="90" xfId="0" applyNumberFormat="1" applyFont="1" applyBorder="1"/>
    <xf numFmtId="0" fontId="49" fillId="0" borderId="258" xfId="0" applyFont="1" applyBorder="1" applyAlignment="1">
      <alignment vertical="center" wrapText="1"/>
    </xf>
    <xf numFmtId="0" fontId="23" fillId="0" borderId="78" xfId="0" applyFont="1" applyFill="1" applyBorder="1"/>
    <xf numFmtId="9" fontId="23" fillId="0" borderId="9" xfId="0" applyNumberFormat="1" applyFont="1" applyFill="1" applyBorder="1"/>
    <xf numFmtId="0" fontId="23" fillId="0" borderId="92" xfId="0" applyFont="1" applyBorder="1" applyAlignment="1">
      <alignment horizontal="center" vertical="center"/>
    </xf>
    <xf numFmtId="2" fontId="23" fillId="0" borderId="64" xfId="0" applyNumberFormat="1" applyFont="1" applyBorder="1"/>
    <xf numFmtId="0" fontId="49" fillId="0" borderId="185" xfId="0" applyFont="1" applyBorder="1" applyAlignment="1">
      <alignment vertical="center" wrapText="1"/>
    </xf>
    <xf numFmtId="0" fontId="23" fillId="0" borderId="258" xfId="0" applyFont="1" applyBorder="1"/>
    <xf numFmtId="0" fontId="23" fillId="0" borderId="9" xfId="0" applyFont="1" applyBorder="1"/>
    <xf numFmtId="0" fontId="23" fillId="0" borderId="79" xfId="0" applyFont="1" applyFill="1" applyBorder="1" applyAlignment="1">
      <alignment horizontal="center"/>
    </xf>
    <xf numFmtId="0" fontId="23" fillId="0" borderId="258" xfId="0" applyFont="1" applyFill="1" applyBorder="1"/>
    <xf numFmtId="9" fontId="23" fillId="0" borderId="258" xfId="0" applyNumberFormat="1" applyFont="1" applyFill="1" applyBorder="1"/>
    <xf numFmtId="0" fontId="23" fillId="0" borderId="263" xfId="0" applyFont="1" applyFill="1" applyBorder="1"/>
    <xf numFmtId="2" fontId="23" fillId="0" borderId="82" xfId="0" applyNumberFormat="1" applyFont="1" applyBorder="1"/>
    <xf numFmtId="0" fontId="23" fillId="0" borderId="265" xfId="0" applyFont="1" applyFill="1" applyBorder="1"/>
    <xf numFmtId="0" fontId="23" fillId="0" borderId="104" xfId="0" applyFont="1" applyFill="1" applyBorder="1"/>
    <xf numFmtId="9" fontId="23" fillId="0" borderId="265" xfId="0" applyNumberFormat="1" applyFont="1" applyFill="1" applyBorder="1"/>
    <xf numFmtId="0" fontId="23" fillId="0" borderId="257" xfId="0" applyFont="1" applyFill="1" applyBorder="1"/>
    <xf numFmtId="0" fontId="22" fillId="0" borderId="258" xfId="3" applyNumberFormat="1" applyFont="1" applyBorder="1" applyAlignment="1">
      <alignment horizontal="left" vertical="top" wrapText="1"/>
    </xf>
    <xf numFmtId="2" fontId="26" fillId="0" borderId="263" xfId="3" applyNumberFormat="1" applyFont="1" applyFill="1" applyBorder="1" applyAlignment="1">
      <alignment horizontal="center" vertical="center" wrapText="1"/>
    </xf>
    <xf numFmtId="0" fontId="0" fillId="0" borderId="258" xfId="0" applyFont="1" applyFill="1" applyBorder="1"/>
    <xf numFmtId="9" fontId="0" fillId="0" borderId="258" xfId="1" applyFont="1" applyBorder="1"/>
    <xf numFmtId="0" fontId="0" fillId="0" borderId="265" xfId="0" applyFont="1" applyFill="1" applyBorder="1"/>
    <xf numFmtId="0" fontId="22" fillId="0" borderId="265" xfId="3" applyNumberFormat="1" applyFont="1" applyBorder="1" applyAlignment="1">
      <alignment horizontal="left" vertical="top" wrapText="1"/>
    </xf>
    <xf numFmtId="9" fontId="0" fillId="0" borderId="265" xfId="1" applyFont="1" applyBorder="1"/>
    <xf numFmtId="2" fontId="26" fillId="0" borderId="257" xfId="3" applyNumberFormat="1" applyFont="1" applyFill="1" applyBorder="1" applyAlignment="1">
      <alignment horizontal="center" vertical="center" wrapText="1"/>
    </xf>
    <xf numFmtId="0" fontId="50" fillId="22" borderId="59" xfId="0" applyNumberFormat="1" applyFont="1" applyFill="1" applyBorder="1" applyAlignment="1">
      <alignment horizontal="left" vertical="top"/>
    </xf>
    <xf numFmtId="2" fontId="25" fillId="0" borderId="59" xfId="0" applyNumberFormat="1" applyFont="1" applyBorder="1" applyAlignment="1">
      <alignment horizontal="center"/>
    </xf>
    <xf numFmtId="2" fontId="0" fillId="0" borderId="262" xfId="0" applyNumberFormat="1" applyFill="1" applyBorder="1"/>
    <xf numFmtId="0" fontId="50" fillId="22" borderId="258" xfId="0" applyNumberFormat="1" applyFont="1" applyFill="1" applyBorder="1" applyAlignment="1">
      <alignment horizontal="left" vertical="top"/>
    </xf>
    <xf numFmtId="9" fontId="43" fillId="0" borderId="258" xfId="0" applyNumberFormat="1" applyFont="1" applyFill="1" applyBorder="1"/>
    <xf numFmtId="2" fontId="25" fillId="0" borderId="258" xfId="0" applyNumberFormat="1" applyFont="1" applyBorder="1" applyAlignment="1">
      <alignment horizontal="center"/>
    </xf>
    <xf numFmtId="0" fontId="50" fillId="22" borderId="265" xfId="0" applyNumberFormat="1" applyFont="1" applyFill="1" applyBorder="1" applyAlignment="1">
      <alignment horizontal="left" vertical="top"/>
    </xf>
    <xf numFmtId="2" fontId="25" fillId="0" borderId="265" xfId="0" applyNumberFormat="1" applyFont="1" applyBorder="1" applyAlignment="1">
      <alignment horizontal="center"/>
    </xf>
    <xf numFmtId="0" fontId="0" fillId="0" borderId="265" xfId="0" applyBorder="1"/>
    <xf numFmtId="9" fontId="43" fillId="0" borderId="265" xfId="0" applyNumberFormat="1" applyFont="1" applyFill="1" applyBorder="1"/>
    <xf numFmtId="2" fontId="15" fillId="0" borderId="257" xfId="3" applyNumberFormat="1" applyFont="1" applyFill="1" applyBorder="1" applyAlignment="1">
      <alignment horizontal="right" vertical="center" wrapText="1"/>
    </xf>
    <xf numFmtId="0" fontId="0" fillId="4" borderId="215" xfId="0" applyFill="1" applyBorder="1" applyAlignment="1">
      <alignment wrapText="1"/>
    </xf>
    <xf numFmtId="1" fontId="0" fillId="4" borderId="199" xfId="0" applyNumberFormat="1" applyFill="1" applyBorder="1" applyAlignment="1">
      <alignment wrapText="1"/>
    </xf>
    <xf numFmtId="1" fontId="0" fillId="4" borderId="247" xfId="0" applyNumberFormat="1" applyFill="1" applyBorder="1" applyAlignment="1">
      <alignment wrapText="1"/>
    </xf>
    <xf numFmtId="0" fontId="0" fillId="4" borderId="199" xfId="0" applyFill="1" applyBorder="1"/>
    <xf numFmtId="0" fontId="0" fillId="4" borderId="247" xfId="0" applyFill="1" applyBorder="1"/>
    <xf numFmtId="9" fontId="0" fillId="0" borderId="59" xfId="0" applyNumberFormat="1" applyFont="1" applyBorder="1"/>
    <xf numFmtId="0" fontId="16" fillId="0" borderId="74" xfId="0" applyFont="1" applyBorder="1" applyAlignment="1">
      <alignment vertical="center"/>
    </xf>
    <xf numFmtId="9" fontId="0" fillId="0" borderId="265" xfId="0" applyNumberFormat="1" applyFont="1" applyBorder="1"/>
    <xf numFmtId="0" fontId="0" fillId="0" borderId="263" xfId="0" applyBorder="1"/>
    <xf numFmtId="0" fontId="0" fillId="0" borderId="257" xfId="0" applyBorder="1"/>
    <xf numFmtId="0" fontId="0" fillId="0" borderId="64" xfId="0" applyBorder="1"/>
    <xf numFmtId="0" fontId="16" fillId="0" borderId="242" xfId="0" applyFont="1" applyBorder="1" applyAlignment="1">
      <alignment vertical="center"/>
    </xf>
    <xf numFmtId="2" fontId="0" fillId="0" borderId="14" xfId="0" applyNumberFormat="1" applyFill="1" applyBorder="1"/>
    <xf numFmtId="4" fontId="0" fillId="0" borderId="74" xfId="0" applyNumberFormat="1" applyBorder="1" applyAlignment="1">
      <alignment horizontal="center" vertical="center"/>
    </xf>
    <xf numFmtId="4" fontId="0" fillId="0" borderId="263" xfId="0" applyNumberFormat="1" applyBorder="1" applyAlignment="1">
      <alignment horizontal="center" vertical="center"/>
    </xf>
    <xf numFmtId="4" fontId="0" fillId="0" borderId="257" xfId="0" applyNumberFormat="1" applyBorder="1" applyAlignment="1">
      <alignment horizontal="center" vertical="center"/>
    </xf>
    <xf numFmtId="2" fontId="0" fillId="0" borderId="73" xfId="0" applyNumberFormat="1" applyBorder="1"/>
    <xf numFmtId="9" fontId="0" fillId="0" borderId="59" xfId="0" applyNumberFormat="1" applyFill="1" applyBorder="1"/>
    <xf numFmtId="2" fontId="0" fillId="0" borderId="262" xfId="0" applyNumberFormat="1" applyBorder="1"/>
    <xf numFmtId="9" fontId="0" fillId="0" borderId="258" xfId="0" applyNumberFormat="1" applyFill="1" applyBorder="1"/>
    <xf numFmtId="0" fontId="0" fillId="0" borderId="263" xfId="0" applyFill="1" applyBorder="1"/>
    <xf numFmtId="0" fontId="16" fillId="0" borderId="258" xfId="0" applyFont="1" applyBorder="1" applyAlignment="1">
      <alignment vertical="center"/>
    </xf>
    <xf numFmtId="2" fontId="15" fillId="0" borderId="109" xfId="0" applyNumberFormat="1" applyFont="1" applyBorder="1"/>
    <xf numFmtId="0" fontId="15" fillId="0" borderId="9" xfId="0" applyFont="1" applyBorder="1"/>
    <xf numFmtId="2" fontId="15" fillId="0" borderId="262" xfId="0" applyNumberFormat="1" applyFont="1" applyBorder="1"/>
    <xf numFmtId="0" fontId="15" fillId="0" borderId="258" xfId="0" applyFont="1" applyBorder="1"/>
    <xf numFmtId="0" fontId="31" fillId="0" borderId="258" xfId="0" applyFont="1" applyBorder="1"/>
    <xf numFmtId="0" fontId="15" fillId="0" borderId="258" xfId="0" applyFont="1" applyBorder="1" applyAlignment="1">
      <alignment horizontal="center" vertical="center" wrapText="1"/>
    </xf>
    <xf numFmtId="0" fontId="27" fillId="17" borderId="263" xfId="0" applyFont="1" applyFill="1" applyBorder="1" applyAlignment="1">
      <alignment horizontal="right" vertical="center" wrapText="1"/>
    </xf>
    <xf numFmtId="2" fontId="15" fillId="0" borderId="260" xfId="0" applyNumberFormat="1" applyFont="1" applyBorder="1"/>
    <xf numFmtId="0" fontId="15" fillId="0" borderId="265" xfId="0" applyFont="1" applyBorder="1"/>
    <xf numFmtId="0" fontId="31" fillId="0" borderId="265" xfId="0" applyFont="1" applyBorder="1"/>
    <xf numFmtId="0" fontId="27" fillId="17" borderId="257" xfId="0" applyFont="1" applyFill="1" applyBorder="1" applyAlignment="1">
      <alignment horizontal="right" vertical="center" wrapText="1"/>
    </xf>
    <xf numFmtId="0" fontId="15" fillId="17" borderId="258" xfId="3" applyNumberFormat="1" applyFont="1" applyFill="1" applyBorder="1" applyAlignment="1">
      <alignment horizontal="left" vertical="top" wrapText="1"/>
    </xf>
    <xf numFmtId="2" fontId="25" fillId="17" borderId="258" xfId="0" applyNumberFormat="1" applyFont="1" applyFill="1" applyBorder="1" applyAlignment="1">
      <alignment horizontal="center" vertical="center" wrapText="1"/>
    </xf>
    <xf numFmtId="0" fontId="15" fillId="4" borderId="247" xfId="3" applyFont="1" applyFill="1" applyBorder="1" applyAlignment="1">
      <alignment horizontal="left" vertical="top" wrapText="1"/>
    </xf>
    <xf numFmtId="0" fontId="15" fillId="4" borderId="184" xfId="3" applyFont="1" applyFill="1" applyBorder="1" applyAlignment="1">
      <alignment horizontal="left" vertical="top" wrapText="1"/>
    </xf>
    <xf numFmtId="0" fontId="15" fillId="4" borderId="175" xfId="3" applyFont="1" applyFill="1" applyBorder="1" applyAlignment="1">
      <alignment horizontal="left" vertical="top" wrapText="1"/>
    </xf>
    <xf numFmtId="0" fontId="15" fillId="4" borderId="176" xfId="3" applyFont="1" applyFill="1" applyBorder="1" applyAlignment="1">
      <alignment horizontal="left" vertical="top" wrapText="1"/>
    </xf>
    <xf numFmtId="0" fontId="32" fillId="27" borderId="78" xfId="10" applyFont="1" applyFill="1" applyBorder="1" applyAlignment="1">
      <alignment horizontal="left" vertical="center" wrapText="1"/>
    </xf>
    <xf numFmtId="0" fontId="0" fillId="27" borderId="241" xfId="0" applyFill="1" applyBorder="1"/>
    <xf numFmtId="0" fontId="0" fillId="27" borderId="9" xfId="0" applyFill="1" applyBorder="1"/>
    <xf numFmtId="0" fontId="0" fillId="27" borderId="229" xfId="0" applyFill="1" applyBorder="1"/>
    <xf numFmtId="0" fontId="44" fillId="27" borderId="235" xfId="8" applyNumberFormat="1" applyFont="1" applyFill="1" applyBorder="1" applyAlignment="1">
      <alignment horizontal="left" vertical="top"/>
    </xf>
    <xf numFmtId="0" fontId="44" fillId="27" borderId="217" xfId="8" applyNumberFormat="1" applyFont="1" applyFill="1" applyBorder="1" applyAlignment="1">
      <alignment horizontal="left" vertical="top"/>
    </xf>
    <xf numFmtId="0" fontId="44" fillId="27" borderId="228" xfId="8" applyNumberFormat="1" applyFont="1" applyFill="1" applyBorder="1" applyAlignment="1">
      <alignment horizontal="left" vertical="top"/>
    </xf>
    <xf numFmtId="0" fontId="22" fillId="27" borderId="247" xfId="3" applyNumberFormat="1" applyFont="1" applyFill="1" applyBorder="1" applyAlignment="1">
      <alignment horizontal="left" vertical="top" wrapText="1"/>
    </xf>
    <xf numFmtId="0" fontId="22" fillId="27" borderId="186" xfId="3" applyNumberFormat="1" applyFont="1" applyFill="1" applyBorder="1" applyAlignment="1">
      <alignment horizontal="left" vertical="top" wrapText="1"/>
    </xf>
    <xf numFmtId="1" fontId="0" fillId="27" borderId="247" xfId="0" applyNumberFormat="1" applyFill="1" applyBorder="1" applyAlignment="1">
      <alignment wrapText="1"/>
    </xf>
    <xf numFmtId="0" fontId="0" fillId="27" borderId="253" xfId="0" applyFill="1" applyBorder="1" applyAlignment="1">
      <alignment wrapText="1"/>
    </xf>
    <xf numFmtId="0" fontId="0" fillId="27" borderId="9" xfId="0" applyFill="1" applyBorder="1" applyAlignment="1">
      <alignment wrapText="1"/>
    </xf>
    <xf numFmtId="14" fontId="0" fillId="0" borderId="109" xfId="0" applyNumberFormat="1" applyBorder="1"/>
    <xf numFmtId="0" fontId="16" fillId="0" borderId="185" xfId="0" applyFont="1" applyBorder="1" applyAlignment="1">
      <alignment vertical="center"/>
    </xf>
    <xf numFmtId="9" fontId="43" fillId="0" borderId="234" xfId="0" applyNumberFormat="1" applyFont="1" applyFill="1" applyBorder="1"/>
    <xf numFmtId="14" fontId="0" fillId="0" borderId="177" xfId="0" applyNumberFormat="1" applyFill="1" applyBorder="1" applyAlignment="1">
      <alignment horizontal="left"/>
    </xf>
    <xf numFmtId="2" fontId="27" fillId="17" borderId="79" xfId="0" applyNumberFormat="1" applyFont="1" applyFill="1" applyBorder="1" applyAlignment="1">
      <alignment horizontal="right" vertical="center" wrapText="1"/>
    </xf>
    <xf numFmtId="2" fontId="15" fillId="0" borderId="0" xfId="0" applyNumberFormat="1" applyFont="1"/>
    <xf numFmtId="2" fontId="23" fillId="0" borderId="73" xfId="0" applyNumberFormat="1" applyFont="1" applyBorder="1"/>
    <xf numFmtId="0" fontId="23" fillId="0" borderId="59" xfId="0" applyFont="1" applyFill="1" applyBorder="1"/>
    <xf numFmtId="9" fontId="23" fillId="0" borderId="59" xfId="0" applyNumberFormat="1" applyFont="1" applyFill="1" applyBorder="1"/>
    <xf numFmtId="0" fontId="23" fillId="0" borderId="74" xfId="0" applyFont="1" applyBorder="1" applyAlignment="1">
      <alignment horizontal="center" vertical="center"/>
    </xf>
    <xf numFmtId="2" fontId="23" fillId="0" borderId="262" xfId="0" applyNumberFormat="1" applyFont="1" applyBorder="1"/>
    <xf numFmtId="0" fontId="23" fillId="0" borderId="263" xfId="0" applyFont="1" applyBorder="1" applyAlignment="1">
      <alignment horizontal="center" vertical="center"/>
    </xf>
    <xf numFmtId="0" fontId="23" fillId="0" borderId="263" xfId="0" applyFont="1" applyFill="1" applyBorder="1" applyAlignment="1">
      <alignment horizontal="center"/>
    </xf>
    <xf numFmtId="2" fontId="23" fillId="0" borderId="260" xfId="0" applyNumberFormat="1" applyFont="1" applyBorder="1"/>
    <xf numFmtId="0" fontId="23" fillId="0" borderId="265" xfId="0" applyFont="1" applyBorder="1"/>
    <xf numFmtId="0" fontId="15" fillId="17" borderId="59" xfId="3" applyNumberFormat="1" applyFont="1" applyFill="1" applyBorder="1" applyAlignment="1">
      <alignment horizontal="left" vertical="top" wrapText="1"/>
    </xf>
    <xf numFmtId="2" fontId="25" fillId="17" borderId="74" xfId="0" applyNumberFormat="1" applyFont="1" applyFill="1" applyBorder="1" applyAlignment="1">
      <alignment horizontal="center" vertical="center" wrapText="1"/>
    </xf>
    <xf numFmtId="2" fontId="25" fillId="17" borderId="263" xfId="0" applyNumberFormat="1" applyFont="1" applyFill="1" applyBorder="1" applyAlignment="1">
      <alignment horizontal="center" vertical="center" wrapText="1"/>
    </xf>
    <xf numFmtId="2" fontId="0" fillId="0" borderId="260" xfId="0" applyNumberFormat="1" applyBorder="1"/>
    <xf numFmtId="9" fontId="0" fillId="0" borderId="265" xfId="0" applyNumberFormat="1" applyFill="1" applyBorder="1"/>
    <xf numFmtId="2" fontId="25" fillId="17" borderId="257" xfId="0" applyNumberFormat="1" applyFont="1" applyFill="1" applyBorder="1" applyAlignment="1">
      <alignment horizontal="center" vertical="center" wrapText="1"/>
    </xf>
    <xf numFmtId="9" fontId="0" fillId="0" borderId="234" xfId="0" applyNumberFormat="1" applyFill="1" applyBorder="1"/>
    <xf numFmtId="2" fontId="0" fillId="0" borderId="162" xfId="0" applyNumberFormat="1" applyBorder="1"/>
    <xf numFmtId="0" fontId="0" fillId="11" borderId="59" xfId="0" applyFill="1" applyBorder="1"/>
    <xf numFmtId="0" fontId="0" fillId="11" borderId="258" xfId="0" applyFill="1" applyBorder="1"/>
    <xf numFmtId="0" fontId="0" fillId="11" borderId="265" xfId="0" applyFill="1" applyBorder="1"/>
    <xf numFmtId="0" fontId="32" fillId="11" borderId="126" xfId="10" applyFont="1" applyFill="1" applyBorder="1" applyAlignment="1">
      <alignment horizontal="left" vertical="center" wrapText="1"/>
    </xf>
    <xf numFmtId="9" fontId="43" fillId="11" borderId="9" xfId="0" applyNumberFormat="1" applyFont="1" applyFill="1" applyBorder="1"/>
    <xf numFmtId="2" fontId="44" fillId="11" borderId="79" xfId="8" applyNumberFormat="1" applyFont="1" applyFill="1" applyBorder="1" applyAlignment="1">
      <alignment horizontal="right" vertical="top"/>
    </xf>
    <xf numFmtId="0" fontId="0" fillId="11" borderId="247" xfId="0" applyFill="1" applyBorder="1"/>
    <xf numFmtId="9" fontId="43" fillId="11" borderId="247" xfId="0" applyNumberFormat="1" applyFont="1" applyFill="1" applyBorder="1"/>
    <xf numFmtId="0" fontId="0" fillId="4" borderId="186" xfId="0" applyFill="1" applyBorder="1"/>
    <xf numFmtId="0" fontId="15" fillId="0" borderId="59" xfId="3" applyFont="1" applyFill="1" applyBorder="1" applyAlignment="1">
      <alignment horizontal="left" vertical="top" wrapText="1"/>
    </xf>
    <xf numFmtId="0" fontId="0" fillId="0" borderId="135" xfId="0" applyBorder="1"/>
    <xf numFmtId="9" fontId="0" fillId="0" borderId="241" xfId="0" applyNumberFormat="1" applyFont="1" applyBorder="1"/>
    <xf numFmtId="0" fontId="0" fillId="0" borderId="261" xfId="0" applyFill="1" applyBorder="1"/>
    <xf numFmtId="0" fontId="15" fillId="21" borderId="258" xfId="3" applyNumberFormat="1" applyFont="1" applyFill="1" applyBorder="1" applyAlignment="1">
      <alignment horizontal="left" vertical="top" wrapText="1"/>
    </xf>
    <xf numFmtId="0" fontId="0" fillId="21" borderId="258" xfId="0" applyFill="1" applyBorder="1"/>
    <xf numFmtId="9" fontId="0" fillId="21" borderId="258" xfId="0" applyNumberFormat="1" applyFill="1" applyBorder="1"/>
    <xf numFmtId="2" fontId="25" fillId="21" borderId="263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0" fillId="28" borderId="258" xfId="0" applyFill="1" applyBorder="1"/>
    <xf numFmtId="9" fontId="0" fillId="28" borderId="258" xfId="0" applyNumberFormat="1" applyFill="1" applyBorder="1"/>
    <xf numFmtId="2" fontId="25" fillId="28" borderId="263" xfId="0" applyNumberFormat="1" applyFont="1" applyFill="1" applyBorder="1" applyAlignment="1">
      <alignment horizontal="center" vertical="center" wrapText="1"/>
    </xf>
    <xf numFmtId="0" fontId="0" fillId="28" borderId="0" xfId="0" applyFill="1"/>
    <xf numFmtId="0" fontId="22" fillId="17" borderId="261" xfId="0" applyNumberFormat="1" applyFont="1" applyFill="1" applyBorder="1" applyAlignment="1">
      <alignment horizontal="left" vertical="top" wrapText="1"/>
    </xf>
    <xf numFmtId="9" fontId="0" fillId="0" borderId="261" xfId="0" applyNumberFormat="1" applyFill="1" applyBorder="1"/>
    <xf numFmtId="9" fontId="0" fillId="0" borderId="249" xfId="0" applyNumberFormat="1" applyFont="1" applyBorder="1"/>
    <xf numFmtId="0" fontId="0" fillId="0" borderId="249" xfId="0" applyFont="1" applyFill="1" applyBorder="1"/>
    <xf numFmtId="0" fontId="22" fillId="0" borderId="249" xfId="3" applyNumberFormat="1" applyFont="1" applyBorder="1" applyAlignment="1">
      <alignment horizontal="left" vertical="top" wrapText="1"/>
    </xf>
    <xf numFmtId="9" fontId="0" fillId="0" borderId="249" xfId="1" applyFont="1" applyBorder="1"/>
    <xf numFmtId="0" fontId="0" fillId="23" borderId="0" xfId="0" applyFill="1"/>
    <xf numFmtId="0" fontId="51" fillId="29" borderId="217" xfId="8" applyNumberFormat="1" applyFont="1" applyFill="1" applyBorder="1" applyAlignment="1">
      <alignment horizontal="left" vertical="top"/>
    </xf>
    <xf numFmtId="0" fontId="3" fillId="29" borderId="9" xfId="3" applyNumberFormat="1" applyFont="1" applyFill="1" applyBorder="1" applyAlignment="1">
      <alignment horizontal="left" vertical="top" wrapText="1"/>
    </xf>
    <xf numFmtId="0" fontId="3" fillId="29" borderId="258" xfId="0" applyFont="1" applyFill="1" applyBorder="1"/>
    <xf numFmtId="0" fontId="52" fillId="29" borderId="258" xfId="3" applyNumberFormat="1" applyFont="1" applyFill="1" applyBorder="1" applyAlignment="1">
      <alignment horizontal="left" vertical="top" wrapText="1"/>
    </xf>
    <xf numFmtId="0" fontId="53" fillId="29" borderId="78" xfId="10" applyFont="1" applyFill="1" applyBorder="1" applyAlignment="1">
      <alignment horizontal="left" vertical="center" wrapText="1"/>
    </xf>
    <xf numFmtId="0" fontId="51" fillId="29" borderId="228" xfId="8" applyNumberFormat="1" applyFont="1" applyFill="1" applyBorder="1" applyAlignment="1">
      <alignment horizontal="left" vertical="top"/>
    </xf>
    <xf numFmtId="0" fontId="51" fillId="29" borderId="235" xfId="8" applyNumberFormat="1" applyFont="1" applyFill="1" applyBorder="1" applyAlignment="1">
      <alignment horizontal="left" vertical="top"/>
    </xf>
    <xf numFmtId="1" fontId="3" fillId="29" borderId="258" xfId="0" applyNumberFormat="1" applyFont="1" applyFill="1" applyBorder="1" applyAlignment="1">
      <alignment wrapText="1"/>
    </xf>
    <xf numFmtId="0" fontId="3" fillId="29" borderId="215" xfId="0" applyFont="1" applyFill="1" applyBorder="1" applyAlignment="1">
      <alignment wrapText="1"/>
    </xf>
    <xf numFmtId="0" fontId="52" fillId="29" borderId="186" xfId="3" applyNumberFormat="1" applyFont="1" applyFill="1" applyBorder="1" applyAlignment="1">
      <alignment horizontal="left" vertical="top" wrapText="1"/>
    </xf>
    <xf numFmtId="0" fontId="3" fillId="29" borderId="253" xfId="0" applyFont="1" applyFill="1" applyBorder="1" applyAlignment="1">
      <alignment wrapText="1"/>
    </xf>
    <xf numFmtId="0" fontId="3" fillId="29" borderId="258" xfId="3" applyNumberFormat="1" applyFont="1" applyFill="1" applyBorder="1" applyAlignment="1">
      <alignment horizontal="left" vertical="top" wrapText="1"/>
    </xf>
    <xf numFmtId="0" fontId="3" fillId="29" borderId="0" xfId="0" applyFont="1" applyFill="1"/>
    <xf numFmtId="0" fontId="52" fillId="29" borderId="258" xfId="0" applyNumberFormat="1" applyFont="1" applyFill="1" applyBorder="1" applyAlignment="1">
      <alignment horizontal="left" vertical="top" wrapText="1"/>
    </xf>
    <xf numFmtId="0" fontId="3" fillId="29" borderId="0" xfId="0" applyFont="1" applyFill="1" applyBorder="1"/>
    <xf numFmtId="0" fontId="52" fillId="29" borderId="265" xfId="0" applyNumberFormat="1" applyFont="1" applyFill="1" applyBorder="1" applyAlignment="1">
      <alignment horizontal="left" vertical="top" wrapText="1"/>
    </xf>
    <xf numFmtId="2" fontId="25" fillId="0" borderId="263" xfId="0" applyNumberFormat="1" applyFont="1" applyFill="1" applyBorder="1" applyAlignment="1">
      <alignment horizontal="center" vertical="center" wrapText="1"/>
    </xf>
    <xf numFmtId="0" fontId="15" fillId="0" borderId="258" xfId="3" applyNumberFormat="1" applyFont="1" applyFill="1" applyBorder="1" applyAlignment="1">
      <alignment horizontal="left" vertical="top" wrapText="1"/>
    </xf>
    <xf numFmtId="2" fontId="25" fillId="0" borderId="74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0" fillId="0" borderId="0" xfId="0" quotePrefix="1"/>
    <xf numFmtId="0" fontId="1" fillId="0" borderId="24" xfId="0" applyFont="1" applyFill="1" applyBorder="1" applyAlignment="1">
      <alignment horizontal="center" vertical="center" wrapText="1"/>
    </xf>
    <xf numFmtId="0" fontId="1" fillId="0" borderId="64" xfId="0" applyFont="1" applyFill="1" applyBorder="1" applyAlignment="1">
      <alignment horizontal="center" vertical="center" wrapText="1"/>
    </xf>
    <xf numFmtId="4" fontId="0" fillId="0" borderId="205" xfId="0" applyNumberFormat="1" applyFill="1" applyBorder="1" applyAlignment="1">
      <alignment horizontal="center" vertical="center"/>
    </xf>
    <xf numFmtId="0" fontId="1" fillId="0" borderId="229" xfId="0" applyFont="1" applyFill="1" applyBorder="1" applyAlignment="1">
      <alignment horizontal="center" vertical="center" wrapText="1"/>
    </xf>
    <xf numFmtId="0" fontId="1" fillId="0" borderId="22" xfId="0" applyFont="1" applyFill="1" applyBorder="1" applyAlignment="1">
      <alignment horizontal="center" vertical="center" wrapText="1"/>
    </xf>
    <xf numFmtId="9" fontId="0" fillId="0" borderId="241" xfId="0" applyNumberFormat="1" applyFill="1" applyBorder="1"/>
    <xf numFmtId="0" fontId="3" fillId="4" borderId="0" xfId="0" applyFont="1" applyFill="1"/>
    <xf numFmtId="2" fontId="0" fillId="0" borderId="263" xfId="0" applyNumberFormat="1" applyFont="1" applyBorder="1" applyAlignment="1">
      <alignment vertical="center"/>
    </xf>
    <xf numFmtId="0" fontId="0" fillId="0" borderId="104" xfId="0" applyBorder="1" applyAlignment="1">
      <alignment vertical="center"/>
    </xf>
    <xf numFmtId="9" fontId="0" fillId="0" borderId="265" xfId="0" applyNumberFormat="1" applyBorder="1" applyAlignment="1">
      <alignment vertical="center"/>
    </xf>
    <xf numFmtId="2" fontId="0" fillId="0" borderId="265" xfId="0" applyNumberFormat="1" applyBorder="1" applyAlignment="1">
      <alignment vertical="center"/>
    </xf>
    <xf numFmtId="2" fontId="0" fillId="0" borderId="257" xfId="0" applyNumberFormat="1" applyFont="1" applyBorder="1" applyAlignment="1">
      <alignment vertical="center"/>
    </xf>
    <xf numFmtId="2" fontId="0" fillId="0" borderId="270" xfId="0" applyNumberFormat="1" applyFont="1" applyFill="1" applyBorder="1"/>
    <xf numFmtId="0" fontId="0" fillId="0" borderId="270" xfId="0" applyBorder="1"/>
    <xf numFmtId="167" fontId="0" fillId="0" borderId="23" xfId="0" applyNumberFormat="1" applyBorder="1"/>
    <xf numFmtId="0" fontId="31" fillId="0" borderId="9" xfId="0" applyFont="1" applyBorder="1"/>
    <xf numFmtId="0" fontId="31" fillId="0" borderId="185" xfId="0" applyFont="1" applyBorder="1"/>
    <xf numFmtId="0" fontId="0" fillId="0" borderId="241" xfId="0" applyFont="1" applyFill="1" applyBorder="1"/>
    <xf numFmtId="0" fontId="22" fillId="0" borderId="241" xfId="3" applyNumberFormat="1" applyFont="1" applyBorder="1" applyAlignment="1">
      <alignment horizontal="left" vertical="top" wrapText="1"/>
    </xf>
    <xf numFmtId="9" fontId="0" fillId="0" borderId="241" xfId="1" applyFont="1" applyBorder="1"/>
    <xf numFmtId="2" fontId="26" fillId="0" borderId="273" xfId="3" applyNumberFormat="1" applyFont="1" applyFill="1" applyBorder="1" applyAlignment="1">
      <alignment horizontal="center" vertical="center" wrapText="1"/>
    </xf>
    <xf numFmtId="0" fontId="0" fillId="0" borderId="274" xfId="0" applyFont="1" applyFill="1" applyBorder="1"/>
    <xf numFmtId="0" fontId="22" fillId="0" borderId="274" xfId="3" applyNumberFormat="1" applyFont="1" applyBorder="1" applyAlignment="1">
      <alignment horizontal="left" vertical="top" wrapText="1"/>
    </xf>
    <xf numFmtId="9" fontId="0" fillId="0" borderId="274" xfId="1" applyFont="1" applyBorder="1"/>
    <xf numFmtId="0" fontId="0" fillId="0" borderId="274" xfId="0" applyFill="1" applyBorder="1"/>
    <xf numFmtId="0" fontId="3" fillId="29" borderId="175" xfId="0" applyFont="1" applyFill="1" applyBorder="1" applyAlignment="1">
      <alignment horizontal="left" vertical="top" wrapText="1"/>
    </xf>
    <xf numFmtId="0" fontId="3" fillId="29" borderId="9" xfId="0" applyFont="1" applyFill="1" applyBorder="1"/>
    <xf numFmtId="0" fontId="51" fillId="29" borderId="269" xfId="8" applyNumberFormat="1" applyFont="1" applyFill="1" applyBorder="1" applyAlignment="1">
      <alignment horizontal="left" vertical="top"/>
    </xf>
    <xf numFmtId="0" fontId="3" fillId="29" borderId="265" xfId="0" applyFont="1" applyFill="1" applyBorder="1"/>
    <xf numFmtId="0" fontId="15" fillId="0" borderId="274" xfId="3" applyFont="1" applyFill="1" applyBorder="1" applyAlignment="1">
      <alignment horizontal="left" vertical="top" wrapText="1"/>
    </xf>
    <xf numFmtId="9" fontId="43" fillId="0" borderId="274" xfId="0" applyNumberFormat="1" applyFont="1" applyFill="1" applyBorder="1"/>
    <xf numFmtId="2" fontId="15" fillId="0" borderId="273" xfId="3" applyNumberFormat="1" applyFont="1" applyFill="1" applyBorder="1" applyAlignment="1">
      <alignment horizontal="right" vertical="center" wrapText="1"/>
    </xf>
    <xf numFmtId="0" fontId="44" fillId="22" borderId="274" xfId="8" applyNumberFormat="1" applyFont="1" applyFill="1" applyBorder="1" applyAlignment="1">
      <alignment horizontal="left" vertical="top"/>
    </xf>
    <xf numFmtId="9" fontId="0" fillId="0" borderId="274" xfId="0" applyNumberFormat="1" applyFill="1" applyBorder="1"/>
    <xf numFmtId="0" fontId="27" fillId="0" borderId="273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0" fillId="0" borderId="274" xfId="0" applyBorder="1"/>
    <xf numFmtId="4" fontId="0" fillId="0" borderId="273" xfId="0" applyNumberFormat="1" applyFill="1" applyBorder="1"/>
    <xf numFmtId="2" fontId="0" fillId="0" borderId="260" xfId="0" applyNumberFormat="1" applyFill="1" applyBorder="1"/>
    <xf numFmtId="0" fontId="44" fillId="22" borderId="265" xfId="8" applyNumberFormat="1" applyFont="1" applyFill="1" applyBorder="1" applyAlignment="1">
      <alignment horizontal="left" vertical="top"/>
    </xf>
    <xf numFmtId="4" fontId="0" fillId="0" borderId="257" xfId="0" applyNumberFormat="1" applyFill="1" applyBorder="1"/>
    <xf numFmtId="0" fontId="23" fillId="0" borderId="274" xfId="0" applyFont="1" applyBorder="1"/>
    <xf numFmtId="0" fontId="23" fillId="0" borderId="274" xfId="0" applyFont="1" applyFill="1" applyBorder="1"/>
    <xf numFmtId="0" fontId="49" fillId="0" borderId="274" xfId="0" applyFont="1" applyBorder="1" applyAlignment="1">
      <alignment vertical="center" wrapText="1"/>
    </xf>
    <xf numFmtId="9" fontId="23" fillId="0" borderId="274" xfId="0" applyNumberFormat="1" applyFont="1" applyFill="1" applyBorder="1"/>
    <xf numFmtId="0" fontId="23" fillId="0" borderId="273" xfId="0" applyFont="1" applyBorder="1" applyAlignment="1">
      <alignment horizontal="center" vertical="center"/>
    </xf>
    <xf numFmtId="0" fontId="23" fillId="0" borderId="273" xfId="0" applyFont="1" applyFill="1" applyBorder="1" applyAlignment="1">
      <alignment horizontal="center"/>
    </xf>
    <xf numFmtId="0" fontId="23" fillId="0" borderId="273" xfId="0" applyFont="1" applyFill="1" applyBorder="1"/>
    <xf numFmtId="0" fontId="31" fillId="0" borderId="274" xfId="0" applyFont="1" applyBorder="1"/>
    <xf numFmtId="9" fontId="0" fillId="0" borderId="274" xfId="0" applyNumberFormat="1" applyFont="1" applyBorder="1"/>
    <xf numFmtId="0" fontId="0" fillId="0" borderId="273" xfId="0" applyBorder="1"/>
    <xf numFmtId="0" fontId="0" fillId="0" borderId="273" xfId="0" applyFill="1" applyBorder="1"/>
    <xf numFmtId="0" fontId="0" fillId="0" borderId="257" xfId="0" applyFill="1" applyBorder="1"/>
    <xf numFmtId="0" fontId="15" fillId="0" borderId="274" xfId="3" applyNumberFormat="1" applyFont="1" applyFill="1" applyBorder="1" applyAlignment="1">
      <alignment horizontal="left" vertical="top" wrapText="1"/>
    </xf>
    <xf numFmtId="2" fontId="25" fillId="0" borderId="273" xfId="0" applyNumberFormat="1" applyFont="1" applyFill="1" applyBorder="1" applyAlignment="1">
      <alignment horizontal="center" vertical="center" wrapText="1"/>
    </xf>
    <xf numFmtId="0" fontId="22" fillId="17" borderId="265" xfId="0" applyNumberFormat="1" applyFont="1" applyFill="1" applyBorder="1" applyAlignment="1">
      <alignment horizontal="left" vertical="top" wrapText="1"/>
    </xf>
    <xf numFmtId="14" fontId="0" fillId="0" borderId="73" xfId="0" applyNumberFormat="1" applyBorder="1"/>
    <xf numFmtId="14" fontId="0" fillId="0" borderId="262" xfId="0" applyNumberFormat="1" applyBorder="1"/>
    <xf numFmtId="0" fontId="0" fillId="0" borderId="274" xfId="0" applyFont="1" applyBorder="1"/>
    <xf numFmtId="2" fontId="0" fillId="0" borderId="274" xfId="0" applyNumberFormat="1" applyBorder="1" applyAlignment="1">
      <alignment vertical="center"/>
    </xf>
    <xf numFmtId="1" fontId="0" fillId="0" borderId="274" xfId="0" applyNumberFormat="1" applyFill="1" applyBorder="1" applyAlignment="1">
      <alignment wrapText="1"/>
    </xf>
    <xf numFmtId="0" fontId="44" fillId="22" borderId="275" xfId="8" applyNumberFormat="1" applyFont="1" applyFill="1" applyBorder="1" applyAlignment="1">
      <alignment horizontal="left" vertical="top"/>
    </xf>
    <xf numFmtId="0" fontId="0" fillId="0" borderId="276" xfId="0" applyFill="1" applyBorder="1"/>
    <xf numFmtId="0" fontId="0" fillId="0" borderId="271" xfId="0" applyBorder="1"/>
    <xf numFmtId="0" fontId="0" fillId="0" borderId="271" xfId="0" applyFill="1" applyBorder="1"/>
    <xf numFmtId="0" fontId="44" fillId="22" borderId="277" xfId="8" applyNumberFormat="1" applyFont="1" applyFill="1" applyBorder="1" applyAlignment="1">
      <alignment horizontal="left" vertical="top"/>
    </xf>
    <xf numFmtId="0" fontId="0" fillId="0" borderId="278" xfId="0" applyFill="1" applyBorder="1"/>
    <xf numFmtId="1" fontId="0" fillId="0" borderId="276" xfId="0" applyNumberFormat="1" applyFill="1" applyBorder="1" applyAlignment="1">
      <alignment wrapText="1"/>
    </xf>
    <xf numFmtId="2" fontId="0" fillId="0" borderId="276" xfId="0" applyNumberFormat="1" applyBorder="1" applyAlignment="1">
      <alignment vertical="center"/>
    </xf>
    <xf numFmtId="9" fontId="0" fillId="0" borderId="276" xfId="0" applyNumberFormat="1" applyBorder="1" applyAlignment="1">
      <alignment horizontal="center" vertical="center"/>
    </xf>
    <xf numFmtId="9" fontId="0" fillId="0" borderId="59" xfId="1" applyNumberFormat="1" applyFont="1" applyBorder="1"/>
    <xf numFmtId="0" fontId="0" fillId="0" borderId="276" xfId="0" applyFont="1" applyFill="1" applyBorder="1"/>
    <xf numFmtId="0" fontId="22" fillId="0" borderId="276" xfId="3" applyNumberFormat="1" applyFont="1" applyBorder="1" applyAlignment="1">
      <alignment horizontal="left" vertical="top" wrapText="1"/>
    </xf>
    <xf numFmtId="9" fontId="0" fillId="0" borderId="276" xfId="1" applyFont="1" applyBorder="1"/>
    <xf numFmtId="9" fontId="0" fillId="0" borderId="104" xfId="0" applyNumberFormat="1" applyFont="1" applyBorder="1"/>
    <xf numFmtId="9" fontId="0" fillId="0" borderId="276" xfId="0" applyNumberFormat="1" applyBorder="1" applyAlignment="1">
      <alignment vertical="center"/>
    </xf>
    <xf numFmtId="2" fontId="0" fillId="0" borderId="276" xfId="0" applyNumberFormat="1" applyFont="1" applyBorder="1" applyAlignment="1">
      <alignment vertical="center"/>
    </xf>
    <xf numFmtId="0" fontId="49" fillId="0" borderId="276" xfId="0" applyFont="1" applyBorder="1" applyAlignment="1">
      <alignment vertical="center" wrapText="1"/>
    </xf>
    <xf numFmtId="0" fontId="0" fillId="0" borderId="276" xfId="0" applyBorder="1"/>
    <xf numFmtId="9" fontId="43" fillId="0" borderId="276" xfId="0" applyNumberFormat="1" applyFont="1" applyFill="1" applyBorder="1"/>
    <xf numFmtId="4" fontId="0" fillId="0" borderId="273" xfId="0" applyNumberFormat="1" applyBorder="1" applyAlignment="1">
      <alignment horizontal="center" vertical="center"/>
    </xf>
    <xf numFmtId="4" fontId="0" fillId="0" borderId="79" xfId="0" applyNumberFormat="1" applyFill="1" applyBorder="1" applyAlignment="1">
      <alignment horizontal="right"/>
    </xf>
    <xf numFmtId="4" fontId="46" fillId="24" borderId="0" xfId="0" applyNumberFormat="1" applyFont="1" applyFill="1" applyBorder="1" applyAlignment="1">
      <alignment vertical="center" wrapText="1"/>
    </xf>
    <xf numFmtId="0" fontId="0" fillId="0" borderId="278" xfId="0" applyBorder="1"/>
    <xf numFmtId="9" fontId="0" fillId="0" borderId="276" xfId="0" applyNumberFormat="1" applyFill="1" applyBorder="1"/>
    <xf numFmtId="0" fontId="27" fillId="0" borderId="273" xfId="0" applyFont="1" applyBorder="1" applyAlignment="1">
      <alignment horizontal="right" vertical="center"/>
    </xf>
    <xf numFmtId="0" fontId="27" fillId="0" borderId="0" xfId="0" applyFont="1" applyBorder="1" applyAlignment="1">
      <alignment vertical="center"/>
    </xf>
    <xf numFmtId="0" fontId="0" fillId="0" borderId="276" xfId="0" applyFont="1" applyBorder="1"/>
    <xf numFmtId="9" fontId="0" fillId="0" borderId="276" xfId="0" applyNumberFormat="1" applyFont="1" applyBorder="1"/>
    <xf numFmtId="0" fontId="16" fillId="0" borderId="276" xfId="0" applyFont="1" applyBorder="1" applyAlignment="1">
      <alignment vertical="center"/>
    </xf>
    <xf numFmtId="0" fontId="23" fillId="0" borderId="276" xfId="0" applyFont="1" applyBorder="1"/>
    <xf numFmtId="2" fontId="23" fillId="0" borderId="74" xfId="0" applyNumberFormat="1" applyFont="1" applyBorder="1" applyAlignment="1">
      <alignment vertical="center"/>
    </xf>
    <xf numFmtId="0" fontId="23" fillId="0" borderId="276" xfId="0" applyFont="1" applyFill="1" applyBorder="1"/>
    <xf numFmtId="9" fontId="23" fillId="0" borderId="276" xfId="0" applyNumberFormat="1" applyFont="1" applyFill="1" applyBorder="1"/>
    <xf numFmtId="2" fontId="23" fillId="0" borderId="273" xfId="0" applyNumberFormat="1" applyFont="1" applyBorder="1" applyAlignment="1">
      <alignment vertical="center"/>
    </xf>
    <xf numFmtId="2" fontId="23" fillId="0" borderId="273" xfId="0" applyNumberFormat="1" applyFont="1" applyFill="1" applyBorder="1" applyAlignment="1"/>
    <xf numFmtId="0" fontId="16" fillId="0" borderId="273" xfId="0" applyFont="1" applyBorder="1" applyAlignment="1">
      <alignment vertical="center"/>
    </xf>
    <xf numFmtId="0" fontId="15" fillId="0" borderId="9" xfId="3" applyNumberFormat="1" applyFont="1" applyFill="1" applyBorder="1" applyAlignment="1">
      <alignment horizontal="left" vertical="top" wrapText="1"/>
    </xf>
    <xf numFmtId="2" fontId="25" fillId="0" borderId="79" xfId="0" applyNumberFormat="1" applyFont="1" applyFill="1" applyBorder="1" applyAlignment="1">
      <alignment horizontal="center" vertical="center" wrapText="1"/>
    </xf>
    <xf numFmtId="0" fontId="15" fillId="0" borderId="276" xfId="3" applyNumberFormat="1" applyFont="1" applyFill="1" applyBorder="1" applyAlignment="1">
      <alignment horizontal="left" vertical="top" wrapText="1"/>
    </xf>
    <xf numFmtId="2" fontId="25" fillId="17" borderId="273" xfId="0" applyNumberFormat="1" applyFont="1" applyFill="1" applyBorder="1" applyAlignment="1">
      <alignment horizontal="center" vertical="center" wrapText="1"/>
    </xf>
    <xf numFmtId="2" fontId="25" fillId="0" borderId="257" xfId="0" applyNumberFormat="1" applyFont="1" applyFill="1" applyBorder="1" applyAlignment="1">
      <alignment horizontal="center" vertical="center" wrapText="1"/>
    </xf>
    <xf numFmtId="0" fontId="0" fillId="0" borderId="278" xfId="0" applyFont="1" applyFill="1" applyBorder="1"/>
    <xf numFmtId="0" fontId="22" fillId="0" borderId="278" xfId="3" applyNumberFormat="1" applyFont="1" applyBorder="1" applyAlignment="1">
      <alignment horizontal="left" vertical="top" wrapText="1"/>
    </xf>
    <xf numFmtId="2" fontId="26" fillId="0" borderId="279" xfId="3" applyNumberFormat="1" applyFont="1" applyFill="1" applyBorder="1" applyAlignment="1">
      <alignment horizontal="center" vertical="center" wrapText="1"/>
    </xf>
    <xf numFmtId="2" fontId="0" fillId="0" borderId="109" xfId="0" applyNumberFormat="1" applyFont="1" applyFill="1" applyBorder="1"/>
    <xf numFmtId="4" fontId="0" fillId="0" borderId="79" xfId="0" applyNumberFormat="1" applyFont="1" applyFill="1" applyBorder="1" applyAlignment="1">
      <alignment horizontal="right"/>
    </xf>
    <xf numFmtId="4" fontId="21" fillId="24" borderId="0" xfId="0" applyNumberFormat="1" applyFont="1" applyFill="1" applyBorder="1" applyAlignment="1">
      <alignment vertical="center" wrapText="1"/>
    </xf>
    <xf numFmtId="2" fontId="0" fillId="0" borderId="262" xfId="0" applyNumberFormat="1" applyFont="1" applyFill="1" applyBorder="1"/>
    <xf numFmtId="0" fontId="48" fillId="22" borderId="276" xfId="8" applyNumberFormat="1" applyFont="1" applyFill="1" applyBorder="1" applyAlignment="1">
      <alignment horizontal="left" vertical="top"/>
    </xf>
    <xf numFmtId="9" fontId="0" fillId="0" borderId="276" xfId="0" applyNumberFormat="1" applyFont="1" applyFill="1" applyBorder="1"/>
    <xf numFmtId="4" fontId="0" fillId="0" borderId="273" xfId="0" applyNumberFormat="1" applyFont="1" applyFill="1" applyBorder="1" applyAlignment="1">
      <alignment horizontal="right"/>
    </xf>
    <xf numFmtId="0" fontId="15" fillId="0" borderId="273" xfId="0" applyFont="1" applyBorder="1" applyAlignment="1">
      <alignment horizontal="right" vertical="center"/>
    </xf>
    <xf numFmtId="0" fontId="15" fillId="0" borderId="0" xfId="0" applyFont="1" applyBorder="1" applyAlignment="1">
      <alignment vertical="center"/>
    </xf>
    <xf numFmtId="4" fontId="0" fillId="0" borderId="273" xfId="0" applyNumberFormat="1" applyFont="1" applyFill="1" applyBorder="1"/>
    <xf numFmtId="4" fontId="21" fillId="24" borderId="0" xfId="0" applyNumberFormat="1" applyFont="1" applyFill="1" applyBorder="1" applyAlignment="1">
      <alignment horizontal="right" vertical="center" wrapText="1"/>
    </xf>
    <xf numFmtId="2" fontId="0" fillId="0" borderId="260" xfId="0" applyNumberFormat="1" applyFont="1" applyFill="1" applyBorder="1"/>
    <xf numFmtId="0" fontId="48" fillId="22" borderId="265" xfId="8" applyNumberFormat="1" applyFont="1" applyFill="1" applyBorder="1" applyAlignment="1">
      <alignment horizontal="left" vertical="top"/>
    </xf>
    <xf numFmtId="9" fontId="0" fillId="0" borderId="265" xfId="0" applyNumberFormat="1" applyFont="1" applyFill="1" applyBorder="1"/>
    <xf numFmtId="4" fontId="0" fillId="0" borderId="257" xfId="0" applyNumberFormat="1" applyFont="1" applyFill="1" applyBorder="1"/>
    <xf numFmtId="0" fontId="16" fillId="0" borderId="279" xfId="0" applyFont="1" applyBorder="1" applyAlignment="1">
      <alignment vertical="center"/>
    </xf>
    <xf numFmtId="0" fontId="15" fillId="0" borderId="276" xfId="3" applyFont="1" applyFill="1" applyBorder="1" applyAlignment="1">
      <alignment horizontal="left" vertical="top" wrapText="1"/>
    </xf>
    <xf numFmtId="2" fontId="25" fillId="4" borderId="263" xfId="0" applyNumberFormat="1" applyFont="1" applyFill="1" applyBorder="1" applyAlignment="1">
      <alignment horizontal="center" vertical="center" wrapText="1"/>
    </xf>
    <xf numFmtId="0" fontId="54" fillId="0" borderId="276" xfId="0" applyFont="1" applyBorder="1" applyAlignment="1">
      <alignment vertical="center" wrapText="1"/>
    </xf>
    <xf numFmtId="0" fontId="48" fillId="22" borderId="278" xfId="8" applyNumberFormat="1" applyFont="1" applyFill="1" applyBorder="1" applyAlignment="1">
      <alignment horizontal="left" vertical="top"/>
    </xf>
    <xf numFmtId="4" fontId="0" fillId="0" borderId="279" xfId="0" applyNumberFormat="1" applyFont="1" applyFill="1" applyBorder="1"/>
    <xf numFmtId="0" fontId="3" fillId="0" borderId="276" xfId="0" applyFont="1" applyBorder="1"/>
    <xf numFmtId="0" fontId="22" fillId="4" borderId="247" xfId="3" applyNumberFormat="1" applyFont="1" applyFill="1" applyBorder="1" applyAlignment="1">
      <alignment horizontal="left" vertical="top" wrapText="1"/>
    </xf>
    <xf numFmtId="0" fontId="15" fillId="4" borderId="59" xfId="3" applyNumberFormat="1" applyFont="1" applyFill="1" applyBorder="1" applyAlignment="1">
      <alignment horizontal="left" vertical="top" wrapText="1"/>
    </xf>
    <xf numFmtId="0" fontId="15" fillId="4" borderId="258" xfId="3" applyNumberFormat="1" applyFont="1" applyFill="1" applyBorder="1" applyAlignment="1">
      <alignment horizontal="left" vertical="top" wrapText="1"/>
    </xf>
    <xf numFmtId="0" fontId="55" fillId="4" borderId="274" xfId="8" applyNumberFormat="1" applyFont="1" applyFill="1" applyBorder="1" applyAlignment="1">
      <alignment horizontal="left" vertical="top"/>
    </xf>
    <xf numFmtId="0" fontId="55" fillId="4" borderId="235" xfId="8" applyNumberFormat="1" applyFont="1" applyFill="1" applyBorder="1" applyAlignment="1">
      <alignment horizontal="left" vertical="top"/>
    </xf>
    <xf numFmtId="0" fontId="55" fillId="4" borderId="217" xfId="8" applyNumberFormat="1" applyFont="1" applyFill="1" applyBorder="1" applyAlignment="1">
      <alignment horizontal="left" vertical="top"/>
    </xf>
    <xf numFmtId="0" fontId="56" fillId="4" borderId="22" xfId="0" applyFont="1" applyFill="1" applyBorder="1"/>
    <xf numFmtId="0" fontId="56" fillId="4" borderId="258" xfId="3" applyNumberFormat="1" applyFont="1" applyFill="1" applyBorder="1" applyAlignment="1">
      <alignment horizontal="left" vertical="top" wrapText="1"/>
    </xf>
    <xf numFmtId="0" fontId="57" fillId="4" borderId="258" xfId="0" applyFont="1" applyFill="1" applyBorder="1" applyAlignment="1">
      <alignment horizontal="left" vertical="center" wrapText="1"/>
    </xf>
    <xf numFmtId="0" fontId="57" fillId="4" borderId="265" xfId="0" applyFont="1" applyFill="1" applyBorder="1" applyAlignment="1">
      <alignment horizontal="left" vertical="center" wrapText="1"/>
    </xf>
    <xf numFmtId="0" fontId="3" fillId="0" borderId="276" xfId="0" applyFont="1" applyFill="1" applyBorder="1"/>
    <xf numFmtId="9" fontId="3" fillId="0" borderId="276" xfId="0" applyNumberFormat="1" applyFont="1" applyFill="1" applyBorder="1"/>
    <xf numFmtId="2" fontId="58" fillId="0" borderId="273" xfId="0" applyNumberFormat="1" applyFont="1" applyFill="1" applyBorder="1" applyAlignment="1">
      <alignment horizontal="center" vertical="center" wrapText="1"/>
    </xf>
    <xf numFmtId="0" fontId="3" fillId="0" borderId="0" xfId="0" applyFont="1" applyFill="1"/>
    <xf numFmtId="0" fontId="15" fillId="17" borderId="59" xfId="3" applyFont="1" applyFill="1" applyBorder="1" applyAlignment="1">
      <alignment horizontal="left" vertical="top" wrapText="1"/>
    </xf>
    <xf numFmtId="0" fontId="15" fillId="17" borderId="276" xfId="3" applyFont="1" applyFill="1" applyBorder="1" applyAlignment="1">
      <alignment horizontal="left" vertical="top" wrapText="1"/>
    </xf>
    <xf numFmtId="2" fontId="44" fillId="22" borderId="105" xfId="8" applyNumberFormat="1" applyFont="1" applyFill="1" applyBorder="1" applyAlignment="1">
      <alignment horizontal="right" vertical="top"/>
    </xf>
    <xf numFmtId="0" fontId="0" fillId="0" borderId="269" xfId="0" applyBorder="1"/>
    <xf numFmtId="0" fontId="59" fillId="4" borderId="59" xfId="3" applyNumberFormat="1" applyFont="1" applyFill="1" applyBorder="1" applyAlignment="1">
      <alignment horizontal="left" vertical="top" wrapText="1"/>
    </xf>
    <xf numFmtId="0" fontId="59" fillId="4" borderId="276" xfId="0" applyFont="1" applyFill="1" applyBorder="1"/>
    <xf numFmtId="0" fontId="60" fillId="4" borderId="276" xfId="0" applyNumberFormat="1" applyFont="1" applyFill="1" applyBorder="1" applyAlignment="1">
      <alignment horizontal="left" vertical="top" wrapText="1"/>
    </xf>
    <xf numFmtId="0" fontId="59" fillId="4" borderId="276" xfId="3" applyFont="1" applyFill="1" applyBorder="1" applyAlignment="1">
      <alignment horizontal="left" vertical="top" wrapText="1"/>
    </xf>
    <xf numFmtId="0" fontId="59" fillId="4" borderId="265" xfId="0" applyFont="1" applyFill="1" applyBorder="1"/>
    <xf numFmtId="0" fontId="61" fillId="4" borderId="175" xfId="0" applyFont="1" applyFill="1" applyBorder="1" applyAlignment="1">
      <alignment horizontal="left" vertical="top" wrapText="1"/>
    </xf>
    <xf numFmtId="0" fontId="59" fillId="4" borderId="9" xfId="3" applyNumberFormat="1" applyFont="1" applyFill="1" applyBorder="1" applyAlignment="1">
      <alignment horizontal="left" vertical="top" wrapText="1"/>
    </xf>
    <xf numFmtId="0" fontId="62" fillId="4" borderId="217" xfId="8" applyNumberFormat="1" applyFont="1" applyFill="1" applyBorder="1" applyAlignment="1">
      <alignment horizontal="left" vertical="top"/>
    </xf>
    <xf numFmtId="0" fontId="60" fillId="4" borderId="276" xfId="3" applyNumberFormat="1" applyFont="1" applyFill="1" applyBorder="1" applyAlignment="1">
      <alignment horizontal="left" vertical="top" wrapText="1"/>
    </xf>
    <xf numFmtId="0" fontId="60" fillId="4" borderId="265" xfId="3" applyNumberFormat="1" applyFont="1" applyFill="1" applyBorder="1" applyAlignment="1">
      <alignment horizontal="left" vertical="top" wrapText="1"/>
    </xf>
    <xf numFmtId="0" fontId="59" fillId="4" borderId="9" xfId="8" applyNumberFormat="1" applyFont="1" applyFill="1" applyBorder="1" applyAlignment="1">
      <alignment horizontal="left" vertical="top"/>
    </xf>
    <xf numFmtId="0" fontId="62" fillId="4" borderId="276" xfId="8" applyNumberFormat="1" applyFont="1" applyFill="1" applyBorder="1" applyAlignment="1">
      <alignment horizontal="left" vertical="top"/>
    </xf>
    <xf numFmtId="0" fontId="62" fillId="4" borderId="277" xfId="8" applyNumberFormat="1" applyFont="1" applyFill="1" applyBorder="1" applyAlignment="1">
      <alignment horizontal="left" vertical="top"/>
    </xf>
    <xf numFmtId="0" fontId="59" fillId="4" borderId="276" xfId="8" applyNumberFormat="1" applyFont="1" applyFill="1" applyBorder="1" applyAlignment="1">
      <alignment horizontal="left" vertical="top"/>
    </xf>
    <xf numFmtId="0" fontId="14" fillId="22" borderId="280" xfId="8" applyNumberFormat="1" applyFont="1" applyFill="1" applyBorder="1" applyAlignment="1">
      <alignment horizontal="left" vertical="top"/>
    </xf>
    <xf numFmtId="2" fontId="14" fillId="22" borderId="281" xfId="8" applyNumberFormat="1" applyFont="1" applyFill="1" applyBorder="1" applyAlignment="1">
      <alignment horizontal="right" vertical="top"/>
    </xf>
    <xf numFmtId="2" fontId="0" fillId="0" borderId="282" xfId="0" applyNumberFormat="1" applyFill="1" applyBorder="1"/>
    <xf numFmtId="0" fontId="0" fillId="0" borderId="283" xfId="0" applyFill="1" applyBorder="1"/>
    <xf numFmtId="9" fontId="0" fillId="0" borderId="283" xfId="0" applyNumberFormat="1" applyFill="1" applyBorder="1"/>
    <xf numFmtId="0" fontId="3" fillId="0" borderId="283" xfId="0" applyFont="1" applyFill="1" applyBorder="1"/>
    <xf numFmtId="9" fontId="15" fillId="0" borderId="283" xfId="0" applyNumberFormat="1" applyFont="1" applyFill="1" applyBorder="1"/>
    <xf numFmtId="2" fontId="13" fillId="22" borderId="281" xfId="8" applyNumberFormat="1" applyFont="1" applyFill="1" applyBorder="1" applyAlignment="1">
      <alignment horizontal="right" vertical="top"/>
    </xf>
    <xf numFmtId="0" fontId="15" fillId="0" borderId="0" xfId="0" applyFont="1" applyFill="1"/>
    <xf numFmtId="2" fontId="0" fillId="0" borderId="282" xfId="0" applyNumberFormat="1" applyBorder="1"/>
    <xf numFmtId="2" fontId="25" fillId="0" borderId="284" xfId="0" applyNumberFormat="1" applyFont="1" applyFill="1" applyBorder="1" applyAlignment="1">
      <alignment horizontal="center" vertical="center" wrapText="1"/>
    </xf>
    <xf numFmtId="0" fontId="14" fillId="22" borderId="285" xfId="5" applyNumberFormat="1" applyFont="1" applyFill="1" applyBorder="1" applyAlignment="1">
      <alignment horizontal="left" vertical="top"/>
    </xf>
    <xf numFmtId="0" fontId="0" fillId="0" borderId="286" xfId="0" applyFont="1" applyBorder="1"/>
    <xf numFmtId="9" fontId="0" fillId="0" borderId="286" xfId="0" applyNumberFormat="1" applyFont="1" applyBorder="1"/>
    <xf numFmtId="2" fontId="14" fillId="22" borderId="285" xfId="5" applyNumberFormat="1" applyFont="1" applyFill="1" applyBorder="1" applyAlignment="1">
      <alignment horizontal="right" vertical="top"/>
    </xf>
    <xf numFmtId="0" fontId="0" fillId="0" borderId="286" xfId="0" applyBorder="1"/>
    <xf numFmtId="0" fontId="0" fillId="0" borderId="278" xfId="0" applyBorder="1" applyAlignment="1">
      <alignment vertical="center" wrapText="1"/>
    </xf>
    <xf numFmtId="0" fontId="0" fillId="0" borderId="227" xfId="0" applyBorder="1" applyAlignment="1">
      <alignment vertical="center"/>
    </xf>
    <xf numFmtId="2" fontId="0" fillId="0" borderId="273" xfId="0" applyNumberFormat="1" applyFont="1" applyBorder="1" applyAlignment="1">
      <alignment vertical="center"/>
    </xf>
    <xf numFmtId="0" fontId="0" fillId="0" borderId="24" xfId="0" applyBorder="1" applyAlignment="1">
      <alignment vertical="center" wrapText="1"/>
    </xf>
    <xf numFmtId="0" fontId="0" fillId="0" borderId="38" xfId="0" applyBorder="1" applyAlignment="1">
      <alignment vertical="center"/>
    </xf>
    <xf numFmtId="0" fontId="0" fillId="0" borderId="104" xfId="0" applyBorder="1" applyAlignment="1">
      <alignment vertical="center" wrapText="1"/>
    </xf>
    <xf numFmtId="0" fontId="0" fillId="26" borderId="104" xfId="0" applyFill="1" applyBorder="1" applyAlignment="1">
      <alignment wrapText="1"/>
    </xf>
    <xf numFmtId="0" fontId="0" fillId="0" borderId="126" xfId="0" applyBorder="1" applyAlignment="1">
      <alignment vertical="center"/>
    </xf>
    <xf numFmtId="0" fontId="0" fillId="0" borderId="260" xfId="0" applyBorder="1" applyAlignment="1">
      <alignment horizontal="center" vertical="center"/>
    </xf>
    <xf numFmtId="0" fontId="0" fillId="0" borderId="265" xfId="0" applyBorder="1" applyAlignment="1">
      <alignment vertical="center" wrapText="1"/>
    </xf>
    <xf numFmtId="0" fontId="0" fillId="26" borderId="287" xfId="0" applyFill="1" applyBorder="1" applyAlignment="1">
      <alignment wrapText="1"/>
    </xf>
    <xf numFmtId="0" fontId="0" fillId="0" borderId="288" xfId="0" applyBorder="1" applyAlignment="1">
      <alignment vertical="center"/>
    </xf>
    <xf numFmtId="1" fontId="0" fillId="0" borderId="265" xfId="0" applyNumberFormat="1" applyFill="1" applyBorder="1" applyAlignment="1">
      <alignment wrapText="1"/>
    </xf>
    <xf numFmtId="0" fontId="0" fillId="0" borderId="289" xfId="0" applyBorder="1"/>
    <xf numFmtId="0" fontId="0" fillId="0" borderId="290" xfId="0" applyFill="1" applyBorder="1"/>
    <xf numFmtId="0" fontId="44" fillId="22" borderId="291" xfId="8" applyNumberFormat="1" applyFont="1" applyFill="1" applyBorder="1" applyAlignment="1">
      <alignment horizontal="left" vertical="top"/>
    </xf>
    <xf numFmtId="0" fontId="0" fillId="0" borderId="292" xfId="0" applyFill="1" applyBorder="1"/>
    <xf numFmtId="2" fontId="0" fillId="0" borderId="73" xfId="0" applyNumberFormat="1" applyFont="1" applyFill="1" applyBorder="1"/>
    <xf numFmtId="0" fontId="0" fillId="0" borderId="234" xfId="0" applyFont="1" applyFill="1" applyBorder="1"/>
    <xf numFmtId="9" fontId="0" fillId="0" borderId="234" xfId="0" applyNumberFormat="1" applyFont="1" applyFill="1" applyBorder="1"/>
    <xf numFmtId="2" fontId="14" fillId="22" borderId="74" xfId="8" applyNumberFormat="1" applyFont="1" applyFill="1" applyBorder="1" applyAlignment="1">
      <alignment horizontal="right" vertical="top"/>
    </xf>
    <xf numFmtId="2" fontId="0" fillId="0" borderId="282" xfId="0" applyNumberFormat="1" applyFont="1" applyFill="1" applyBorder="1"/>
    <xf numFmtId="0" fontId="14" fillId="22" borderId="290" xfId="8" applyNumberFormat="1" applyFont="1" applyFill="1" applyBorder="1" applyAlignment="1">
      <alignment horizontal="left" vertical="top"/>
    </xf>
    <xf numFmtId="0" fontId="0" fillId="0" borderId="290" xfId="0" applyFont="1" applyFill="1" applyBorder="1"/>
    <xf numFmtId="9" fontId="0" fillId="0" borderId="290" xfId="0" applyNumberFormat="1" applyFont="1" applyFill="1" applyBorder="1"/>
    <xf numFmtId="2" fontId="14" fillId="22" borderId="295" xfId="8" applyNumberFormat="1" applyFont="1" applyFill="1" applyBorder="1" applyAlignment="1">
      <alignment horizontal="right" vertical="top"/>
    </xf>
    <xf numFmtId="0" fontId="0" fillId="0" borderId="282" xfId="0" applyBorder="1"/>
    <xf numFmtId="0" fontId="0" fillId="0" borderId="290" xfId="0" applyBorder="1"/>
    <xf numFmtId="0" fontId="0" fillId="0" borderId="292" xfId="0" applyBorder="1"/>
    <xf numFmtId="0" fontId="14" fillId="22" borderId="292" xfId="8" applyNumberFormat="1" applyFont="1" applyFill="1" applyBorder="1" applyAlignment="1">
      <alignment horizontal="left" vertical="top"/>
    </xf>
    <xf numFmtId="9" fontId="0" fillId="0" borderId="292" xfId="0" applyNumberFormat="1" applyFont="1" applyFill="1" applyBorder="1"/>
    <xf numFmtId="2" fontId="14" fillId="22" borderId="257" xfId="8" applyNumberFormat="1" applyFont="1" applyFill="1" applyBorder="1" applyAlignment="1">
      <alignment horizontal="right" vertical="top"/>
    </xf>
    <xf numFmtId="0" fontId="0" fillId="0" borderId="234" xfId="0" applyFont="1" applyBorder="1"/>
    <xf numFmtId="9" fontId="0" fillId="0" borderId="290" xfId="0" applyNumberFormat="1" applyFont="1" applyBorder="1"/>
    <xf numFmtId="0" fontId="0" fillId="0" borderId="295" xfId="0" applyBorder="1"/>
    <xf numFmtId="14" fontId="0" fillId="0" borderId="282" xfId="0" applyNumberFormat="1" applyBorder="1"/>
    <xf numFmtId="0" fontId="0" fillId="0" borderId="290" xfId="0" applyFont="1" applyBorder="1"/>
    <xf numFmtId="14" fontId="0" fillId="0" borderId="260" xfId="0" applyNumberFormat="1" applyBorder="1"/>
    <xf numFmtId="0" fontId="0" fillId="0" borderId="292" xfId="0" applyFont="1" applyBorder="1"/>
    <xf numFmtId="9" fontId="0" fillId="0" borderId="292" xfId="0" applyNumberFormat="1" applyFont="1" applyBorder="1"/>
    <xf numFmtId="0" fontId="0" fillId="0" borderId="24" xfId="0" applyFont="1" applyFill="1" applyBorder="1" applyAlignment="1">
      <alignment vertical="top"/>
    </xf>
    <xf numFmtId="2" fontId="14" fillId="22" borderId="79" xfId="8" applyNumberFormat="1" applyFont="1" applyFill="1" applyBorder="1" applyAlignment="1">
      <alignment horizontal="right" vertical="top"/>
    </xf>
    <xf numFmtId="2" fontId="0" fillId="0" borderId="297" xfId="0" applyNumberFormat="1" applyFont="1" applyFill="1" applyBorder="1"/>
    <xf numFmtId="0" fontId="0" fillId="0" borderId="298" xfId="0" applyFont="1" applyFill="1" applyBorder="1"/>
    <xf numFmtId="9" fontId="0" fillId="0" borderId="298" xfId="0" applyNumberFormat="1" applyFont="1" applyFill="1" applyBorder="1"/>
    <xf numFmtId="2" fontId="14" fillId="22" borderId="299" xfId="8" applyNumberFormat="1" applyFont="1" applyFill="1" applyBorder="1" applyAlignment="1">
      <alignment horizontal="right" vertical="top"/>
    </xf>
    <xf numFmtId="0" fontId="0" fillId="0" borderId="104" xfId="0" applyFont="1" applyFill="1" applyBorder="1" applyAlignment="1">
      <alignment vertical="top"/>
    </xf>
    <xf numFmtId="0" fontId="0" fillId="0" borderId="296" xfId="0" applyFont="1" applyFill="1" applyBorder="1"/>
    <xf numFmtId="9" fontId="0" fillId="0" borderId="296" xfId="0" applyNumberFormat="1" applyFont="1" applyFill="1" applyBorder="1"/>
    <xf numFmtId="0" fontId="0" fillId="0" borderId="298" xfId="0" applyFill="1" applyBorder="1"/>
    <xf numFmtId="0" fontId="0" fillId="0" borderId="296" xfId="0" applyFill="1" applyBorder="1"/>
    <xf numFmtId="0" fontId="0" fillId="0" borderId="301" xfId="0" applyBorder="1"/>
    <xf numFmtId="9" fontId="0" fillId="0" borderId="301" xfId="0" applyNumberFormat="1" applyFont="1" applyBorder="1"/>
    <xf numFmtId="0" fontId="0" fillId="0" borderId="302" xfId="0" applyBorder="1"/>
    <xf numFmtId="14" fontId="0" fillId="0" borderId="297" xfId="0" applyNumberFormat="1" applyBorder="1"/>
    <xf numFmtId="0" fontId="0" fillId="0" borderId="298" xfId="0" applyFont="1" applyBorder="1"/>
    <xf numFmtId="0" fontId="0" fillId="0" borderId="298" xfId="0" applyBorder="1"/>
    <xf numFmtId="9" fontId="0" fillId="0" borderId="298" xfId="0" applyNumberFormat="1" applyFont="1" applyBorder="1"/>
    <xf numFmtId="0" fontId="0" fillId="0" borderId="299" xfId="0" applyBorder="1"/>
    <xf numFmtId="0" fontId="0" fillId="0" borderId="296" xfId="0" applyFont="1" applyBorder="1"/>
    <xf numFmtId="0" fontId="0" fillId="0" borderId="296" xfId="0" applyBorder="1"/>
    <xf numFmtId="9" fontId="0" fillId="0" borderId="296" xfId="0" applyNumberFormat="1" applyFont="1" applyBorder="1"/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301" xfId="0" applyBorder="1" applyAlignment="1">
      <alignment horizontal="center" vertical="center"/>
    </xf>
    <xf numFmtId="0" fontId="0" fillId="0" borderId="301" xfId="0" applyBorder="1" applyAlignment="1">
      <alignment vertical="center"/>
    </xf>
    <xf numFmtId="1" fontId="0" fillId="0" borderId="301" xfId="0" applyNumberFormat="1" applyFill="1" applyBorder="1" applyAlignment="1">
      <alignment wrapText="1"/>
    </xf>
    <xf numFmtId="9" fontId="0" fillId="0" borderId="301" xfId="0" applyNumberFormat="1" applyBorder="1" applyAlignment="1">
      <alignment vertical="center"/>
    </xf>
    <xf numFmtId="2" fontId="0" fillId="0" borderId="301" xfId="0" applyNumberFormat="1" applyBorder="1" applyAlignment="1">
      <alignment vertical="center"/>
    </xf>
    <xf numFmtId="0" fontId="0" fillId="0" borderId="303" xfId="0" applyBorder="1" applyAlignment="1">
      <alignment horizontal="center" vertical="center"/>
    </xf>
    <xf numFmtId="0" fontId="0" fillId="0" borderId="289" xfId="0" applyBorder="1" applyAlignment="1">
      <alignment vertical="center"/>
    </xf>
    <xf numFmtId="9" fontId="0" fillId="0" borderId="289" xfId="0" applyNumberFormat="1" applyBorder="1" applyAlignment="1">
      <alignment vertical="center"/>
    </xf>
    <xf numFmtId="9" fontId="0" fillId="0" borderId="24" xfId="0" applyNumberFormat="1" applyBorder="1" applyAlignment="1">
      <alignment vertical="center"/>
    </xf>
    <xf numFmtId="9" fontId="0" fillId="0" borderId="9" xfId="0" applyNumberFormat="1" applyBorder="1" applyAlignment="1">
      <alignment vertical="center"/>
    </xf>
    <xf numFmtId="2" fontId="14" fillId="22" borderId="59" xfId="8" applyNumberFormat="1" applyFont="1" applyFill="1" applyBorder="1" applyAlignment="1">
      <alignment horizontal="right" vertical="top"/>
    </xf>
    <xf numFmtId="2" fontId="0" fillId="0" borderId="297" xfId="0" applyNumberFormat="1" applyFill="1" applyBorder="1"/>
    <xf numFmtId="0" fontId="0" fillId="0" borderId="301" xfId="0" applyFill="1" applyBorder="1"/>
    <xf numFmtId="0" fontId="14" fillId="22" borderId="301" xfId="8" applyNumberFormat="1" applyFont="1" applyFill="1" applyBorder="1" applyAlignment="1">
      <alignment horizontal="left" vertical="top"/>
    </xf>
    <xf numFmtId="2" fontId="14" fillId="22" borderId="301" xfId="8" applyNumberFormat="1" applyFont="1" applyFill="1" applyBorder="1" applyAlignment="1">
      <alignment horizontal="right" vertical="top"/>
    </xf>
    <xf numFmtId="9" fontId="43" fillId="0" borderId="301" xfId="0" applyNumberFormat="1" applyFont="1" applyFill="1" applyBorder="1"/>
    <xf numFmtId="2" fontId="14" fillId="22" borderId="302" xfId="8" applyNumberFormat="1" applyFont="1" applyFill="1" applyBorder="1" applyAlignment="1">
      <alignment horizontal="right" vertical="top"/>
    </xf>
    <xf numFmtId="0" fontId="0" fillId="0" borderId="297" xfId="0" applyBorder="1"/>
    <xf numFmtId="0" fontId="14" fillId="22" borderId="296" xfId="8" applyNumberFormat="1" applyFont="1" applyFill="1" applyBorder="1" applyAlignment="1">
      <alignment horizontal="left" vertical="top"/>
    </xf>
    <xf numFmtId="2" fontId="14" fillId="22" borderId="296" xfId="8" applyNumberFormat="1" applyFont="1" applyFill="1" applyBorder="1" applyAlignment="1">
      <alignment horizontal="right" vertical="top"/>
    </xf>
    <xf numFmtId="9" fontId="43" fillId="0" borderId="296" xfId="0" applyNumberFormat="1" applyFont="1" applyFill="1" applyBorder="1"/>
    <xf numFmtId="2" fontId="0" fillId="0" borderId="297" xfId="0" applyNumberFormat="1" applyBorder="1"/>
    <xf numFmtId="0" fontId="0" fillId="0" borderId="301" xfId="0" applyFont="1" applyBorder="1"/>
    <xf numFmtId="0" fontId="14" fillId="22" borderId="280" xfId="5" applyNumberFormat="1" applyFont="1" applyFill="1" applyBorder="1" applyAlignment="1">
      <alignment horizontal="left" vertical="top"/>
    </xf>
    <xf numFmtId="0" fontId="0" fillId="0" borderId="304" xfId="0" applyFont="1" applyBorder="1"/>
    <xf numFmtId="9" fontId="0" fillId="0" borderId="304" xfId="0" applyNumberFormat="1" applyFont="1" applyBorder="1"/>
    <xf numFmtId="2" fontId="14" fillId="22" borderId="280" xfId="5" applyNumberFormat="1" applyFont="1" applyFill="1" applyBorder="1" applyAlignment="1">
      <alignment horizontal="right" vertical="top"/>
    </xf>
    <xf numFmtId="0" fontId="0" fillId="0" borderId="304" xfId="0" applyBorder="1"/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2" fontId="0" fillId="0" borderId="300" xfId="0" applyNumberFormat="1" applyFont="1" applyFill="1" applyBorder="1"/>
    <xf numFmtId="2" fontId="26" fillId="0" borderId="302" xfId="3" applyNumberFormat="1" applyFont="1" applyFill="1" applyBorder="1" applyAlignment="1">
      <alignment horizontal="center" vertical="center" wrapText="1"/>
    </xf>
    <xf numFmtId="0" fontId="0" fillId="0" borderId="304" xfId="0" applyFont="1" applyFill="1" applyBorder="1"/>
    <xf numFmtId="9" fontId="0" fillId="0" borderId="304" xfId="1" applyFont="1" applyBorder="1"/>
    <xf numFmtId="0" fontId="22" fillId="0" borderId="296" xfId="3" applyNumberFormat="1" applyFont="1" applyBorder="1" applyAlignment="1">
      <alignment horizontal="left" vertical="top" wrapText="1"/>
    </xf>
    <xf numFmtId="9" fontId="0" fillId="0" borderId="296" xfId="1" applyFont="1" applyBorder="1"/>
    <xf numFmtId="0" fontId="14" fillId="22" borderId="9" xfId="8" applyNumberFormat="1" applyFont="1" applyFill="1" applyBorder="1" applyAlignment="1">
      <alignment horizontal="left" vertical="top"/>
    </xf>
    <xf numFmtId="2" fontId="14" fillId="22" borderId="9" xfId="8" applyNumberFormat="1" applyFont="1" applyFill="1" applyBorder="1" applyAlignment="1">
      <alignment horizontal="right" vertical="top"/>
    </xf>
    <xf numFmtId="0" fontId="14" fillId="22" borderId="304" xfId="8" applyNumberFormat="1" applyFont="1" applyFill="1" applyBorder="1" applyAlignment="1">
      <alignment horizontal="left" vertical="top"/>
    </xf>
    <xf numFmtId="2" fontId="14" fillId="22" borderId="304" xfId="8" applyNumberFormat="1" applyFont="1" applyFill="1" applyBorder="1" applyAlignment="1">
      <alignment horizontal="right" vertical="top"/>
    </xf>
    <xf numFmtId="9" fontId="43" fillId="0" borderId="304" xfId="0" applyNumberFormat="1" applyFont="1" applyFill="1" applyBorder="1"/>
    <xf numFmtId="0" fontId="0" fillId="0" borderId="304" xfId="0" applyFill="1" applyBorder="1"/>
    <xf numFmtId="0" fontId="0" fillId="0" borderId="289" xfId="0" applyFill="1" applyBorder="1"/>
    <xf numFmtId="0" fontId="14" fillId="22" borderId="305" xfId="8" applyNumberFormat="1" applyFont="1" applyFill="1" applyBorder="1" applyAlignment="1">
      <alignment horizontal="left" vertical="top"/>
    </xf>
    <xf numFmtId="0" fontId="0" fillId="0" borderId="306" xfId="0" applyFill="1" applyBorder="1"/>
    <xf numFmtId="0" fontId="14" fillId="22" borderId="307" xfId="8" applyNumberFormat="1" applyFont="1" applyFill="1" applyBorder="1" applyAlignment="1">
      <alignment horizontal="left" vertical="top"/>
    </xf>
    <xf numFmtId="0" fontId="0" fillId="0" borderId="308" xfId="0" applyFill="1" applyBorder="1"/>
    <xf numFmtId="1" fontId="0" fillId="0" borderId="310" xfId="0" applyNumberFormat="1" applyFill="1" applyBorder="1" applyAlignment="1">
      <alignment wrapText="1"/>
    </xf>
    <xf numFmtId="2" fontId="0" fillId="0" borderId="310" xfId="0" applyNumberFormat="1" applyBorder="1" applyAlignment="1">
      <alignment vertical="center"/>
    </xf>
    <xf numFmtId="0" fontId="0" fillId="0" borderId="59" xfId="0" applyFont="1" applyFill="1" applyBorder="1" applyAlignment="1">
      <alignment vertical="top"/>
    </xf>
    <xf numFmtId="9" fontId="0" fillId="0" borderId="59" xfId="0" applyNumberFormat="1" applyFont="1" applyFill="1" applyBorder="1"/>
    <xf numFmtId="0" fontId="0" fillId="0" borderId="310" xfId="0" applyFont="1" applyFill="1" applyBorder="1" applyAlignment="1">
      <alignment vertical="top"/>
    </xf>
    <xf numFmtId="0" fontId="14" fillId="22" borderId="310" xfId="8" applyNumberFormat="1" applyFont="1" applyFill="1" applyBorder="1" applyAlignment="1">
      <alignment horizontal="left" vertical="top"/>
    </xf>
    <xf numFmtId="2" fontId="14" fillId="22" borderId="310" xfId="8" applyNumberFormat="1" applyFont="1" applyFill="1" applyBorder="1" applyAlignment="1">
      <alignment horizontal="right" vertical="top"/>
    </xf>
    <xf numFmtId="9" fontId="0" fillId="0" borderId="310" xfId="0" applyNumberFormat="1" applyFont="1" applyFill="1" applyBorder="1"/>
    <xf numFmtId="0" fontId="0" fillId="0" borderId="310" xfId="0" applyBorder="1"/>
    <xf numFmtId="2" fontId="0" fillId="0" borderId="311" xfId="0" applyNumberFormat="1" applyFont="1" applyFill="1" applyBorder="1"/>
    <xf numFmtId="0" fontId="0" fillId="0" borderId="310" xfId="0" applyFont="1" applyFill="1" applyBorder="1"/>
    <xf numFmtId="0" fontId="48" fillId="22" borderId="312" xfId="8" applyNumberFormat="1" applyFont="1" applyFill="1" applyBorder="1" applyAlignment="1">
      <alignment horizontal="left" vertical="top"/>
    </xf>
    <xf numFmtId="2" fontId="48" fillId="22" borderId="312" xfId="8" applyNumberFormat="1" applyFont="1" applyFill="1" applyBorder="1" applyAlignment="1">
      <alignment horizontal="right" vertical="top"/>
    </xf>
    <xf numFmtId="9" fontId="0" fillId="0" borderId="313" xfId="0" applyNumberFormat="1" applyFont="1" applyFill="1" applyBorder="1"/>
    <xf numFmtId="2" fontId="48" fillId="22" borderId="314" xfId="8" applyNumberFormat="1" applyFont="1" applyFill="1" applyBorder="1" applyAlignment="1">
      <alignment horizontal="right" vertical="top"/>
    </xf>
    <xf numFmtId="0" fontId="0" fillId="0" borderId="313" xfId="0" applyFont="1" applyFill="1" applyBorder="1"/>
    <xf numFmtId="0" fontId="15" fillId="0" borderId="313" xfId="3" applyNumberFormat="1" applyFont="1" applyBorder="1" applyAlignment="1">
      <alignment horizontal="left" vertical="top" wrapText="1"/>
    </xf>
    <xf numFmtId="2" fontId="15" fillId="0" borderId="315" xfId="3" applyNumberFormat="1" applyFont="1" applyFill="1" applyBorder="1" applyAlignment="1">
      <alignment horizontal="center" vertical="center" wrapText="1"/>
    </xf>
    <xf numFmtId="0" fontId="0" fillId="0" borderId="316" xfId="0" applyFont="1" applyFill="1" applyBorder="1"/>
    <xf numFmtId="0" fontId="15" fillId="0" borderId="316" xfId="3" applyNumberFormat="1" applyFont="1" applyBorder="1" applyAlignment="1">
      <alignment horizontal="left" vertical="top" wrapText="1"/>
    </xf>
    <xf numFmtId="9" fontId="0" fillId="0" borderId="316" xfId="0" applyNumberFormat="1" applyFont="1" applyFill="1" applyBorder="1"/>
    <xf numFmtId="2" fontId="15" fillId="0" borderId="257" xfId="3" applyNumberFormat="1" applyFont="1" applyFill="1" applyBorder="1" applyAlignment="1">
      <alignment horizontal="center" vertical="center" wrapText="1"/>
    </xf>
    <xf numFmtId="0" fontId="48" fillId="22" borderId="59" xfId="8" applyNumberFormat="1" applyFont="1" applyFill="1" applyBorder="1" applyAlignment="1">
      <alignment horizontal="left" vertical="top"/>
    </xf>
    <xf numFmtId="2" fontId="48" fillId="22" borderId="59" xfId="8" applyNumberFormat="1" applyFont="1" applyFill="1" applyBorder="1" applyAlignment="1">
      <alignment horizontal="right" vertical="top"/>
    </xf>
    <xf numFmtId="2" fontId="48" fillId="22" borderId="74" xfId="8" applyNumberFormat="1" applyFont="1" applyFill="1" applyBorder="1" applyAlignment="1">
      <alignment horizontal="right" vertical="top"/>
    </xf>
    <xf numFmtId="0" fontId="0" fillId="0" borderId="0" xfId="0" applyFont="1" applyFill="1"/>
    <xf numFmtId="2" fontId="0" fillId="0" borderId="318" xfId="0" applyNumberFormat="1" applyFont="1" applyFill="1" applyBorder="1"/>
    <xf numFmtId="0" fontId="48" fillId="22" borderId="313" xfId="8" applyNumberFormat="1" applyFont="1" applyFill="1" applyBorder="1" applyAlignment="1">
      <alignment horizontal="left" vertical="top"/>
    </xf>
    <xf numFmtId="2" fontId="48" fillId="22" borderId="313" xfId="8" applyNumberFormat="1" applyFont="1" applyFill="1" applyBorder="1" applyAlignment="1">
      <alignment horizontal="right" vertical="top"/>
    </xf>
    <xf numFmtId="2" fontId="48" fillId="22" borderId="315" xfId="8" applyNumberFormat="1" applyFont="1" applyFill="1" applyBorder="1" applyAlignment="1">
      <alignment horizontal="right" vertical="top"/>
    </xf>
    <xf numFmtId="0" fontId="3" fillId="0" borderId="313" xfId="0" applyFont="1" applyFill="1" applyBorder="1"/>
    <xf numFmtId="9" fontId="15" fillId="0" borderId="313" xfId="0" applyNumberFormat="1" applyFont="1" applyFill="1" applyBorder="1"/>
    <xf numFmtId="2" fontId="0" fillId="0" borderId="318" xfId="0" applyNumberFormat="1" applyFont="1" applyBorder="1"/>
    <xf numFmtId="0" fontId="0" fillId="0" borderId="318" xfId="0" applyBorder="1"/>
    <xf numFmtId="0" fontId="0" fillId="0" borderId="313" xfId="0" applyBorder="1"/>
    <xf numFmtId="0" fontId="0" fillId="0" borderId="316" xfId="0" applyBorder="1"/>
    <xf numFmtId="2" fontId="48" fillId="22" borderId="257" xfId="8" applyNumberFormat="1" applyFont="1" applyFill="1" applyBorder="1" applyAlignment="1">
      <alignment horizontal="right" vertical="top"/>
    </xf>
    <xf numFmtId="0" fontId="0" fillId="0" borderId="9" xfId="0" applyFont="1" applyBorder="1" applyAlignment="1">
      <alignment vertical="center"/>
    </xf>
    <xf numFmtId="0" fontId="48" fillId="22" borderId="9" xfId="7" applyNumberFormat="1" applyFont="1" applyFill="1" applyBorder="1" applyAlignment="1">
      <alignment horizontal="left" vertical="top"/>
    </xf>
    <xf numFmtId="9" fontId="0" fillId="0" borderId="9" xfId="0" applyNumberFormat="1" applyFont="1" applyBorder="1" applyAlignment="1">
      <alignment vertical="center"/>
    </xf>
    <xf numFmtId="2" fontId="0" fillId="0" borderId="9" xfId="0" applyNumberFormat="1" applyFont="1" applyBorder="1" applyAlignment="1">
      <alignment vertical="center"/>
    </xf>
    <xf numFmtId="2" fontId="48" fillId="22" borderId="79" xfId="7" applyNumberFormat="1" applyFont="1" applyFill="1" applyBorder="1" applyAlignment="1">
      <alignment horizontal="right" vertical="top"/>
    </xf>
    <xf numFmtId="0" fontId="0" fillId="0" borderId="313" xfId="0" applyFont="1" applyBorder="1" applyAlignment="1">
      <alignment vertical="center"/>
    </xf>
    <xf numFmtId="0" fontId="48" fillId="22" borderId="313" xfId="7" applyNumberFormat="1" applyFont="1" applyFill="1" applyBorder="1" applyAlignment="1">
      <alignment horizontal="left" vertical="top"/>
    </xf>
    <xf numFmtId="9" fontId="0" fillId="0" borderId="313" xfId="0" applyNumberFormat="1" applyFont="1" applyBorder="1" applyAlignment="1">
      <alignment vertical="center"/>
    </xf>
    <xf numFmtId="2" fontId="0" fillId="0" borderId="313" xfId="0" applyNumberFormat="1" applyFont="1" applyBorder="1" applyAlignment="1">
      <alignment vertical="center"/>
    </xf>
    <xf numFmtId="2" fontId="48" fillId="22" borderId="315" xfId="7" applyNumberFormat="1" applyFont="1" applyFill="1" applyBorder="1" applyAlignment="1">
      <alignment horizontal="right" vertical="top"/>
    </xf>
    <xf numFmtId="1" fontId="0" fillId="0" borderId="313" xfId="0" applyNumberFormat="1" applyFont="1" applyFill="1" applyBorder="1" applyAlignment="1">
      <alignment wrapText="1"/>
    </xf>
    <xf numFmtId="2" fontId="0" fillId="0" borderId="315" xfId="0" applyNumberFormat="1" applyFont="1" applyBorder="1" applyAlignment="1">
      <alignment vertical="center"/>
    </xf>
    <xf numFmtId="0" fontId="0" fillId="0" borderId="316" xfId="0" applyFont="1" applyBorder="1" applyAlignment="1">
      <alignment vertical="center"/>
    </xf>
    <xf numFmtId="1" fontId="0" fillId="0" borderId="316" xfId="0" applyNumberFormat="1" applyFont="1" applyFill="1" applyBorder="1" applyAlignment="1">
      <alignment wrapText="1"/>
    </xf>
    <xf numFmtId="9" fontId="0" fillId="0" borderId="316" xfId="0" applyNumberFormat="1" applyFont="1" applyBorder="1" applyAlignment="1">
      <alignment vertical="center"/>
    </xf>
    <xf numFmtId="2" fontId="0" fillId="0" borderId="316" xfId="0" applyNumberFormat="1" applyFont="1" applyBorder="1" applyAlignment="1">
      <alignment vertical="center"/>
    </xf>
    <xf numFmtId="9" fontId="0" fillId="0" borderId="313" xfId="0" applyNumberFormat="1" applyFont="1" applyBorder="1"/>
    <xf numFmtId="0" fontId="0" fillId="0" borderId="315" xfId="0" applyBorder="1"/>
    <xf numFmtId="14" fontId="0" fillId="0" borderId="318" xfId="0" applyNumberFormat="1" applyBorder="1"/>
    <xf numFmtId="0" fontId="0" fillId="0" borderId="313" xfId="0" applyFont="1" applyBorder="1"/>
    <xf numFmtId="0" fontId="0" fillId="0" borderId="316" xfId="0" applyFont="1" applyBorder="1"/>
    <xf numFmtId="9" fontId="0" fillId="0" borderId="316" xfId="0" applyNumberFormat="1" applyFont="1" applyBorder="1"/>
    <xf numFmtId="0" fontId="63" fillId="22" borderId="59" xfId="8" applyNumberFormat="1" applyFont="1" applyFill="1" applyBorder="1" applyAlignment="1">
      <alignment horizontal="left" vertical="top"/>
    </xf>
    <xf numFmtId="0" fontId="0" fillId="0" borderId="313" xfId="0" applyFont="1" applyFill="1" applyBorder="1" applyAlignment="1">
      <alignment vertical="top"/>
    </xf>
    <xf numFmtId="0" fontId="63" fillId="22" borderId="313" xfId="8" applyNumberFormat="1" applyFont="1" applyFill="1" applyBorder="1" applyAlignment="1">
      <alignment horizontal="left" vertical="top"/>
    </xf>
    <xf numFmtId="2" fontId="14" fillId="22" borderId="313" xfId="8" applyNumberFormat="1" applyFont="1" applyFill="1" applyBorder="1" applyAlignment="1">
      <alignment horizontal="right" vertical="top"/>
    </xf>
    <xf numFmtId="2" fontId="14" fillId="22" borderId="315" xfId="8" applyNumberFormat="1" applyFont="1" applyFill="1" applyBorder="1" applyAlignment="1">
      <alignment horizontal="right" vertical="top"/>
    </xf>
    <xf numFmtId="0" fontId="14" fillId="22" borderId="313" xfId="8" applyNumberFormat="1" applyFont="1" applyFill="1" applyBorder="1" applyAlignment="1">
      <alignment horizontal="left" vertical="top"/>
    </xf>
    <xf numFmtId="0" fontId="14" fillId="22" borderId="316" xfId="8" applyNumberFormat="1" applyFont="1" applyFill="1" applyBorder="1" applyAlignment="1">
      <alignment horizontal="left" vertical="top"/>
    </xf>
    <xf numFmtId="2" fontId="14" fillId="22" borderId="316" xfId="8" applyNumberFormat="1" applyFont="1" applyFill="1" applyBorder="1" applyAlignment="1">
      <alignment horizontal="right" vertical="top"/>
    </xf>
    <xf numFmtId="2" fontId="0" fillId="0" borderId="317" xfId="0" applyNumberFormat="1" applyFont="1" applyFill="1" applyBorder="1"/>
    <xf numFmtId="2" fontId="26" fillId="0" borderId="315" xfId="3" applyNumberFormat="1" applyFont="1" applyFill="1" applyBorder="1" applyAlignment="1">
      <alignment horizontal="center" vertical="center" wrapText="1"/>
    </xf>
    <xf numFmtId="0" fontId="22" fillId="0" borderId="313" xfId="3" applyNumberFormat="1" applyFont="1" applyBorder="1" applyAlignment="1">
      <alignment horizontal="left" vertical="top" wrapText="1"/>
    </xf>
    <xf numFmtId="9" fontId="0" fillId="0" borderId="313" xfId="1" applyFont="1" applyBorder="1"/>
    <xf numFmtId="0" fontId="22" fillId="0" borderId="316" xfId="3" applyNumberFormat="1" applyFont="1" applyBorder="1" applyAlignment="1">
      <alignment horizontal="left" vertical="top" wrapText="1"/>
    </xf>
    <xf numFmtId="9" fontId="0" fillId="0" borderId="316" xfId="1" applyFont="1" applyBorder="1"/>
    <xf numFmtId="0" fontId="22" fillId="4" borderId="276" xfId="3" applyNumberFormat="1" applyFont="1" applyFill="1" applyBorder="1" applyAlignment="1">
      <alignment horizontal="left" vertical="top" wrapText="1"/>
    </xf>
    <xf numFmtId="0" fontId="59" fillId="4" borderId="215" xfId="0" applyFont="1" applyFill="1" applyBorder="1" applyAlignment="1">
      <alignment wrapText="1"/>
    </xf>
    <xf numFmtId="0" fontId="59" fillId="4" borderId="278" xfId="0" applyFont="1" applyFill="1" applyBorder="1"/>
    <xf numFmtId="0" fontId="64" fillId="4" borderId="0" xfId="0" applyFont="1" applyFill="1"/>
    <xf numFmtId="0" fontId="61" fillId="4" borderId="176" xfId="0" applyFont="1" applyFill="1" applyBorder="1" applyAlignment="1">
      <alignment horizontal="left" vertical="top" wrapText="1"/>
    </xf>
    <xf numFmtId="0" fontId="60" fillId="4" borderId="265" xfId="0" applyNumberFormat="1" applyFont="1" applyFill="1" applyBorder="1" applyAlignment="1">
      <alignment horizontal="left" vertical="top" wrapText="1"/>
    </xf>
    <xf numFmtId="0" fontId="59" fillId="4" borderId="278" xfId="8" applyNumberFormat="1" applyFont="1" applyFill="1" applyBorder="1" applyAlignment="1">
      <alignment horizontal="left" vertical="top"/>
    </xf>
    <xf numFmtId="0" fontId="59" fillId="4" borderId="265" xfId="8" applyNumberFormat="1" applyFont="1" applyFill="1" applyBorder="1" applyAlignment="1">
      <alignment horizontal="left" vertical="top"/>
    </xf>
    <xf numFmtId="0" fontId="62" fillId="4" borderId="276" xfId="0" applyFont="1" applyFill="1" applyBorder="1" applyAlignment="1">
      <alignment vertical="center" wrapText="1"/>
    </xf>
    <xf numFmtId="0" fontId="59" fillId="30" borderId="278" xfId="8" applyNumberFormat="1" applyFont="1" applyFill="1" applyBorder="1" applyAlignment="1">
      <alignment horizontal="left" vertical="top"/>
    </xf>
    <xf numFmtId="0" fontId="59" fillId="30" borderId="59" xfId="0" applyFont="1" applyFill="1" applyBorder="1"/>
    <xf numFmtId="0" fontId="59" fillId="30" borderId="276" xfId="0" applyFont="1" applyFill="1" applyBorder="1"/>
    <xf numFmtId="0" fontId="59" fillId="30" borderId="265" xfId="0" applyFont="1" applyFill="1" applyBorder="1"/>
    <xf numFmtId="0" fontId="59" fillId="30" borderId="290" xfId="0" applyFont="1" applyFill="1" applyBorder="1"/>
    <xf numFmtId="0" fontId="59" fillId="30" borderId="292" xfId="0" applyFont="1" applyFill="1" applyBorder="1"/>
    <xf numFmtId="0" fontId="59" fillId="30" borderId="276" xfId="8" applyNumberFormat="1" applyFont="1" applyFill="1" applyBorder="1" applyAlignment="1">
      <alignment horizontal="left" vertical="top"/>
    </xf>
    <xf numFmtId="0" fontId="63" fillId="22" borderId="319" xfId="13" applyNumberFormat="1" applyFont="1" applyFill="1" applyBorder="1" applyAlignment="1">
      <alignment horizontal="left" vertical="top"/>
    </xf>
    <xf numFmtId="168" fontId="23" fillId="17" borderId="315" xfId="4" applyNumberFormat="1" applyFont="1" applyFill="1" applyBorder="1" applyAlignment="1">
      <alignment horizontal="right" vertical="center"/>
    </xf>
    <xf numFmtId="0" fontId="0" fillId="0" borderId="313" xfId="0" applyFill="1" applyBorder="1"/>
    <xf numFmtId="168" fontId="23" fillId="17" borderId="320" xfId="4" applyNumberFormat="1" applyFont="1" applyFill="1" applyBorder="1" applyAlignment="1">
      <alignment horizontal="right" vertical="center"/>
    </xf>
    <xf numFmtId="0" fontId="63" fillId="22" borderId="321" xfId="13" applyNumberFormat="1" applyFont="1" applyFill="1" applyBorder="1" applyAlignment="1">
      <alignment horizontal="left" vertical="top"/>
    </xf>
    <xf numFmtId="168" fontId="23" fillId="17" borderId="257" xfId="4" applyNumberFormat="1" applyFont="1" applyFill="1" applyBorder="1" applyAlignment="1">
      <alignment horizontal="right" vertical="center"/>
    </xf>
    <xf numFmtId="14" fontId="15" fillId="0" borderId="73" xfId="0" applyNumberFormat="1" applyFont="1" applyBorder="1"/>
    <xf numFmtId="0" fontId="15" fillId="0" borderId="59" xfId="0" applyFont="1" applyBorder="1"/>
    <xf numFmtId="0" fontId="15" fillId="22" borderId="59" xfId="5" applyNumberFormat="1" applyFont="1" applyFill="1" applyBorder="1" applyAlignment="1">
      <alignment horizontal="left" vertical="top"/>
    </xf>
    <xf numFmtId="2" fontId="15" fillId="22" borderId="59" xfId="5" applyNumberFormat="1" applyFont="1" applyFill="1" applyBorder="1" applyAlignment="1">
      <alignment horizontal="right" vertical="top"/>
    </xf>
    <xf numFmtId="9" fontId="15" fillId="0" borderId="59" xfId="0" applyNumberFormat="1" applyFont="1" applyBorder="1"/>
    <xf numFmtId="2" fontId="15" fillId="22" borderId="74" xfId="5" applyNumberFormat="1" applyFont="1" applyFill="1" applyBorder="1" applyAlignment="1">
      <alignment horizontal="right" vertical="top"/>
    </xf>
    <xf numFmtId="0" fontId="15" fillId="0" borderId="324" xfId="0" applyFont="1" applyBorder="1"/>
    <xf numFmtId="0" fontId="15" fillId="0" borderId="325" xfId="0" applyFont="1" applyBorder="1"/>
    <xf numFmtId="0" fontId="15" fillId="22" borderId="325" xfId="5" applyNumberFormat="1" applyFont="1" applyFill="1" applyBorder="1" applyAlignment="1">
      <alignment horizontal="left" vertical="top"/>
    </xf>
    <xf numFmtId="2" fontId="15" fillId="22" borderId="325" xfId="5" applyNumberFormat="1" applyFont="1" applyFill="1" applyBorder="1" applyAlignment="1">
      <alignment horizontal="right" vertical="top"/>
    </xf>
    <xf numFmtId="9" fontId="15" fillId="0" borderId="325" xfId="0" applyNumberFormat="1" applyFont="1" applyBorder="1"/>
    <xf numFmtId="2" fontId="15" fillId="22" borderId="320" xfId="5" applyNumberFormat="1" applyFont="1" applyFill="1" applyBorder="1" applyAlignment="1">
      <alignment horizontal="right" vertical="top"/>
    </xf>
    <xf numFmtId="9" fontId="15" fillId="0" borderId="325" xfId="0" applyNumberFormat="1" applyFont="1" applyFill="1" applyBorder="1"/>
    <xf numFmtId="0" fontId="15" fillId="0" borderId="260" xfId="0" applyFont="1" applyBorder="1"/>
    <xf numFmtId="0" fontId="15" fillId="0" borderId="261" xfId="0" applyFont="1" applyBorder="1"/>
    <xf numFmtId="0" fontId="15" fillId="22" borderId="261" xfId="5" applyNumberFormat="1" applyFont="1" applyFill="1" applyBorder="1" applyAlignment="1">
      <alignment horizontal="left" vertical="top"/>
    </xf>
    <xf numFmtId="2" fontId="15" fillId="22" borderId="261" xfId="5" applyNumberFormat="1" applyFont="1" applyFill="1" applyBorder="1" applyAlignment="1">
      <alignment horizontal="right" vertical="top"/>
    </xf>
    <xf numFmtId="9" fontId="15" fillId="0" borderId="261" xfId="0" applyNumberFormat="1" applyFont="1" applyFill="1" applyBorder="1"/>
    <xf numFmtId="2" fontId="15" fillId="22" borderId="257" xfId="5" applyNumberFormat="1" applyFont="1" applyFill="1" applyBorder="1" applyAlignment="1">
      <alignment horizontal="right" vertical="top"/>
    </xf>
    <xf numFmtId="0" fontId="0" fillId="0" borderId="324" xfId="0" applyBorder="1"/>
    <xf numFmtId="0" fontId="0" fillId="0" borderId="325" xfId="0" applyFont="1" applyBorder="1"/>
    <xf numFmtId="0" fontId="14" fillId="22" borderId="319" xfId="5" applyNumberFormat="1" applyFont="1" applyFill="1" applyBorder="1" applyAlignment="1">
      <alignment horizontal="left" vertical="top"/>
    </xf>
    <xf numFmtId="2" fontId="14" fillId="22" borderId="319" xfId="5" applyNumberFormat="1" applyFont="1" applyFill="1" applyBorder="1" applyAlignment="1">
      <alignment horizontal="right" vertical="top"/>
    </xf>
    <xf numFmtId="0" fontId="0" fillId="0" borderId="325" xfId="0" applyBorder="1"/>
    <xf numFmtId="9" fontId="2" fillId="0" borderId="9" xfId="0" applyNumberFormat="1" applyFont="1" applyBorder="1" applyAlignment="1">
      <alignment vertical="center"/>
    </xf>
    <xf numFmtId="2" fontId="2" fillId="0" borderId="9" xfId="0" applyNumberFormat="1" applyFont="1" applyBorder="1" applyAlignment="1">
      <alignment vertical="center"/>
    </xf>
    <xf numFmtId="2" fontId="48" fillId="22" borderId="326" xfId="7" applyNumberFormat="1" applyFont="1" applyFill="1" applyBorder="1" applyAlignment="1">
      <alignment horizontal="right" vertical="top"/>
    </xf>
    <xf numFmtId="0" fontId="0" fillId="0" borderId="325" xfId="0" applyFont="1" applyBorder="1" applyAlignment="1">
      <alignment vertical="center"/>
    </xf>
    <xf numFmtId="9" fontId="2" fillId="0" borderId="325" xfId="0" applyNumberFormat="1" applyFont="1" applyBorder="1" applyAlignment="1">
      <alignment vertical="center"/>
    </xf>
    <xf numFmtId="2" fontId="2" fillId="0" borderId="325" xfId="0" applyNumberFormat="1" applyFont="1" applyBorder="1" applyAlignment="1">
      <alignment vertical="center"/>
    </xf>
    <xf numFmtId="0" fontId="0" fillId="0" borderId="261" xfId="0" applyFont="1" applyBorder="1" applyAlignment="1">
      <alignment vertical="center"/>
    </xf>
    <xf numFmtId="1" fontId="2" fillId="0" borderId="261" xfId="0" applyNumberFormat="1" applyFont="1" applyFill="1" applyBorder="1" applyAlignment="1">
      <alignment wrapText="1"/>
    </xf>
    <xf numFmtId="9" fontId="2" fillId="0" borderId="261" xfId="0" applyNumberFormat="1" applyFont="1" applyBorder="1" applyAlignment="1">
      <alignment vertical="center"/>
    </xf>
    <xf numFmtId="2" fontId="2" fillId="0" borderId="261" xfId="0" applyNumberFormat="1" applyFont="1" applyBorder="1" applyAlignment="1">
      <alignment vertical="center"/>
    </xf>
    <xf numFmtId="2" fontId="2" fillId="0" borderId="257" xfId="0" applyNumberFormat="1" applyFont="1" applyBorder="1" applyAlignment="1">
      <alignment vertical="center"/>
    </xf>
    <xf numFmtId="0" fontId="0" fillId="0" borderId="324" xfId="0" applyFont="1" applyBorder="1"/>
    <xf numFmtId="0" fontId="48" fillId="22" borderId="325" xfId="5" applyNumberFormat="1" applyFont="1" applyFill="1" applyBorder="1" applyAlignment="1">
      <alignment horizontal="left" vertical="top"/>
    </xf>
    <xf numFmtId="9" fontId="0" fillId="0" borderId="325" xfId="0" applyNumberFormat="1" applyFont="1" applyBorder="1"/>
    <xf numFmtId="2" fontId="48" fillId="22" borderId="320" xfId="5" applyNumberFormat="1" applyFont="1" applyFill="1" applyBorder="1" applyAlignment="1">
      <alignment horizontal="right" vertical="top"/>
    </xf>
    <xf numFmtId="0" fontId="0" fillId="0" borderId="260" xfId="0" applyFont="1" applyBorder="1"/>
    <xf numFmtId="0" fontId="48" fillId="22" borderId="316" xfId="5" applyNumberFormat="1" applyFont="1" applyFill="1" applyBorder="1" applyAlignment="1">
      <alignment horizontal="left" vertical="top"/>
    </xf>
    <xf numFmtId="2" fontId="48" fillId="22" borderId="257" xfId="5" applyNumberFormat="1" applyFont="1" applyFill="1" applyBorder="1" applyAlignment="1">
      <alignment horizontal="right" vertical="top"/>
    </xf>
    <xf numFmtId="0" fontId="0" fillId="0" borderId="0" xfId="0" applyFont="1" applyBorder="1"/>
    <xf numFmtId="2" fontId="0" fillId="0" borderId="324" xfId="0" applyNumberFormat="1" applyFont="1" applyFill="1" applyBorder="1"/>
    <xf numFmtId="0" fontId="0" fillId="0" borderId="325" xfId="0" applyFont="1" applyFill="1" applyBorder="1" applyAlignment="1">
      <alignment vertical="top"/>
    </xf>
    <xf numFmtId="0" fontId="48" fillId="22" borderId="325" xfId="8" applyNumberFormat="1" applyFont="1" applyFill="1" applyBorder="1" applyAlignment="1">
      <alignment horizontal="left" vertical="top"/>
    </xf>
    <xf numFmtId="2" fontId="48" fillId="22" borderId="325" xfId="8" applyNumberFormat="1" applyFont="1" applyFill="1" applyBorder="1" applyAlignment="1">
      <alignment horizontal="right" vertical="top"/>
    </xf>
    <xf numFmtId="9" fontId="0" fillId="0" borderId="325" xfId="0" applyNumberFormat="1" applyFont="1" applyFill="1" applyBorder="1"/>
    <xf numFmtId="2" fontId="48" fillId="22" borderId="320" xfId="8" applyNumberFormat="1" applyFont="1" applyFill="1" applyBorder="1" applyAlignment="1">
      <alignment horizontal="right" vertical="top"/>
    </xf>
    <xf numFmtId="0" fontId="48" fillId="22" borderId="316" xfId="8" applyNumberFormat="1" applyFont="1" applyFill="1" applyBorder="1" applyAlignment="1">
      <alignment horizontal="left" vertical="top"/>
    </xf>
    <xf numFmtId="2" fontId="48" fillId="22" borderId="316" xfId="8" applyNumberFormat="1" applyFont="1" applyFill="1" applyBorder="1" applyAlignment="1">
      <alignment horizontal="right" vertical="top"/>
    </xf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48" fillId="22" borderId="280" xfId="8" applyNumberFormat="1" applyFont="1" applyFill="1" applyBorder="1" applyAlignment="1">
      <alignment horizontal="left" vertical="top"/>
    </xf>
    <xf numFmtId="2" fontId="48" fillId="22" borderId="280" xfId="8" applyNumberFormat="1" applyFont="1" applyFill="1" applyBorder="1" applyAlignment="1">
      <alignment horizontal="right" vertical="top"/>
    </xf>
    <xf numFmtId="2" fontId="48" fillId="22" borderId="326" xfId="8" applyNumberFormat="1" applyFont="1" applyFill="1" applyBorder="1" applyAlignment="1">
      <alignment horizontal="right" vertical="top"/>
    </xf>
    <xf numFmtId="0" fontId="0" fillId="0" borderId="297" xfId="0" applyFont="1" applyBorder="1"/>
    <xf numFmtId="0" fontId="0" fillId="0" borderId="310" xfId="0" applyFont="1" applyBorder="1"/>
    <xf numFmtId="0" fontId="0" fillId="0" borderId="329" xfId="0" applyFont="1" applyBorder="1"/>
    <xf numFmtId="0" fontId="48" fillId="22" borderId="330" xfId="8" applyNumberFormat="1" applyFont="1" applyFill="1" applyBorder="1" applyAlignment="1">
      <alignment horizontal="left" vertical="top"/>
    </xf>
    <xf numFmtId="2" fontId="48" fillId="22" borderId="330" xfId="8" applyNumberFormat="1" applyFont="1" applyFill="1" applyBorder="1" applyAlignment="1">
      <alignment horizontal="right" vertical="top"/>
    </xf>
    <xf numFmtId="9" fontId="0" fillId="0" borderId="261" xfId="0" applyNumberFormat="1" applyFont="1" applyFill="1" applyBorder="1"/>
    <xf numFmtId="2" fontId="48" fillId="22" borderId="331" xfId="8" applyNumberFormat="1" applyFont="1" applyFill="1" applyBorder="1" applyAlignment="1">
      <alignment horizontal="right" vertical="top"/>
    </xf>
    <xf numFmtId="2" fontId="0" fillId="0" borderId="332" xfId="0" applyNumberFormat="1" applyFont="1" applyFill="1" applyBorder="1"/>
    <xf numFmtId="0" fontId="0" fillId="0" borderId="325" xfId="0" applyFont="1" applyFill="1" applyBorder="1"/>
    <xf numFmtId="0" fontId="14" fillId="22" borderId="333" xfId="8" applyNumberFormat="1" applyFont="1" applyFill="1" applyBorder="1" applyAlignment="1">
      <alignment horizontal="left" vertical="top"/>
    </xf>
    <xf numFmtId="2" fontId="14" fillId="22" borderId="333" xfId="8" applyNumberFormat="1" applyFont="1" applyFill="1" applyBorder="1" applyAlignment="1">
      <alignment horizontal="right" vertical="top"/>
    </xf>
    <xf numFmtId="9" fontId="0" fillId="0" borderId="334" xfId="0" applyNumberFormat="1" applyFont="1" applyFill="1" applyBorder="1"/>
    <xf numFmtId="0" fontId="0" fillId="0" borderId="334" xfId="0" applyFont="1" applyFill="1" applyBorder="1"/>
    <xf numFmtId="0" fontId="13" fillId="0" borderId="0" xfId="8"/>
    <xf numFmtId="2" fontId="15" fillId="0" borderId="335" xfId="3" applyNumberFormat="1" applyFont="1" applyFill="1" applyBorder="1" applyAlignment="1">
      <alignment horizontal="center" vertical="center" wrapText="1"/>
    </xf>
    <xf numFmtId="0" fontId="0" fillId="0" borderId="336" xfId="0" applyFont="1" applyFill="1" applyBorder="1"/>
    <xf numFmtId="0" fontId="15" fillId="0" borderId="336" xfId="3" applyNumberFormat="1" applyFont="1" applyBorder="1" applyAlignment="1">
      <alignment horizontal="left" vertical="top" wrapText="1"/>
    </xf>
    <xf numFmtId="9" fontId="0" fillId="0" borderId="336" xfId="0" applyNumberFormat="1" applyFont="1" applyFill="1" applyBorder="1"/>
    <xf numFmtId="2" fontId="0" fillId="0" borderId="337" xfId="0" applyNumberFormat="1" applyFont="1" applyFill="1" applyBorder="1"/>
    <xf numFmtId="2" fontId="14" fillId="22" borderId="338" xfId="8" applyNumberFormat="1" applyFont="1" applyFill="1" applyBorder="1" applyAlignment="1">
      <alignment horizontal="right" vertical="top"/>
    </xf>
    <xf numFmtId="9" fontId="0" fillId="0" borderId="339" xfId="0" applyNumberFormat="1" applyFont="1" applyFill="1" applyBorder="1"/>
    <xf numFmtId="0" fontId="0" fillId="0" borderId="339" xfId="0" applyFont="1" applyFill="1" applyBorder="1"/>
    <xf numFmtId="0" fontId="14" fillId="22" borderId="340" xfId="8" applyNumberFormat="1" applyFont="1" applyFill="1" applyBorder="1" applyAlignment="1">
      <alignment horizontal="left" vertical="top"/>
    </xf>
    <xf numFmtId="2" fontId="14" fillId="22" borderId="340" xfId="8" applyNumberFormat="1" applyFont="1" applyFill="1" applyBorder="1" applyAlignment="1">
      <alignment horizontal="right" vertical="top"/>
    </xf>
    <xf numFmtId="9" fontId="0" fillId="0" borderId="278" xfId="0" applyNumberFormat="1" applyFont="1" applyFill="1" applyBorder="1"/>
    <xf numFmtId="2" fontId="0" fillId="0" borderId="334" xfId="0" applyNumberFormat="1" applyFont="1" applyBorder="1"/>
    <xf numFmtId="0" fontId="14" fillId="22" borderId="334" xfId="8" applyNumberFormat="1" applyFont="1" applyFill="1" applyBorder="1" applyAlignment="1">
      <alignment horizontal="left" vertical="top"/>
    </xf>
    <xf numFmtId="2" fontId="14" fillId="22" borderId="334" xfId="8" applyNumberFormat="1" applyFont="1" applyFill="1" applyBorder="1" applyAlignment="1">
      <alignment horizontal="right" vertical="top"/>
    </xf>
    <xf numFmtId="2" fontId="15" fillId="0" borderId="334" xfId="3" applyNumberFormat="1" applyFont="1" applyFill="1" applyBorder="1" applyAlignment="1">
      <alignment horizontal="center" vertical="center" wrapText="1"/>
    </xf>
    <xf numFmtId="0" fontId="0" fillId="0" borderId="334" xfId="0" applyBorder="1"/>
    <xf numFmtId="1" fontId="0" fillId="0" borderId="339" xfId="0" applyNumberFormat="1" applyFill="1" applyBorder="1" applyAlignment="1">
      <alignment wrapText="1"/>
    </xf>
    <xf numFmtId="9" fontId="0" fillId="0" borderId="339" xfId="0" applyNumberFormat="1" applyBorder="1" applyAlignment="1">
      <alignment horizontal="center" vertical="center"/>
    </xf>
    <xf numFmtId="2" fontId="0" fillId="0" borderId="339" xfId="0" applyNumberFormat="1" applyBorder="1" applyAlignment="1">
      <alignment horizontal="center" vertical="center"/>
    </xf>
    <xf numFmtId="0" fontId="0" fillId="0" borderId="334" xfId="0" applyFill="1" applyBorder="1"/>
    <xf numFmtId="9" fontId="43" fillId="0" borderId="310" xfId="0" applyNumberFormat="1" applyFont="1" applyFill="1" applyBorder="1"/>
    <xf numFmtId="0" fontId="0" fillId="0" borderId="310" xfId="0" applyFill="1" applyBorder="1"/>
    <xf numFmtId="0" fontId="65" fillId="22" borderId="59" xfId="8" applyNumberFormat="1" applyFont="1" applyFill="1" applyBorder="1" applyAlignment="1">
      <alignment horizontal="left" vertical="top"/>
    </xf>
    <xf numFmtId="2" fontId="66" fillId="22" borderId="59" xfId="8" applyNumberFormat="1" applyFont="1" applyFill="1" applyBorder="1" applyAlignment="1">
      <alignment horizontal="right" vertical="top"/>
    </xf>
    <xf numFmtId="2" fontId="65" fillId="22" borderId="74" xfId="8" applyNumberFormat="1" applyFont="1" applyFill="1" applyBorder="1" applyAlignment="1">
      <alignment horizontal="right" vertical="top"/>
    </xf>
    <xf numFmtId="0" fontId="0" fillId="0" borderId="334" xfId="0" applyFont="1" applyFill="1" applyBorder="1" applyAlignment="1">
      <alignment vertical="top"/>
    </xf>
    <xf numFmtId="0" fontId="65" fillId="22" borderId="334" xfId="8" applyNumberFormat="1" applyFont="1" applyFill="1" applyBorder="1" applyAlignment="1">
      <alignment horizontal="left" vertical="top"/>
    </xf>
    <xf numFmtId="2" fontId="66" fillId="22" borderId="334" xfId="8" applyNumberFormat="1" applyFont="1" applyFill="1" applyBorder="1" applyAlignment="1">
      <alignment horizontal="right" vertical="top"/>
    </xf>
    <xf numFmtId="9" fontId="23" fillId="0" borderId="334" xfId="0" applyNumberFormat="1" applyFont="1" applyFill="1" applyBorder="1"/>
    <xf numFmtId="2" fontId="65" fillId="22" borderId="342" xfId="8" applyNumberFormat="1" applyFont="1" applyFill="1" applyBorder="1" applyAlignment="1">
      <alignment horizontal="right" vertical="top"/>
    </xf>
    <xf numFmtId="0" fontId="0" fillId="0" borderId="334" xfId="0" applyFont="1" applyBorder="1"/>
    <xf numFmtId="0" fontId="23" fillId="0" borderId="334" xfId="0" applyFont="1" applyBorder="1"/>
    <xf numFmtId="0" fontId="65" fillId="22" borderId="296" xfId="8" applyNumberFormat="1" applyFont="1" applyFill="1" applyBorder="1" applyAlignment="1">
      <alignment horizontal="left" vertical="top"/>
    </xf>
    <xf numFmtId="0" fontId="23" fillId="0" borderId="296" xfId="0" applyFont="1" applyBorder="1"/>
    <xf numFmtId="9" fontId="23" fillId="0" borderId="296" xfId="0" applyNumberFormat="1" applyFont="1" applyFill="1" applyBorder="1"/>
    <xf numFmtId="2" fontId="65" fillId="22" borderId="257" xfId="8" applyNumberFormat="1" applyFont="1" applyFill="1" applyBorder="1" applyAlignment="1">
      <alignment horizontal="right" vertical="top"/>
    </xf>
    <xf numFmtId="9" fontId="0" fillId="0" borderId="334" xfId="0" applyNumberFormat="1" applyFont="1" applyBorder="1"/>
    <xf numFmtId="0" fontId="0" fillId="0" borderId="342" xfId="0" applyBorder="1"/>
    <xf numFmtId="0" fontId="14" fillId="22" borderId="343" xfId="5" applyNumberFormat="1" applyFont="1" applyFill="1" applyBorder="1" applyAlignment="1">
      <alignment horizontal="left" vertical="top"/>
    </xf>
    <xf numFmtId="2" fontId="14" fillId="22" borderId="343" xfId="5" applyNumberFormat="1" applyFont="1" applyFill="1" applyBorder="1" applyAlignment="1">
      <alignment horizontal="right" vertical="top"/>
    </xf>
    <xf numFmtId="0" fontId="15" fillId="0" borderId="296" xfId="0" applyFont="1" applyBorder="1"/>
    <xf numFmtId="0" fontId="31" fillId="0" borderId="296" xfId="0" applyFont="1" applyBorder="1"/>
    <xf numFmtId="0" fontId="0" fillId="0" borderId="306" xfId="0" applyFont="1" applyBorder="1"/>
    <xf numFmtId="0" fontId="65" fillId="22" borderId="306" xfId="5" applyNumberFormat="1" applyFont="1" applyFill="1" applyBorder="1" applyAlignment="1">
      <alignment horizontal="left" vertical="top"/>
    </xf>
    <xf numFmtId="0" fontId="0" fillId="0" borderId="306" xfId="0" applyBorder="1"/>
    <xf numFmtId="9" fontId="0" fillId="0" borderId="306" xfId="0" applyNumberFormat="1" applyFont="1" applyBorder="1"/>
    <xf numFmtId="2" fontId="48" fillId="22" borderId="344" xfId="5" applyNumberFormat="1" applyFont="1" applyFill="1" applyBorder="1" applyAlignment="1">
      <alignment horizontal="right" vertical="top"/>
    </xf>
    <xf numFmtId="0" fontId="65" fillId="22" borderId="296" xfId="5" applyNumberFormat="1" applyFont="1" applyFill="1" applyBorder="1" applyAlignment="1">
      <alignment horizontal="left" vertical="top"/>
    </xf>
    <xf numFmtId="2" fontId="14" fillId="22" borderId="345" xfId="5" applyNumberFormat="1" applyFont="1" applyFill="1" applyBorder="1" applyAlignment="1">
      <alignment horizontal="right" vertical="top"/>
    </xf>
    <xf numFmtId="0" fontId="14" fillId="22" borderId="343" xfId="13" applyNumberFormat="1" applyFont="1" applyFill="1" applyBorder="1" applyAlignment="1">
      <alignment horizontal="left" vertical="top"/>
    </xf>
    <xf numFmtId="0" fontId="0" fillId="0" borderId="334" xfId="0" applyBorder="1" applyAlignment="1">
      <alignment horizontal="center" vertical="center"/>
    </xf>
    <xf numFmtId="9" fontId="0" fillId="0" borderId="334" xfId="0" applyNumberFormat="1" applyFill="1" applyBorder="1"/>
    <xf numFmtId="0" fontId="14" fillId="22" borderId="345" xfId="13" applyNumberFormat="1" applyFont="1" applyFill="1" applyBorder="1" applyAlignment="1">
      <alignment horizontal="left" vertical="top"/>
    </xf>
    <xf numFmtId="0" fontId="0" fillId="0" borderId="346" xfId="0" applyBorder="1"/>
    <xf numFmtId="9" fontId="0" fillId="0" borderId="346" xfId="0" applyNumberFormat="1" applyFill="1" applyBorder="1"/>
    <xf numFmtId="2" fontId="0" fillId="0" borderId="347" xfId="0" applyNumberFormat="1" applyBorder="1"/>
    <xf numFmtId="0" fontId="0" fillId="0" borderId="348" xfId="0" applyBorder="1"/>
    <xf numFmtId="0" fontId="0" fillId="0" borderId="346" xfId="0" applyFill="1" applyBorder="1"/>
    <xf numFmtId="0" fontId="0" fillId="0" borderId="348" xfId="0" applyFill="1" applyBorder="1"/>
    <xf numFmtId="0" fontId="44" fillId="22" borderId="349" xfId="8" applyNumberFormat="1" applyFont="1" applyFill="1" applyBorder="1" applyAlignment="1">
      <alignment horizontal="left" vertical="top"/>
    </xf>
    <xf numFmtId="0" fontId="0" fillId="0" borderId="350" xfId="0" applyFill="1" applyBorder="1"/>
    <xf numFmtId="2" fontId="0" fillId="0" borderId="353" xfId="0" applyNumberFormat="1" applyFont="1" applyFill="1" applyBorder="1"/>
    <xf numFmtId="0" fontId="0" fillId="0" borderId="346" xfId="0" applyFont="1" applyFill="1" applyBorder="1" applyAlignment="1">
      <alignment vertical="top"/>
    </xf>
    <xf numFmtId="0" fontId="65" fillId="22" borderId="346" xfId="8" applyNumberFormat="1" applyFont="1" applyFill="1" applyBorder="1" applyAlignment="1">
      <alignment horizontal="left" vertical="top"/>
    </xf>
    <xf numFmtId="2" fontId="66" fillId="22" borderId="346" xfId="8" applyNumberFormat="1" applyFont="1" applyFill="1" applyBorder="1" applyAlignment="1">
      <alignment horizontal="right" vertical="top"/>
    </xf>
    <xf numFmtId="9" fontId="23" fillId="0" borderId="346" xfId="0" applyNumberFormat="1" applyFont="1" applyFill="1" applyBorder="1"/>
    <xf numFmtId="2" fontId="65" fillId="22" borderId="347" xfId="8" applyNumberFormat="1" applyFont="1" applyFill="1" applyBorder="1" applyAlignment="1">
      <alignment horizontal="right" vertical="top"/>
    </xf>
    <xf numFmtId="0" fontId="0" fillId="0" borderId="350" xfId="0" applyFont="1" applyBorder="1"/>
    <xf numFmtId="0" fontId="15" fillId="0" borderId="350" xfId="3" applyNumberFormat="1" applyFont="1" applyFill="1" applyBorder="1" applyAlignment="1">
      <alignment horizontal="left" vertical="top" wrapText="1"/>
    </xf>
    <xf numFmtId="2" fontId="66" fillId="22" borderId="350" xfId="8" applyNumberFormat="1" applyFont="1" applyFill="1" applyBorder="1" applyAlignment="1">
      <alignment horizontal="right" vertical="top"/>
    </xf>
    <xf numFmtId="9" fontId="23" fillId="0" borderId="350" xfId="0" applyNumberFormat="1" applyFont="1" applyFill="1" applyBorder="1"/>
    <xf numFmtId="0" fontId="64" fillId="4" borderId="280" xfId="8" applyNumberFormat="1" applyFont="1" applyFill="1" applyBorder="1" applyAlignment="1">
      <alignment horizontal="left" vertical="top"/>
    </xf>
    <xf numFmtId="0" fontId="64" fillId="4" borderId="296" xfId="8" applyNumberFormat="1" applyFont="1" applyFill="1" applyBorder="1" applyAlignment="1">
      <alignment horizontal="left" vertical="top"/>
    </xf>
    <xf numFmtId="0" fontId="64" fillId="4" borderId="59" xfId="8" applyNumberFormat="1" applyFont="1" applyFill="1" applyBorder="1" applyAlignment="1">
      <alignment horizontal="left" vertical="top"/>
    </xf>
    <xf numFmtId="0" fontId="64" fillId="4" borderId="301" xfId="8" applyNumberFormat="1" applyFont="1" applyFill="1" applyBorder="1" applyAlignment="1">
      <alignment horizontal="left" vertical="top"/>
    </xf>
    <xf numFmtId="0" fontId="60" fillId="4" borderId="304" xfId="3" applyNumberFormat="1" applyFont="1" applyFill="1" applyBorder="1" applyAlignment="1">
      <alignment horizontal="left" vertical="top" wrapText="1"/>
    </xf>
    <xf numFmtId="0" fontId="64" fillId="4" borderId="310" xfId="8" applyNumberFormat="1" applyFont="1" applyFill="1" applyBorder="1" applyAlignment="1">
      <alignment horizontal="left" vertical="top"/>
    </xf>
    <xf numFmtId="0" fontId="64" fillId="4" borderId="290" xfId="8" applyNumberFormat="1" applyFont="1" applyFill="1" applyBorder="1" applyAlignment="1">
      <alignment horizontal="left" vertical="top"/>
    </xf>
    <xf numFmtId="0" fontId="64" fillId="4" borderId="234" xfId="8" applyNumberFormat="1" applyFont="1" applyFill="1" applyBorder="1" applyAlignment="1">
      <alignment horizontal="left" vertical="top"/>
    </xf>
    <xf numFmtId="1" fontId="0" fillId="0" borderId="306" xfId="0" applyNumberFormat="1" applyFill="1" applyBorder="1" applyAlignment="1">
      <alignment wrapText="1"/>
    </xf>
    <xf numFmtId="1" fontId="0" fillId="0" borderId="296" xfId="0" applyNumberFormat="1" applyFill="1" applyBorder="1" applyAlignment="1">
      <alignment wrapText="1"/>
    </xf>
    <xf numFmtId="0" fontId="59" fillId="4" borderId="319" xfId="7" applyNumberFormat="1" applyFont="1" applyFill="1" applyBorder="1" applyAlignment="1">
      <alignment horizontal="left" vertical="top"/>
    </xf>
    <xf numFmtId="0" fontId="67" fillId="4" borderId="59" xfId="8" applyNumberFormat="1" applyFont="1" applyFill="1" applyBorder="1" applyAlignment="1">
      <alignment horizontal="left" vertical="top"/>
    </xf>
    <xf numFmtId="0" fontId="67" fillId="4" borderId="301" xfId="8" applyNumberFormat="1" applyFont="1" applyFill="1" applyBorder="1" applyAlignment="1">
      <alignment horizontal="left" vertical="top"/>
    </xf>
    <xf numFmtId="0" fontId="64" fillId="4" borderId="305" xfId="8" applyNumberFormat="1" applyFont="1" applyFill="1" applyBorder="1" applyAlignment="1">
      <alignment horizontal="left" vertical="top"/>
    </xf>
    <xf numFmtId="0" fontId="0" fillId="0" borderId="353" xfId="0" applyFont="1" applyBorder="1"/>
    <xf numFmtId="0" fontId="0" fillId="0" borderId="346" xfId="0" applyFont="1" applyBorder="1"/>
    <xf numFmtId="0" fontId="48" fillId="22" borderId="346" xfId="5" applyNumberFormat="1" applyFont="1" applyFill="1" applyBorder="1" applyAlignment="1">
      <alignment horizontal="left" vertical="top"/>
    </xf>
    <xf numFmtId="2" fontId="48" fillId="22" borderId="346" xfId="5" applyNumberFormat="1" applyFont="1" applyFill="1" applyBorder="1" applyAlignment="1">
      <alignment horizontal="right" vertical="top"/>
    </xf>
    <xf numFmtId="9" fontId="2" fillId="0" borderId="346" xfId="0" applyNumberFormat="1" applyFont="1" applyBorder="1"/>
    <xf numFmtId="2" fontId="48" fillId="22" borderId="354" xfId="5" applyNumberFormat="1" applyFont="1" applyFill="1" applyBorder="1" applyAlignment="1">
      <alignment horizontal="right" vertical="top"/>
    </xf>
    <xf numFmtId="0" fontId="48" fillId="22" borderId="350" xfId="5" applyNumberFormat="1" applyFont="1" applyFill="1" applyBorder="1" applyAlignment="1">
      <alignment horizontal="left" vertical="top"/>
    </xf>
    <xf numFmtId="2" fontId="48" fillId="22" borderId="350" xfId="5" applyNumberFormat="1" applyFont="1" applyFill="1" applyBorder="1" applyAlignment="1">
      <alignment horizontal="right" vertical="top"/>
    </xf>
    <xf numFmtId="9" fontId="2" fillId="0" borderId="350" xfId="0" applyNumberFormat="1" applyFont="1" applyBorder="1"/>
    <xf numFmtId="0" fontId="65" fillId="22" borderId="9" xfId="5" applyNumberFormat="1" applyFont="1" applyFill="1" applyBorder="1" applyAlignment="1">
      <alignment horizontal="left" vertical="top"/>
    </xf>
    <xf numFmtId="2" fontId="48" fillId="22" borderId="79" xfId="5" applyNumberFormat="1" applyFont="1" applyFill="1" applyBorder="1" applyAlignment="1">
      <alignment horizontal="right" vertical="top"/>
    </xf>
    <xf numFmtId="14" fontId="0" fillId="0" borderId="355" xfId="0" applyNumberFormat="1" applyBorder="1"/>
    <xf numFmtId="0" fontId="65" fillId="22" borderId="310" xfId="5" applyNumberFormat="1" applyFont="1" applyFill="1" applyBorder="1" applyAlignment="1">
      <alignment horizontal="left" vertical="top"/>
    </xf>
    <xf numFmtId="9" fontId="0" fillId="0" borderId="310" xfId="0" applyNumberFormat="1" applyFont="1" applyBorder="1"/>
    <xf numFmtId="2" fontId="48" fillId="22" borderId="302" xfId="5" applyNumberFormat="1" applyFont="1" applyFill="1" applyBorder="1" applyAlignment="1">
      <alignment horizontal="right" vertical="top"/>
    </xf>
    <xf numFmtId="0" fontId="0" fillId="0" borderId="355" xfId="0" applyBorder="1"/>
    <xf numFmtId="0" fontId="0" fillId="0" borderId="308" xfId="0" applyBorder="1"/>
    <xf numFmtId="9" fontId="0" fillId="0" borderId="308" xfId="0" applyNumberFormat="1" applyFont="1" applyFill="1" applyBorder="1"/>
    <xf numFmtId="2" fontId="0" fillId="0" borderId="351" xfId="0" applyNumberFormat="1" applyFont="1" applyFill="1" applyBorder="1"/>
    <xf numFmtId="2" fontId="14" fillId="22" borderId="280" xfId="8" applyNumberFormat="1" applyFont="1" applyFill="1" applyBorder="1" applyAlignment="1">
      <alignment horizontal="right" vertical="top"/>
    </xf>
    <xf numFmtId="9" fontId="0" fillId="0" borderId="356" xfId="0" applyNumberFormat="1" applyFont="1" applyFill="1" applyBorder="1"/>
    <xf numFmtId="0" fontId="0" fillId="0" borderId="356" xfId="0" applyFont="1" applyFill="1" applyBorder="1"/>
    <xf numFmtId="0" fontId="0" fillId="0" borderId="357" xfId="0" applyFont="1" applyFill="1" applyBorder="1"/>
    <xf numFmtId="0" fontId="15" fillId="0" borderId="357" xfId="3" applyNumberFormat="1" applyFont="1" applyBorder="1" applyAlignment="1">
      <alignment horizontal="left" vertical="top" wrapText="1"/>
    </xf>
    <xf numFmtId="9" fontId="0" fillId="0" borderId="357" xfId="0" applyNumberFormat="1" applyFont="1" applyFill="1" applyBorder="1"/>
    <xf numFmtId="0" fontId="63" fillId="22" borderId="358" xfId="13" applyNumberFormat="1" applyFont="1" applyFill="1" applyBorder="1" applyAlignment="1">
      <alignment horizontal="left" vertical="top"/>
    </xf>
    <xf numFmtId="168" fontId="23" fillId="17" borderId="359" xfId="4" applyNumberFormat="1" applyFont="1" applyFill="1" applyBorder="1" applyAlignment="1">
      <alignment horizontal="right" vertical="center"/>
    </xf>
    <xf numFmtId="0" fontId="63" fillId="22" borderId="280" xfId="13" applyNumberFormat="1" applyFont="1" applyFill="1" applyBorder="1" applyAlignment="1">
      <alignment horizontal="left" vertical="top"/>
    </xf>
    <xf numFmtId="2" fontId="0" fillId="0" borderId="297" xfId="0" applyNumberFormat="1" applyFont="1" applyBorder="1"/>
    <xf numFmtId="9" fontId="0" fillId="0" borderId="362" xfId="0" applyNumberFormat="1" applyFont="1" applyFill="1" applyBorder="1"/>
    <xf numFmtId="2" fontId="48" fillId="22" borderId="281" xfId="8" applyNumberFormat="1" applyFont="1" applyFill="1" applyBorder="1" applyAlignment="1">
      <alignment horizontal="right" vertical="top"/>
    </xf>
    <xf numFmtId="2" fontId="14" fillId="22" borderId="363" xfId="8" applyNumberFormat="1" applyFont="1" applyFill="1" applyBorder="1" applyAlignment="1">
      <alignment horizontal="right" vertical="top"/>
    </xf>
    <xf numFmtId="2" fontId="0" fillId="0" borderId="260" xfId="0" applyNumberFormat="1" applyFont="1" applyBorder="1"/>
    <xf numFmtId="0" fontId="0" fillId="0" borderId="364" xfId="0" applyFont="1" applyFill="1" applyBorder="1"/>
    <xf numFmtId="0" fontId="48" fillId="22" borderId="321" xfId="8" applyNumberFormat="1" applyFont="1" applyFill="1" applyBorder="1" applyAlignment="1">
      <alignment horizontal="left" vertical="top"/>
    </xf>
    <xf numFmtId="2" fontId="14" fillId="22" borderId="261" xfId="8" applyNumberFormat="1" applyFont="1" applyFill="1" applyBorder="1" applyAlignment="1">
      <alignment horizontal="right" vertical="top"/>
    </xf>
    <xf numFmtId="2" fontId="48" fillId="22" borderId="365" xfId="8" applyNumberFormat="1" applyFont="1" applyFill="1" applyBorder="1" applyAlignment="1">
      <alignment horizontal="right" vertical="top"/>
    </xf>
    <xf numFmtId="0" fontId="48" fillId="22" borderId="59" xfId="5" applyNumberFormat="1" applyFont="1" applyFill="1" applyBorder="1" applyAlignment="1">
      <alignment horizontal="left" vertical="top"/>
    </xf>
    <xf numFmtId="2" fontId="48" fillId="22" borderId="59" xfId="5" applyNumberFormat="1" applyFont="1" applyFill="1" applyBorder="1" applyAlignment="1">
      <alignment horizontal="right" vertical="top"/>
    </xf>
    <xf numFmtId="9" fontId="2" fillId="0" borderId="59" xfId="0" applyNumberFormat="1" applyFont="1" applyBorder="1"/>
    <xf numFmtId="2" fontId="48" fillId="22" borderId="74" xfId="5" applyNumberFormat="1" applyFont="1" applyFill="1" applyBorder="1" applyAlignment="1">
      <alignment horizontal="right" vertical="top"/>
    </xf>
    <xf numFmtId="0" fontId="0" fillId="0" borderId="362" xfId="0" applyFont="1" applyBorder="1"/>
    <xf numFmtId="0" fontId="48" fillId="22" borderId="362" xfId="5" applyNumberFormat="1" applyFont="1" applyFill="1" applyBorder="1" applyAlignment="1">
      <alignment horizontal="left" vertical="top"/>
    </xf>
    <xf numFmtId="2" fontId="48" fillId="22" borderId="362" xfId="5" applyNumberFormat="1" applyFont="1" applyFill="1" applyBorder="1" applyAlignment="1">
      <alignment horizontal="right" vertical="top"/>
    </xf>
    <xf numFmtId="9" fontId="2" fillId="0" borderId="362" xfId="0" applyNumberFormat="1" applyFont="1" applyBorder="1"/>
    <xf numFmtId="0" fontId="0" fillId="0" borderId="362" xfId="0" applyBorder="1"/>
    <xf numFmtId="9" fontId="2" fillId="0" borderId="362" xfId="0" applyNumberFormat="1" applyFont="1" applyFill="1" applyBorder="1"/>
    <xf numFmtId="0" fontId="48" fillId="22" borderId="308" xfId="5" applyNumberFormat="1" applyFont="1" applyFill="1" applyBorder="1" applyAlignment="1">
      <alignment horizontal="left" vertical="top"/>
    </xf>
    <xf numFmtId="2" fontId="48" fillId="22" borderId="308" xfId="5" applyNumberFormat="1" applyFont="1" applyFill="1" applyBorder="1" applyAlignment="1">
      <alignment horizontal="right" vertical="top"/>
    </xf>
    <xf numFmtId="9" fontId="2" fillId="0" borderId="308" xfId="0" applyNumberFormat="1" applyFont="1" applyFill="1" applyBorder="1"/>
    <xf numFmtId="1" fontId="0" fillId="0" borderId="362" xfId="0" applyNumberFormat="1" applyFill="1" applyBorder="1" applyAlignment="1">
      <alignment wrapText="1"/>
    </xf>
    <xf numFmtId="2" fontId="0" fillId="0" borderId="362" xfId="0" applyNumberFormat="1" applyBorder="1" applyAlignment="1">
      <alignment vertical="center"/>
    </xf>
    <xf numFmtId="2" fontId="0" fillId="0" borderId="366" xfId="0" applyNumberFormat="1" applyFont="1" applyFill="1" applyBorder="1"/>
    <xf numFmtId="0" fontId="0" fillId="0" borderId="368" xfId="0" applyFont="1" applyFill="1" applyBorder="1"/>
    <xf numFmtId="0" fontId="0" fillId="0" borderId="370" xfId="0" applyFont="1" applyFill="1" applyBorder="1"/>
    <xf numFmtId="0" fontId="0" fillId="0" borderId="308" xfId="0" applyFont="1" applyFill="1" applyBorder="1"/>
    <xf numFmtId="0" fontId="22" fillId="0" borderId="308" xfId="3" applyNumberFormat="1" applyFont="1" applyBorder="1" applyAlignment="1">
      <alignment horizontal="left" vertical="top" wrapText="1"/>
    </xf>
    <xf numFmtId="9" fontId="0" fillId="0" borderId="308" xfId="1" applyFont="1" applyBorder="1"/>
    <xf numFmtId="0" fontId="14" fillId="22" borderId="59" xfId="8" applyNumberFormat="1" applyFont="1" applyFill="1" applyBorder="1" applyAlignment="1">
      <alignment horizontal="left" vertical="top"/>
    </xf>
    <xf numFmtId="2" fontId="0" fillId="0" borderId="355" xfId="0" applyNumberFormat="1" applyFill="1" applyBorder="1"/>
    <xf numFmtId="0" fontId="0" fillId="0" borderId="370" xfId="0" applyFill="1" applyBorder="1"/>
    <xf numFmtId="0" fontId="14" fillId="22" borderId="370" xfId="8" applyNumberFormat="1" applyFont="1" applyFill="1" applyBorder="1" applyAlignment="1">
      <alignment horizontal="left" vertical="top"/>
    </xf>
    <xf numFmtId="2" fontId="14" fillId="22" borderId="370" xfId="8" applyNumberFormat="1" applyFont="1" applyFill="1" applyBorder="1" applyAlignment="1">
      <alignment horizontal="right" vertical="top"/>
    </xf>
    <xf numFmtId="9" fontId="43" fillId="0" borderId="370" xfId="0" applyNumberFormat="1" applyFont="1" applyFill="1" applyBorder="1"/>
    <xf numFmtId="2" fontId="14" fillId="22" borderId="354" xfId="8" applyNumberFormat="1" applyFont="1" applyFill="1" applyBorder="1" applyAlignment="1">
      <alignment horizontal="right" vertical="top"/>
    </xf>
    <xf numFmtId="0" fontId="0" fillId="0" borderId="370" xfId="0" applyBorder="1"/>
    <xf numFmtId="0" fontId="14" fillId="22" borderId="308" xfId="8" applyNumberFormat="1" applyFont="1" applyFill="1" applyBorder="1" applyAlignment="1">
      <alignment horizontal="left" vertical="top"/>
    </xf>
    <xf numFmtId="2" fontId="14" fillId="22" borderId="308" xfId="8" applyNumberFormat="1" applyFont="1" applyFill="1" applyBorder="1" applyAlignment="1">
      <alignment horizontal="right" vertical="top"/>
    </xf>
    <xf numFmtId="9" fontId="43" fillId="0" borderId="308" xfId="0" applyNumberFormat="1" applyFont="1" applyFill="1" applyBorder="1"/>
    <xf numFmtId="2" fontId="0" fillId="0" borderId="355" xfId="0" applyNumberFormat="1" applyFont="1" applyFill="1" applyBorder="1"/>
    <xf numFmtId="0" fontId="0" fillId="0" borderId="370" xfId="0" applyFont="1" applyFill="1" applyBorder="1" applyAlignment="1">
      <alignment vertical="top"/>
    </xf>
    <xf numFmtId="0" fontId="48" fillId="22" borderId="371" xfId="8" applyNumberFormat="1" applyFont="1" applyFill="1" applyBorder="1" applyAlignment="1">
      <alignment horizontal="left" vertical="top"/>
    </xf>
    <xf numFmtId="2" fontId="48" fillId="22" borderId="371" xfId="8" applyNumberFormat="1" applyFont="1" applyFill="1" applyBorder="1" applyAlignment="1">
      <alignment horizontal="right" vertical="top"/>
    </xf>
    <xf numFmtId="9" fontId="0" fillId="0" borderId="370" xfId="0" applyNumberFormat="1" applyFont="1" applyFill="1" applyBorder="1"/>
    <xf numFmtId="2" fontId="48" fillId="22" borderId="372" xfId="8" applyNumberFormat="1" applyFont="1" applyFill="1" applyBorder="1" applyAlignment="1">
      <alignment horizontal="right" vertical="top"/>
    </xf>
    <xf numFmtId="0" fontId="0" fillId="0" borderId="355" xfId="0" applyFont="1" applyBorder="1"/>
    <xf numFmtId="0" fontId="0" fillId="0" borderId="370" xfId="0" applyFont="1" applyBorder="1"/>
    <xf numFmtId="0" fontId="0" fillId="0" borderId="373" xfId="0" applyFont="1" applyBorder="1"/>
    <xf numFmtId="0" fontId="48" fillId="22" borderId="374" xfId="8" applyNumberFormat="1" applyFont="1" applyFill="1" applyBorder="1" applyAlignment="1">
      <alignment horizontal="left" vertical="top"/>
    </xf>
    <xf numFmtId="2" fontId="48" fillId="22" borderId="374" xfId="8" applyNumberFormat="1" applyFont="1" applyFill="1" applyBorder="1" applyAlignment="1">
      <alignment horizontal="right" vertical="top"/>
    </xf>
    <xf numFmtId="2" fontId="48" fillId="22" borderId="375" xfId="8" applyNumberFormat="1" applyFont="1" applyFill="1" applyBorder="1" applyAlignment="1">
      <alignment horizontal="right" vertical="top"/>
    </xf>
    <xf numFmtId="9" fontId="0" fillId="0" borderId="370" xfId="0" applyNumberFormat="1" applyFill="1" applyBorder="1"/>
    <xf numFmtId="0" fontId="0" fillId="0" borderId="354" xfId="0" applyFill="1" applyBorder="1"/>
    <xf numFmtId="14" fontId="0" fillId="0" borderId="177" xfId="0" applyNumberFormat="1" applyFill="1" applyBorder="1"/>
    <xf numFmtId="0" fontId="0" fillId="0" borderId="215" xfId="0" applyFill="1" applyBorder="1" applyAlignment="1">
      <alignment wrapText="1"/>
    </xf>
    <xf numFmtId="0" fontId="0" fillId="0" borderId="227" xfId="0" applyFill="1" applyBorder="1" applyAlignment="1">
      <alignment vertical="center"/>
    </xf>
    <xf numFmtId="9" fontId="0" fillId="0" borderId="370" xfId="0" applyNumberFormat="1" applyFill="1" applyBorder="1" applyAlignment="1">
      <alignment vertical="center"/>
    </xf>
    <xf numFmtId="2" fontId="0" fillId="0" borderId="370" xfId="0" applyNumberFormat="1" applyFill="1" applyBorder="1" applyAlignment="1">
      <alignment vertical="center"/>
    </xf>
    <xf numFmtId="2" fontId="0" fillId="0" borderId="370" xfId="0" applyNumberFormat="1" applyFont="1" applyFill="1" applyBorder="1" applyAlignment="1">
      <alignment vertical="center"/>
    </xf>
    <xf numFmtId="0" fontId="0" fillId="0" borderId="253" xfId="0" applyFill="1" applyBorder="1" applyAlignment="1">
      <alignment wrapText="1"/>
    </xf>
    <xf numFmtId="0" fontId="0" fillId="0" borderId="38" xfId="0" applyFill="1" applyBorder="1" applyAlignment="1">
      <alignment vertical="center"/>
    </xf>
    <xf numFmtId="0" fontId="0" fillId="0" borderId="38" xfId="0" applyFill="1" applyBorder="1" applyAlignment="1"/>
    <xf numFmtId="0" fontId="0" fillId="0" borderId="74" xfId="0" applyFill="1" applyBorder="1"/>
    <xf numFmtId="0" fontId="0" fillId="0" borderId="355" xfId="0" applyFill="1" applyBorder="1"/>
    <xf numFmtId="0" fontId="0" fillId="0" borderId="260" xfId="0" applyFill="1" applyBorder="1"/>
    <xf numFmtId="2" fontId="44" fillId="22" borderId="74" xfId="8" applyNumberFormat="1" applyFont="1" applyFill="1" applyBorder="1" applyAlignment="1">
      <alignment horizontal="right" vertical="top"/>
    </xf>
    <xf numFmtId="2" fontId="0" fillId="0" borderId="378" xfId="0" applyNumberFormat="1" applyBorder="1"/>
    <xf numFmtId="0" fontId="0" fillId="0" borderId="362" xfId="0" applyFill="1" applyBorder="1"/>
    <xf numFmtId="0" fontId="48" fillId="22" borderId="362" xfId="8" applyNumberFormat="1" applyFont="1" applyFill="1" applyBorder="1" applyAlignment="1">
      <alignment horizontal="left" vertical="top"/>
    </xf>
    <xf numFmtId="2" fontId="14" fillId="22" borderId="362" xfId="8" applyNumberFormat="1" applyFont="1" applyFill="1" applyBorder="1" applyAlignment="1">
      <alignment horizontal="right" vertical="top"/>
    </xf>
    <xf numFmtId="9" fontId="43" fillId="0" borderId="362" xfId="0" applyNumberFormat="1" applyFont="1" applyFill="1" applyBorder="1"/>
    <xf numFmtId="2" fontId="44" fillId="22" borderId="379" xfId="8" applyNumberFormat="1" applyFont="1" applyFill="1" applyBorder="1" applyAlignment="1">
      <alignment horizontal="right" vertical="top"/>
    </xf>
    <xf numFmtId="0" fontId="0" fillId="0" borderId="378" xfId="0" applyBorder="1"/>
    <xf numFmtId="0" fontId="2" fillId="0" borderId="362" xfId="0" applyFont="1" applyBorder="1"/>
    <xf numFmtId="0" fontId="0" fillId="0" borderId="373" xfId="0" applyBorder="1"/>
    <xf numFmtId="0" fontId="2" fillId="0" borderId="373" xfId="0" applyFont="1" applyBorder="1"/>
    <xf numFmtId="9" fontId="43" fillId="0" borderId="373" xfId="0" applyNumberFormat="1" applyFont="1" applyFill="1" applyBorder="1"/>
    <xf numFmtId="2" fontId="44" fillId="22" borderId="257" xfId="8" applyNumberFormat="1" applyFont="1" applyFill="1" applyBorder="1" applyAlignment="1">
      <alignment horizontal="right" vertical="top"/>
    </xf>
    <xf numFmtId="2" fontId="0" fillId="0" borderId="378" xfId="0" applyNumberFormat="1" applyFont="1" applyFill="1" applyBorder="1"/>
    <xf numFmtId="0" fontId="0" fillId="0" borderId="362" xfId="0" applyFont="1" applyFill="1" applyBorder="1" applyAlignment="1">
      <alignment vertical="top"/>
    </xf>
    <xf numFmtId="2" fontId="66" fillId="22" borderId="362" xfId="8" applyNumberFormat="1" applyFont="1" applyFill="1" applyBorder="1" applyAlignment="1">
      <alignment horizontal="right" vertical="top"/>
    </xf>
    <xf numFmtId="9" fontId="23" fillId="0" borderId="362" xfId="0" applyNumberFormat="1" applyFont="1" applyFill="1" applyBorder="1"/>
    <xf numFmtId="2" fontId="65" fillId="22" borderId="379" xfId="8" applyNumberFormat="1" applyFont="1" applyFill="1" applyBorder="1" applyAlignment="1">
      <alignment horizontal="right" vertical="top"/>
    </xf>
    <xf numFmtId="0" fontId="0" fillId="0" borderId="378" xfId="0" applyFont="1" applyBorder="1"/>
    <xf numFmtId="0" fontId="0" fillId="0" borderId="379" xfId="0" applyBorder="1"/>
    <xf numFmtId="9" fontId="23" fillId="0" borderId="373" xfId="0" applyNumberFormat="1" applyFont="1" applyFill="1" applyBorder="1"/>
    <xf numFmtId="0" fontId="0" fillId="0" borderId="73" xfId="0" applyFont="1" applyBorder="1"/>
    <xf numFmtId="0" fontId="0" fillId="0" borderId="380" xfId="0" applyFont="1" applyBorder="1"/>
    <xf numFmtId="9" fontId="0" fillId="0" borderId="362" xfId="0" applyNumberFormat="1" applyFont="1" applyBorder="1"/>
    <xf numFmtId="2" fontId="48" fillId="22" borderId="381" xfId="5" applyNumberFormat="1" applyFont="1" applyFill="1" applyBorder="1" applyAlignment="1">
      <alignment horizontal="right" vertical="top"/>
    </xf>
    <xf numFmtId="9" fontId="0" fillId="0" borderId="373" xfId="0" applyNumberFormat="1" applyFont="1" applyBorder="1"/>
    <xf numFmtId="14" fontId="0" fillId="0" borderId="380" xfId="0" applyNumberFormat="1" applyBorder="1"/>
    <xf numFmtId="0" fontId="0" fillId="0" borderId="380" xfId="0" applyBorder="1"/>
    <xf numFmtId="0" fontId="0" fillId="0" borderId="381" xfId="0" applyBorder="1"/>
    <xf numFmtId="9" fontId="0" fillId="0" borderId="373" xfId="0" applyNumberFormat="1" applyFont="1" applyFill="1" applyBorder="1"/>
    <xf numFmtId="9" fontId="2" fillId="0" borderId="362" xfId="0" applyNumberFormat="1" applyFont="1" applyBorder="1" applyAlignment="1">
      <alignment horizontal="center" vertical="center"/>
    </xf>
    <xf numFmtId="2" fontId="2" fillId="0" borderId="362" xfId="0" applyNumberFormat="1" applyFont="1" applyBorder="1" applyAlignment="1">
      <alignment horizontal="center" vertical="center"/>
    </xf>
    <xf numFmtId="2" fontId="48" fillId="22" borderId="381" xfId="7" applyNumberFormat="1" applyFont="1" applyFill="1" applyBorder="1" applyAlignment="1">
      <alignment horizontal="center" vertical="top"/>
    </xf>
    <xf numFmtId="1" fontId="0" fillId="0" borderId="373" xfId="0" applyNumberFormat="1" applyFill="1" applyBorder="1" applyAlignment="1">
      <alignment wrapText="1"/>
    </xf>
    <xf numFmtId="0" fontId="0" fillId="0" borderId="368" xfId="0" applyFill="1" applyBorder="1"/>
    <xf numFmtId="0" fontId="63" fillId="22" borderId="382" xfId="13" applyNumberFormat="1" applyFont="1" applyFill="1" applyBorder="1" applyAlignment="1">
      <alignment horizontal="left" vertical="top"/>
    </xf>
    <xf numFmtId="9" fontId="0" fillId="0" borderId="368" xfId="0" applyNumberFormat="1" applyFill="1" applyBorder="1"/>
    <xf numFmtId="168" fontId="23" fillId="17" borderId="381" xfId="4" applyNumberFormat="1" applyFont="1" applyFill="1" applyBorder="1" applyAlignment="1">
      <alignment horizontal="right" vertical="center"/>
    </xf>
    <xf numFmtId="0" fontId="63" fillId="22" borderId="371" xfId="13" applyNumberFormat="1" applyFont="1" applyFill="1" applyBorder="1" applyAlignment="1">
      <alignment horizontal="left" vertical="top"/>
    </xf>
    <xf numFmtId="0" fontId="63" fillId="22" borderId="374" xfId="13" applyNumberFormat="1" applyFont="1" applyFill="1" applyBorder="1" applyAlignment="1">
      <alignment horizontal="left" vertical="top"/>
    </xf>
    <xf numFmtId="14" fontId="0" fillId="0" borderId="383" xfId="0" applyNumberFormat="1" applyBorder="1"/>
    <xf numFmtId="0" fontId="14" fillId="22" borderId="384" xfId="5" applyNumberFormat="1" applyFont="1" applyFill="1" applyBorder="1" applyAlignment="1">
      <alignment horizontal="left" vertical="top"/>
    </xf>
    <xf numFmtId="2" fontId="48" fillId="22" borderId="385" xfId="5" applyNumberFormat="1" applyFont="1" applyFill="1" applyBorder="1" applyAlignment="1">
      <alignment horizontal="right" vertical="top"/>
    </xf>
    <xf numFmtId="0" fontId="14" fillId="22" borderId="374" xfId="5" applyNumberFormat="1" applyFont="1" applyFill="1" applyBorder="1" applyAlignment="1">
      <alignment horizontal="left" vertical="top"/>
    </xf>
    <xf numFmtId="2" fontId="48" fillId="22" borderId="373" xfId="5" applyNumberFormat="1" applyFont="1" applyFill="1" applyBorder="1" applyAlignment="1">
      <alignment horizontal="right" vertical="top"/>
    </xf>
    <xf numFmtId="9" fontId="2" fillId="0" borderId="373" xfId="0" applyNumberFormat="1" applyFont="1" applyBorder="1"/>
    <xf numFmtId="1" fontId="0" fillId="0" borderId="370" xfId="0" applyNumberFormat="1" applyFill="1" applyBorder="1" applyAlignment="1">
      <alignment wrapText="1"/>
    </xf>
    <xf numFmtId="2" fontId="0" fillId="0" borderId="370" xfId="0" applyNumberFormat="1" applyBorder="1" applyAlignment="1">
      <alignment vertical="center"/>
    </xf>
    <xf numFmtId="0" fontId="0" fillId="0" borderId="370" xfId="0" applyBorder="1" applyAlignment="1">
      <alignment wrapText="1"/>
    </xf>
    <xf numFmtId="0" fontId="0" fillId="0" borderId="386" xfId="0" applyFill="1" applyBorder="1"/>
    <xf numFmtId="0" fontId="0" fillId="0" borderId="387" xfId="0" applyBorder="1"/>
    <xf numFmtId="0" fontId="0" fillId="0" borderId="388" xfId="0" applyFill="1" applyBorder="1"/>
    <xf numFmtId="0" fontId="48" fillId="22" borderId="386" xfId="13" applyNumberFormat="1" applyFont="1" applyFill="1" applyBorder="1" applyAlignment="1">
      <alignment horizontal="left" vertical="top"/>
    </xf>
    <xf numFmtId="0" fontId="0" fillId="0" borderId="386" xfId="0" applyFont="1" applyBorder="1" applyAlignment="1">
      <alignment horizontal="center" vertical="center"/>
    </xf>
    <xf numFmtId="9" fontId="0" fillId="0" borderId="386" xfId="0" applyNumberFormat="1" applyFont="1" applyFill="1" applyBorder="1"/>
    <xf numFmtId="2" fontId="48" fillId="22" borderId="389" xfId="13" applyNumberFormat="1" applyFont="1" applyFill="1" applyBorder="1" applyAlignment="1">
      <alignment horizontal="right" vertical="top"/>
    </xf>
    <xf numFmtId="0" fontId="0" fillId="0" borderId="386" xfId="0" applyFont="1" applyBorder="1"/>
    <xf numFmtId="0" fontId="0" fillId="0" borderId="388" xfId="0" applyFont="1" applyBorder="1"/>
    <xf numFmtId="9" fontId="0" fillId="0" borderId="388" xfId="0" applyNumberFormat="1" applyFont="1" applyFill="1" applyBorder="1"/>
    <xf numFmtId="2" fontId="48" fillId="22" borderId="257" xfId="13" applyNumberFormat="1" applyFont="1" applyFill="1" applyBorder="1" applyAlignment="1">
      <alignment horizontal="right" vertical="top"/>
    </xf>
    <xf numFmtId="0" fontId="0" fillId="0" borderId="368" xfId="0" applyFont="1" applyBorder="1" applyAlignment="1">
      <alignment vertical="center"/>
    </xf>
    <xf numFmtId="0" fontId="0" fillId="0" borderId="368" xfId="0" applyBorder="1"/>
    <xf numFmtId="0" fontId="0" fillId="0" borderId="386" xfId="0" applyFont="1" applyBorder="1" applyAlignment="1">
      <alignment vertical="center"/>
    </xf>
    <xf numFmtId="0" fontId="0" fillId="0" borderId="386" xfId="0" applyBorder="1"/>
    <xf numFmtId="0" fontId="0" fillId="0" borderId="389" xfId="0" applyBorder="1"/>
    <xf numFmtId="0" fontId="0" fillId="0" borderId="388" xfId="0" applyFont="1" applyBorder="1" applyAlignment="1">
      <alignment vertical="center"/>
    </xf>
    <xf numFmtId="0" fontId="0" fillId="0" borderId="388" xfId="0" applyBorder="1"/>
    <xf numFmtId="0" fontId="48" fillId="22" borderId="234" xfId="5" applyNumberFormat="1" applyFont="1" applyFill="1" applyBorder="1" applyAlignment="1">
      <alignment horizontal="left" vertical="top"/>
    </xf>
    <xf numFmtId="9" fontId="0" fillId="0" borderId="234" xfId="0" applyNumberFormat="1" applyFont="1" applyBorder="1"/>
    <xf numFmtId="0" fontId="0" fillId="0" borderId="390" xfId="0" applyFont="1" applyBorder="1"/>
    <xf numFmtId="0" fontId="48" fillId="22" borderId="386" xfId="5" applyNumberFormat="1" applyFont="1" applyFill="1" applyBorder="1" applyAlignment="1">
      <alignment horizontal="left" vertical="top"/>
    </xf>
    <xf numFmtId="9" fontId="0" fillId="0" borderId="386" xfId="0" applyNumberFormat="1" applyFont="1" applyBorder="1"/>
    <xf numFmtId="2" fontId="48" fillId="22" borderId="389" xfId="5" applyNumberFormat="1" applyFont="1" applyFill="1" applyBorder="1" applyAlignment="1">
      <alignment horizontal="right" vertical="top"/>
    </xf>
    <xf numFmtId="2" fontId="0" fillId="0" borderId="383" xfId="0" applyNumberFormat="1" applyFont="1" applyBorder="1"/>
    <xf numFmtId="0" fontId="0" fillId="0" borderId="386" xfId="0" applyFont="1" applyFill="1" applyBorder="1"/>
    <xf numFmtId="0" fontId="48" fillId="22" borderId="386" xfId="8" applyNumberFormat="1" applyFont="1" applyFill="1" applyBorder="1" applyAlignment="1">
      <alignment horizontal="left" vertical="top"/>
    </xf>
    <xf numFmtId="2" fontId="14" fillId="22" borderId="386" xfId="8" applyNumberFormat="1" applyFont="1" applyFill="1" applyBorder="1" applyAlignment="1">
      <alignment horizontal="right" vertical="top"/>
    </xf>
    <xf numFmtId="2" fontId="48" fillId="22" borderId="389" xfId="8" applyNumberFormat="1" applyFont="1" applyFill="1" applyBorder="1" applyAlignment="1">
      <alignment horizontal="right" vertical="top"/>
    </xf>
    <xf numFmtId="0" fontId="0" fillId="0" borderId="383" xfId="0" applyBorder="1"/>
    <xf numFmtId="2" fontId="48" fillId="22" borderId="386" xfId="8" applyNumberFormat="1" applyFont="1" applyFill="1" applyBorder="1" applyAlignment="1">
      <alignment horizontal="right" vertical="top"/>
    </xf>
    <xf numFmtId="0" fontId="15" fillId="0" borderId="386" xfId="8" applyFont="1" applyBorder="1"/>
    <xf numFmtId="2" fontId="0" fillId="0" borderId="0" xfId="0" applyNumberFormat="1" applyFont="1" applyFill="1" applyBorder="1"/>
    <xf numFmtId="0" fontId="15" fillId="0" borderId="308" xfId="3" applyNumberFormat="1" applyFont="1" applyBorder="1" applyAlignment="1">
      <alignment horizontal="left" vertical="top" wrapText="1"/>
    </xf>
    <xf numFmtId="0" fontId="0" fillId="0" borderId="386" xfId="0" applyFont="1" applyBorder="1" applyAlignment="1">
      <alignment horizontal="center" vertical="center"/>
    </xf>
    <xf numFmtId="0" fontId="0" fillId="0" borderId="308" xfId="0" applyFont="1" applyBorder="1"/>
    <xf numFmtId="0" fontId="0" fillId="0" borderId="308" xfId="0" applyFont="1" applyBorder="1" applyAlignment="1">
      <alignment vertical="center"/>
    </xf>
    <xf numFmtId="2" fontId="0" fillId="0" borderId="390" xfId="0" applyNumberFormat="1" applyFont="1" applyFill="1" applyBorder="1"/>
    <xf numFmtId="0" fontId="0" fillId="0" borderId="386" xfId="0" applyFont="1" applyFill="1" applyBorder="1" applyAlignment="1">
      <alignment vertical="top"/>
    </xf>
    <xf numFmtId="2" fontId="66" fillId="22" borderId="386" xfId="8" applyNumberFormat="1" applyFont="1" applyFill="1" applyBorder="1" applyAlignment="1">
      <alignment horizontal="right" vertical="top"/>
    </xf>
    <xf numFmtId="9" fontId="23" fillId="0" borderId="386" xfId="0" applyNumberFormat="1" applyFont="1" applyFill="1" applyBorder="1"/>
    <xf numFmtId="2" fontId="65" fillId="22" borderId="389" xfId="8" applyNumberFormat="1" applyFont="1" applyFill="1" applyBorder="1" applyAlignment="1">
      <alignment horizontal="right" vertical="top"/>
    </xf>
    <xf numFmtId="0" fontId="15" fillId="0" borderId="386" xfId="3" applyNumberFormat="1" applyFont="1" applyFill="1" applyBorder="1" applyAlignment="1">
      <alignment horizontal="left" vertical="top" wrapText="1"/>
    </xf>
    <xf numFmtId="0" fontId="0" fillId="0" borderId="390" xfId="0" applyBorder="1"/>
    <xf numFmtId="9" fontId="23" fillId="0" borderId="308" xfId="0" applyNumberFormat="1" applyFont="1" applyFill="1" applyBorder="1"/>
    <xf numFmtId="0" fontId="48" fillId="4" borderId="312" xfId="8" applyNumberFormat="1" applyFont="1" applyFill="1" applyBorder="1" applyAlignment="1">
      <alignment horizontal="left" vertical="top"/>
    </xf>
    <xf numFmtId="0" fontId="0" fillId="27" borderId="0" xfId="0" applyFill="1"/>
    <xf numFmtId="0" fontId="59" fillId="4" borderId="312" xfId="8" applyNumberFormat="1" applyFont="1" applyFill="1" applyBorder="1" applyAlignment="1">
      <alignment horizontal="left" vertical="top"/>
    </xf>
    <xf numFmtId="0" fontId="59" fillId="4" borderId="313" xfId="8" applyNumberFormat="1" applyFont="1" applyFill="1" applyBorder="1" applyAlignment="1">
      <alignment horizontal="left" vertical="top"/>
    </xf>
    <xf numFmtId="0" fontId="67" fillId="4" borderId="338" xfId="8" applyNumberFormat="1" applyFont="1" applyFill="1" applyBorder="1" applyAlignment="1">
      <alignment horizontal="left" vertical="top"/>
    </xf>
    <xf numFmtId="0" fontId="64" fillId="4" borderId="338" xfId="8" applyNumberFormat="1" applyFont="1" applyFill="1" applyBorder="1" applyAlignment="1">
      <alignment horizontal="left" vertical="top"/>
    </xf>
    <xf numFmtId="0" fontId="64" fillId="4" borderId="334" xfId="8" applyNumberFormat="1" applyFont="1" applyFill="1" applyBorder="1" applyAlignment="1">
      <alignment horizontal="left" vertical="top"/>
    </xf>
    <xf numFmtId="0" fontId="68" fillId="4" borderId="334" xfId="8" applyNumberFormat="1" applyFont="1" applyFill="1" applyBorder="1" applyAlignment="1">
      <alignment horizontal="left" vertical="top"/>
    </xf>
    <xf numFmtId="0" fontId="59" fillId="4" borderId="325" xfId="8" applyNumberFormat="1" applyFont="1" applyFill="1" applyBorder="1" applyAlignment="1">
      <alignment horizontal="left" vertical="top"/>
    </xf>
    <xf numFmtId="0" fontId="69" fillId="4" borderId="59" xfId="8" applyNumberFormat="1" applyFont="1" applyFill="1" applyBorder="1" applyAlignment="1">
      <alignment horizontal="left" vertical="top"/>
    </xf>
    <xf numFmtId="0" fontId="69" fillId="4" borderId="334" xfId="8" applyNumberFormat="1" applyFont="1" applyFill="1" applyBorder="1" applyAlignment="1">
      <alignment horizontal="left" vertical="top"/>
    </xf>
    <xf numFmtId="0" fontId="67" fillId="4" borderId="333" xfId="8" applyNumberFormat="1" applyFont="1" applyFill="1" applyBorder="1" applyAlignment="1">
      <alignment horizontal="left" vertical="top"/>
    </xf>
    <xf numFmtId="2" fontId="0" fillId="0" borderId="64" xfId="0" applyNumberFormat="1" applyFont="1" applyFill="1" applyBorder="1"/>
    <xf numFmtId="0" fontId="24" fillId="0" borderId="0" xfId="0" applyFont="1" applyBorder="1"/>
    <xf numFmtId="9" fontId="0" fillId="0" borderId="368" xfId="1" applyFont="1" applyBorder="1"/>
    <xf numFmtId="2" fontId="26" fillId="0" borderId="387" xfId="3" applyNumberFormat="1" applyFont="1" applyFill="1" applyBorder="1" applyAlignment="1">
      <alignment horizontal="center" vertical="center" wrapText="1"/>
    </xf>
    <xf numFmtId="9" fontId="0" fillId="0" borderId="386" xfId="1" applyFont="1" applyBorder="1"/>
    <xf numFmtId="2" fontId="26" fillId="0" borderId="389" xfId="3" applyNumberFormat="1" applyFont="1" applyFill="1" applyBorder="1" applyAlignment="1">
      <alignment horizontal="center" vertical="center" wrapText="1"/>
    </xf>
    <xf numFmtId="0" fontId="65" fillId="22" borderId="280" xfId="5" applyNumberFormat="1" applyFont="1" applyFill="1" applyBorder="1" applyAlignment="1">
      <alignment horizontal="left" vertical="top"/>
    </xf>
    <xf numFmtId="14" fontId="0" fillId="0" borderId="390" xfId="0" applyNumberFormat="1" applyBorder="1"/>
    <xf numFmtId="0" fontId="65" fillId="22" borderId="392" xfId="5" applyNumberFormat="1" applyFont="1" applyFill="1" applyBorder="1" applyAlignment="1">
      <alignment horizontal="left" vertical="top"/>
    </xf>
    <xf numFmtId="2" fontId="48" fillId="22" borderId="386" xfId="5" applyNumberFormat="1" applyFont="1" applyFill="1" applyBorder="1" applyAlignment="1">
      <alignment horizontal="right" vertical="top"/>
    </xf>
    <xf numFmtId="9" fontId="2" fillId="0" borderId="386" xfId="0" applyNumberFormat="1" applyFont="1" applyBorder="1"/>
    <xf numFmtId="0" fontId="65" fillId="22" borderId="393" xfId="5" applyNumberFormat="1" applyFont="1" applyFill="1" applyBorder="1" applyAlignment="1">
      <alignment horizontal="left" vertical="top"/>
    </xf>
    <xf numFmtId="9" fontId="2" fillId="0" borderId="308" xfId="0" applyNumberFormat="1" applyFont="1" applyBorder="1"/>
    <xf numFmtId="0" fontId="15" fillId="0" borderId="104" xfId="0" applyFont="1" applyBorder="1"/>
    <xf numFmtId="0" fontId="15" fillId="0" borderId="104" xfId="0" applyFont="1" applyBorder="1" applyAlignment="1">
      <alignment horizontal="center" vertical="center" wrapText="1"/>
    </xf>
    <xf numFmtId="2" fontId="14" fillId="22" borderId="395" xfId="5" applyNumberFormat="1" applyFont="1" applyFill="1" applyBorder="1" applyAlignment="1">
      <alignment horizontal="right" vertical="top"/>
    </xf>
    <xf numFmtId="0" fontId="48" fillId="22" borderId="388" xfId="8" applyNumberFormat="1" applyFont="1" applyFill="1" applyBorder="1" applyAlignment="1">
      <alignment horizontal="left" vertical="top"/>
    </xf>
    <xf numFmtId="2" fontId="14" fillId="22" borderId="388" xfId="8" applyNumberFormat="1" applyFont="1" applyFill="1" applyBorder="1" applyAlignment="1">
      <alignment horizontal="right" vertical="top"/>
    </xf>
    <xf numFmtId="9" fontId="43" fillId="0" borderId="388" xfId="0" applyNumberFormat="1" applyFont="1" applyFill="1" applyBorder="1"/>
    <xf numFmtId="0" fontId="0" fillId="0" borderId="306" xfId="0" applyFont="1" applyFill="1" applyBorder="1" applyAlignment="1">
      <alignment vertical="top"/>
    </xf>
    <xf numFmtId="2" fontId="66" fillId="22" borderId="306" xfId="8" applyNumberFormat="1" applyFont="1" applyFill="1" applyBorder="1" applyAlignment="1">
      <alignment horizontal="right" vertical="top"/>
    </xf>
    <xf numFmtId="9" fontId="23" fillId="0" borderId="306" xfId="0" applyNumberFormat="1" applyFont="1" applyFill="1" applyBorder="1"/>
    <xf numFmtId="2" fontId="65" fillId="22" borderId="397" xfId="8" applyNumberFormat="1" applyFont="1" applyFill="1" applyBorder="1" applyAlignment="1">
      <alignment horizontal="right" vertical="top"/>
    </xf>
    <xf numFmtId="0" fontId="15" fillId="0" borderId="306" xfId="3" applyNumberFormat="1" applyFont="1" applyFill="1" applyBorder="1" applyAlignment="1">
      <alignment horizontal="left" vertical="top" wrapText="1"/>
    </xf>
    <xf numFmtId="0" fontId="0" fillId="0" borderId="397" xfId="0" applyBorder="1"/>
    <xf numFmtId="9" fontId="0" fillId="0" borderId="278" xfId="0" applyNumberFormat="1" applyBorder="1" applyAlignment="1">
      <alignment horizontal="center" vertical="center"/>
    </xf>
    <xf numFmtId="2" fontId="0" fillId="0" borderId="278" xfId="0" applyNumberFormat="1" applyBorder="1" applyAlignment="1">
      <alignment horizontal="center" vertical="center"/>
    </xf>
    <xf numFmtId="9" fontId="0" fillId="0" borderId="368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48" fillId="22" borderId="296" xfId="5" applyNumberFormat="1" applyFont="1" applyFill="1" applyBorder="1" applyAlignment="1">
      <alignment horizontal="left" vertical="top"/>
    </xf>
    <xf numFmtId="0" fontId="48" fillId="22" borderId="306" xfId="5" applyNumberFormat="1" applyFont="1" applyFill="1" applyBorder="1" applyAlignment="1">
      <alignment horizontal="left" vertical="top"/>
    </xf>
    <xf numFmtId="2" fontId="48" fillId="22" borderId="399" xfId="5" applyNumberFormat="1" applyFont="1" applyFill="1" applyBorder="1" applyAlignment="1">
      <alignment horizontal="right" vertical="top"/>
    </xf>
    <xf numFmtId="0" fontId="0" fillId="0" borderId="399" xfId="0" applyBorder="1"/>
    <xf numFmtId="0" fontId="0" fillId="0" borderId="306" xfId="0" applyFont="1" applyFill="1" applyBorder="1"/>
    <xf numFmtId="0" fontId="48" fillId="22" borderId="306" xfId="8" applyNumberFormat="1" applyFont="1" applyFill="1" applyBorder="1" applyAlignment="1">
      <alignment horizontal="left" vertical="top"/>
    </xf>
    <xf numFmtId="2" fontId="48" fillId="22" borderId="306" xfId="8" applyNumberFormat="1" applyFont="1" applyFill="1" applyBorder="1" applyAlignment="1">
      <alignment horizontal="right" vertical="top"/>
    </xf>
    <xf numFmtId="9" fontId="0" fillId="0" borderId="306" xfId="0" applyNumberFormat="1" applyFont="1" applyFill="1" applyBorder="1"/>
    <xf numFmtId="2" fontId="48" fillId="22" borderId="399" xfId="8" applyNumberFormat="1" applyFont="1" applyFill="1" applyBorder="1" applyAlignment="1">
      <alignment horizontal="right" vertical="top"/>
    </xf>
    <xf numFmtId="0" fontId="15" fillId="0" borderId="306" xfId="8" applyFont="1" applyBorder="1"/>
    <xf numFmtId="0" fontId="15" fillId="0" borderId="296" xfId="3" applyNumberFormat="1" applyFont="1" applyBorder="1" applyAlignment="1">
      <alignment horizontal="left" vertical="top" wrapText="1"/>
    </xf>
    <xf numFmtId="9" fontId="0" fillId="0" borderId="306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2" fontId="48" fillId="22" borderId="401" xfId="8" applyNumberFormat="1" applyFont="1" applyFill="1" applyBorder="1" applyAlignment="1">
      <alignment horizontal="right" vertical="top"/>
    </xf>
    <xf numFmtId="0" fontId="15" fillId="0" borderId="306" xfId="3" applyNumberFormat="1" applyFont="1" applyBorder="1" applyAlignment="1">
      <alignment horizontal="left" vertical="top" wrapText="1"/>
    </xf>
    <xf numFmtId="2" fontId="15" fillId="0" borderId="401" xfId="3" applyNumberFormat="1" applyFont="1" applyFill="1" applyBorder="1" applyAlignment="1">
      <alignment horizontal="right" vertical="center" wrapText="1"/>
    </xf>
    <xf numFmtId="0" fontId="0" fillId="0" borderId="401" xfId="0" applyBorder="1"/>
    <xf numFmtId="9" fontId="0" fillId="0" borderId="306" xfId="0" applyNumberFormat="1" applyFill="1" applyBorder="1"/>
    <xf numFmtId="0" fontId="0" fillId="0" borderId="401" xfId="0" applyFill="1" applyBorder="1"/>
    <xf numFmtId="9" fontId="0" fillId="0" borderId="296" xfId="0" applyNumberFormat="1" applyFill="1" applyBorder="1"/>
    <xf numFmtId="0" fontId="0" fillId="26" borderId="368" xfId="0" applyFill="1" applyBorder="1" applyAlignment="1">
      <alignment wrapText="1"/>
    </xf>
    <xf numFmtId="2" fontId="0" fillId="0" borderId="306" xfId="0" applyNumberFormat="1" applyFont="1" applyBorder="1" applyAlignment="1">
      <alignment horizontal="center" vertical="center"/>
    </xf>
    <xf numFmtId="9" fontId="0" fillId="0" borderId="306" xfId="0" applyNumberFormat="1" applyBorder="1" applyAlignment="1">
      <alignment vertical="center"/>
    </xf>
    <xf numFmtId="2" fontId="0" fillId="0" borderId="306" xfId="0" applyNumberFormat="1" applyBorder="1" applyAlignment="1">
      <alignment vertical="center"/>
    </xf>
    <xf numFmtId="2" fontId="0" fillId="0" borderId="306" xfId="0" applyNumberFormat="1" applyFont="1" applyBorder="1" applyAlignment="1">
      <alignment vertical="center"/>
    </xf>
    <xf numFmtId="9" fontId="0" fillId="0" borderId="368" xfId="0" applyNumberFormat="1" applyBorder="1" applyAlignment="1">
      <alignment vertical="center"/>
    </xf>
    <xf numFmtId="0" fontId="0" fillId="0" borderId="306" xfId="0" applyBorder="1" applyAlignment="1">
      <alignment wrapText="1"/>
    </xf>
    <xf numFmtId="9" fontId="0" fillId="0" borderId="278" xfId="0" applyNumberFormat="1" applyBorder="1" applyAlignment="1">
      <alignment vertical="center"/>
    </xf>
    <xf numFmtId="2" fontId="0" fillId="0" borderId="400" xfId="0" applyNumberFormat="1" applyFont="1" applyFill="1" applyBorder="1"/>
    <xf numFmtId="2" fontId="26" fillId="0" borderId="402" xfId="3" applyNumberFormat="1" applyFont="1" applyFill="1" applyBorder="1" applyAlignment="1">
      <alignment horizontal="center" vertical="center" wrapText="1"/>
    </xf>
    <xf numFmtId="9" fontId="0" fillId="0" borderId="306" xfId="1" applyFont="1" applyBorder="1"/>
    <xf numFmtId="2" fontId="48" fillId="22" borderId="306" xfId="5" applyNumberFormat="1" applyFont="1" applyFill="1" applyBorder="1" applyAlignment="1">
      <alignment horizontal="right" vertical="top"/>
    </xf>
    <xf numFmtId="9" fontId="2" fillId="0" borderId="306" xfId="0" applyNumberFormat="1" applyFont="1" applyBorder="1"/>
    <xf numFmtId="2" fontId="48" fillId="22" borderId="402" xfId="5" applyNumberFormat="1" applyFont="1" applyFill="1" applyBorder="1" applyAlignment="1">
      <alignment horizontal="right" vertical="top"/>
    </xf>
    <xf numFmtId="9" fontId="2" fillId="0" borderId="306" xfId="0" applyNumberFormat="1" applyFont="1" applyFill="1" applyBorder="1"/>
    <xf numFmtId="0" fontId="0" fillId="0" borderId="402" xfId="0" applyBorder="1"/>
    <xf numFmtId="2" fontId="65" fillId="22" borderId="403" xfId="8" applyNumberFormat="1" applyFont="1" applyFill="1" applyBorder="1" applyAlignment="1">
      <alignment horizontal="right" vertical="top"/>
    </xf>
    <xf numFmtId="0" fontId="0" fillId="0" borderId="403" xfId="0" applyBorder="1"/>
    <xf numFmtId="14" fontId="0" fillId="0" borderId="129" xfId="0" applyNumberFormat="1" applyBorder="1"/>
    <xf numFmtId="14" fontId="0" fillId="0" borderId="367" xfId="0" applyNumberFormat="1" applyBorder="1"/>
    <xf numFmtId="0" fontId="0" fillId="0" borderId="368" xfId="0" applyFont="1" applyBorder="1"/>
    <xf numFmtId="0" fontId="65" fillId="22" borderId="368" xfId="5" applyNumberFormat="1" applyFont="1" applyFill="1" applyBorder="1" applyAlignment="1">
      <alignment horizontal="left" vertical="top"/>
    </xf>
    <xf numFmtId="9" fontId="0" fillId="0" borderId="368" xfId="0" applyNumberFormat="1" applyFont="1" applyBorder="1"/>
    <xf numFmtId="2" fontId="48" fillId="22" borderId="387" xfId="5" applyNumberFormat="1" applyFont="1" applyFill="1" applyBorder="1" applyAlignment="1">
      <alignment horizontal="right" vertical="top"/>
    </xf>
    <xf numFmtId="2" fontId="48" fillId="22" borderId="404" xfId="5" applyNumberFormat="1" applyFont="1" applyFill="1" applyBorder="1" applyAlignment="1">
      <alignment horizontal="right" vertical="top"/>
    </xf>
    <xf numFmtId="2" fontId="48" fillId="22" borderId="406" xfId="8" applyNumberFormat="1" applyFont="1" applyFill="1" applyBorder="1" applyAlignment="1">
      <alignment horizontal="right" vertical="top"/>
    </xf>
    <xf numFmtId="0" fontId="65" fillId="22" borderId="59" xfId="5" applyNumberFormat="1" applyFont="1" applyFill="1" applyBorder="1" applyAlignment="1">
      <alignment horizontal="left" vertical="top"/>
    </xf>
    <xf numFmtId="2" fontId="48" fillId="22" borderId="406" xfId="5" applyNumberFormat="1" applyFont="1" applyFill="1" applyBorder="1" applyAlignment="1">
      <alignment horizontal="right" vertical="top"/>
    </xf>
    <xf numFmtId="2" fontId="48" fillId="22" borderId="408" xfId="8" applyNumberFormat="1" applyFont="1" applyFill="1" applyBorder="1" applyAlignment="1">
      <alignment horizontal="right" vertical="top"/>
    </xf>
    <xf numFmtId="2" fontId="15" fillId="0" borderId="408" xfId="3" applyNumberFormat="1" applyFont="1" applyFill="1" applyBorder="1" applyAlignment="1">
      <alignment horizontal="right" vertical="center" wrapText="1"/>
    </xf>
    <xf numFmtId="0" fontId="0" fillId="0" borderId="408" xfId="0" applyBorder="1"/>
    <xf numFmtId="2" fontId="14" fillId="4" borderId="360" xfId="8" applyNumberFormat="1" applyFont="1" applyFill="1" applyBorder="1" applyAlignment="1">
      <alignment horizontal="right" vertical="top"/>
    </xf>
    <xf numFmtId="9" fontId="0" fillId="4" borderId="9" xfId="0" applyNumberFormat="1" applyFont="1" applyFill="1" applyBorder="1"/>
    <xf numFmtId="2" fontId="48" fillId="4" borderId="361" xfId="8" applyNumberFormat="1" applyFont="1" applyFill="1" applyBorder="1" applyAlignment="1">
      <alignment horizontal="right" vertical="top"/>
    </xf>
    <xf numFmtId="2" fontId="14" fillId="4" borderId="280" xfId="8" applyNumberFormat="1" applyFont="1" applyFill="1" applyBorder="1" applyAlignment="1">
      <alignment horizontal="right" vertical="top"/>
    </xf>
    <xf numFmtId="9" fontId="0" fillId="4" borderId="362" xfId="0" applyNumberFormat="1" applyFont="1" applyFill="1" applyBorder="1"/>
    <xf numFmtId="2" fontId="48" fillId="4" borderId="281" xfId="8" applyNumberFormat="1" applyFont="1" applyFill="1" applyBorder="1" applyAlignment="1">
      <alignment horizontal="right" vertical="top"/>
    </xf>
    <xf numFmtId="2" fontId="14" fillId="4" borderId="370" xfId="8" applyNumberFormat="1" applyFont="1" applyFill="1" applyBorder="1" applyAlignment="1">
      <alignment horizontal="right" vertical="top"/>
    </xf>
    <xf numFmtId="9" fontId="43" fillId="4" borderId="370" xfId="0" applyNumberFormat="1" applyFont="1" applyFill="1" applyBorder="1"/>
    <xf numFmtId="2" fontId="14" fillId="4" borderId="354" xfId="8" applyNumberFormat="1" applyFont="1" applyFill="1" applyBorder="1" applyAlignment="1">
      <alignment horizontal="right" vertical="top"/>
    </xf>
    <xf numFmtId="2" fontId="14" fillId="4" borderId="59" xfId="8" applyNumberFormat="1" applyFont="1" applyFill="1" applyBorder="1" applyAlignment="1">
      <alignment horizontal="right" vertical="top"/>
    </xf>
    <xf numFmtId="2" fontId="44" fillId="4" borderId="74" xfId="8" applyNumberFormat="1" applyFont="1" applyFill="1" applyBorder="1" applyAlignment="1">
      <alignment horizontal="right" vertical="top"/>
    </xf>
    <xf numFmtId="2" fontId="14" fillId="4" borderId="362" xfId="8" applyNumberFormat="1" applyFont="1" applyFill="1" applyBorder="1" applyAlignment="1">
      <alignment horizontal="right" vertical="top"/>
    </xf>
    <xf numFmtId="9" fontId="43" fillId="4" borderId="362" xfId="0" applyNumberFormat="1" applyFont="1" applyFill="1" applyBorder="1"/>
    <xf numFmtId="2" fontId="44" fillId="4" borderId="379" xfId="8" applyNumberFormat="1" applyFont="1" applyFill="1" applyBorder="1" applyAlignment="1">
      <alignment horizontal="right" vertical="top"/>
    </xf>
    <xf numFmtId="0" fontId="59" fillId="4" borderId="362" xfId="7" applyNumberFormat="1" applyFont="1" applyFill="1" applyBorder="1" applyAlignment="1">
      <alignment horizontal="left" vertical="top"/>
    </xf>
    <xf numFmtId="0" fontId="64" fillId="4" borderId="370" xfId="8" applyNumberFormat="1" applyFont="1" applyFill="1" applyBorder="1" applyAlignment="1">
      <alignment horizontal="left" vertical="top"/>
    </xf>
    <xf numFmtId="0" fontId="59" fillId="4" borderId="368" xfId="0" applyFont="1" applyFill="1" applyBorder="1"/>
    <xf numFmtId="9" fontId="59" fillId="4" borderId="59" xfId="1" applyNumberFormat="1" applyFont="1" applyFill="1" applyBorder="1"/>
    <xf numFmtId="2" fontId="70" fillId="4" borderId="354" xfId="3" applyNumberFormat="1" applyFont="1" applyFill="1" applyBorder="1" applyAlignment="1">
      <alignment horizontal="center" vertical="center" wrapText="1"/>
    </xf>
    <xf numFmtId="2" fontId="59" fillId="4" borderId="0" xfId="0" applyNumberFormat="1" applyFont="1" applyFill="1"/>
    <xf numFmtId="0" fontId="60" fillId="4" borderId="370" xfId="3" applyNumberFormat="1" applyFont="1" applyFill="1" applyBorder="1" applyAlignment="1">
      <alignment horizontal="left" vertical="top" wrapText="1"/>
    </xf>
    <xf numFmtId="9" fontId="59" fillId="4" borderId="370" xfId="1" applyFont="1" applyFill="1" applyBorder="1"/>
    <xf numFmtId="0" fontId="59" fillId="4" borderId="360" xfId="8" applyNumberFormat="1" applyFont="1" applyFill="1" applyBorder="1" applyAlignment="1">
      <alignment horizontal="left" vertical="top"/>
    </xf>
    <xf numFmtId="0" fontId="59" fillId="4" borderId="280" xfId="8" applyNumberFormat="1" applyFont="1" applyFill="1" applyBorder="1" applyAlignment="1">
      <alignment horizontal="left" vertical="top"/>
    </xf>
    <xf numFmtId="0" fontId="59" fillId="4" borderId="59" xfId="8" applyNumberFormat="1" applyFont="1" applyFill="1" applyBorder="1" applyAlignment="1">
      <alignment horizontal="left" vertical="top"/>
    </xf>
    <xf numFmtId="0" fontId="59" fillId="4" borderId="362" xfId="8" applyNumberFormat="1" applyFont="1" applyFill="1" applyBorder="1" applyAlignment="1">
      <alignment horizontal="left" vertical="top"/>
    </xf>
    <xf numFmtId="0" fontId="69" fillId="4" borderId="362" xfId="8" applyNumberFormat="1" applyFont="1" applyFill="1" applyBorder="1" applyAlignment="1">
      <alignment horizontal="left" vertical="top"/>
    </xf>
    <xf numFmtId="0" fontId="59" fillId="4" borderId="362" xfId="3" applyNumberFormat="1" applyFont="1" applyFill="1" applyBorder="1" applyAlignment="1">
      <alignment horizontal="left" vertical="top" wrapText="1"/>
    </xf>
    <xf numFmtId="0" fontId="68" fillId="4" borderId="59" xfId="8" applyNumberFormat="1" applyFont="1" applyFill="1" applyBorder="1" applyAlignment="1">
      <alignment horizontal="left" vertical="top"/>
    </xf>
    <xf numFmtId="0" fontId="68" fillId="4" borderId="386" xfId="8" applyNumberFormat="1" applyFont="1" applyFill="1" applyBorder="1" applyAlignment="1">
      <alignment horizontal="left" vertical="top"/>
    </xf>
    <xf numFmtId="0" fontId="59" fillId="4" borderId="386" xfId="3" applyNumberFormat="1" applyFont="1" applyFill="1" applyBorder="1" applyAlignment="1">
      <alignment horizontal="left" vertical="top" wrapText="1"/>
    </xf>
    <xf numFmtId="0" fontId="59" fillId="4" borderId="362" xfId="0" applyFont="1" applyFill="1" applyBorder="1"/>
    <xf numFmtId="0" fontId="59" fillId="4" borderId="386" xfId="0" applyFont="1" applyFill="1" applyBorder="1"/>
    <xf numFmtId="9" fontId="0" fillId="0" borderId="368" xfId="0" applyNumberFormat="1" applyBorder="1" applyAlignment="1">
      <alignment horizontal="center" vertical="center"/>
    </xf>
    <xf numFmtId="9" fontId="0" fillId="0" borderId="306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2" fontId="0" fillId="0" borderId="368" xfId="0" applyNumberFormat="1" applyFon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0" fontId="0" fillId="0" borderId="306" xfId="0" applyFont="1" applyBorder="1" applyAlignment="1">
      <alignment vertical="center"/>
    </xf>
    <xf numFmtId="0" fontId="0" fillId="0" borderId="409" xfId="0" applyBorder="1"/>
    <xf numFmtId="0" fontId="0" fillId="0" borderId="296" xfId="0" applyFont="1" applyBorder="1" applyAlignment="1">
      <alignment vertical="center"/>
    </xf>
    <xf numFmtId="2" fontId="14" fillId="22" borderId="306" xfId="8" applyNumberFormat="1" applyFont="1" applyFill="1" applyBorder="1" applyAlignment="1">
      <alignment horizontal="right" vertical="top"/>
    </xf>
    <xf numFmtId="9" fontId="43" fillId="0" borderId="306" xfId="0" applyNumberFormat="1" applyFont="1" applyFill="1" applyBorder="1"/>
    <xf numFmtId="2" fontId="44" fillId="22" borderId="409" xfId="8" applyNumberFormat="1" applyFont="1" applyFill="1" applyBorder="1" applyAlignment="1">
      <alignment horizontal="right" vertical="top"/>
    </xf>
    <xf numFmtId="0" fontId="2" fillId="0" borderId="306" xfId="0" applyFont="1" applyBorder="1"/>
    <xf numFmtId="2" fontId="65" fillId="22" borderId="409" xfId="8" applyNumberFormat="1" applyFont="1" applyFill="1" applyBorder="1" applyAlignment="1">
      <alignment horizontal="right" vertical="top"/>
    </xf>
    <xf numFmtId="2" fontId="48" fillId="22" borderId="410" xfId="5" applyNumberFormat="1" applyFont="1" applyFill="1" applyBorder="1" applyAlignment="1">
      <alignment horizontal="right" vertical="top"/>
    </xf>
    <xf numFmtId="9" fontId="0" fillId="0" borderId="63" xfId="0" applyNumberFormat="1" applyFont="1" applyBorder="1"/>
    <xf numFmtId="0" fontId="2" fillId="0" borderId="306" xfId="0" applyFont="1" applyBorder="1" applyAlignment="1">
      <alignment vertical="center"/>
    </xf>
    <xf numFmtId="9" fontId="2" fillId="0" borderId="306" xfId="1" applyNumberFormat="1" applyFont="1" applyBorder="1" applyAlignment="1">
      <alignment vertical="center"/>
    </xf>
    <xf numFmtId="0" fontId="0" fillId="0" borderId="414" xfId="0" applyBorder="1"/>
    <xf numFmtId="0" fontId="0" fillId="0" borderId="278" xfId="0" applyFont="1" applyBorder="1" applyAlignment="1">
      <alignment vertical="center"/>
    </xf>
    <xf numFmtId="0" fontId="0" fillId="0" borderId="279" xfId="0" applyBorder="1"/>
    <xf numFmtId="9" fontId="0" fillId="0" borderId="412" xfId="0" applyNumberFormat="1" applyFont="1" applyBorder="1"/>
    <xf numFmtId="1" fontId="0" fillId="0" borderId="412" xfId="0" applyNumberFormat="1" applyFill="1" applyBorder="1" applyAlignment="1">
      <alignment wrapText="1"/>
    </xf>
    <xf numFmtId="2" fontId="0" fillId="0" borderId="412" xfId="0" applyNumberFormat="1" applyBorder="1" applyAlignment="1">
      <alignment vertical="center"/>
    </xf>
    <xf numFmtId="0" fontId="0" fillId="0" borderId="412" xfId="0" applyBorder="1" applyAlignment="1">
      <alignment wrapText="1"/>
    </xf>
    <xf numFmtId="9" fontId="0" fillId="0" borderId="306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0" fontId="0" fillId="0" borderId="412" xfId="0" applyFont="1" applyFill="1" applyBorder="1" applyAlignment="1">
      <alignment vertical="top"/>
    </xf>
    <xf numFmtId="2" fontId="66" fillId="22" borderId="412" xfId="8" applyNumberFormat="1" applyFont="1" applyFill="1" applyBorder="1" applyAlignment="1">
      <alignment horizontal="right" vertical="top"/>
    </xf>
    <xf numFmtId="9" fontId="23" fillId="0" borderId="412" xfId="0" applyNumberFormat="1" applyFont="1" applyFill="1" applyBorder="1"/>
    <xf numFmtId="2" fontId="65" fillId="22" borderId="416" xfId="8" applyNumberFormat="1" applyFont="1" applyFill="1" applyBorder="1" applyAlignment="1">
      <alignment horizontal="right" vertical="top"/>
    </xf>
    <xf numFmtId="0" fontId="15" fillId="0" borderId="412" xfId="3" applyNumberFormat="1" applyFont="1" applyFill="1" applyBorder="1" applyAlignment="1">
      <alignment horizontal="left" vertical="top" wrapText="1"/>
    </xf>
    <xf numFmtId="0" fontId="0" fillId="0" borderId="412" xfId="0" applyFont="1" applyBorder="1"/>
    <xf numFmtId="0" fontId="0" fillId="0" borderId="412" xfId="0" applyBorder="1"/>
    <xf numFmtId="0" fontId="0" fillId="0" borderId="416" xfId="0" applyBorder="1"/>
    <xf numFmtId="0" fontId="0" fillId="0" borderId="73" xfId="0" applyFill="1" applyBorder="1"/>
    <xf numFmtId="0" fontId="0" fillId="0" borderId="297" xfId="0" applyFill="1" applyBorder="1"/>
    <xf numFmtId="0" fontId="0" fillId="0" borderId="412" xfId="0" applyFill="1" applyBorder="1"/>
    <xf numFmtId="9" fontId="0" fillId="0" borderId="412" xfId="0" applyNumberFormat="1" applyFill="1" applyBorder="1"/>
    <xf numFmtId="9" fontId="0" fillId="0" borderId="0" xfId="1" applyNumberFormat="1" applyFont="1"/>
    <xf numFmtId="2" fontId="48" fillId="22" borderId="418" xfId="5" applyNumberFormat="1" applyFont="1" applyFill="1" applyBorder="1" applyAlignment="1">
      <alignment horizontal="right" vertical="top"/>
    </xf>
    <xf numFmtId="14" fontId="0" fillId="0" borderId="82" xfId="0" applyNumberFormat="1" applyBorder="1"/>
    <xf numFmtId="0" fontId="0" fillId="0" borderId="104" xfId="0" applyFont="1" applyBorder="1"/>
    <xf numFmtId="0" fontId="65" fillId="22" borderId="104" xfId="5" applyNumberFormat="1" applyFont="1" applyFill="1" applyBorder="1" applyAlignment="1">
      <alignment horizontal="left" vertical="top"/>
    </xf>
    <xf numFmtId="2" fontId="48" fillId="22" borderId="105" xfId="5" applyNumberFormat="1" applyFont="1" applyFill="1" applyBorder="1" applyAlignment="1">
      <alignment horizontal="right" vertical="top"/>
    </xf>
    <xf numFmtId="0" fontId="48" fillId="22" borderId="368" xfId="5" applyNumberFormat="1" applyFont="1" applyFill="1" applyBorder="1" applyAlignment="1">
      <alignment horizontal="left" vertical="top"/>
    </xf>
    <xf numFmtId="2" fontId="48" fillId="22" borderId="368" xfId="5" applyNumberFormat="1" applyFont="1" applyFill="1" applyBorder="1" applyAlignment="1">
      <alignment horizontal="right" vertical="top"/>
    </xf>
    <xf numFmtId="9" fontId="2" fillId="0" borderId="368" xfId="0" applyNumberFormat="1" applyFont="1" applyBorder="1"/>
    <xf numFmtId="0" fontId="0" fillId="0" borderId="418" xfId="0" applyBorder="1"/>
    <xf numFmtId="0" fontId="0" fillId="0" borderId="106" xfId="0" applyFont="1" applyBorder="1" applyAlignment="1">
      <alignment vertical="center"/>
    </xf>
    <xf numFmtId="0" fontId="0" fillId="0" borderId="188" xfId="0" applyFont="1" applyBorder="1" applyAlignment="1">
      <alignment vertical="center" wrapText="1"/>
    </xf>
    <xf numFmtId="0" fontId="48" fillId="22" borderId="419" xfId="13" applyNumberFormat="1" applyFont="1" applyFill="1" applyBorder="1" applyAlignment="1">
      <alignment horizontal="left" vertical="top"/>
    </xf>
    <xf numFmtId="0" fontId="0" fillId="0" borderId="234" xfId="0" applyFont="1" applyBorder="1" applyAlignment="1">
      <alignment horizontal="center" vertical="center"/>
    </xf>
    <xf numFmtId="2" fontId="48" fillId="22" borderId="74" xfId="13" applyNumberFormat="1" applyFont="1" applyFill="1" applyBorder="1" applyAlignment="1">
      <alignment horizontal="right" vertical="top"/>
    </xf>
    <xf numFmtId="0" fontId="0" fillId="0" borderId="107" xfId="0" applyFont="1" applyBorder="1" applyAlignment="1">
      <alignment vertical="center"/>
    </xf>
    <xf numFmtId="0" fontId="0" fillId="0" borderId="420" xfId="0" applyFont="1" applyBorder="1" applyAlignment="1">
      <alignment vertical="center" wrapText="1"/>
    </xf>
    <xf numFmtId="0" fontId="48" fillId="22" borderId="421" xfId="13" applyNumberFormat="1" applyFont="1" applyFill="1" applyBorder="1" applyAlignment="1">
      <alignment horizontal="left" vertical="top"/>
    </xf>
    <xf numFmtId="9" fontId="0" fillId="0" borderId="412" xfId="0" applyNumberFormat="1" applyFont="1" applyFill="1" applyBorder="1"/>
    <xf numFmtId="2" fontId="48" fillId="22" borderId="418" xfId="13" applyNumberFormat="1" applyFont="1" applyFill="1" applyBorder="1" applyAlignment="1">
      <alignment horizontal="right" vertical="top"/>
    </xf>
    <xf numFmtId="0" fontId="0" fillId="0" borderId="422" xfId="0" applyFont="1" applyBorder="1" applyAlignment="1">
      <alignment vertical="center"/>
    </xf>
    <xf numFmtId="0" fontId="0" fillId="0" borderId="421" xfId="0" applyFont="1" applyBorder="1"/>
    <xf numFmtId="0" fontId="0" fillId="0" borderId="423" xfId="0" applyBorder="1"/>
    <xf numFmtId="0" fontId="0" fillId="0" borderId="421" xfId="0" applyBorder="1"/>
    <xf numFmtId="0" fontId="0" fillId="0" borderId="424" xfId="0" applyBorder="1"/>
    <xf numFmtId="0" fontId="0" fillId="0" borderId="425" xfId="0" applyFont="1" applyBorder="1" applyAlignment="1">
      <alignment vertical="center" wrapText="1"/>
    </xf>
    <xf numFmtId="0" fontId="0" fillId="0" borderId="288" xfId="0" applyBorder="1"/>
    <xf numFmtId="0" fontId="0" fillId="0" borderId="14" xfId="0" applyFont="1" applyBorder="1" applyAlignment="1">
      <alignment vertical="center"/>
    </xf>
    <xf numFmtId="0" fontId="0" fillId="0" borderId="82" xfId="0" applyFont="1" applyBorder="1" applyAlignment="1">
      <alignment vertical="center"/>
    </xf>
    <xf numFmtId="0" fontId="0" fillId="0" borderId="234" xfId="0" applyFont="1" applyFill="1" applyBorder="1" applyAlignment="1">
      <alignment vertical="top"/>
    </xf>
    <xf numFmtId="0" fontId="65" fillId="22" borderId="234" xfId="8" applyNumberFormat="1" applyFont="1" applyFill="1" applyBorder="1" applyAlignment="1">
      <alignment horizontal="left" vertical="top"/>
    </xf>
    <xf numFmtId="2" fontId="66" fillId="22" borderId="234" xfId="8" applyNumberFormat="1" applyFont="1" applyFill="1" applyBorder="1" applyAlignment="1">
      <alignment horizontal="right" vertical="top"/>
    </xf>
    <xf numFmtId="9" fontId="23" fillId="0" borderId="234" xfId="0" applyNumberFormat="1" applyFont="1" applyFill="1" applyBorder="1"/>
    <xf numFmtId="2" fontId="65" fillId="22" borderId="418" xfId="8" applyNumberFormat="1" applyFont="1" applyFill="1" applyBorder="1" applyAlignment="1">
      <alignment horizontal="right" vertical="top"/>
    </xf>
    <xf numFmtId="2" fontId="0" fillId="0" borderId="390" xfId="0" applyNumberFormat="1" applyFill="1" applyBorder="1"/>
    <xf numFmtId="2" fontId="14" fillId="22" borderId="412" xfId="8" applyNumberFormat="1" applyFont="1" applyFill="1" applyBorder="1" applyAlignment="1">
      <alignment horizontal="right" vertical="top"/>
    </xf>
    <xf numFmtId="9" fontId="43" fillId="0" borderId="412" xfId="0" applyNumberFormat="1" applyFont="1" applyFill="1" applyBorder="1"/>
    <xf numFmtId="2" fontId="44" fillId="22" borderId="418" xfId="8" applyNumberFormat="1" applyFont="1" applyFill="1" applyBorder="1" applyAlignment="1">
      <alignment horizontal="right" vertical="top"/>
    </xf>
    <xf numFmtId="2" fontId="0" fillId="0" borderId="390" xfId="0" applyNumberFormat="1" applyBorder="1"/>
    <xf numFmtId="2" fontId="44" fillId="22" borderId="427" xfId="8" applyNumberFormat="1" applyFont="1" applyFill="1" applyBorder="1" applyAlignment="1">
      <alignment horizontal="right" vertical="top"/>
    </xf>
    <xf numFmtId="0" fontId="0" fillId="0" borderId="390" xfId="0" applyFill="1" applyBorder="1"/>
    <xf numFmtId="9" fontId="0" fillId="0" borderId="388" xfId="0" applyNumberFormat="1" applyFill="1" applyBorder="1"/>
    <xf numFmtId="0" fontId="0" fillId="0" borderId="427" xfId="0" applyBorder="1"/>
    <xf numFmtId="0" fontId="48" fillId="22" borderId="234" xfId="8" applyNumberFormat="1" applyFont="1" applyFill="1" applyBorder="1" applyAlignment="1">
      <alignment horizontal="left" vertical="top"/>
    </xf>
    <xf numFmtId="2" fontId="48" fillId="22" borderId="234" xfId="8" applyNumberFormat="1" applyFont="1" applyFill="1" applyBorder="1" applyAlignment="1">
      <alignment horizontal="right" vertical="top"/>
    </xf>
    <xf numFmtId="0" fontId="0" fillId="0" borderId="412" xfId="0" applyFont="1" applyFill="1" applyBorder="1"/>
    <xf numFmtId="2" fontId="48" fillId="22" borderId="412" xfId="8" applyNumberFormat="1" applyFont="1" applyFill="1" applyBorder="1" applyAlignment="1">
      <alignment horizontal="right" vertical="top"/>
    </xf>
    <xf numFmtId="2" fontId="48" fillId="22" borderId="418" xfId="8" applyNumberFormat="1" applyFont="1" applyFill="1" applyBorder="1" applyAlignment="1">
      <alignment horizontal="right" vertical="top"/>
    </xf>
    <xf numFmtId="2" fontId="48" fillId="22" borderId="427" xfId="8" applyNumberFormat="1" applyFont="1" applyFill="1" applyBorder="1" applyAlignment="1">
      <alignment horizontal="right" vertical="top"/>
    </xf>
    <xf numFmtId="0" fontId="0" fillId="0" borderId="234" xfId="0" applyFont="1" applyBorder="1" applyAlignment="1">
      <alignment vertical="center"/>
    </xf>
    <xf numFmtId="0" fontId="0" fillId="0" borderId="234" xfId="0" applyBorder="1"/>
    <xf numFmtId="0" fontId="0" fillId="0" borderId="412" xfId="0" applyFont="1" applyBorder="1" applyAlignment="1">
      <alignment vertical="center"/>
    </xf>
    <xf numFmtId="0" fontId="0" fillId="0" borderId="418" xfId="0" applyFill="1" applyBorder="1"/>
    <xf numFmtId="0" fontId="0" fillId="0" borderId="427" xfId="0" applyFill="1" applyBorder="1"/>
    <xf numFmtId="0" fontId="0" fillId="0" borderId="419" xfId="0" applyBorder="1"/>
    <xf numFmtId="0" fontId="0" fillId="0" borderId="428" xfId="0" applyBorder="1"/>
    <xf numFmtId="0" fontId="59" fillId="4" borderId="308" xfId="3" applyNumberFormat="1" applyFont="1" applyFill="1" applyBorder="1" applyAlignment="1">
      <alignment horizontal="left" vertical="top" wrapText="1"/>
    </xf>
    <xf numFmtId="0" fontId="69" fillId="4" borderId="394" xfId="8" applyNumberFormat="1" applyFont="1" applyFill="1" applyBorder="1" applyAlignment="1">
      <alignment horizontal="left" vertical="top"/>
    </xf>
    <xf numFmtId="0" fontId="59" fillId="4" borderId="306" xfId="8" applyNumberFormat="1" applyFont="1" applyFill="1" applyBorder="1" applyAlignment="1">
      <alignment horizontal="left" vertical="top"/>
    </xf>
    <xf numFmtId="0" fontId="59" fillId="4" borderId="388" xfId="8" applyNumberFormat="1" applyFont="1" applyFill="1" applyBorder="1" applyAlignment="1">
      <alignment horizontal="left" vertical="top"/>
    </xf>
    <xf numFmtId="0" fontId="60" fillId="4" borderId="306" xfId="3" applyNumberFormat="1" applyFont="1" applyFill="1" applyBorder="1" applyAlignment="1">
      <alignment horizontal="left" vertical="top" wrapText="1"/>
    </xf>
    <xf numFmtId="0" fontId="68" fillId="4" borderId="306" xfId="8" applyNumberFormat="1" applyFont="1" applyFill="1" applyBorder="1" applyAlignment="1">
      <alignment horizontal="left" vertical="top"/>
    </xf>
    <xf numFmtId="0" fontId="59" fillId="4" borderId="306" xfId="3" applyNumberFormat="1" applyFont="1" applyFill="1" applyBorder="1" applyAlignment="1">
      <alignment horizontal="left" vertical="top" wrapText="1"/>
    </xf>
    <xf numFmtId="2" fontId="0" fillId="0" borderId="390" xfId="0" applyNumberFormat="1" applyFont="1" applyBorder="1"/>
    <xf numFmtId="0" fontId="0" fillId="0" borderId="429" xfId="0" applyFont="1" applyFill="1" applyBorder="1"/>
    <xf numFmtId="0" fontId="48" fillId="22" borderId="429" xfId="8" applyNumberFormat="1" applyFont="1" applyFill="1" applyBorder="1" applyAlignment="1">
      <alignment horizontal="left" vertical="top"/>
    </xf>
    <xf numFmtId="2" fontId="48" fillId="22" borderId="429" xfId="8" applyNumberFormat="1" applyFont="1" applyFill="1" applyBorder="1" applyAlignment="1">
      <alignment horizontal="right" vertical="top"/>
    </xf>
    <xf numFmtId="9" fontId="0" fillId="0" borderId="429" xfId="0" applyNumberFormat="1" applyFont="1" applyFill="1" applyBorder="1"/>
    <xf numFmtId="2" fontId="48" fillId="22" borderId="430" xfId="8" applyNumberFormat="1" applyFont="1" applyFill="1" applyBorder="1" applyAlignment="1">
      <alignment horizontal="right" vertical="top"/>
    </xf>
    <xf numFmtId="0" fontId="0" fillId="0" borderId="429" xfId="0" applyBorder="1"/>
    <xf numFmtId="0" fontId="0" fillId="0" borderId="430" xfId="0" applyBorder="1"/>
    <xf numFmtId="0" fontId="0" fillId="0" borderId="388" xfId="0" applyFont="1" applyFill="1" applyBorder="1" applyAlignment="1">
      <alignment vertical="top"/>
    </xf>
    <xf numFmtId="0" fontId="65" fillId="22" borderId="388" xfId="8" applyNumberFormat="1" applyFont="1" applyFill="1" applyBorder="1" applyAlignment="1">
      <alignment horizontal="left" vertical="top"/>
    </xf>
    <xf numFmtId="2" fontId="66" fillId="22" borderId="388" xfId="8" applyNumberFormat="1" applyFont="1" applyFill="1" applyBorder="1" applyAlignment="1">
      <alignment horizontal="right" vertical="top"/>
    </xf>
    <xf numFmtId="9" fontId="23" fillId="0" borderId="388" xfId="0" applyNumberFormat="1" applyFont="1" applyFill="1" applyBorder="1"/>
    <xf numFmtId="2" fontId="65" fillId="22" borderId="427" xfId="8" applyNumberFormat="1" applyFont="1" applyFill="1" applyBorder="1" applyAlignment="1">
      <alignment horizontal="right" vertical="top"/>
    </xf>
    <xf numFmtId="0" fontId="0" fillId="0" borderId="429" xfId="0" applyFont="1" applyBorder="1" applyAlignment="1">
      <alignment vertical="center"/>
    </xf>
    <xf numFmtId="0" fontId="0" fillId="0" borderId="429" xfId="0" applyFill="1" applyBorder="1"/>
    <xf numFmtId="9" fontId="0" fillId="0" borderId="429" xfId="0" applyNumberFormat="1" applyFill="1" applyBorder="1"/>
    <xf numFmtId="0" fontId="0" fillId="0" borderId="430" xfId="0" applyFill="1" applyBorder="1"/>
    <xf numFmtId="0" fontId="65" fillId="22" borderId="234" xfId="5" applyNumberFormat="1" applyFont="1" applyFill="1" applyBorder="1" applyAlignment="1">
      <alignment horizontal="left" vertical="top"/>
    </xf>
    <xf numFmtId="0" fontId="0" fillId="0" borderId="429" xfId="0" applyFont="1" applyBorder="1"/>
    <xf numFmtId="0" fontId="65" fillId="22" borderId="429" xfId="5" applyNumberFormat="1" applyFont="1" applyFill="1" applyBorder="1" applyAlignment="1">
      <alignment horizontal="left" vertical="top"/>
    </xf>
    <xf numFmtId="9" fontId="0" fillId="0" borderId="429" xfId="0" applyNumberFormat="1" applyFont="1" applyBorder="1"/>
    <xf numFmtId="2" fontId="48" fillId="22" borderId="430" xfId="5" applyNumberFormat="1" applyFont="1" applyFill="1" applyBorder="1" applyAlignment="1">
      <alignment horizontal="right" vertical="top"/>
    </xf>
    <xf numFmtId="2" fontId="48" fillId="22" borderId="427" xfId="5" applyNumberFormat="1" applyFont="1" applyFill="1" applyBorder="1" applyAlignment="1">
      <alignment horizontal="right" vertical="top"/>
    </xf>
    <xf numFmtId="1" fontId="0" fillId="0" borderId="429" xfId="0" applyNumberFormat="1" applyFill="1" applyBorder="1" applyAlignment="1">
      <alignment wrapText="1"/>
    </xf>
    <xf numFmtId="2" fontId="0" fillId="0" borderId="429" xfId="0" applyNumberFormat="1" applyBorder="1" applyAlignment="1">
      <alignment vertical="center"/>
    </xf>
    <xf numFmtId="0" fontId="0" fillId="0" borderId="429" xfId="0" applyBorder="1" applyAlignment="1">
      <alignment wrapText="1"/>
    </xf>
    <xf numFmtId="0" fontId="65" fillId="22" borderId="388" xfId="5" applyNumberFormat="1" applyFont="1" applyFill="1" applyBorder="1" applyAlignment="1">
      <alignment horizontal="left" vertical="top"/>
    </xf>
    <xf numFmtId="9" fontId="0" fillId="0" borderId="388" xfId="0" applyNumberFormat="1" applyFont="1" applyBorder="1"/>
    <xf numFmtId="0" fontId="0" fillId="0" borderId="432" xfId="0" applyFont="1" applyBorder="1"/>
    <xf numFmtId="0" fontId="65" fillId="22" borderId="432" xfId="5" applyNumberFormat="1" applyFont="1" applyFill="1" applyBorder="1" applyAlignment="1">
      <alignment horizontal="left" vertical="top"/>
    </xf>
    <xf numFmtId="0" fontId="0" fillId="0" borderId="432" xfId="0" applyBorder="1"/>
    <xf numFmtId="9" fontId="0" fillId="0" borderId="432" xfId="0" applyNumberFormat="1" applyFont="1" applyBorder="1"/>
    <xf numFmtId="0" fontId="0" fillId="0" borderId="388" xfId="0" applyFont="1" applyFill="1" applyBorder="1"/>
    <xf numFmtId="2" fontId="48" fillId="22" borderId="388" xfId="8" applyNumberFormat="1" applyFont="1" applyFill="1" applyBorder="1" applyAlignment="1">
      <alignment horizontal="right" vertical="top"/>
    </xf>
    <xf numFmtId="2" fontId="48" fillId="22" borderId="234" xfId="5" applyNumberFormat="1" applyFont="1" applyFill="1" applyBorder="1" applyAlignment="1">
      <alignment horizontal="right" vertical="top"/>
    </xf>
    <xf numFmtId="9" fontId="2" fillId="0" borderId="234" xfId="0" applyNumberFormat="1" applyFont="1" applyBorder="1"/>
    <xf numFmtId="0" fontId="48" fillId="22" borderId="432" xfId="5" applyNumberFormat="1" applyFont="1" applyFill="1" applyBorder="1" applyAlignment="1">
      <alignment horizontal="left" vertical="top"/>
    </xf>
    <xf numFmtId="2" fontId="48" fillId="22" borderId="432" xfId="5" applyNumberFormat="1" applyFont="1" applyFill="1" applyBorder="1" applyAlignment="1">
      <alignment horizontal="right" vertical="top"/>
    </xf>
    <xf numFmtId="9" fontId="2" fillId="0" borderId="432" xfId="0" applyNumberFormat="1" applyFont="1" applyBorder="1"/>
    <xf numFmtId="9" fontId="2" fillId="0" borderId="432" xfId="0" applyNumberFormat="1" applyFont="1" applyFill="1" applyBorder="1"/>
    <xf numFmtId="9" fontId="0" fillId="0" borderId="432" xfId="0" applyNumberFormat="1" applyFont="1" applyFill="1" applyBorder="1"/>
    <xf numFmtId="0" fontId="0" fillId="0" borderId="432" xfId="0" applyFont="1" applyFill="1" applyBorder="1" applyAlignment="1">
      <alignment vertical="top"/>
    </xf>
    <xf numFmtId="0" fontId="65" fillId="22" borderId="432" xfId="8" applyNumberFormat="1" applyFont="1" applyFill="1" applyBorder="1" applyAlignment="1">
      <alignment horizontal="left" vertical="top"/>
    </xf>
    <xf numFmtId="2" fontId="66" fillId="22" borderId="432" xfId="8" applyNumberFormat="1" applyFont="1" applyFill="1" applyBorder="1" applyAlignment="1">
      <alignment horizontal="right" vertical="top"/>
    </xf>
    <xf numFmtId="9" fontId="23" fillId="0" borderId="432" xfId="0" applyNumberFormat="1" applyFont="1" applyFill="1" applyBorder="1"/>
    <xf numFmtId="2" fontId="65" fillId="22" borderId="430" xfId="8" applyNumberFormat="1" applyFont="1" applyFill="1" applyBorder="1" applyAlignment="1">
      <alignment horizontal="right" vertical="top"/>
    </xf>
    <xf numFmtId="0" fontId="15" fillId="0" borderId="432" xfId="3" applyNumberFormat="1" applyFont="1" applyFill="1" applyBorder="1" applyAlignment="1">
      <alignment horizontal="left" vertical="top" wrapText="1"/>
    </xf>
    <xf numFmtId="9" fontId="0" fillId="0" borderId="432" xfId="0" applyNumberFormat="1" applyBorder="1" applyAlignment="1">
      <alignment horizontal="center" vertical="center"/>
    </xf>
    <xf numFmtId="2" fontId="0" fillId="0" borderId="432" xfId="0" applyNumberFormat="1" applyBorder="1" applyAlignment="1">
      <alignment horizontal="center" vertical="center"/>
    </xf>
    <xf numFmtId="2" fontId="0" fillId="0" borderId="432" xfId="0" applyNumberFormat="1" applyFont="1" applyBorder="1" applyAlignment="1">
      <alignment horizontal="center" vertical="center"/>
    </xf>
    <xf numFmtId="1" fontId="0" fillId="0" borderId="432" xfId="0" applyNumberFormat="1" applyFill="1" applyBorder="1" applyAlignment="1">
      <alignment wrapText="1"/>
    </xf>
    <xf numFmtId="9" fontId="0" fillId="0" borderId="432" xfId="0" applyNumberFormat="1" applyBorder="1" applyAlignment="1">
      <alignment vertical="center"/>
    </xf>
    <xf numFmtId="2" fontId="0" fillId="0" borderId="432" xfId="0" applyNumberFormat="1" applyBorder="1" applyAlignment="1">
      <alignment vertical="center"/>
    </xf>
    <xf numFmtId="2" fontId="0" fillId="0" borderId="432" xfId="0" applyNumberFormat="1" applyFont="1" applyBorder="1" applyAlignment="1">
      <alignment vertical="center"/>
    </xf>
    <xf numFmtId="0" fontId="59" fillId="4" borderId="296" xfId="0" applyFont="1" applyFill="1" applyBorder="1"/>
    <xf numFmtId="0" fontId="59" fillId="4" borderId="306" xfId="0" applyFont="1" applyFill="1" applyBorder="1"/>
    <xf numFmtId="0" fontId="68" fillId="4" borderId="412" xfId="8" applyNumberFormat="1" applyFont="1" applyFill="1" applyBorder="1" applyAlignment="1">
      <alignment horizontal="left" vertical="top"/>
    </xf>
    <xf numFmtId="0" fontId="59" fillId="4" borderId="412" xfId="3" applyNumberFormat="1" applyFont="1" applyFill="1" applyBorder="1" applyAlignment="1">
      <alignment horizontal="left" vertical="top" wrapText="1"/>
    </xf>
    <xf numFmtId="0" fontId="0" fillId="0" borderId="432" xfId="0" applyBorder="1" applyAlignment="1">
      <alignment wrapText="1"/>
    </xf>
    <xf numFmtId="0" fontId="0" fillId="0" borderId="433" xfId="0" applyFont="1" applyBorder="1"/>
    <xf numFmtId="0" fontId="65" fillId="22" borderId="433" xfId="5" applyNumberFormat="1" applyFont="1" applyFill="1" applyBorder="1" applyAlignment="1">
      <alignment horizontal="left" vertical="top"/>
    </xf>
    <xf numFmtId="0" fontId="0" fillId="0" borderId="433" xfId="0" applyBorder="1"/>
    <xf numFmtId="9" fontId="0" fillId="0" borderId="433" xfId="0" applyNumberFormat="1" applyFont="1" applyBorder="1"/>
    <xf numFmtId="0" fontId="48" fillId="22" borderId="234" xfId="7" applyNumberFormat="1" applyFont="1" applyFill="1" applyBorder="1" applyAlignment="1">
      <alignment horizontal="left" vertical="top"/>
    </xf>
    <xf numFmtId="0" fontId="2" fillId="0" borderId="234" xfId="0" applyFont="1" applyBorder="1" applyAlignment="1">
      <alignment vertical="center"/>
    </xf>
    <xf numFmtId="9" fontId="2" fillId="0" borderId="234" xfId="1" applyNumberFormat="1" applyFont="1" applyBorder="1" applyAlignment="1">
      <alignment vertical="center"/>
    </xf>
    <xf numFmtId="0" fontId="2" fillId="0" borderId="74" xfId="0" applyFont="1" applyBorder="1" applyAlignment="1">
      <alignment vertical="center"/>
    </xf>
    <xf numFmtId="0" fontId="48" fillId="22" borderId="433" xfId="7" applyNumberFormat="1" applyFont="1" applyFill="1" applyBorder="1" applyAlignment="1">
      <alignment horizontal="left" vertical="top"/>
    </xf>
    <xf numFmtId="0" fontId="2" fillId="0" borderId="433" xfId="0" applyFont="1" applyBorder="1" applyAlignment="1">
      <alignment vertical="center"/>
    </xf>
    <xf numFmtId="9" fontId="2" fillId="0" borderId="433" xfId="1" applyNumberFormat="1" applyFont="1" applyBorder="1" applyAlignment="1">
      <alignment vertical="center"/>
    </xf>
    <xf numFmtId="0" fontId="2" fillId="0" borderId="430" xfId="0" applyFont="1" applyBorder="1" applyAlignment="1">
      <alignment vertical="center"/>
    </xf>
    <xf numFmtId="1" fontId="0" fillId="0" borderId="433" xfId="0" applyNumberFormat="1" applyFill="1" applyBorder="1" applyAlignment="1">
      <alignment wrapText="1"/>
    </xf>
    <xf numFmtId="0" fontId="0" fillId="0" borderId="433" xfId="0" applyFont="1" applyFill="1" applyBorder="1" applyAlignment="1">
      <alignment vertical="center"/>
    </xf>
    <xf numFmtId="9" fontId="2" fillId="0" borderId="388" xfId="1" applyNumberFormat="1" applyFont="1" applyBorder="1" applyAlignment="1">
      <alignment vertical="center"/>
    </xf>
    <xf numFmtId="0" fontId="0" fillId="0" borderId="388" xfId="0" applyFont="1" applyFill="1" applyBorder="1" applyAlignment="1">
      <alignment vertical="center"/>
    </xf>
    <xf numFmtId="0" fontId="68" fillId="4" borderId="306" xfId="5" applyNumberFormat="1" applyFont="1" applyFill="1" applyBorder="1" applyAlignment="1">
      <alignment horizontal="left" vertical="top"/>
    </xf>
    <xf numFmtId="1" fontId="59" fillId="4" borderId="306" xfId="0" applyNumberFormat="1" applyFont="1" applyFill="1" applyBorder="1" applyAlignment="1">
      <alignment wrapText="1"/>
    </xf>
    <xf numFmtId="0" fontId="59" fillId="4" borderId="368" xfId="0" applyFont="1" applyFill="1" applyBorder="1" applyAlignment="1">
      <alignment wrapText="1"/>
    </xf>
    <xf numFmtId="0" fontId="69" fillId="4" borderId="59" xfId="5" applyNumberFormat="1" applyFont="1" applyFill="1" applyBorder="1" applyAlignment="1">
      <alignment horizontal="left" vertical="top"/>
    </xf>
    <xf numFmtId="0" fontId="69" fillId="4" borderId="368" xfId="5" applyNumberFormat="1" applyFont="1" applyFill="1" applyBorder="1" applyAlignment="1">
      <alignment horizontal="left" vertical="top"/>
    </xf>
    <xf numFmtId="0" fontId="0" fillId="0" borderId="433" xfId="0" applyFill="1" applyBorder="1"/>
    <xf numFmtId="9" fontId="0" fillId="0" borderId="433" xfId="0" applyNumberFormat="1" applyFill="1" applyBorder="1"/>
    <xf numFmtId="0" fontId="0" fillId="0" borderId="433" xfId="0" applyFont="1" applyBorder="1" applyAlignment="1">
      <alignment vertical="center"/>
    </xf>
    <xf numFmtId="2" fontId="15" fillId="0" borderId="367" xfId="0" applyNumberFormat="1" applyFont="1" applyBorder="1"/>
    <xf numFmtId="0" fontId="15" fillId="0" borderId="368" xfId="0" applyFont="1" applyBorder="1"/>
    <xf numFmtId="0" fontId="48" fillId="22" borderId="305" xfId="5" applyNumberFormat="1" applyFont="1" applyFill="1" applyBorder="1" applyAlignment="1">
      <alignment horizontal="left" vertical="top"/>
    </xf>
    <xf numFmtId="0" fontId="15" fillId="0" borderId="368" xfId="0" applyFont="1" applyBorder="1" applyAlignment="1">
      <alignment horizontal="center" vertical="center" wrapText="1"/>
    </xf>
    <xf numFmtId="2" fontId="48" fillId="22" borderId="434" xfId="5" applyNumberFormat="1" applyFont="1" applyFill="1" applyBorder="1" applyAlignment="1">
      <alignment horizontal="right" vertical="top"/>
    </xf>
    <xf numFmtId="0" fontId="48" fillId="22" borderId="435" xfId="5" applyNumberFormat="1" applyFont="1" applyFill="1" applyBorder="1" applyAlignment="1">
      <alignment horizontal="left" vertical="top"/>
    </xf>
    <xf numFmtId="2" fontId="48" fillId="22" borderId="436" xfId="5" applyNumberFormat="1" applyFont="1" applyFill="1" applyBorder="1" applyAlignment="1">
      <alignment horizontal="right" vertical="top"/>
    </xf>
    <xf numFmtId="0" fontId="0" fillId="0" borderId="437" xfId="0" applyFont="1" applyBorder="1" applyAlignment="1">
      <alignment vertical="center"/>
    </xf>
    <xf numFmtId="0" fontId="0" fillId="0" borderId="437" xfId="0" applyFill="1" applyBorder="1"/>
    <xf numFmtId="0" fontId="0" fillId="0" borderId="437" xfId="0" applyBorder="1"/>
    <xf numFmtId="9" fontId="0" fillId="0" borderId="437" xfId="0" applyNumberFormat="1" applyFill="1" applyBorder="1"/>
    <xf numFmtId="0" fontId="0" fillId="0" borderId="438" xfId="0" applyBorder="1"/>
    <xf numFmtId="0" fontId="0" fillId="0" borderId="437" xfId="0" applyFont="1" applyFill="1" applyBorder="1" applyAlignment="1">
      <alignment vertical="top"/>
    </xf>
    <xf numFmtId="0" fontId="65" fillId="22" borderId="437" xfId="8" applyNumberFormat="1" applyFont="1" applyFill="1" applyBorder="1" applyAlignment="1">
      <alignment horizontal="left" vertical="top"/>
    </xf>
    <xf numFmtId="2" fontId="66" fillId="22" borderId="437" xfId="8" applyNumberFormat="1" applyFont="1" applyFill="1" applyBorder="1" applyAlignment="1">
      <alignment horizontal="right" vertical="top"/>
    </xf>
    <xf numFmtId="9" fontId="23" fillId="0" borderId="437" xfId="0" applyNumberFormat="1" applyFont="1" applyFill="1" applyBorder="1"/>
    <xf numFmtId="2" fontId="65" fillId="22" borderId="438" xfId="8" applyNumberFormat="1" applyFont="1" applyFill="1" applyBorder="1" applyAlignment="1">
      <alignment horizontal="right" vertical="top"/>
    </xf>
    <xf numFmtId="0" fontId="15" fillId="0" borderId="437" xfId="3" applyNumberFormat="1" applyFont="1" applyFill="1" applyBorder="1" applyAlignment="1">
      <alignment horizontal="left" vertical="top" wrapText="1"/>
    </xf>
    <xf numFmtId="0" fontId="15" fillId="0" borderId="388" xfId="3" applyNumberFormat="1" applyFont="1" applyFill="1" applyBorder="1" applyAlignment="1">
      <alignment horizontal="left" vertical="top" wrapText="1"/>
    </xf>
    <xf numFmtId="0" fontId="0" fillId="0" borderId="390" xfId="0" applyFont="1" applyBorder="1" applyAlignment="1">
      <alignment vertical="center"/>
    </xf>
    <xf numFmtId="2" fontId="0" fillId="0" borderId="431" xfId="0" applyNumberFormat="1" applyFont="1" applyFill="1" applyBorder="1"/>
    <xf numFmtId="2" fontId="26" fillId="0" borderId="438" xfId="3" applyNumberFormat="1" applyFont="1" applyFill="1" applyBorder="1" applyAlignment="1">
      <alignment horizontal="center" vertical="center" wrapText="1"/>
    </xf>
    <xf numFmtId="0" fontId="0" fillId="0" borderId="437" xfId="0" applyFont="1" applyFill="1" applyBorder="1"/>
    <xf numFmtId="9" fontId="0" fillId="0" borderId="437" xfId="1" applyFont="1" applyBorder="1"/>
    <xf numFmtId="0" fontId="22" fillId="0" borderId="388" xfId="3" applyNumberFormat="1" applyFont="1" applyBorder="1" applyAlignment="1">
      <alignment horizontal="left" vertical="top" wrapText="1"/>
    </xf>
    <xf numFmtId="9" fontId="0" fillId="0" borderId="388" xfId="1" applyFont="1" applyBorder="1"/>
    <xf numFmtId="2" fontId="26" fillId="0" borderId="427" xfId="3" applyNumberFormat="1" applyFont="1" applyFill="1" applyBorder="1" applyAlignment="1">
      <alignment horizontal="center" vertical="center" wrapText="1"/>
    </xf>
    <xf numFmtId="0" fontId="48" fillId="22" borderId="437" xfId="8" applyNumberFormat="1" applyFont="1" applyFill="1" applyBorder="1" applyAlignment="1">
      <alignment horizontal="left" vertical="top"/>
    </xf>
    <xf numFmtId="2" fontId="48" fillId="22" borderId="437" xfId="8" applyNumberFormat="1" applyFont="1" applyFill="1" applyBorder="1" applyAlignment="1">
      <alignment horizontal="right" vertical="top"/>
    </xf>
    <xf numFmtId="9" fontId="0" fillId="0" borderId="437" xfId="0" applyNumberFormat="1" applyFont="1" applyFill="1" applyBorder="1"/>
    <xf numFmtId="2" fontId="48" fillId="22" borderId="438" xfId="8" applyNumberFormat="1" applyFont="1" applyFill="1" applyBorder="1" applyAlignment="1">
      <alignment horizontal="right" vertical="top"/>
    </xf>
    <xf numFmtId="0" fontId="0" fillId="0" borderId="437" xfId="0" applyFont="1" applyBorder="1"/>
    <xf numFmtId="0" fontId="0" fillId="0" borderId="59" xfId="0" applyFont="1" applyBorder="1" applyAlignment="1">
      <alignment vertical="center"/>
    </xf>
    <xf numFmtId="0" fontId="65" fillId="22" borderId="437" xfId="5" applyNumberFormat="1" applyFont="1" applyFill="1" applyBorder="1" applyAlignment="1">
      <alignment horizontal="left" vertical="top"/>
    </xf>
    <xf numFmtId="9" fontId="0" fillId="0" borderId="437" xfId="0" applyNumberFormat="1" applyFont="1" applyBorder="1"/>
    <xf numFmtId="2" fontId="48" fillId="22" borderId="438" xfId="5" applyNumberFormat="1" applyFont="1" applyFill="1" applyBorder="1" applyAlignment="1">
      <alignment horizontal="right" vertical="top"/>
    </xf>
    <xf numFmtId="0" fontId="48" fillId="22" borderId="437" xfId="5" applyNumberFormat="1" applyFont="1" applyFill="1" applyBorder="1" applyAlignment="1">
      <alignment horizontal="left" vertical="top"/>
    </xf>
    <xf numFmtId="2" fontId="48" fillId="22" borderId="437" xfId="5" applyNumberFormat="1" applyFont="1" applyFill="1" applyBorder="1" applyAlignment="1">
      <alignment horizontal="right" vertical="top"/>
    </xf>
    <xf numFmtId="9" fontId="2" fillId="0" borderId="437" xfId="0" applyNumberFormat="1" applyFont="1" applyBorder="1"/>
    <xf numFmtId="0" fontId="48" fillId="22" borderId="388" xfId="5" applyNumberFormat="1" applyFont="1" applyFill="1" applyBorder="1" applyAlignment="1">
      <alignment horizontal="left" vertical="top"/>
    </xf>
    <xf numFmtId="2" fontId="48" fillId="22" borderId="388" xfId="5" applyNumberFormat="1" applyFont="1" applyFill="1" applyBorder="1" applyAlignment="1">
      <alignment horizontal="right" vertical="top"/>
    </xf>
    <xf numFmtId="9" fontId="2" fillId="0" borderId="388" xfId="0" applyNumberFormat="1" applyFont="1" applyBorder="1"/>
    <xf numFmtId="1" fontId="0" fillId="0" borderId="437" xfId="0" applyNumberFormat="1" applyFill="1" applyBorder="1" applyAlignment="1">
      <alignment wrapText="1"/>
    </xf>
    <xf numFmtId="2" fontId="0" fillId="0" borderId="437" xfId="0" applyNumberFormat="1" applyBorder="1" applyAlignment="1">
      <alignment vertical="center"/>
    </xf>
    <xf numFmtId="0" fontId="0" fillId="0" borderId="437" xfId="0" applyBorder="1" applyAlignment="1">
      <alignment wrapText="1"/>
    </xf>
    <xf numFmtId="2" fontId="14" fillId="22" borderId="234" xfId="8" applyNumberFormat="1" applyFont="1" applyFill="1" applyBorder="1" applyAlignment="1">
      <alignment horizontal="right" vertical="top"/>
    </xf>
    <xf numFmtId="2" fontId="14" fillId="22" borderId="437" xfId="8" applyNumberFormat="1" applyFont="1" applyFill="1" applyBorder="1" applyAlignment="1">
      <alignment horizontal="right" vertical="top"/>
    </xf>
    <xf numFmtId="9" fontId="43" fillId="0" borderId="437" xfId="0" applyNumberFormat="1" applyFont="1" applyFill="1" applyBorder="1"/>
    <xf numFmtId="2" fontId="44" fillId="22" borderId="438" xfId="8" applyNumberFormat="1" applyFont="1" applyFill="1" applyBorder="1" applyAlignment="1">
      <alignment horizontal="right" vertical="top"/>
    </xf>
    <xf numFmtId="2" fontId="48" fillId="22" borderId="439" xfId="5" applyNumberFormat="1" applyFont="1" applyFill="1" applyBorder="1" applyAlignment="1">
      <alignment horizontal="right" vertical="top"/>
    </xf>
    <xf numFmtId="2" fontId="48" fillId="22" borderId="441" xfId="5" applyNumberFormat="1" applyFont="1" applyFill="1" applyBorder="1" applyAlignment="1">
      <alignment horizontal="right" vertical="top"/>
    </xf>
    <xf numFmtId="14" fontId="0" fillId="0" borderId="443" xfId="0" applyNumberFormat="1" applyBorder="1"/>
    <xf numFmtId="0" fontId="0" fillId="0" borderId="444" xfId="0" applyFont="1" applyBorder="1"/>
    <xf numFmtId="0" fontId="65" fillId="22" borderId="444" xfId="5" applyNumberFormat="1" applyFont="1" applyFill="1" applyBorder="1" applyAlignment="1">
      <alignment horizontal="left" vertical="top"/>
    </xf>
    <xf numFmtId="0" fontId="0" fillId="0" borderId="444" xfId="0" applyBorder="1"/>
    <xf numFmtId="9" fontId="0" fillId="0" borderId="444" xfId="0" applyNumberFormat="1" applyFont="1" applyBorder="1"/>
    <xf numFmtId="2" fontId="48" fillId="22" borderId="445" xfId="5" applyNumberFormat="1" applyFont="1" applyFill="1" applyBorder="1" applyAlignment="1">
      <alignment horizontal="right" vertical="top"/>
    </xf>
    <xf numFmtId="0" fontId="0" fillId="0" borderId="261" xfId="0" applyFont="1" applyBorder="1"/>
    <xf numFmtId="0" fontId="65" fillId="22" borderId="261" xfId="5" applyNumberFormat="1" applyFont="1" applyFill="1" applyBorder="1" applyAlignment="1">
      <alignment horizontal="left" vertical="top"/>
    </xf>
    <xf numFmtId="1" fontId="0" fillId="0" borderId="444" xfId="0" applyNumberFormat="1" applyFill="1" applyBorder="1" applyAlignment="1">
      <alignment wrapText="1"/>
    </xf>
    <xf numFmtId="2" fontId="0" fillId="0" borderId="444" xfId="0" applyNumberFormat="1" applyBorder="1" applyAlignment="1">
      <alignment vertical="center"/>
    </xf>
    <xf numFmtId="0" fontId="0" fillId="0" borderId="444" xfId="0" applyBorder="1" applyAlignment="1">
      <alignment wrapText="1"/>
    </xf>
    <xf numFmtId="0" fontId="0" fillId="0" borderId="444" xfId="0" applyFont="1" applyBorder="1" applyAlignment="1">
      <alignment vertical="center"/>
    </xf>
    <xf numFmtId="0" fontId="0" fillId="0" borderId="444" xfId="0" applyFill="1" applyBorder="1"/>
    <xf numFmtId="9" fontId="0" fillId="0" borderId="444" xfId="0" applyNumberFormat="1" applyFill="1" applyBorder="1"/>
    <xf numFmtId="0" fontId="0" fillId="0" borderId="445" xfId="0" applyBorder="1"/>
    <xf numFmtId="0" fontId="0" fillId="0" borderId="443" xfId="0" applyFill="1" applyBorder="1"/>
    <xf numFmtId="0" fontId="0" fillId="0" borderId="446" xfId="0" applyFill="1" applyBorder="1"/>
    <xf numFmtId="9" fontId="0" fillId="0" borderId="446" xfId="0" applyNumberFormat="1" applyFill="1" applyBorder="1"/>
    <xf numFmtId="0" fontId="0" fillId="0" borderId="447" xfId="0" applyBorder="1"/>
    <xf numFmtId="0" fontId="0" fillId="0" borderId="448" xfId="0" applyFill="1" applyBorder="1"/>
    <xf numFmtId="9" fontId="0" fillId="0" borderId="448" xfId="0" applyNumberFormat="1" applyFill="1" applyBorder="1"/>
    <xf numFmtId="2" fontId="0" fillId="0" borderId="443" xfId="0" applyNumberFormat="1" applyFont="1" applyFill="1" applyBorder="1"/>
    <xf numFmtId="0" fontId="0" fillId="0" borderId="433" xfId="0" applyFont="1" applyFill="1" applyBorder="1" applyAlignment="1">
      <alignment vertical="top"/>
    </xf>
    <xf numFmtId="0" fontId="65" fillId="22" borderId="433" xfId="8" applyNumberFormat="1" applyFont="1" applyFill="1" applyBorder="1" applyAlignment="1">
      <alignment horizontal="left" vertical="top"/>
    </xf>
    <xf numFmtId="2" fontId="66" fillId="22" borderId="433" xfId="8" applyNumberFormat="1" applyFont="1" applyFill="1" applyBorder="1" applyAlignment="1">
      <alignment horizontal="right" vertical="top"/>
    </xf>
    <xf numFmtId="9" fontId="23" fillId="0" borderId="433" xfId="0" applyNumberFormat="1" applyFont="1" applyFill="1" applyBorder="1"/>
    <xf numFmtId="2" fontId="65" fillId="22" borderId="447" xfId="8" applyNumberFormat="1" applyFont="1" applyFill="1" applyBorder="1" applyAlignment="1">
      <alignment horizontal="right" vertical="top"/>
    </xf>
    <xf numFmtId="0" fontId="15" fillId="0" borderId="433" xfId="3" applyNumberFormat="1" applyFont="1" applyFill="1" applyBorder="1" applyAlignment="1">
      <alignment horizontal="left" vertical="top" wrapText="1"/>
    </xf>
    <xf numFmtId="0" fontId="0" fillId="0" borderId="448" xfId="0" applyFont="1" applyBorder="1"/>
    <xf numFmtId="0" fontId="15" fillId="0" borderId="448" xfId="3" applyNumberFormat="1" applyFont="1" applyFill="1" applyBorder="1" applyAlignment="1">
      <alignment horizontal="left" vertical="top" wrapText="1"/>
    </xf>
    <xf numFmtId="2" fontId="66" fillId="22" borderId="448" xfId="8" applyNumberFormat="1" applyFont="1" applyFill="1" applyBorder="1" applyAlignment="1">
      <alignment horizontal="right" vertical="top"/>
    </xf>
    <xf numFmtId="9" fontId="23" fillId="0" borderId="448" xfId="0" applyNumberFormat="1" applyFont="1" applyFill="1" applyBorder="1"/>
    <xf numFmtId="0" fontId="3" fillId="4" borderId="412" xfId="8" applyNumberFormat="1" applyFont="1" applyFill="1" applyBorder="1" applyAlignment="1">
      <alignment horizontal="left" vertical="top"/>
    </xf>
    <xf numFmtId="0" fontId="3" fillId="4" borderId="388" xfId="0" applyFont="1" applyFill="1" applyBorder="1"/>
    <xf numFmtId="0" fontId="59" fillId="4" borderId="412" xfId="8" applyNumberFormat="1" applyFont="1" applyFill="1" applyBorder="1" applyAlignment="1">
      <alignment horizontal="left" vertical="top"/>
    </xf>
    <xf numFmtId="0" fontId="59" fillId="4" borderId="429" xfId="0" applyFont="1" applyFill="1" applyBorder="1"/>
    <xf numFmtId="0" fontId="59" fillId="4" borderId="388" xfId="0" applyFont="1" applyFill="1" applyBorder="1"/>
    <xf numFmtId="0" fontId="59" fillId="4" borderId="433" xfId="0" applyFont="1" applyFill="1" applyBorder="1"/>
    <xf numFmtId="0" fontId="59" fillId="4" borderId="306" xfId="7" applyNumberFormat="1" applyFont="1" applyFill="1" applyBorder="1" applyAlignment="1">
      <alignment horizontal="left" vertical="top"/>
    </xf>
    <xf numFmtId="0" fontId="69" fillId="4" borderId="234" xfId="8" applyNumberFormat="1" applyFont="1" applyFill="1" applyBorder="1" applyAlignment="1">
      <alignment horizontal="left" vertical="top"/>
    </xf>
    <xf numFmtId="0" fontId="69" fillId="4" borderId="412" xfId="8" applyNumberFormat="1" applyFont="1" applyFill="1" applyBorder="1" applyAlignment="1">
      <alignment horizontal="left" vertical="top"/>
    </xf>
    <xf numFmtId="0" fontId="59" fillId="4" borderId="234" xfId="8" applyNumberFormat="1" applyFont="1" applyFill="1" applyBorder="1" applyAlignment="1">
      <alignment horizontal="left" vertical="top"/>
    </xf>
    <xf numFmtId="0" fontId="59" fillId="4" borderId="429" xfId="8" applyNumberFormat="1" applyFont="1" applyFill="1" applyBorder="1" applyAlignment="1">
      <alignment horizontal="left" vertical="top"/>
    </xf>
    <xf numFmtId="1" fontId="0" fillId="0" borderId="446" xfId="0" applyNumberFormat="1" applyFill="1" applyBorder="1" applyAlignment="1">
      <alignment wrapText="1"/>
    </xf>
    <xf numFmtId="9" fontId="0" fillId="0" borderId="348" xfId="0" applyNumberFormat="1" applyBorder="1" applyAlignment="1">
      <alignment vertical="center"/>
    </xf>
    <xf numFmtId="2" fontId="0" fillId="0" borderId="446" xfId="0" applyNumberFormat="1" applyBorder="1" applyAlignment="1">
      <alignment vertical="center"/>
    </xf>
    <xf numFmtId="0" fontId="0" fillId="0" borderId="446" xfId="0" applyBorder="1" applyAlignment="1">
      <alignment wrapText="1"/>
    </xf>
    <xf numFmtId="0" fontId="0" fillId="0" borderId="446" xfId="0" applyFont="1" applyBorder="1"/>
    <xf numFmtId="0" fontId="65" fillId="22" borderId="446" xfId="5" applyNumberFormat="1" applyFont="1" applyFill="1" applyBorder="1" applyAlignment="1">
      <alignment horizontal="left" vertical="top"/>
    </xf>
    <xf numFmtId="0" fontId="0" fillId="0" borderId="446" xfId="0" applyBorder="1"/>
    <xf numFmtId="9" fontId="0" fillId="0" borderId="446" xfId="0" applyNumberFormat="1" applyFont="1" applyBorder="1"/>
    <xf numFmtId="2" fontId="48" fillId="22" borderId="447" xfId="5" applyNumberFormat="1" applyFont="1" applyFill="1" applyBorder="1" applyAlignment="1">
      <alignment horizontal="right" vertical="top"/>
    </xf>
    <xf numFmtId="0" fontId="0" fillId="0" borderId="443" xfId="0" applyBorder="1"/>
    <xf numFmtId="0" fontId="0" fillId="0" borderId="448" xfId="0" applyBorder="1"/>
    <xf numFmtId="9" fontId="0" fillId="0" borderId="448" xfId="0" applyNumberFormat="1" applyFont="1" applyBorder="1"/>
    <xf numFmtId="0" fontId="48" fillId="22" borderId="448" xfId="5" applyNumberFormat="1" applyFont="1" applyFill="1" applyBorder="1" applyAlignment="1">
      <alignment horizontal="left" vertical="top"/>
    </xf>
    <xf numFmtId="2" fontId="48" fillId="22" borderId="448" xfId="5" applyNumberFormat="1" applyFont="1" applyFill="1" applyBorder="1" applyAlignment="1">
      <alignment horizontal="right" vertical="top"/>
    </xf>
    <xf numFmtId="9" fontId="2" fillId="0" borderId="448" xfId="0" applyNumberFormat="1" applyFont="1" applyBorder="1"/>
    <xf numFmtId="9" fontId="43" fillId="0" borderId="234" xfId="1" applyFont="1" applyFill="1" applyBorder="1"/>
    <xf numFmtId="2" fontId="0" fillId="0" borderId="443" xfId="0" applyNumberFormat="1" applyBorder="1"/>
    <xf numFmtId="0" fontId="48" fillId="22" borderId="433" xfId="8" applyNumberFormat="1" applyFont="1" applyFill="1" applyBorder="1" applyAlignment="1">
      <alignment horizontal="left" vertical="top"/>
    </xf>
    <xf numFmtId="2" fontId="14" fillId="22" borderId="433" xfId="8" applyNumberFormat="1" applyFont="1" applyFill="1" applyBorder="1" applyAlignment="1">
      <alignment horizontal="right" vertical="top"/>
    </xf>
    <xf numFmtId="9" fontId="43" fillId="0" borderId="433" xfId="1" applyFont="1" applyFill="1" applyBorder="1"/>
    <xf numFmtId="2" fontId="44" fillId="22" borderId="447" xfId="8" applyNumberFormat="1" applyFont="1" applyFill="1" applyBorder="1" applyAlignment="1">
      <alignment horizontal="right" vertical="top"/>
    </xf>
    <xf numFmtId="9" fontId="0" fillId="0" borderId="433" xfId="1" applyFont="1" applyBorder="1"/>
    <xf numFmtId="9" fontId="0" fillId="0" borderId="448" xfId="1" applyFont="1" applyBorder="1"/>
    <xf numFmtId="2" fontId="0" fillId="0" borderId="443" xfId="0" applyNumberFormat="1" applyFont="1" applyBorder="1"/>
    <xf numFmtId="0" fontId="0" fillId="0" borderId="433" xfId="0" applyFont="1" applyFill="1" applyBorder="1"/>
    <xf numFmtId="2" fontId="48" fillId="22" borderId="433" xfId="8" applyNumberFormat="1" applyFont="1" applyFill="1" applyBorder="1" applyAlignment="1">
      <alignment horizontal="right" vertical="top"/>
    </xf>
    <xf numFmtId="9" fontId="0" fillId="0" borderId="433" xfId="0" applyNumberFormat="1" applyFont="1" applyFill="1" applyBorder="1"/>
    <xf numFmtId="2" fontId="48" fillId="22" borderId="447" xfId="8" applyNumberFormat="1" applyFont="1" applyFill="1" applyBorder="1" applyAlignment="1">
      <alignment horizontal="right" vertical="top"/>
    </xf>
    <xf numFmtId="9" fontId="0" fillId="0" borderId="448" xfId="0" applyNumberFormat="1" applyFont="1" applyFill="1" applyBorder="1"/>
    <xf numFmtId="0" fontId="0" fillId="0" borderId="443" xfId="0" applyFont="1" applyBorder="1"/>
    <xf numFmtId="0" fontId="71" fillId="0" borderId="433" xfId="10" applyFont="1" applyFill="1" applyBorder="1" applyAlignment="1">
      <alignment horizontal="left" vertical="center" wrapText="1"/>
    </xf>
    <xf numFmtId="9" fontId="0" fillId="0" borderId="433" xfId="0" applyNumberFormat="1" applyBorder="1" applyAlignment="1">
      <alignment horizontal="center" vertical="center"/>
    </xf>
    <xf numFmtId="2" fontId="0" fillId="0" borderId="433" xfId="0" applyNumberFormat="1" applyBorder="1" applyAlignment="1">
      <alignment horizontal="center" vertical="center"/>
    </xf>
    <xf numFmtId="2" fontId="0" fillId="0" borderId="433" xfId="0" applyNumberFormat="1" applyFont="1" applyBorder="1" applyAlignment="1">
      <alignment horizontal="center" vertical="center"/>
    </xf>
    <xf numFmtId="9" fontId="0" fillId="0" borderId="433" xfId="0" applyNumberFormat="1" applyBorder="1" applyAlignment="1">
      <alignment vertical="center"/>
    </xf>
    <xf numFmtId="2" fontId="0" fillId="0" borderId="433" xfId="0" applyNumberFormat="1" applyBorder="1" applyAlignment="1">
      <alignment vertical="center"/>
    </xf>
    <xf numFmtId="2" fontId="0" fillId="0" borderId="433" xfId="0" applyNumberFormat="1" applyFont="1" applyBorder="1" applyAlignment="1">
      <alignment vertical="center"/>
    </xf>
    <xf numFmtId="9" fontId="0" fillId="0" borderId="446" xfId="0" applyNumberFormat="1" applyFont="1" applyFill="1" applyBorder="1"/>
    <xf numFmtId="2" fontId="0" fillId="0" borderId="433" xfId="0" applyNumberFormat="1" applyBorder="1"/>
    <xf numFmtId="0" fontId="0" fillId="0" borderId="448" xfId="0" applyFont="1" applyFill="1" applyBorder="1" applyAlignment="1">
      <alignment vertical="top"/>
    </xf>
    <xf numFmtId="0" fontId="65" fillId="22" borderId="448" xfId="8" applyNumberFormat="1" applyFont="1" applyFill="1" applyBorder="1" applyAlignment="1">
      <alignment horizontal="left" vertical="top"/>
    </xf>
    <xf numFmtId="0" fontId="59" fillId="4" borderId="437" xfId="8" applyNumberFormat="1" applyFont="1" applyFill="1" applyBorder="1" applyAlignment="1">
      <alignment horizontal="left" vertical="top"/>
    </xf>
    <xf numFmtId="0" fontId="59" fillId="4" borderId="437" xfId="0" applyFont="1" applyFill="1" applyBorder="1"/>
    <xf numFmtId="0" fontId="53" fillId="4" borderId="234" xfId="5" applyNumberFormat="1" applyFont="1" applyFill="1" applyBorder="1" applyAlignment="1">
      <alignment horizontal="left" vertical="top"/>
    </xf>
    <xf numFmtId="0" fontId="53" fillId="4" borderId="448" xfId="5" applyNumberFormat="1" applyFont="1" applyFill="1" applyBorder="1" applyAlignment="1">
      <alignment horizontal="left" vertical="top"/>
    </xf>
    <xf numFmtId="0" fontId="60" fillId="4" borderId="437" xfId="3" applyNumberFormat="1" applyFont="1" applyFill="1" applyBorder="1" applyAlignment="1">
      <alignment horizontal="left" vertical="top" wrapText="1"/>
    </xf>
    <xf numFmtId="0" fontId="3" fillId="4" borderId="437" xfId="0" applyFont="1" applyFill="1" applyBorder="1"/>
    <xf numFmtId="0" fontId="59" fillId="4" borderId="433" xfId="3" applyNumberFormat="1" applyFont="1" applyFill="1" applyBorder="1" applyAlignment="1">
      <alignment horizontal="left" vertical="top" wrapText="1"/>
    </xf>
    <xf numFmtId="0" fontId="59" fillId="4" borderId="448" xfId="3" applyNumberFormat="1" applyFont="1" applyFill="1" applyBorder="1" applyAlignment="1">
      <alignment horizontal="left" vertical="top" wrapText="1"/>
    </xf>
    <xf numFmtId="0" fontId="69" fillId="4" borderId="437" xfId="8" applyNumberFormat="1" applyFont="1" applyFill="1" applyBorder="1" applyAlignment="1">
      <alignment horizontal="left" vertical="top"/>
    </xf>
    <xf numFmtId="0" fontId="59" fillId="4" borderId="432" xfId="0" applyFont="1" applyFill="1" applyBorder="1"/>
    <xf numFmtId="0" fontId="59" fillId="4" borderId="432" xfId="3" applyNumberFormat="1" applyFont="1" applyFill="1" applyBorder="1" applyAlignment="1">
      <alignment horizontal="left" vertical="top" wrapText="1"/>
    </xf>
    <xf numFmtId="0" fontId="69" fillId="4" borderId="433" xfId="8" applyNumberFormat="1" applyFont="1" applyFill="1" applyBorder="1" applyAlignment="1">
      <alignment horizontal="left" vertical="top"/>
    </xf>
    <xf numFmtId="0" fontId="0" fillId="0" borderId="446" xfId="0" applyFont="1" applyFill="1" applyBorder="1" applyAlignment="1">
      <alignment vertical="top"/>
    </xf>
    <xf numFmtId="0" fontId="65" fillId="22" borderId="446" xfId="8" applyNumberFormat="1" applyFont="1" applyFill="1" applyBorder="1" applyAlignment="1">
      <alignment horizontal="left" vertical="top"/>
    </xf>
    <xf numFmtId="2" fontId="66" fillId="22" borderId="446" xfId="8" applyNumberFormat="1" applyFont="1" applyFill="1" applyBorder="1" applyAlignment="1">
      <alignment horizontal="right" vertical="top"/>
    </xf>
    <xf numFmtId="9" fontId="23" fillId="0" borderId="446" xfId="0" applyNumberFormat="1" applyFont="1" applyFill="1" applyBorder="1"/>
    <xf numFmtId="14" fontId="0" fillId="0" borderId="73" xfId="0" applyNumberFormat="1" applyBorder="1" applyAlignment="1">
      <alignment horizontal="left"/>
    </xf>
    <xf numFmtId="0" fontId="65" fillId="22" borderId="448" xfId="5" applyNumberFormat="1" applyFont="1" applyFill="1" applyBorder="1" applyAlignment="1">
      <alignment horizontal="left" vertical="top"/>
    </xf>
    <xf numFmtId="0" fontId="0" fillId="0" borderId="443" xfId="0" applyFont="1" applyBorder="1" applyAlignment="1">
      <alignment vertical="center"/>
    </xf>
    <xf numFmtId="0" fontId="2" fillId="0" borderId="447" xfId="0" applyFont="1" applyBorder="1" applyAlignment="1">
      <alignment vertical="center"/>
    </xf>
    <xf numFmtId="0" fontId="0" fillId="0" borderId="260" xfId="0" applyFont="1" applyBorder="1" applyAlignment="1">
      <alignment vertical="center"/>
    </xf>
    <xf numFmtId="0" fontId="0" fillId="0" borderId="448" xfId="0" applyFont="1" applyBorder="1" applyAlignment="1">
      <alignment vertical="center"/>
    </xf>
    <xf numFmtId="0" fontId="2" fillId="0" borderId="448" xfId="0" applyFont="1" applyBorder="1" applyAlignment="1">
      <alignment vertical="center"/>
    </xf>
    <xf numFmtId="9" fontId="2" fillId="0" borderId="448" xfId="1" applyNumberFormat="1" applyFont="1" applyBorder="1" applyAlignment="1">
      <alignment vertical="center"/>
    </xf>
    <xf numFmtId="0" fontId="2" fillId="0" borderId="427" xfId="0" applyFont="1" applyBorder="1" applyAlignment="1">
      <alignment vertical="center"/>
    </xf>
    <xf numFmtId="0" fontId="48" fillId="22" borderId="433" xfId="5" applyNumberFormat="1" applyFont="1" applyFill="1" applyBorder="1" applyAlignment="1">
      <alignment horizontal="left" vertical="top"/>
    </xf>
    <xf numFmtId="2" fontId="48" fillId="22" borderId="433" xfId="5" applyNumberFormat="1" applyFont="1" applyFill="1" applyBorder="1" applyAlignment="1">
      <alignment horizontal="right" vertical="top"/>
    </xf>
    <xf numFmtId="9" fontId="2" fillId="0" borderId="433" xfId="0" applyNumberFormat="1" applyFont="1" applyBorder="1"/>
    <xf numFmtId="0" fontId="0" fillId="0" borderId="278" xfId="0" applyBorder="1" applyAlignment="1">
      <alignment vertical="center"/>
    </xf>
    <xf numFmtId="0" fontId="0" fillId="0" borderId="433" xfId="0" applyBorder="1" applyAlignment="1">
      <alignment wrapText="1"/>
    </xf>
    <xf numFmtId="0" fontId="0" fillId="0" borderId="368" xfId="0" applyBorder="1" applyAlignment="1">
      <alignment vertical="center"/>
    </xf>
    <xf numFmtId="2" fontId="48" fillId="22" borderId="449" xfId="5" applyNumberFormat="1" applyFont="1" applyFill="1" applyBorder="1" applyAlignment="1">
      <alignment horizontal="right" vertical="top"/>
    </xf>
    <xf numFmtId="0" fontId="48" fillId="22" borderId="450" xfId="5" applyNumberFormat="1" applyFont="1" applyFill="1" applyBorder="1" applyAlignment="1">
      <alignment horizontal="left" vertical="top"/>
    </xf>
    <xf numFmtId="2" fontId="48" fillId="22" borderId="451" xfId="5" applyNumberFormat="1" applyFont="1" applyFill="1" applyBorder="1" applyAlignment="1">
      <alignment horizontal="right" vertical="top"/>
    </xf>
    <xf numFmtId="2" fontId="0" fillId="0" borderId="453" xfId="0" applyNumberFormat="1" applyFont="1" applyBorder="1"/>
    <xf numFmtId="0" fontId="0" fillId="0" borderId="454" xfId="0" applyFont="1" applyFill="1" applyBorder="1"/>
    <xf numFmtId="0" fontId="48" fillId="22" borderId="454" xfId="8" applyNumberFormat="1" applyFont="1" applyFill="1" applyBorder="1" applyAlignment="1">
      <alignment horizontal="left" vertical="top"/>
    </xf>
    <xf numFmtId="2" fontId="48" fillId="22" borderId="454" xfId="8" applyNumberFormat="1" applyFont="1" applyFill="1" applyBorder="1" applyAlignment="1">
      <alignment horizontal="right" vertical="top"/>
    </xf>
    <xf numFmtId="9" fontId="0" fillId="0" borderId="454" xfId="0" applyNumberFormat="1" applyFont="1" applyFill="1" applyBorder="1"/>
    <xf numFmtId="2" fontId="48" fillId="22" borderId="455" xfId="8" applyNumberFormat="1" applyFont="1" applyFill="1" applyBorder="1" applyAlignment="1">
      <alignment horizontal="right" vertical="top"/>
    </xf>
    <xf numFmtId="0" fontId="0" fillId="0" borderId="454" xfId="0" applyBorder="1"/>
    <xf numFmtId="0" fontId="0" fillId="0" borderId="455" xfId="0" applyBorder="1"/>
    <xf numFmtId="2" fontId="0" fillId="0" borderId="453" xfId="0" applyNumberFormat="1" applyBorder="1"/>
    <xf numFmtId="0" fontId="0" fillId="0" borderId="454" xfId="0" applyFill="1" applyBorder="1"/>
    <xf numFmtId="2" fontId="14" fillId="22" borderId="454" xfId="8" applyNumberFormat="1" applyFont="1" applyFill="1" applyBorder="1" applyAlignment="1">
      <alignment horizontal="right" vertical="top"/>
    </xf>
    <xf numFmtId="9" fontId="43" fillId="0" borderId="454" xfId="1" applyFont="1" applyFill="1" applyBorder="1"/>
    <xf numFmtId="2" fontId="44" fillId="22" borderId="455" xfId="8" applyNumberFormat="1" applyFont="1" applyFill="1" applyBorder="1" applyAlignment="1">
      <alignment horizontal="right" vertical="top"/>
    </xf>
    <xf numFmtId="0" fontId="0" fillId="0" borderId="453" xfId="0" applyBorder="1"/>
    <xf numFmtId="9" fontId="0" fillId="0" borderId="454" xfId="1" applyFont="1" applyBorder="1"/>
    <xf numFmtId="9" fontId="0" fillId="0" borderId="261" xfId="1" applyFont="1" applyBorder="1"/>
    <xf numFmtId="2" fontId="0" fillId="0" borderId="453" xfId="0" applyNumberFormat="1" applyFont="1" applyFill="1" applyBorder="1"/>
    <xf numFmtId="0" fontId="0" fillId="0" borderId="453" xfId="0" applyFont="1" applyBorder="1"/>
    <xf numFmtId="0" fontId="0" fillId="0" borderId="454" xfId="0" applyFont="1" applyBorder="1"/>
    <xf numFmtId="0" fontId="0" fillId="0" borderId="454" xfId="0" applyFont="1" applyFill="1" applyBorder="1" applyAlignment="1">
      <alignment vertical="top"/>
    </xf>
    <xf numFmtId="0" fontId="65" fillId="22" borderId="454" xfId="8" applyNumberFormat="1" applyFont="1" applyFill="1" applyBorder="1" applyAlignment="1">
      <alignment horizontal="left" vertical="top"/>
    </xf>
    <xf numFmtId="2" fontId="66" fillId="22" borderId="454" xfId="8" applyNumberFormat="1" applyFont="1" applyFill="1" applyBorder="1" applyAlignment="1">
      <alignment horizontal="right" vertical="top"/>
    </xf>
    <xf numFmtId="9" fontId="23" fillId="0" borderId="454" xfId="0" applyNumberFormat="1" applyFont="1" applyFill="1" applyBorder="1"/>
    <xf numFmtId="2" fontId="65" fillId="22" borderId="455" xfId="8" applyNumberFormat="1" applyFont="1" applyFill="1" applyBorder="1" applyAlignment="1">
      <alignment horizontal="right" vertical="top"/>
    </xf>
    <xf numFmtId="9" fontId="23" fillId="0" borderId="261" xfId="0" applyNumberFormat="1" applyFont="1" applyFill="1" applyBorder="1"/>
    <xf numFmtId="14" fontId="0" fillId="0" borderId="453" xfId="0" applyNumberFormat="1" applyBorder="1"/>
    <xf numFmtId="0" fontId="48" fillId="22" borderId="454" xfId="5" applyNumberFormat="1" applyFont="1" applyFill="1" applyBorder="1" applyAlignment="1">
      <alignment horizontal="left" vertical="top"/>
    </xf>
    <xf numFmtId="2" fontId="48" fillId="22" borderId="454" xfId="5" applyNumberFormat="1" applyFont="1" applyFill="1" applyBorder="1" applyAlignment="1">
      <alignment horizontal="right" vertical="top"/>
    </xf>
    <xf numFmtId="9" fontId="2" fillId="0" borderId="454" xfId="0" applyNumberFormat="1" applyFont="1" applyBorder="1"/>
    <xf numFmtId="2" fontId="48" fillId="22" borderId="455" xfId="5" applyNumberFormat="1" applyFont="1" applyFill="1" applyBorder="1" applyAlignment="1">
      <alignment horizontal="right" vertical="top"/>
    </xf>
    <xf numFmtId="2" fontId="0" fillId="0" borderId="455" xfId="0" applyNumberFormat="1" applyBorder="1"/>
    <xf numFmtId="9" fontId="2" fillId="0" borderId="261" xfId="0" applyNumberFormat="1" applyFont="1" applyBorder="1"/>
    <xf numFmtId="2" fontId="0" fillId="0" borderId="257" xfId="0" applyNumberFormat="1" applyBorder="1"/>
    <xf numFmtId="2" fontId="0" fillId="4" borderId="22" xfId="0" applyNumberFormat="1" applyFill="1" applyBorder="1"/>
    <xf numFmtId="0" fontId="65" fillId="22" borderId="454" xfId="5" applyNumberFormat="1" applyFont="1" applyFill="1" applyBorder="1" applyAlignment="1">
      <alignment horizontal="left" vertical="top"/>
    </xf>
    <xf numFmtId="9" fontId="0" fillId="0" borderId="454" xfId="0" applyNumberFormat="1" applyFont="1" applyBorder="1"/>
    <xf numFmtId="0" fontId="0" fillId="4" borderId="433" xfId="0" applyFill="1" applyBorder="1"/>
    <xf numFmtId="0" fontId="69" fillId="4" borderId="234" xfId="5" applyNumberFormat="1" applyFont="1" applyFill="1" applyBorder="1" applyAlignment="1">
      <alignment horizontal="left" vertical="top"/>
    </xf>
    <xf numFmtId="0" fontId="69" fillId="4" borderId="448" xfId="5" applyNumberFormat="1" applyFont="1" applyFill="1" applyBorder="1" applyAlignment="1">
      <alignment horizontal="left" vertical="top"/>
    </xf>
    <xf numFmtId="0" fontId="59" fillId="4" borderId="433" xfId="8" applyNumberFormat="1" applyFont="1" applyFill="1" applyBorder="1" applyAlignment="1">
      <alignment horizontal="left" vertical="top"/>
    </xf>
    <xf numFmtId="0" fontId="2" fillId="0" borderId="446" xfId="10" applyFont="1" applyFill="1" applyBorder="1" applyAlignment="1">
      <alignment horizontal="left" vertical="center" wrapText="1"/>
    </xf>
    <xf numFmtId="9" fontId="0" fillId="0" borderId="446" xfId="0" applyNumberFormat="1" applyBorder="1" applyAlignment="1">
      <alignment horizontal="center" vertical="center"/>
    </xf>
    <xf numFmtId="2" fontId="0" fillId="0" borderId="446" xfId="0" applyNumberFormat="1" applyBorder="1" applyAlignment="1">
      <alignment horizontal="center" vertical="center"/>
    </xf>
    <xf numFmtId="2" fontId="0" fillId="0" borderId="446" xfId="0" applyNumberFormat="1" applyFont="1" applyBorder="1" applyAlignment="1">
      <alignment horizontal="center" vertical="center"/>
    </xf>
    <xf numFmtId="0" fontId="0" fillId="26" borderId="368" xfId="0" applyFill="1" applyBorder="1" applyAlignment="1">
      <alignment horizontal="left" vertical="center" wrapText="1"/>
    </xf>
    <xf numFmtId="9" fontId="0" fillId="0" borderId="446" xfId="0" applyNumberFormat="1" applyBorder="1" applyAlignment="1">
      <alignment vertical="center"/>
    </xf>
    <xf numFmtId="2" fontId="0" fillId="0" borderId="446" xfId="0" applyNumberFormat="1" applyFont="1" applyBorder="1" applyAlignment="1">
      <alignment vertical="center"/>
    </xf>
    <xf numFmtId="9" fontId="0" fillId="0" borderId="234" xfId="1" applyFont="1" applyFill="1" applyBorder="1"/>
    <xf numFmtId="9" fontId="0" fillId="0" borderId="454" xfId="1" applyFont="1" applyFill="1" applyBorder="1"/>
    <xf numFmtId="0" fontId="0" fillId="0" borderId="455" xfId="0" applyFont="1" applyBorder="1"/>
    <xf numFmtId="0" fontId="0" fillId="0" borderId="257" xfId="0" applyFont="1" applyBorder="1"/>
    <xf numFmtId="0" fontId="0" fillId="0" borderId="453" xfId="0" applyFill="1" applyBorder="1"/>
    <xf numFmtId="0" fontId="0" fillId="0" borderId="456" xfId="0" applyFill="1" applyBorder="1"/>
    <xf numFmtId="9" fontId="0" fillId="0" borderId="456" xfId="0" applyNumberFormat="1" applyFill="1" applyBorder="1"/>
    <xf numFmtId="0" fontId="0" fillId="0" borderId="457" xfId="0" applyBorder="1"/>
    <xf numFmtId="0" fontId="0" fillId="0" borderId="458" xfId="0" applyFill="1" applyBorder="1"/>
    <xf numFmtId="9" fontId="0" fillId="0" borderId="458" xfId="0" applyNumberFormat="1" applyFill="1" applyBorder="1"/>
    <xf numFmtId="0" fontId="0" fillId="0" borderId="459" xfId="0" applyBorder="1"/>
    <xf numFmtId="1" fontId="0" fillId="0" borderId="456" xfId="0" applyNumberFormat="1" applyFill="1" applyBorder="1" applyAlignment="1">
      <alignment wrapText="1"/>
    </xf>
    <xf numFmtId="0" fontId="0" fillId="0" borderId="456" xfId="0" applyBorder="1" applyAlignment="1">
      <alignment wrapText="1"/>
    </xf>
    <xf numFmtId="9" fontId="0" fillId="0" borderId="0" xfId="0" applyNumberFormat="1" applyBorder="1" applyAlignment="1">
      <alignment vertical="center"/>
    </xf>
    <xf numFmtId="2" fontId="0" fillId="0" borderId="278" xfId="0" applyNumberFormat="1" applyBorder="1" applyAlignment="1">
      <alignment vertical="center"/>
    </xf>
    <xf numFmtId="2" fontId="0" fillId="0" borderId="24" xfId="0" applyNumberFormat="1" applyBorder="1" applyAlignment="1">
      <alignment vertical="center"/>
    </xf>
    <xf numFmtId="9" fontId="0" fillId="0" borderId="462" xfId="0" applyNumberFormat="1" applyBorder="1" applyAlignment="1">
      <alignment vertical="center"/>
    </xf>
    <xf numFmtId="2" fontId="0" fillId="0" borderId="368" xfId="0" applyNumberFormat="1" applyBorder="1" applyAlignment="1">
      <alignment vertical="center"/>
    </xf>
    <xf numFmtId="0" fontId="0" fillId="0" borderId="456" xfId="0" applyFont="1" applyFill="1" applyBorder="1" applyAlignment="1">
      <alignment vertical="top"/>
    </xf>
    <xf numFmtId="0" fontId="65" fillId="22" borderId="456" xfId="8" applyNumberFormat="1" applyFont="1" applyFill="1" applyBorder="1" applyAlignment="1">
      <alignment horizontal="left" vertical="top"/>
    </xf>
    <xf numFmtId="2" fontId="66" fillId="22" borderId="456" xfId="8" applyNumberFormat="1" applyFont="1" applyFill="1" applyBorder="1" applyAlignment="1">
      <alignment horizontal="right" vertical="top"/>
    </xf>
    <xf numFmtId="9" fontId="23" fillId="0" borderId="456" xfId="0" applyNumberFormat="1" applyFont="1" applyFill="1" applyBorder="1"/>
    <xf numFmtId="2" fontId="65" fillId="22" borderId="457" xfId="8" applyNumberFormat="1" applyFont="1" applyFill="1" applyBorder="1" applyAlignment="1">
      <alignment horizontal="right" vertical="top"/>
    </xf>
    <xf numFmtId="0" fontId="0" fillId="0" borderId="456" xfId="0" applyBorder="1"/>
    <xf numFmtId="2" fontId="0" fillId="0" borderId="457" xfId="0" applyNumberFormat="1" applyBorder="1"/>
    <xf numFmtId="0" fontId="0" fillId="0" borderId="458" xfId="0" applyBorder="1"/>
    <xf numFmtId="9" fontId="23" fillId="0" borderId="458" xfId="0" applyNumberFormat="1" applyFont="1" applyFill="1" applyBorder="1"/>
    <xf numFmtId="0" fontId="0" fillId="0" borderId="456" xfId="0" applyFont="1" applyBorder="1"/>
    <xf numFmtId="9" fontId="0" fillId="0" borderId="456" xfId="0" applyNumberFormat="1" applyFont="1" applyBorder="1"/>
    <xf numFmtId="2" fontId="48" fillId="22" borderId="457" xfId="5" applyNumberFormat="1" applyFont="1" applyFill="1" applyBorder="1" applyAlignment="1">
      <alignment horizontal="right" vertical="top"/>
    </xf>
    <xf numFmtId="9" fontId="0" fillId="0" borderId="458" xfId="0" applyNumberFormat="1" applyFont="1" applyBorder="1"/>
    <xf numFmtId="2" fontId="0" fillId="0" borderId="459" xfId="0" applyNumberFormat="1" applyBorder="1"/>
    <xf numFmtId="0" fontId="72" fillId="22" borderId="234" xfId="5" applyNumberFormat="1" applyFont="1" applyFill="1" applyBorder="1" applyAlignment="1">
      <alignment horizontal="left" vertical="top"/>
    </xf>
    <xf numFmtId="0" fontId="37" fillId="0" borderId="234" xfId="0" applyFont="1" applyBorder="1"/>
    <xf numFmtId="9" fontId="37" fillId="0" borderId="234" xfId="0" applyNumberFormat="1" applyFont="1" applyBorder="1"/>
    <xf numFmtId="2" fontId="72" fillId="22" borderId="74" xfId="5" applyNumberFormat="1" applyFont="1" applyFill="1" applyBorder="1" applyAlignment="1">
      <alignment horizontal="right" vertical="top"/>
    </xf>
    <xf numFmtId="2" fontId="37" fillId="0" borderId="0" xfId="0" applyNumberFormat="1" applyFont="1"/>
    <xf numFmtId="0" fontId="72" fillId="22" borderId="456" xfId="5" applyNumberFormat="1" applyFont="1" applyFill="1" applyBorder="1" applyAlignment="1">
      <alignment horizontal="left" vertical="top"/>
    </xf>
    <xf numFmtId="0" fontId="37" fillId="0" borderId="456" xfId="0" applyFont="1" applyBorder="1"/>
    <xf numFmtId="9" fontId="37" fillId="0" borderId="456" xfId="0" applyNumberFormat="1" applyFont="1" applyBorder="1"/>
    <xf numFmtId="2" fontId="72" fillId="22" borderId="457" xfId="5" applyNumberFormat="1" applyFont="1" applyFill="1" applyBorder="1" applyAlignment="1">
      <alignment horizontal="right" vertical="top"/>
    </xf>
    <xf numFmtId="2" fontId="37" fillId="0" borderId="457" xfId="0" applyNumberFormat="1" applyFont="1" applyBorder="1"/>
    <xf numFmtId="9" fontId="37" fillId="0" borderId="458" xfId="0" applyNumberFormat="1" applyFont="1" applyFill="1" applyBorder="1"/>
    <xf numFmtId="2" fontId="37" fillId="0" borderId="459" xfId="0" applyNumberFormat="1" applyFont="1" applyFill="1" applyBorder="1"/>
    <xf numFmtId="0" fontId="0" fillId="0" borderId="463" xfId="0" applyFont="1" applyBorder="1" applyAlignment="1">
      <alignment vertical="center" wrapText="1"/>
    </xf>
    <xf numFmtId="0" fontId="0" fillId="0" borderId="461" xfId="0" applyBorder="1"/>
    <xf numFmtId="9" fontId="0" fillId="0" borderId="456" xfId="0" applyNumberFormat="1" applyFont="1" applyFill="1" applyBorder="1"/>
    <xf numFmtId="0" fontId="0" fillId="0" borderId="464" xfId="0" applyBorder="1"/>
    <xf numFmtId="9" fontId="0" fillId="0" borderId="458" xfId="0" applyNumberFormat="1" applyFont="1" applyFill="1" applyBorder="1"/>
    <xf numFmtId="0" fontId="54" fillId="0" borderId="217" xfId="8" applyNumberFormat="1" applyFont="1" applyFill="1" applyBorder="1" applyAlignment="1">
      <alignment horizontal="left" vertical="top"/>
    </xf>
    <xf numFmtId="2" fontId="26" fillId="0" borderId="457" xfId="3" applyNumberFormat="1" applyFont="1" applyFill="1" applyBorder="1" applyAlignment="1">
      <alignment horizontal="center" vertical="center" wrapText="1"/>
    </xf>
    <xf numFmtId="0" fontId="0" fillId="0" borderId="456" xfId="0" applyFont="1" applyFill="1" applyBorder="1"/>
    <xf numFmtId="9" fontId="0" fillId="0" borderId="456" xfId="1" applyFont="1" applyBorder="1"/>
    <xf numFmtId="0" fontId="0" fillId="0" borderId="458" xfId="0" applyFont="1" applyFill="1" applyBorder="1"/>
    <xf numFmtId="0" fontId="22" fillId="0" borderId="458" xfId="3" applyNumberFormat="1" applyFont="1" applyBorder="1" applyAlignment="1">
      <alignment horizontal="left" vertical="top" wrapText="1"/>
    </xf>
    <xf numFmtId="9" fontId="0" fillId="0" borderId="458" xfId="1" applyFont="1" applyBorder="1"/>
    <xf numFmtId="2" fontId="26" fillId="0" borderId="459" xfId="3" applyNumberFormat="1" applyFont="1" applyFill="1" applyBorder="1" applyAlignment="1">
      <alignment horizontal="center" vertical="center" wrapText="1"/>
    </xf>
    <xf numFmtId="0" fontId="0" fillId="0" borderId="458" xfId="0" applyBorder="1" applyAlignment="1">
      <alignment wrapText="1"/>
    </xf>
    <xf numFmtId="2" fontId="0" fillId="0" borderId="458" xfId="0" applyNumberFormat="1" applyBorder="1" applyAlignment="1">
      <alignment horizontal="center" vertical="center"/>
    </xf>
    <xf numFmtId="2" fontId="0" fillId="0" borderId="459" xfId="0" applyNumberFormat="1" applyBorder="1" applyAlignment="1">
      <alignment horizontal="center" vertical="center"/>
    </xf>
    <xf numFmtId="0" fontId="48" fillId="22" borderId="456" xfId="5" applyNumberFormat="1" applyFont="1" applyFill="1" applyBorder="1" applyAlignment="1">
      <alignment horizontal="left" vertical="top"/>
    </xf>
    <xf numFmtId="2" fontId="48" fillId="22" borderId="456" xfId="5" applyNumberFormat="1" applyFont="1" applyFill="1" applyBorder="1" applyAlignment="1">
      <alignment horizontal="right" vertical="top"/>
    </xf>
    <xf numFmtId="9" fontId="2" fillId="0" borderId="456" xfId="0" applyNumberFormat="1" applyFont="1" applyBorder="1"/>
    <xf numFmtId="9" fontId="2" fillId="0" borderId="458" xfId="0" applyNumberFormat="1" applyFont="1" applyBorder="1"/>
    <xf numFmtId="0" fontId="0" fillId="0" borderId="458" xfId="0" applyFont="1" applyBorder="1"/>
    <xf numFmtId="0" fontId="72" fillId="22" borderId="458" xfId="5" applyNumberFormat="1" applyFont="1" applyFill="1" applyBorder="1" applyAlignment="1">
      <alignment horizontal="left" vertical="top"/>
    </xf>
    <xf numFmtId="0" fontId="37" fillId="0" borderId="458" xfId="0" applyFont="1" applyBorder="1"/>
    <xf numFmtId="9" fontId="37" fillId="0" borderId="458" xfId="0" applyNumberFormat="1" applyFont="1" applyBorder="1"/>
    <xf numFmtId="2" fontId="72" fillId="22" borderId="459" xfId="5" applyNumberFormat="1" applyFont="1" applyFill="1" applyBorder="1" applyAlignment="1">
      <alignment horizontal="right" vertical="top"/>
    </xf>
    <xf numFmtId="0" fontId="0" fillId="0" borderId="456" xfId="0" applyFont="1" applyBorder="1" applyAlignment="1">
      <alignment vertical="center"/>
    </xf>
    <xf numFmtId="2" fontId="48" fillId="22" borderId="458" xfId="8" applyNumberFormat="1" applyFont="1" applyFill="1" applyBorder="1" applyAlignment="1">
      <alignment horizontal="right" vertical="top"/>
    </xf>
    <xf numFmtId="2" fontId="48" fillId="22" borderId="459" xfId="8" applyNumberFormat="1" applyFont="1" applyFill="1" applyBorder="1" applyAlignment="1">
      <alignment horizontal="right" vertical="top"/>
    </xf>
    <xf numFmtId="2" fontId="0" fillId="0" borderId="456" xfId="0" applyNumberFormat="1" applyBorder="1" applyAlignment="1">
      <alignment horizontal="center" vertical="center"/>
    </xf>
    <xf numFmtId="0" fontId="59" fillId="4" borderId="437" xfId="3" applyNumberFormat="1" applyFont="1" applyFill="1" applyBorder="1" applyAlignment="1">
      <alignment horizontal="left" vertical="top" wrapText="1"/>
    </xf>
    <xf numFmtId="0" fontId="59" fillId="4" borderId="446" xfId="0" applyFont="1" applyFill="1" applyBorder="1"/>
    <xf numFmtId="0" fontId="59" fillId="4" borderId="448" xfId="0" applyFont="1" applyFill="1" applyBorder="1"/>
    <xf numFmtId="0" fontId="59" fillId="4" borderId="305" xfId="5" applyNumberFormat="1" applyFont="1" applyFill="1" applyBorder="1" applyAlignment="1">
      <alignment horizontal="left" vertical="top"/>
    </xf>
    <xf numFmtId="0" fontId="59" fillId="4" borderId="440" xfId="5" applyNumberFormat="1" applyFont="1" applyFill="1" applyBorder="1" applyAlignment="1">
      <alignment horizontal="left" vertical="top"/>
    </xf>
    <xf numFmtId="0" fontId="59" fillId="4" borderId="433" xfId="7" applyNumberFormat="1" applyFont="1" applyFill="1" applyBorder="1" applyAlignment="1">
      <alignment horizontal="left" vertical="top"/>
    </xf>
    <xf numFmtId="1" fontId="59" fillId="4" borderId="448" xfId="0" applyNumberFormat="1" applyFont="1" applyFill="1" applyBorder="1" applyAlignment="1">
      <alignment wrapText="1"/>
    </xf>
    <xf numFmtId="0" fontId="48" fillId="22" borderId="458" xfId="5" applyNumberFormat="1" applyFont="1" applyFill="1" applyBorder="1" applyAlignment="1">
      <alignment horizontal="left" vertical="top"/>
    </xf>
    <xf numFmtId="2" fontId="48" fillId="22" borderId="458" xfId="5" applyNumberFormat="1" applyFont="1" applyFill="1" applyBorder="1" applyAlignment="1">
      <alignment horizontal="right" vertical="top"/>
    </xf>
    <xf numFmtId="2" fontId="48" fillId="22" borderId="459" xfId="5" applyNumberFormat="1" applyFont="1" applyFill="1" applyBorder="1" applyAlignment="1">
      <alignment horizontal="right" vertical="top"/>
    </xf>
    <xf numFmtId="9" fontId="0" fillId="0" borderId="456" xfId="0" applyNumberFormat="1" applyBorder="1" applyAlignment="1">
      <alignment vertical="center"/>
    </xf>
    <xf numFmtId="2" fontId="0" fillId="0" borderId="456" xfId="0" applyNumberFormat="1" applyBorder="1" applyAlignment="1">
      <alignment vertical="center"/>
    </xf>
    <xf numFmtId="9" fontId="0" fillId="0" borderId="348" xfId="0" applyNumberFormat="1" applyBorder="1" applyAlignment="1">
      <alignment vertical="center" wrapText="1"/>
    </xf>
    <xf numFmtId="9" fontId="0" fillId="0" borderId="456" xfId="0" applyNumberFormat="1" applyBorder="1" applyAlignment="1">
      <alignment vertical="center" wrapText="1"/>
    </xf>
    <xf numFmtId="9" fontId="0" fillId="0" borderId="456" xfId="0" applyNumberFormat="1" applyBorder="1" applyAlignment="1">
      <alignment horizontal="center" vertical="center"/>
    </xf>
    <xf numFmtId="0" fontId="0" fillId="0" borderId="0" xfId="0"/>
    <xf numFmtId="0" fontId="0" fillId="0" borderId="468" xfId="0" applyBorder="1"/>
    <xf numFmtId="0" fontId="0" fillId="0" borderId="468" xfId="0" applyFill="1" applyBorder="1"/>
    <xf numFmtId="9" fontId="0" fillId="0" borderId="468" xfId="0" applyNumberFormat="1" applyFill="1" applyBorder="1"/>
    <xf numFmtId="2" fontId="0" fillId="0" borderId="468" xfId="0" applyNumberFormat="1" applyBorder="1"/>
    <xf numFmtId="0" fontId="0" fillId="4" borderId="468" xfId="0" applyFill="1" applyBorder="1"/>
    <xf numFmtId="1" fontId="0" fillId="0" borderId="473" xfId="0" applyNumberFormat="1" applyFill="1" applyBorder="1" applyAlignment="1">
      <alignment wrapText="1"/>
    </xf>
    <xf numFmtId="9" fontId="0" fillId="0" borderId="473" xfId="0" applyNumberFormat="1" applyBorder="1" applyAlignment="1">
      <alignment vertical="center"/>
    </xf>
    <xf numFmtId="2" fontId="0" fillId="0" borderId="473" xfId="0" applyNumberFormat="1" applyBorder="1" applyAlignment="1">
      <alignment vertical="center"/>
    </xf>
    <xf numFmtId="2" fontId="0" fillId="0" borderId="474" xfId="0" applyNumberFormat="1" applyBorder="1" applyAlignment="1">
      <alignment vertical="center"/>
    </xf>
    <xf numFmtId="1" fontId="0" fillId="0" borderId="471" xfId="0" applyNumberFormat="1" applyFill="1" applyBorder="1" applyAlignment="1">
      <alignment wrapText="1"/>
    </xf>
    <xf numFmtId="9" fontId="0" fillId="0" borderId="471" xfId="0" applyNumberFormat="1" applyBorder="1" applyAlignment="1">
      <alignment vertical="center"/>
    </xf>
    <xf numFmtId="2" fontId="0" fillId="0" borderId="471" xfId="0" applyNumberFormat="1" applyBorder="1" applyAlignment="1">
      <alignment vertical="center"/>
    </xf>
    <xf numFmtId="2" fontId="0" fillId="0" borderId="470" xfId="0" applyNumberFormat="1" applyBorder="1" applyAlignment="1">
      <alignment vertical="center"/>
    </xf>
    <xf numFmtId="0" fontId="59" fillId="4" borderId="454" xfId="0" applyFont="1" applyFill="1" applyBorder="1"/>
    <xf numFmtId="2" fontId="0" fillId="0" borderId="469" xfId="0" applyNumberFormat="1" applyFont="1" applyFill="1" applyBorder="1"/>
    <xf numFmtId="0" fontId="0" fillId="0" borderId="471" xfId="0" applyFont="1" applyFill="1" applyBorder="1"/>
    <xf numFmtId="0" fontId="48" fillId="22" borderId="471" xfId="8" applyNumberFormat="1" applyFont="1" applyFill="1" applyBorder="1" applyAlignment="1">
      <alignment horizontal="left" vertical="top"/>
    </xf>
    <xf numFmtId="2" fontId="48" fillId="22" borderId="471" xfId="8" applyNumberFormat="1" applyFont="1" applyFill="1" applyBorder="1" applyAlignment="1">
      <alignment horizontal="right" vertical="top"/>
    </xf>
    <xf numFmtId="9" fontId="0" fillId="0" borderId="471" xfId="0" applyNumberFormat="1" applyFont="1" applyFill="1" applyBorder="1"/>
    <xf numFmtId="2" fontId="48" fillId="22" borderId="470" xfId="8" applyNumberFormat="1" applyFont="1" applyFill="1" applyBorder="1" applyAlignment="1">
      <alignment horizontal="right" vertical="top"/>
    </xf>
    <xf numFmtId="0" fontId="73" fillId="4" borderId="433" xfId="10" applyFont="1" applyFill="1" applyBorder="1" applyAlignment="1">
      <alignment horizontal="left" vertical="center" wrapText="1"/>
    </xf>
    <xf numFmtId="0" fontId="59" fillId="4" borderId="454" xfId="8" applyNumberFormat="1" applyFont="1" applyFill="1" applyBorder="1" applyAlignment="1">
      <alignment horizontal="left" vertical="top"/>
    </xf>
    <xf numFmtId="0" fontId="69" fillId="4" borderId="454" xfId="8" applyNumberFormat="1" applyFont="1" applyFill="1" applyBorder="1" applyAlignment="1">
      <alignment horizontal="left" vertical="top"/>
    </xf>
    <xf numFmtId="0" fontId="59" fillId="4" borderId="261" xfId="0" applyFont="1" applyFill="1" applyBorder="1"/>
    <xf numFmtId="0" fontId="0" fillId="0" borderId="472" xfId="0" applyFill="1" applyBorder="1"/>
    <xf numFmtId="0" fontId="0" fillId="0" borderId="473" xfId="0" applyFill="1" applyBorder="1"/>
    <xf numFmtId="9" fontId="0" fillId="0" borderId="473" xfId="0" applyNumberFormat="1" applyFill="1" applyBorder="1"/>
    <xf numFmtId="0" fontId="0" fillId="0" borderId="474" xfId="0" applyBorder="1"/>
    <xf numFmtId="0" fontId="0" fillId="0" borderId="469" xfId="0" applyFill="1" applyBorder="1"/>
    <xf numFmtId="0" fontId="0" fillId="0" borderId="471" xfId="0" applyFill="1" applyBorder="1"/>
    <xf numFmtId="9" fontId="0" fillId="0" borderId="471" xfId="0" applyNumberFormat="1" applyFill="1" applyBorder="1"/>
    <xf numFmtId="0" fontId="0" fillId="0" borderId="470" xfId="0" applyBorder="1"/>
    <xf numFmtId="0" fontId="48" fillId="22" borderId="476" xfId="5" applyNumberFormat="1" applyFont="1" applyFill="1" applyBorder="1" applyAlignment="1">
      <alignment horizontal="left" vertical="top"/>
    </xf>
    <xf numFmtId="2" fontId="48" fillId="22" borderId="477" xfId="5" applyNumberFormat="1" applyFont="1" applyFill="1" applyBorder="1" applyAlignment="1">
      <alignment horizontal="right" vertical="top"/>
    </xf>
    <xf numFmtId="0" fontId="48" fillId="22" borderId="478" xfId="5" applyNumberFormat="1" applyFont="1" applyFill="1" applyBorder="1" applyAlignment="1">
      <alignment horizontal="left" vertical="top"/>
    </xf>
    <xf numFmtId="2" fontId="48" fillId="22" borderId="479" xfId="5" applyNumberFormat="1" applyFont="1" applyFill="1" applyBorder="1" applyAlignment="1">
      <alignment horizontal="right" vertical="top"/>
    </xf>
    <xf numFmtId="14" fontId="0" fillId="0" borderId="472" xfId="0" applyNumberFormat="1" applyBorder="1"/>
    <xf numFmtId="0" fontId="0" fillId="0" borderId="473" xfId="0" applyFont="1" applyBorder="1"/>
    <xf numFmtId="0" fontId="72" fillId="22" borderId="473" xfId="5" applyNumberFormat="1" applyFont="1" applyFill="1" applyBorder="1" applyAlignment="1">
      <alignment horizontal="left" vertical="top"/>
    </xf>
    <xf numFmtId="0" fontId="37" fillId="0" borderId="473" xfId="0" applyFont="1" applyBorder="1"/>
    <xf numFmtId="9" fontId="37" fillId="0" borderId="473" xfId="0" applyNumberFormat="1" applyFont="1" applyBorder="1"/>
    <xf numFmtId="2" fontId="72" fillId="22" borderId="474" xfId="5" applyNumberFormat="1" applyFont="1" applyFill="1" applyBorder="1" applyAlignment="1">
      <alignment horizontal="right" vertical="top"/>
    </xf>
    <xf numFmtId="0" fontId="0" fillId="0" borderId="472" xfId="0" applyBorder="1"/>
    <xf numFmtId="0" fontId="0" fillId="0" borderId="473" xfId="0" applyBorder="1"/>
    <xf numFmtId="0" fontId="0" fillId="0" borderId="469" xfId="0" applyBorder="1"/>
    <xf numFmtId="0" fontId="0" fillId="0" borderId="471" xfId="0" applyBorder="1"/>
    <xf numFmtId="9" fontId="37" fillId="0" borderId="471" xfId="0" applyNumberFormat="1" applyFont="1" applyBorder="1"/>
    <xf numFmtId="0" fontId="0" fillId="0" borderId="481" xfId="0" applyBorder="1" applyAlignment="1">
      <alignment vertical="center"/>
    </xf>
    <xf numFmtId="2" fontId="15" fillId="0" borderId="73" xfId="0" applyNumberFormat="1" applyFont="1" applyBorder="1"/>
    <xf numFmtId="0" fontId="15" fillId="0" borderId="234" xfId="0" applyFont="1" applyBorder="1"/>
    <xf numFmtId="0" fontId="15" fillId="0" borderId="234" xfId="0" applyFont="1" applyBorder="1" applyAlignment="1">
      <alignment horizontal="center" vertical="center" wrapText="1"/>
    </xf>
    <xf numFmtId="2" fontId="15" fillId="0" borderId="472" xfId="0" applyNumberFormat="1" applyFont="1" applyBorder="1"/>
    <xf numFmtId="0" fontId="15" fillId="0" borderId="473" xfId="0" applyFont="1" applyBorder="1"/>
    <xf numFmtId="0" fontId="15" fillId="0" borderId="473" xfId="0" applyFont="1" applyBorder="1" applyAlignment="1">
      <alignment horizontal="center" vertical="center" wrapText="1"/>
    </xf>
    <xf numFmtId="9" fontId="0" fillId="0" borderId="473" xfId="0" applyNumberFormat="1" applyFont="1" applyBorder="1"/>
    <xf numFmtId="2" fontId="48" fillId="22" borderId="474" xfId="5" applyNumberFormat="1" applyFont="1" applyFill="1" applyBorder="1" applyAlignment="1">
      <alignment horizontal="right" vertical="top"/>
    </xf>
    <xf numFmtId="0" fontId="15" fillId="0" borderId="0" xfId="0" applyFont="1" applyFill="1" applyBorder="1"/>
    <xf numFmtId="9" fontId="0" fillId="0" borderId="471" xfId="0" applyNumberFormat="1" applyFont="1" applyBorder="1"/>
    <xf numFmtId="14" fontId="0" fillId="0" borderId="472" xfId="0" applyNumberFormat="1" applyBorder="1" applyAlignment="1">
      <alignment horizontal="left"/>
    </xf>
    <xf numFmtId="9" fontId="37" fillId="0" borderId="473" xfId="0" applyNumberFormat="1" applyFont="1" applyFill="1" applyBorder="1"/>
    <xf numFmtId="9" fontId="37" fillId="0" borderId="471" xfId="0" applyNumberFormat="1" applyFont="1" applyFill="1" applyBorder="1"/>
    <xf numFmtId="0" fontId="0" fillId="0" borderId="473" xfId="0" applyFont="1" applyBorder="1" applyAlignment="1">
      <alignment vertical="center"/>
    </xf>
    <xf numFmtId="2" fontId="0" fillId="0" borderId="474" xfId="0" applyNumberFormat="1" applyBorder="1"/>
    <xf numFmtId="0" fontId="0" fillId="0" borderId="0" xfId="0"/>
    <xf numFmtId="2" fontId="0" fillId="0" borderId="73" xfId="0" applyNumberFormat="1" applyFont="1" applyBorder="1"/>
    <xf numFmtId="0" fontId="0" fillId="0" borderId="234" xfId="0" applyFont="1" applyFill="1" applyBorder="1"/>
    <xf numFmtId="9" fontId="0" fillId="0" borderId="234" xfId="0" applyNumberFormat="1" applyFont="1" applyFill="1" applyBorder="1"/>
    <xf numFmtId="0" fontId="0" fillId="0" borderId="483" xfId="0" applyFont="1" applyBorder="1"/>
    <xf numFmtId="9" fontId="0" fillId="0" borderId="485" xfId="0" applyNumberFormat="1" applyFont="1" applyFill="1" applyBorder="1"/>
    <xf numFmtId="2" fontId="48" fillId="22" borderId="484" xfId="13" applyNumberFormat="1" applyFont="1" applyFill="1" applyBorder="1" applyAlignment="1">
      <alignment horizontal="right" vertical="top"/>
    </xf>
    <xf numFmtId="2" fontId="48" fillId="22" borderId="74" xfId="13" applyNumberFormat="1" applyFont="1" applyFill="1" applyBorder="1" applyAlignment="1">
      <alignment horizontal="right" vertical="top"/>
    </xf>
    <xf numFmtId="0" fontId="0" fillId="0" borderId="485" xfId="0" applyFont="1" applyBorder="1"/>
    <xf numFmtId="2" fontId="0" fillId="0" borderId="487" xfId="0" applyNumberFormat="1" applyFont="1" applyBorder="1"/>
    <xf numFmtId="0" fontId="0" fillId="0" borderId="488" xfId="0" applyFont="1" applyFill="1" applyBorder="1"/>
    <xf numFmtId="9" fontId="0" fillId="0" borderId="488" xfId="0" applyNumberFormat="1" applyFont="1" applyFill="1" applyBorder="1"/>
    <xf numFmtId="0" fontId="0" fillId="0" borderId="487" xfId="0" applyFont="1" applyBorder="1"/>
    <xf numFmtId="0" fontId="0" fillId="0" borderId="488" xfId="0" applyFont="1" applyBorder="1"/>
    <xf numFmtId="168" fontId="0" fillId="17" borderId="102" xfId="16" applyNumberFormat="1" applyFont="1" applyFill="1" applyBorder="1" applyAlignment="1">
      <alignment horizontal="right" vertical="center"/>
    </xf>
    <xf numFmtId="168" fontId="0" fillId="17" borderId="492" xfId="16" applyNumberFormat="1" applyFont="1" applyFill="1" applyBorder="1" applyAlignment="1">
      <alignment horizontal="right" vertical="center"/>
    </xf>
    <xf numFmtId="0" fontId="0" fillId="0" borderId="492" xfId="0" applyFont="1" applyBorder="1"/>
    <xf numFmtId="0" fontId="0" fillId="0" borderId="493" xfId="0" applyFont="1" applyBorder="1"/>
    <xf numFmtId="2" fontId="48" fillId="22" borderId="489" xfId="13" applyNumberFormat="1" applyFont="1" applyFill="1" applyBorder="1" applyAlignment="1">
      <alignment horizontal="right" vertical="top"/>
    </xf>
    <xf numFmtId="2" fontId="0" fillId="0" borderId="487" xfId="0" applyNumberFormat="1" applyBorder="1"/>
    <xf numFmtId="0" fontId="0" fillId="0" borderId="488" xfId="0" applyFill="1" applyBorder="1"/>
    <xf numFmtId="0" fontId="48" fillId="22" borderId="488" xfId="8" applyNumberFormat="1" applyFont="1" applyFill="1" applyBorder="1" applyAlignment="1">
      <alignment horizontal="left" vertical="top"/>
    </xf>
    <xf numFmtId="2" fontId="14" fillId="22" borderId="488" xfId="8" applyNumberFormat="1" applyFont="1" applyFill="1" applyBorder="1" applyAlignment="1">
      <alignment horizontal="right" vertical="top"/>
    </xf>
    <xf numFmtId="9" fontId="43" fillId="0" borderId="488" xfId="1" applyFont="1" applyFill="1" applyBorder="1"/>
    <xf numFmtId="2" fontId="44" fillId="22" borderId="489" xfId="8" applyNumberFormat="1" applyFont="1" applyFill="1" applyBorder="1" applyAlignment="1">
      <alignment horizontal="right" vertical="top"/>
    </xf>
    <xf numFmtId="0" fontId="0" fillId="0" borderId="487" xfId="0" applyBorder="1"/>
    <xf numFmtId="0" fontId="0" fillId="0" borderId="488" xfId="0" applyBorder="1"/>
    <xf numFmtId="9" fontId="0" fillId="0" borderId="488" xfId="1" applyFont="1" applyBorder="1"/>
    <xf numFmtId="0" fontId="0" fillId="0" borderId="489" xfId="0" applyBorder="1"/>
    <xf numFmtId="0" fontId="0" fillId="0" borderId="483" xfId="0" applyBorder="1"/>
    <xf numFmtId="0" fontId="0" fillId="0" borderId="485" xfId="0" applyBorder="1"/>
    <xf numFmtId="9" fontId="0" fillId="0" borderId="485" xfId="1" applyFont="1" applyBorder="1"/>
    <xf numFmtId="0" fontId="0" fillId="0" borderId="484" xfId="0" applyBorder="1"/>
    <xf numFmtId="0" fontId="15" fillId="0" borderId="487" xfId="0" applyFont="1" applyFill="1" applyBorder="1" applyAlignment="1">
      <alignment vertical="center"/>
    </xf>
    <xf numFmtId="0" fontId="15" fillId="0" borderId="488" xfId="0" applyFont="1" applyFill="1" applyBorder="1" applyAlignment="1">
      <alignment vertical="center"/>
    </xf>
    <xf numFmtId="0" fontId="15" fillId="0" borderId="488" xfId="0" applyFont="1" applyFill="1" applyBorder="1"/>
    <xf numFmtId="9" fontId="15" fillId="0" borderId="488" xfId="1" applyNumberFormat="1" applyFont="1" applyFill="1" applyBorder="1" applyAlignment="1">
      <alignment vertical="center"/>
    </xf>
    <xf numFmtId="0" fontId="15" fillId="0" borderId="489" xfId="0" applyFont="1" applyFill="1" applyBorder="1"/>
    <xf numFmtId="0" fontId="0" fillId="0" borderId="483" xfId="0" applyFont="1" applyBorder="1" applyAlignment="1">
      <alignment vertical="center"/>
    </xf>
    <xf numFmtId="0" fontId="0" fillId="0" borderId="485" xfId="0" applyFont="1" applyBorder="1" applyAlignment="1">
      <alignment vertical="center"/>
    </xf>
    <xf numFmtId="14" fontId="0" fillId="0" borderId="483" xfId="0" applyNumberFormat="1" applyBorder="1" applyAlignment="1">
      <alignment horizontal="left"/>
    </xf>
    <xf numFmtId="0" fontId="72" fillId="22" borderId="485" xfId="5" applyNumberFormat="1" applyFont="1" applyFill="1" applyBorder="1" applyAlignment="1">
      <alignment horizontal="left" vertical="top"/>
    </xf>
    <xf numFmtId="0" fontId="37" fillId="0" borderId="485" xfId="0" applyFont="1" applyBorder="1"/>
    <xf numFmtId="9" fontId="37" fillId="0" borderId="485" xfId="0" applyNumberFormat="1" applyFont="1" applyBorder="1"/>
    <xf numFmtId="2" fontId="72" fillId="22" borderId="484" xfId="5" applyNumberFormat="1" applyFont="1" applyFill="1" applyBorder="1" applyAlignment="1">
      <alignment horizontal="right" vertical="top"/>
    </xf>
    <xf numFmtId="0" fontId="0" fillId="0" borderId="73" xfId="0" applyFont="1" applyBorder="1" applyAlignment="1">
      <alignment vertical="center"/>
    </xf>
    <xf numFmtId="0" fontId="0" fillId="0" borderId="487" xfId="0" applyFont="1" applyBorder="1" applyAlignment="1">
      <alignment vertical="center"/>
    </xf>
    <xf numFmtId="0" fontId="0" fillId="0" borderId="488" xfId="0" applyFont="1" applyBorder="1" applyAlignment="1">
      <alignment vertical="center"/>
    </xf>
    <xf numFmtId="9" fontId="0" fillId="0" borderId="488" xfId="0" applyNumberFormat="1" applyFill="1" applyBorder="1"/>
    <xf numFmtId="0" fontId="59" fillId="0" borderId="488" xfId="0" applyFont="1" applyFill="1" applyBorder="1"/>
    <xf numFmtId="0" fontId="59" fillId="0" borderId="485" xfId="0" applyFont="1" applyFill="1" applyBorder="1"/>
    <xf numFmtId="9" fontId="0" fillId="0" borderId="485" xfId="0" applyNumberFormat="1" applyFill="1" applyBorder="1"/>
    <xf numFmtId="2" fontId="0" fillId="0" borderId="483" xfId="0" applyNumberFormat="1" applyBorder="1"/>
    <xf numFmtId="0" fontId="0" fillId="0" borderId="485" xfId="0" applyFill="1" applyBorder="1"/>
    <xf numFmtId="0" fontId="0" fillId="0" borderId="484" xfId="0" applyFill="1" applyBorder="1"/>
    <xf numFmtId="2" fontId="0" fillId="0" borderId="487" xfId="0" applyNumberFormat="1" applyFont="1" applyFill="1" applyBorder="1"/>
    <xf numFmtId="2" fontId="48" fillId="22" borderId="488" xfId="8" applyNumberFormat="1" applyFont="1" applyFill="1" applyBorder="1" applyAlignment="1">
      <alignment horizontal="right" vertical="top"/>
    </xf>
    <xf numFmtId="2" fontId="48" fillId="22" borderId="489" xfId="8" applyNumberFormat="1" applyFont="1" applyFill="1" applyBorder="1" applyAlignment="1">
      <alignment horizontal="right" vertical="top"/>
    </xf>
    <xf numFmtId="0" fontId="2" fillId="0" borderId="488" xfId="10" applyFont="1" applyFill="1" applyBorder="1" applyAlignment="1">
      <alignment horizontal="left" vertical="center" wrapText="1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8" xfId="0" applyNumberFormat="1" applyFont="1" applyBorder="1" applyAlignment="1">
      <alignment horizontal="center" vertical="center"/>
    </xf>
    <xf numFmtId="1" fontId="0" fillId="0" borderId="488" xfId="0" applyNumberFormat="1" applyFill="1" applyBorder="1" applyAlignment="1">
      <alignment wrapText="1"/>
    </xf>
    <xf numFmtId="9" fontId="0" fillId="0" borderId="488" xfId="0" applyNumberFormat="1" applyBorder="1" applyAlignment="1">
      <alignment vertical="center"/>
    </xf>
    <xf numFmtId="2" fontId="0" fillId="0" borderId="488" xfId="0" applyNumberFormat="1" applyBorder="1" applyAlignment="1">
      <alignment vertical="center"/>
    </xf>
    <xf numFmtId="2" fontId="0" fillId="0" borderId="488" xfId="0" applyNumberFormat="1" applyFont="1" applyBorder="1" applyAlignment="1">
      <alignment vertical="center"/>
    </xf>
    <xf numFmtId="14" fontId="0" fillId="0" borderId="487" xfId="0" applyNumberFormat="1" applyBorder="1"/>
    <xf numFmtId="0" fontId="48" fillId="22" borderId="488" xfId="5" applyNumberFormat="1" applyFont="1" applyFill="1" applyBorder="1" applyAlignment="1">
      <alignment horizontal="left" vertical="top"/>
    </xf>
    <xf numFmtId="2" fontId="48" fillId="22" borderId="488" xfId="5" applyNumberFormat="1" applyFont="1" applyFill="1" applyBorder="1" applyAlignment="1">
      <alignment horizontal="right" vertical="top"/>
    </xf>
    <xf numFmtId="9" fontId="2" fillId="0" borderId="488" xfId="0" applyNumberFormat="1" applyFont="1" applyBorder="1"/>
    <xf numFmtId="2" fontId="48" fillId="22" borderId="489" xfId="5" applyNumberFormat="1" applyFont="1" applyFill="1" applyBorder="1" applyAlignment="1">
      <alignment horizontal="right" vertical="top"/>
    </xf>
    <xf numFmtId="0" fontId="0" fillId="0" borderId="488" xfId="0" applyBorder="1" applyAlignment="1">
      <alignment wrapText="1"/>
    </xf>
    <xf numFmtId="2" fontId="0" fillId="0" borderId="489" xfId="0" applyNumberFormat="1" applyBorder="1"/>
    <xf numFmtId="2" fontId="0" fillId="0" borderId="489" xfId="0" applyNumberFormat="1" applyFill="1" applyBorder="1"/>
    <xf numFmtId="2" fontId="0" fillId="0" borderId="484" xfId="0" applyNumberFormat="1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 wrapText="1"/>
    </xf>
    <xf numFmtId="0" fontId="0" fillId="0" borderId="488" xfId="0" applyFont="1" applyFill="1" applyBorder="1" applyAlignment="1">
      <alignment vertical="top"/>
    </xf>
    <xf numFmtId="0" fontId="65" fillId="22" borderId="488" xfId="8" applyNumberFormat="1" applyFont="1" applyFill="1" applyBorder="1" applyAlignment="1">
      <alignment horizontal="left" vertical="top"/>
    </xf>
    <xf numFmtId="2" fontId="66" fillId="22" borderId="488" xfId="8" applyNumberFormat="1" applyFont="1" applyFill="1" applyBorder="1" applyAlignment="1">
      <alignment horizontal="right" vertical="top"/>
    </xf>
    <xf numFmtId="9" fontId="23" fillId="0" borderId="488" xfId="0" applyNumberFormat="1" applyFont="1" applyFill="1" applyBorder="1"/>
    <xf numFmtId="2" fontId="65" fillId="22" borderId="489" xfId="8" applyNumberFormat="1" applyFont="1" applyFill="1" applyBorder="1" applyAlignment="1">
      <alignment horizontal="right" vertical="top"/>
    </xf>
    <xf numFmtId="9" fontId="23" fillId="0" borderId="485" xfId="0" applyNumberFormat="1" applyFont="1" applyFill="1" applyBorder="1"/>
    <xf numFmtId="2" fontId="65" fillId="22" borderId="484" xfId="8" applyNumberFormat="1" applyFont="1" applyFill="1" applyBorder="1" applyAlignment="1">
      <alignment horizontal="right" vertical="top"/>
    </xf>
    <xf numFmtId="0" fontId="0" fillId="0" borderId="486" xfId="0" applyBorder="1" applyAlignment="1">
      <alignment vertical="center"/>
    </xf>
    <xf numFmtId="0" fontId="0" fillId="0" borderId="490" xfId="0" applyBorder="1" applyAlignment="1">
      <alignment vertical="center"/>
    </xf>
    <xf numFmtId="2" fontId="0" fillId="0" borderId="489" xfId="0" applyNumberFormat="1" applyFont="1" applyBorder="1" applyAlignment="1">
      <alignment horizontal="center" vertical="center"/>
    </xf>
    <xf numFmtId="0" fontId="0" fillId="0" borderId="64" xfId="0" applyBorder="1" applyAlignment="1">
      <alignment vertical="center"/>
    </xf>
    <xf numFmtId="0" fontId="0" fillId="0" borderId="82" xfId="0" applyBorder="1" applyAlignment="1">
      <alignment vertical="center"/>
    </xf>
    <xf numFmtId="9" fontId="0" fillId="0" borderId="485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2" fontId="0" fillId="0" borderId="484" xfId="0" applyNumberFormat="1" applyFont="1" applyBorder="1" applyAlignment="1">
      <alignment horizontal="center" vertical="center"/>
    </xf>
    <xf numFmtId="0" fontId="69" fillId="4" borderId="456" xfId="5" applyNumberFormat="1" applyFont="1" applyFill="1" applyBorder="1" applyAlignment="1">
      <alignment horizontal="left" vertical="top"/>
    </xf>
    <xf numFmtId="0" fontId="59" fillId="4" borderId="456" xfId="0" applyFont="1" applyFill="1" applyBorder="1"/>
    <xf numFmtId="0" fontId="59" fillId="4" borderId="458" xfId="0" applyFont="1" applyFill="1" applyBorder="1"/>
    <xf numFmtId="1" fontId="59" fillId="4" borderId="456" xfId="0" applyNumberFormat="1" applyFont="1" applyFill="1" applyBorder="1" applyAlignment="1">
      <alignment wrapText="1"/>
    </xf>
    <xf numFmtId="2" fontId="0" fillId="0" borderId="486" xfId="0" applyNumberFormat="1" applyFont="1" applyFill="1" applyBorder="1"/>
    <xf numFmtId="2" fontId="26" fillId="0" borderId="489" xfId="3" applyNumberFormat="1" applyFont="1" applyFill="1" applyBorder="1" applyAlignment="1">
      <alignment horizontal="center" vertical="center" wrapText="1"/>
    </xf>
    <xf numFmtId="0" fontId="22" fillId="0" borderId="488" xfId="3" applyNumberFormat="1" applyFont="1" applyFill="1" applyBorder="1" applyAlignment="1">
      <alignment horizontal="left" vertical="top" wrapText="1"/>
    </xf>
    <xf numFmtId="0" fontId="0" fillId="0" borderId="485" xfId="0" applyFont="1" applyFill="1" applyBorder="1"/>
    <xf numFmtId="0" fontId="22" fillId="0" borderId="485" xfId="3" applyNumberFormat="1" applyFont="1" applyBorder="1" applyAlignment="1">
      <alignment horizontal="left" vertical="top" wrapText="1"/>
    </xf>
    <xf numFmtId="2" fontId="26" fillId="0" borderId="484" xfId="3" applyNumberFormat="1" applyFont="1" applyFill="1" applyBorder="1" applyAlignment="1">
      <alignment horizontal="center" vertical="center" wrapText="1"/>
    </xf>
    <xf numFmtId="0" fontId="15" fillId="4" borderId="488" xfId="0" applyFont="1" applyFill="1" applyBorder="1"/>
    <xf numFmtId="0" fontId="59" fillId="4" borderId="458" xfId="8" applyNumberFormat="1" applyFont="1" applyFill="1" applyBorder="1" applyAlignment="1">
      <alignment horizontal="left" vertical="top"/>
    </xf>
    <xf numFmtId="0" fontId="60" fillId="4" borderId="456" xfId="3" applyNumberFormat="1" applyFont="1" applyFill="1" applyBorder="1" applyAlignment="1">
      <alignment horizontal="left" vertical="top" wrapText="1"/>
    </xf>
    <xf numFmtId="0" fontId="69" fillId="4" borderId="456" xfId="8" applyNumberFormat="1" applyFont="1" applyFill="1" applyBorder="1" applyAlignment="1">
      <alignment horizontal="left" vertical="top"/>
    </xf>
    <xf numFmtId="0" fontId="68" fillId="4" borderId="234" xfId="8" applyNumberFormat="1" applyFont="1" applyFill="1" applyBorder="1" applyAlignment="1">
      <alignment horizontal="left" vertical="top"/>
    </xf>
    <xf numFmtId="0" fontId="68" fillId="4" borderId="456" xfId="8" applyNumberFormat="1" applyFont="1" applyFill="1" applyBorder="1" applyAlignment="1">
      <alignment horizontal="left" vertical="top"/>
    </xf>
    <xf numFmtId="0" fontId="72" fillId="22" borderId="488" xfId="5" applyNumberFormat="1" applyFont="1" applyFill="1" applyBorder="1" applyAlignment="1">
      <alignment horizontal="left" vertical="top"/>
    </xf>
    <xf numFmtId="0" fontId="37" fillId="0" borderId="488" xfId="0" applyFont="1" applyBorder="1"/>
    <xf numFmtId="9" fontId="37" fillId="0" borderId="488" xfId="0" applyNumberFormat="1" applyFont="1" applyBorder="1"/>
    <xf numFmtId="2" fontId="72" fillId="22" borderId="489" xfId="5" applyNumberFormat="1" applyFont="1" applyFill="1" applyBorder="1" applyAlignment="1">
      <alignment horizontal="right" vertical="top"/>
    </xf>
    <xf numFmtId="0" fontId="0" fillId="0" borderId="483" xfId="0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3" xfId="0" applyNumberFormat="1" applyFont="1" applyFill="1" applyBorder="1"/>
    <xf numFmtId="0" fontId="48" fillId="22" borderId="485" xfId="8" applyNumberFormat="1" applyFont="1" applyFill="1" applyBorder="1" applyAlignment="1">
      <alignment horizontal="left" vertical="top"/>
    </xf>
    <xf numFmtId="2" fontId="48" fillId="22" borderId="485" xfId="8" applyNumberFormat="1" applyFont="1" applyFill="1" applyBorder="1" applyAlignment="1">
      <alignment horizontal="right" vertical="top"/>
    </xf>
    <xf numFmtId="10" fontId="0" fillId="0" borderId="485" xfId="1" applyNumberFormat="1" applyFont="1" applyFill="1" applyBorder="1"/>
    <xf numFmtId="2" fontId="48" fillId="22" borderId="484" xfId="8" applyNumberFormat="1" applyFont="1" applyFill="1" applyBorder="1" applyAlignment="1">
      <alignment horizontal="right" vertical="top"/>
    </xf>
    <xf numFmtId="2" fontId="44" fillId="22" borderId="234" xfId="8" applyNumberFormat="1" applyFont="1" applyFill="1" applyBorder="1" applyAlignment="1">
      <alignment horizontal="right" vertical="top"/>
    </xf>
    <xf numFmtId="2" fontId="44" fillId="22" borderId="488" xfId="8" applyNumberFormat="1" applyFont="1" applyFill="1" applyBorder="1" applyAlignment="1">
      <alignment horizontal="right" vertical="top"/>
    </xf>
    <xf numFmtId="2" fontId="0" fillId="0" borderId="488" xfId="0" applyNumberFormat="1" applyBorder="1"/>
    <xf numFmtId="2" fontId="0" fillId="0" borderId="485" xfId="0" applyNumberFormat="1" applyBorder="1"/>
    <xf numFmtId="9" fontId="2" fillId="0" borderId="485" xfId="0" applyNumberFormat="1" applyFont="1" applyBorder="1"/>
    <xf numFmtId="0" fontId="0" fillId="0" borderId="369" xfId="0" applyBorder="1" applyAlignment="1">
      <alignment vertical="center"/>
    </xf>
    <xf numFmtId="0" fontId="0" fillId="0" borderId="369" xfId="0" applyBorder="1" applyAlignment="1"/>
    <xf numFmtId="14" fontId="0" fillId="0" borderId="487" xfId="0" applyNumberFormat="1" applyBorder="1" applyAlignment="1">
      <alignment horizontal="left"/>
    </xf>
    <xf numFmtId="9" fontId="37" fillId="0" borderId="488" xfId="1" applyFont="1" applyBorder="1"/>
    <xf numFmtId="9" fontId="37" fillId="0" borderId="488" xfId="1" applyFont="1" applyFill="1" applyBorder="1"/>
    <xf numFmtId="9" fontId="37" fillId="0" borderId="485" xfId="1" applyFont="1" applyFill="1" applyBorder="1"/>
    <xf numFmtId="0" fontId="0" fillId="0" borderId="489" xfId="0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1" fontId="0" fillId="0" borderId="234" xfId="0" applyNumberFormat="1" applyFill="1" applyBorder="1" applyAlignment="1">
      <alignment wrapText="1"/>
    </xf>
    <xf numFmtId="9" fontId="0" fillId="0" borderId="234" xfId="0" applyNumberFormat="1" applyBorder="1" applyAlignment="1">
      <alignment horizontal="center" vertical="center"/>
    </xf>
    <xf numFmtId="2" fontId="0" fillId="0" borderId="234" xfId="0" applyNumberFormat="1" applyBorder="1" applyAlignment="1">
      <alignment horizontal="center" vertical="center"/>
    </xf>
    <xf numFmtId="2" fontId="0" fillId="0" borderId="74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2" fontId="0" fillId="0" borderId="488" xfId="0" applyNumberFormat="1" applyFill="1" applyBorder="1" applyAlignment="1">
      <alignment horizontal="center" vertical="center"/>
    </xf>
    <xf numFmtId="0" fontId="0" fillId="0" borderId="489" xfId="0" applyBorder="1" applyAlignment="1">
      <alignment horizontal="center"/>
    </xf>
    <xf numFmtId="2" fontId="0" fillId="0" borderId="485" xfId="0" applyNumberFormat="1" applyFill="1" applyBorder="1" applyAlignment="1">
      <alignment horizontal="center" vertical="center"/>
    </xf>
    <xf numFmtId="0" fontId="0" fillId="0" borderId="484" xfId="0" applyBorder="1" applyAlignment="1">
      <alignment horizontal="center"/>
    </xf>
    <xf numFmtId="2" fontId="15" fillId="0" borderId="483" xfId="0" applyNumberFormat="1" applyFont="1" applyBorder="1"/>
    <xf numFmtId="0" fontId="15" fillId="0" borderId="485" xfId="0" applyFont="1" applyBorder="1"/>
    <xf numFmtId="0" fontId="48" fillId="22" borderId="485" xfId="5" applyNumberFormat="1" applyFont="1" applyFill="1" applyBorder="1" applyAlignment="1">
      <alignment horizontal="left" vertical="top"/>
    </xf>
    <xf numFmtId="0" fontId="15" fillId="0" borderId="485" xfId="0" applyFont="1" applyBorder="1" applyAlignment="1">
      <alignment horizontal="center" vertical="center" wrapText="1"/>
    </xf>
    <xf numFmtId="9" fontId="0" fillId="0" borderId="485" xfId="0" applyNumberFormat="1" applyFont="1" applyBorder="1"/>
    <xf numFmtId="2" fontId="48" fillId="22" borderId="484" xfId="5" applyNumberFormat="1" applyFont="1" applyFill="1" applyBorder="1" applyAlignment="1">
      <alignment horizontal="right" vertical="top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2" fillId="0" borderId="485" xfId="10" applyFont="1" applyFill="1" applyBorder="1" applyAlignment="1">
      <alignment horizontal="left" vertical="center" wrapText="1"/>
    </xf>
    <xf numFmtId="0" fontId="72" fillId="0" borderId="488" xfId="5" applyNumberFormat="1" applyFont="1" applyFill="1" applyBorder="1" applyAlignment="1">
      <alignment horizontal="left" vertical="top"/>
    </xf>
    <xf numFmtId="0" fontId="0" fillId="0" borderId="488" xfId="0" applyBorder="1" applyAlignment="1">
      <alignment vertical="center"/>
    </xf>
    <xf numFmtId="1" fontId="3" fillId="4" borderId="488" xfId="0" applyNumberFormat="1" applyFont="1" applyFill="1" applyBorder="1" applyAlignment="1">
      <alignment wrapText="1"/>
    </xf>
    <xf numFmtId="0" fontId="3" fillId="4" borderId="473" xfId="5" applyNumberFormat="1" applyFont="1" applyFill="1" applyBorder="1" applyAlignment="1">
      <alignment horizontal="left" vertical="top"/>
    </xf>
    <xf numFmtId="0" fontId="3" fillId="4" borderId="485" xfId="0" applyFont="1" applyFill="1" applyBorder="1"/>
    <xf numFmtId="0" fontId="52" fillId="4" borderId="485" xfId="3" applyNumberFormat="1" applyFont="1" applyFill="1" applyBorder="1" applyAlignment="1">
      <alignment horizontal="left" vertical="top" wrapText="1"/>
    </xf>
    <xf numFmtId="0" fontId="3" fillId="4" borderId="488" xfId="0" applyFont="1" applyFill="1" applyBorder="1"/>
    <xf numFmtId="2" fontId="0" fillId="0" borderId="488" xfId="0" applyNumberFormat="1" applyBorder="1" applyAlignment="1">
      <alignment horizontal="center" vertical="center"/>
    </xf>
    <xf numFmtId="0" fontId="0" fillId="0" borderId="488" xfId="0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37" fillId="0" borderId="485" xfId="1" applyFont="1" applyBorder="1"/>
    <xf numFmtId="0" fontId="59" fillId="4" borderId="471" xfId="0" applyFont="1" applyFill="1" applyBorder="1"/>
    <xf numFmtId="0" fontId="59" fillId="4" borderId="234" xfId="5" applyNumberFormat="1" applyFont="1" applyFill="1" applyBorder="1" applyAlignment="1">
      <alignment horizontal="left" vertical="top"/>
    </xf>
    <xf numFmtId="0" fontId="59" fillId="4" borderId="473" xfId="5" applyNumberFormat="1" applyFont="1" applyFill="1" applyBorder="1" applyAlignment="1">
      <alignment horizontal="left" vertical="top"/>
    </xf>
    <xf numFmtId="0" fontId="59" fillId="4" borderId="488" xfId="8" applyNumberFormat="1" applyFont="1" applyFill="1" applyBorder="1" applyAlignment="1">
      <alignment horizontal="left" vertical="top"/>
    </xf>
    <xf numFmtId="0" fontId="0" fillId="0" borderId="485" xfId="0" applyFont="1" applyFill="1" applyBorder="1" applyAlignment="1">
      <alignment vertical="top"/>
    </xf>
    <xf numFmtId="2" fontId="66" fillId="22" borderId="485" xfId="8" applyNumberFormat="1" applyFont="1" applyFill="1" applyBorder="1" applyAlignment="1">
      <alignment horizontal="right" vertical="top"/>
    </xf>
    <xf numFmtId="2" fontId="0" fillId="0" borderId="234" xfId="0" applyNumberFormat="1" applyBorder="1"/>
    <xf numFmtId="0" fontId="54" fillId="0" borderId="234" xfId="8" applyNumberFormat="1" applyFont="1" applyFill="1" applyBorder="1" applyAlignment="1">
      <alignment horizontal="left" vertical="top"/>
    </xf>
    <xf numFmtId="9" fontId="0" fillId="0" borderId="234" xfId="1" applyNumberFormat="1" applyFont="1" applyBorder="1"/>
    <xf numFmtId="2" fontId="26" fillId="0" borderId="74" xfId="3" applyNumberFormat="1" applyFont="1" applyFill="1" applyBorder="1" applyAlignment="1">
      <alignment horizontal="right" vertical="center" wrapText="1"/>
    </xf>
    <xf numFmtId="2" fontId="26" fillId="0" borderId="489" xfId="3" applyNumberFormat="1" applyFont="1" applyFill="1" applyBorder="1" applyAlignment="1">
      <alignment horizontal="right" vertical="center" wrapText="1"/>
    </xf>
    <xf numFmtId="2" fontId="0" fillId="0" borderId="487" xfId="0" applyNumberFormat="1" applyFont="1" applyBorder="1" applyAlignment="1"/>
    <xf numFmtId="0" fontId="22" fillId="0" borderId="488" xfId="3" applyNumberFormat="1" applyFont="1" applyBorder="1" applyAlignment="1">
      <alignment horizontal="left" vertical="top" wrapText="1"/>
    </xf>
    <xf numFmtId="2" fontId="0" fillId="0" borderId="489" xfId="0" applyNumberFormat="1" applyBorder="1" applyAlignment="1">
      <alignment horizontal="right"/>
    </xf>
    <xf numFmtId="2" fontId="0" fillId="0" borderId="483" xfId="0" applyNumberFormat="1" applyFont="1" applyBorder="1" applyAlignment="1"/>
    <xf numFmtId="2" fontId="0" fillId="0" borderId="484" xfId="0" applyNumberFormat="1" applyBorder="1" applyAlignment="1">
      <alignment horizontal="right"/>
    </xf>
    <xf numFmtId="9" fontId="37" fillId="0" borderId="234" xfId="1" applyFont="1" applyBorder="1"/>
    <xf numFmtId="14" fontId="0" fillId="0" borderId="483" xfId="0" applyNumberFormat="1" applyBorder="1"/>
    <xf numFmtId="2" fontId="48" fillId="22" borderId="485" xfId="5" applyNumberFormat="1" applyFont="1" applyFill="1" applyBorder="1" applyAlignment="1">
      <alignment horizontal="right" vertical="top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48" fillId="22" borderId="494" xfId="5" applyNumberFormat="1" applyFont="1" applyFill="1" applyBorder="1" applyAlignment="1">
      <alignment horizontal="left" vertical="top"/>
    </xf>
    <xf numFmtId="2" fontId="48" fillId="22" borderId="234" xfId="13" applyNumberFormat="1" applyFont="1" applyFill="1" applyBorder="1" applyAlignment="1">
      <alignment horizontal="right" vertical="top"/>
    </xf>
    <xf numFmtId="168" fontId="0" fillId="17" borderId="74" xfId="4" applyNumberFormat="1" applyFont="1" applyFill="1" applyBorder="1" applyAlignment="1">
      <alignment horizontal="right" vertical="center"/>
    </xf>
    <xf numFmtId="2" fontId="48" fillId="22" borderId="488" xfId="13" applyNumberFormat="1" applyFont="1" applyFill="1" applyBorder="1" applyAlignment="1">
      <alignment horizontal="right" vertical="top"/>
    </xf>
    <xf numFmtId="168" fontId="0" fillId="17" borderId="489" xfId="4" applyNumberFormat="1" applyFont="1" applyFill="1" applyBorder="1" applyAlignment="1">
      <alignment horizontal="right" vertical="center"/>
    </xf>
    <xf numFmtId="0" fontId="0" fillId="0" borderId="489" xfId="0" applyFont="1" applyBorder="1"/>
    <xf numFmtId="0" fontId="0" fillId="0" borderId="484" xfId="0" applyFont="1" applyFill="1" applyBorder="1"/>
    <xf numFmtId="0" fontId="0" fillId="0" borderId="64" xfId="0" applyFill="1" applyBorder="1"/>
    <xf numFmtId="9" fontId="0" fillId="0" borderId="24" xfId="0" applyNumberFormat="1" applyFill="1" applyBorder="1"/>
    <xf numFmtId="0" fontId="0" fillId="0" borderId="242" xfId="0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65" fillId="22" borderId="234" xfId="8" applyNumberFormat="1" applyFont="1" applyFill="1" applyBorder="1" applyAlignment="1">
      <alignment horizontal="right" vertical="top"/>
    </xf>
    <xf numFmtId="0" fontId="0" fillId="0" borderId="74" xfId="0" applyBorder="1" applyAlignment="1">
      <alignment horizontal="right"/>
    </xf>
    <xf numFmtId="2" fontId="65" fillId="22" borderId="488" xfId="8" applyNumberFormat="1" applyFont="1" applyFill="1" applyBorder="1" applyAlignment="1">
      <alignment horizontal="right" vertical="top"/>
    </xf>
    <xf numFmtId="0" fontId="0" fillId="0" borderId="489" xfId="0" applyBorder="1" applyAlignment="1">
      <alignment horizontal="right"/>
    </xf>
    <xf numFmtId="0" fontId="0" fillId="0" borderId="484" xfId="0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22" fillId="0" borderId="234" xfId="3" applyNumberFormat="1" applyFont="1" applyFill="1" applyBorder="1" applyAlignment="1">
      <alignment horizontal="right" vertical="center" wrapText="1"/>
    </xf>
    <xf numFmtId="2" fontId="24" fillId="0" borderId="74" xfId="0" applyNumberFormat="1" applyFont="1" applyBorder="1"/>
    <xf numFmtId="2" fontId="22" fillId="0" borderId="488" xfId="3" applyNumberFormat="1" applyFont="1" applyFill="1" applyBorder="1" applyAlignment="1">
      <alignment horizontal="right" vertical="center" wrapText="1"/>
    </xf>
    <xf numFmtId="2" fontId="24" fillId="0" borderId="489" xfId="0" applyNumberFormat="1" applyFont="1" applyBorder="1"/>
    <xf numFmtId="2" fontId="24" fillId="0" borderId="488" xfId="0" applyNumberFormat="1" applyFont="1" applyBorder="1" applyAlignment="1">
      <alignment horizontal="right"/>
    </xf>
    <xf numFmtId="0" fontId="24" fillId="0" borderId="485" xfId="0" applyFont="1" applyBorder="1"/>
    <xf numFmtId="2" fontId="24" fillId="0" borderId="484" xfId="0" applyNumberFormat="1" applyFont="1" applyBorder="1"/>
    <xf numFmtId="0" fontId="0" fillId="0" borderId="485" xfId="0" applyBorder="1" applyAlignment="1">
      <alignment wrapText="1"/>
    </xf>
    <xf numFmtId="0" fontId="4" fillId="0" borderId="0" xfId="0" applyFont="1"/>
    <xf numFmtId="0" fontId="0" fillId="0" borderId="74" xfId="0" applyFont="1" applyBorder="1"/>
    <xf numFmtId="0" fontId="0" fillId="0" borderId="489" xfId="0" applyFont="1" applyFill="1" applyBorder="1"/>
    <xf numFmtId="14" fontId="0" fillId="0" borderId="73" xfId="0" applyNumberFormat="1" applyFont="1" applyFill="1" applyBorder="1"/>
    <xf numFmtId="2" fontId="65" fillId="22" borderId="485" xfId="8" applyNumberFormat="1" applyFont="1" applyFill="1" applyBorder="1" applyAlignment="1">
      <alignment horizontal="right" vertical="top"/>
    </xf>
    <xf numFmtId="2" fontId="0" fillId="0" borderId="485" xfId="0" applyNumberFormat="1" applyFill="1" applyBorder="1"/>
    <xf numFmtId="0" fontId="0" fillId="0" borderId="488" xfId="0" applyFill="1" applyBorder="1" applyAlignment="1">
      <alignment wrapText="1"/>
    </xf>
    <xf numFmtId="0" fontId="59" fillId="4" borderId="488" xfId="0" applyFont="1" applyFill="1" applyBorder="1"/>
    <xf numFmtId="0" fontId="59" fillId="4" borderId="485" xfId="0" applyFont="1" applyFill="1" applyBorder="1"/>
    <xf numFmtId="0" fontId="59" fillId="4" borderId="234" xfId="0" applyFont="1" applyFill="1" applyBorder="1"/>
    <xf numFmtId="0" fontId="69" fillId="4" borderId="488" xfId="5" applyNumberFormat="1" applyFont="1" applyFill="1" applyBorder="1" applyAlignment="1">
      <alignment horizontal="left" vertical="top"/>
    </xf>
    <xf numFmtId="0" fontId="69" fillId="4" borderId="485" xfId="5" applyNumberFormat="1" applyFont="1" applyFill="1" applyBorder="1" applyAlignment="1">
      <alignment horizontal="left" vertical="top"/>
    </xf>
    <xf numFmtId="0" fontId="59" fillId="4" borderId="0" xfId="0" applyFont="1" applyFill="1"/>
    <xf numFmtId="1" fontId="59" fillId="4" borderId="488" xfId="0" applyNumberFormat="1" applyFont="1" applyFill="1" applyBorder="1" applyAlignment="1">
      <alignment wrapText="1"/>
    </xf>
    <xf numFmtId="14" fontId="0" fillId="0" borderId="488" xfId="0" applyNumberFormat="1" applyBorder="1"/>
    <xf numFmtId="0" fontId="59" fillId="4" borderId="234" xfId="13" applyNumberFormat="1" applyFont="1" applyFill="1" applyBorder="1" applyAlignment="1">
      <alignment horizontal="left" vertical="top"/>
    </xf>
    <xf numFmtId="0" fontId="59" fillId="4" borderId="488" xfId="13" applyNumberFormat="1" applyFont="1" applyFill="1" applyBorder="1" applyAlignment="1">
      <alignment horizontal="left" vertical="top"/>
    </xf>
    <xf numFmtId="0" fontId="69" fillId="4" borderId="485" xfId="8" applyNumberFormat="1" applyFont="1" applyFill="1" applyBorder="1" applyAlignment="1">
      <alignment horizontal="left" vertical="top"/>
    </xf>
    <xf numFmtId="0" fontId="59" fillId="4" borderId="485" xfId="5" applyNumberFormat="1" applyFont="1" applyFill="1" applyBorder="1" applyAlignment="1">
      <alignment horizontal="left" vertical="top"/>
    </xf>
    <xf numFmtId="0" fontId="68" fillId="4" borderId="488" xfId="8" applyNumberFormat="1" applyFont="1" applyFill="1" applyBorder="1" applyAlignment="1">
      <alignment horizontal="left" vertical="top"/>
    </xf>
    <xf numFmtId="0" fontId="0" fillId="0" borderId="489" xfId="0" applyFill="1" applyBorder="1" applyAlignment="1">
      <alignment horizontal="right"/>
    </xf>
    <xf numFmtId="0" fontId="0" fillId="0" borderId="484" xfId="0" applyFill="1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15" fillId="0" borderId="487" xfId="0" applyNumberFormat="1" applyFont="1" applyBorder="1"/>
    <xf numFmtId="0" fontId="15" fillId="0" borderId="488" xfId="0" applyFont="1" applyBorder="1"/>
    <xf numFmtId="0" fontId="15" fillId="0" borderId="488" xfId="0" applyFont="1" applyBorder="1" applyAlignment="1">
      <alignment horizontal="center" vertical="center" wrapText="1"/>
    </xf>
    <xf numFmtId="9" fontId="0" fillId="0" borderId="488" xfId="0" applyNumberFormat="1" applyFont="1" applyBorder="1"/>
    <xf numFmtId="0" fontId="15" fillId="0" borderId="489" xfId="0" applyFont="1" applyBorder="1"/>
    <xf numFmtId="0" fontId="15" fillId="0" borderId="484" xfId="0" applyFont="1" applyBorder="1"/>
    <xf numFmtId="2" fontId="72" fillId="22" borderId="488" xfId="5" applyNumberFormat="1" applyFont="1" applyFill="1" applyBorder="1" applyAlignment="1">
      <alignment horizontal="right" vertical="top"/>
    </xf>
    <xf numFmtId="2" fontId="37" fillId="0" borderId="489" xfId="0" applyNumberFormat="1" applyFont="1" applyBorder="1"/>
    <xf numFmtId="2" fontId="72" fillId="22" borderId="485" xfId="5" applyNumberFormat="1" applyFont="1" applyFill="1" applyBorder="1" applyAlignment="1">
      <alignment horizontal="right" vertical="top"/>
    </xf>
    <xf numFmtId="2" fontId="37" fillId="0" borderId="484" xfId="0" applyNumberFormat="1" applyFont="1" applyBorder="1"/>
    <xf numFmtId="2" fontId="0" fillId="0" borderId="499" xfId="0" applyNumberFormat="1" applyFont="1" applyFill="1" applyBorder="1"/>
    <xf numFmtId="0" fontId="0" fillId="0" borderId="394" xfId="0" applyFont="1" applyFill="1" applyBorder="1"/>
    <xf numFmtId="0" fontId="48" fillId="22" borderId="394" xfId="8" applyNumberFormat="1" applyFont="1" applyFill="1" applyBorder="1" applyAlignment="1">
      <alignment horizontal="left" vertical="top"/>
    </xf>
    <xf numFmtId="2" fontId="48" fillId="22" borderId="394" xfId="8" applyNumberFormat="1" applyFont="1" applyFill="1" applyBorder="1" applyAlignment="1">
      <alignment horizontal="right" vertical="top"/>
    </xf>
    <xf numFmtId="9" fontId="0" fillId="0" borderId="394" xfId="0" applyNumberFormat="1" applyFont="1" applyFill="1" applyBorder="1"/>
    <xf numFmtId="0" fontId="0" fillId="0" borderId="500" xfId="0" applyBorder="1"/>
    <xf numFmtId="0" fontId="48" fillId="0" borderId="488" xfId="5" applyNumberFormat="1" applyFont="1" applyFill="1" applyBorder="1" applyAlignment="1">
      <alignment horizontal="left" vertical="top"/>
    </xf>
    <xf numFmtId="14" fontId="0" fillId="0" borderId="487" xfId="0" applyNumberFormat="1" applyFont="1" applyFill="1" applyBorder="1"/>
    <xf numFmtId="0" fontId="0" fillId="0" borderId="488" xfId="0" applyBorder="1" applyAlignment="1">
      <alignment horizontal="right"/>
    </xf>
    <xf numFmtId="0" fontId="0" fillId="0" borderId="488" xfId="0" applyFill="1" applyBorder="1" applyAlignment="1">
      <alignment horizontal="right"/>
    </xf>
    <xf numFmtId="2" fontId="24" fillId="0" borderId="485" xfId="0" applyNumberFormat="1" applyFont="1" applyBorder="1" applyAlignment="1">
      <alignment horizontal="right"/>
    </xf>
    <xf numFmtId="2" fontId="0" fillId="0" borderId="484" xfId="0" applyNumberFormat="1" applyBorder="1"/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0" fillId="0" borderId="485" xfId="0" applyBorder="1" applyAlignment="1">
      <alignment horizontal="right"/>
    </xf>
    <xf numFmtId="0" fontId="3" fillId="4" borderId="368" xfId="0" applyFont="1" applyFill="1" applyBorder="1" applyAlignment="1">
      <alignment horizontal="left" vertical="center" wrapText="1"/>
    </xf>
    <xf numFmtId="0" fontId="59" fillId="4" borderId="368" xfId="0" applyFont="1" applyFill="1" applyBorder="1" applyAlignment="1">
      <alignment horizontal="left" vertical="center" wrapText="1"/>
    </xf>
    <xf numFmtId="0" fontId="3" fillId="4" borderId="488" xfId="10" applyFont="1" applyFill="1" applyBorder="1" applyAlignment="1">
      <alignment horizontal="left" vertical="center" wrapText="1"/>
    </xf>
    <xf numFmtId="0" fontId="59" fillId="4" borderId="488" xfId="0" applyFont="1" applyFill="1" applyBorder="1" applyAlignment="1">
      <alignment wrapText="1"/>
    </xf>
    <xf numFmtId="0" fontId="62" fillId="4" borderId="234" xfId="8" applyNumberFormat="1" applyFont="1" applyFill="1" applyBorder="1" applyAlignment="1">
      <alignment horizontal="left" vertical="top"/>
    </xf>
    <xf numFmtId="0" fontId="69" fillId="4" borderId="488" xfId="8" applyNumberFormat="1" applyFont="1" applyFill="1" applyBorder="1" applyAlignment="1">
      <alignment horizontal="left" vertical="top"/>
    </xf>
    <xf numFmtId="0" fontId="0" fillId="0" borderId="234" xfId="0" applyBorder="1" applyAlignment="1">
      <alignment horizontal="right"/>
    </xf>
    <xf numFmtId="1" fontId="0" fillId="0" borderId="485" xfId="0" applyNumberFormat="1" applyFill="1" applyBorder="1" applyAlignment="1">
      <alignment wrapText="1"/>
    </xf>
    <xf numFmtId="2" fontId="72" fillId="22" borderId="234" xfId="5" applyNumberFormat="1" applyFont="1" applyFill="1" applyBorder="1" applyAlignment="1">
      <alignment horizontal="right" vertical="top"/>
    </xf>
    <xf numFmtId="2" fontId="37" fillId="0" borderId="74" xfId="0" applyNumberFormat="1" applyFont="1" applyBorder="1"/>
    <xf numFmtId="0" fontId="65" fillId="22" borderId="485" xfId="8" applyNumberFormat="1" applyFont="1" applyFill="1" applyBorder="1" applyAlignment="1">
      <alignment horizontal="left" vertical="top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0" fillId="0" borderId="483" xfId="0" applyBorder="1" applyAlignment="1">
      <alignment horizontal="center" vertical="center"/>
    </xf>
    <xf numFmtId="0" fontId="0" fillId="0" borderId="485" xfId="0" applyBorder="1" applyAlignment="1">
      <alignment vertical="center" wrapText="1"/>
    </xf>
    <xf numFmtId="0" fontId="0" fillId="0" borderId="483" xfId="0" applyBorder="1" applyAlignment="1">
      <alignment vertical="center"/>
    </xf>
    <xf numFmtId="0" fontId="0" fillId="0" borderId="485" xfId="0" applyBorder="1" applyAlignment="1">
      <alignment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15" fillId="0" borderId="74" xfId="0" applyFont="1" applyBorder="1"/>
    <xf numFmtId="0" fontId="0" fillId="4" borderId="488" xfId="0" applyFill="1" applyBorder="1"/>
    <xf numFmtId="0" fontId="0" fillId="4" borderId="485" xfId="0" applyFill="1" applyBorder="1"/>
    <xf numFmtId="0" fontId="72" fillId="4" borderId="488" xfId="5" applyNumberFormat="1" applyFont="1" applyFill="1" applyBorder="1" applyAlignment="1">
      <alignment horizontal="left" vertical="top"/>
    </xf>
    <xf numFmtId="2" fontId="0" fillId="0" borderId="488" xfId="0" applyNumberFormat="1" applyBorder="1" applyAlignment="1">
      <alignment horizontal="center" vertical="center"/>
    </xf>
    <xf numFmtId="14" fontId="4" fillId="0" borderId="73" xfId="0" applyNumberFormat="1" applyFont="1" applyBorder="1" applyAlignment="1">
      <alignment horizontal="left"/>
    </xf>
    <xf numFmtId="14" fontId="0" fillId="0" borderId="499" xfId="0" applyNumberFormat="1" applyBorder="1" applyAlignment="1">
      <alignment horizontal="left"/>
    </xf>
    <xf numFmtId="0" fontId="0" fillId="0" borderId="394" xfId="0" applyFont="1" applyBorder="1"/>
    <xf numFmtId="0" fontId="72" fillId="22" borderId="394" xfId="5" applyNumberFormat="1" applyFont="1" applyFill="1" applyBorder="1" applyAlignment="1">
      <alignment horizontal="left" vertical="top"/>
    </xf>
    <xf numFmtId="0" fontId="37" fillId="0" borderId="394" xfId="0" applyFont="1" applyBorder="1"/>
    <xf numFmtId="9" fontId="37" fillId="0" borderId="394" xfId="1" applyFont="1" applyBorder="1"/>
    <xf numFmtId="2" fontId="72" fillId="22" borderId="394" xfId="5" applyNumberFormat="1" applyFont="1" applyFill="1" applyBorder="1" applyAlignment="1">
      <alignment horizontal="right" vertical="top"/>
    </xf>
    <xf numFmtId="2" fontId="37" fillId="0" borderId="500" xfId="0" applyNumberFormat="1" applyFont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0" fillId="0" borderId="64" xfId="0" applyFont="1" applyBorder="1" applyAlignment="1">
      <alignment vertical="center"/>
    </xf>
    <xf numFmtId="0" fontId="0" fillId="0" borderId="24" xfId="0" applyFont="1" applyBorder="1" applyAlignment="1">
      <alignment vertical="center"/>
    </xf>
    <xf numFmtId="0" fontId="72" fillId="0" borderId="234" xfId="5" applyNumberFormat="1" applyFont="1" applyFill="1" applyBorder="1" applyAlignment="1">
      <alignment horizontal="left" vertical="top"/>
    </xf>
    <xf numFmtId="9" fontId="0" fillId="0" borderId="488" xfId="1" applyFont="1" applyFill="1" applyBorder="1"/>
    <xf numFmtId="2" fontId="24" fillId="0" borderId="489" xfId="0" applyNumberFormat="1" applyFont="1" applyFill="1" applyBorder="1"/>
    <xf numFmtId="9" fontId="0" fillId="0" borderId="485" xfId="1" applyFont="1" applyFill="1" applyBorder="1"/>
    <xf numFmtId="2" fontId="22" fillId="0" borderId="485" xfId="3" applyNumberFormat="1" applyFont="1" applyFill="1" applyBorder="1" applyAlignment="1">
      <alignment horizontal="right" vertical="center" wrapText="1"/>
    </xf>
    <xf numFmtId="2" fontId="24" fillId="0" borderId="484" xfId="0" applyNumberFormat="1" applyFont="1" applyFill="1" applyBorder="1"/>
    <xf numFmtId="0" fontId="72" fillId="22" borderId="368" xfId="5" applyNumberFormat="1" applyFont="1" applyFill="1" applyBorder="1" applyAlignment="1">
      <alignment horizontal="left" vertical="top"/>
    </xf>
    <xf numFmtId="0" fontId="37" fillId="0" borderId="368" xfId="0" applyFont="1" applyBorder="1"/>
    <xf numFmtId="2" fontId="72" fillId="22" borderId="368" xfId="5" applyNumberFormat="1" applyFont="1" applyFill="1" applyBorder="1" applyAlignment="1">
      <alignment horizontal="right" vertical="top"/>
    </xf>
    <xf numFmtId="14" fontId="0" fillId="0" borderId="367" xfId="0" applyNumberFormat="1" applyBorder="1" applyAlignment="1">
      <alignment horizontal="left"/>
    </xf>
    <xf numFmtId="2" fontId="37" fillId="0" borderId="387" xfId="0" applyNumberFormat="1" applyFont="1" applyBorder="1"/>
    <xf numFmtId="2" fontId="0" fillId="0" borderId="488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2" fillId="0" borderId="368" xfId="10" applyFont="1" applyFill="1" applyBorder="1" applyAlignment="1">
      <alignment horizontal="left" vertical="center" wrapText="1"/>
    </xf>
    <xf numFmtId="2" fontId="0" fillId="0" borderId="387" xfId="0" applyNumberFormat="1" applyFont="1" applyBorder="1" applyAlignment="1">
      <alignment horizontal="center" vertical="center"/>
    </xf>
    <xf numFmtId="2" fontId="15" fillId="0" borderId="489" xfId="0" applyNumberFormat="1" applyFont="1" applyFill="1" applyBorder="1"/>
    <xf numFmtId="2" fontId="15" fillId="0" borderId="484" xfId="0" applyNumberFormat="1" applyFont="1" applyFill="1" applyBorder="1"/>
    <xf numFmtId="0" fontId="0" fillId="0" borderId="485" xfId="0" applyFill="1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15" fillId="0" borderId="234" xfId="13" applyNumberFormat="1" applyFont="1" applyFill="1" applyBorder="1" applyAlignment="1">
      <alignment horizontal="left" vertical="top"/>
    </xf>
    <xf numFmtId="0" fontId="15" fillId="0" borderId="488" xfId="13" applyNumberFormat="1" applyFont="1" applyFill="1" applyBorder="1" applyAlignment="1">
      <alignment horizontal="left" vertical="top"/>
    </xf>
    <xf numFmtId="0" fontId="15" fillId="0" borderId="485" xfId="0" applyFont="1" applyFill="1" applyBorder="1"/>
    <xf numFmtId="2" fontId="48" fillId="22" borderId="485" xfId="13" applyNumberFormat="1" applyFont="1" applyFill="1" applyBorder="1" applyAlignment="1">
      <alignment horizontal="right" vertical="top"/>
    </xf>
    <xf numFmtId="0" fontId="0" fillId="0" borderId="484" xfId="0" applyFont="1" applyBorder="1"/>
    <xf numFmtId="0" fontId="0" fillId="0" borderId="487" xfId="0" applyBorder="1" applyAlignment="1">
      <alignment vertical="center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0" fillId="0" borderId="488" xfId="0" applyBorder="1" applyAlignment="1">
      <alignment vertical="center" wrapText="1"/>
    </xf>
    <xf numFmtId="14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center" vertical="center" wrapText="1"/>
    </xf>
    <xf numFmtId="0" fontId="72" fillId="22" borderId="0" xfId="5" applyNumberFormat="1" applyFont="1" applyFill="1" applyBorder="1" applyAlignment="1">
      <alignment horizontal="left" vertical="top"/>
    </xf>
    <xf numFmtId="0" fontId="37" fillId="0" borderId="0" xfId="0" applyFont="1" applyBorder="1"/>
    <xf numFmtId="9" fontId="37" fillId="0" borderId="0" xfId="1" applyFont="1" applyBorder="1"/>
    <xf numFmtId="2" fontId="72" fillId="22" borderId="0" xfId="5" applyNumberFormat="1" applyFont="1" applyFill="1" applyBorder="1" applyAlignment="1">
      <alignment horizontal="right" vertical="top"/>
    </xf>
    <xf numFmtId="2" fontId="37" fillId="0" borderId="0" xfId="0" applyNumberFormat="1" applyFont="1" applyBorder="1"/>
    <xf numFmtId="2" fontId="15" fillId="0" borderId="234" xfId="3" applyNumberFormat="1" applyFont="1" applyFill="1" applyBorder="1" applyAlignment="1">
      <alignment horizontal="right" vertical="center" wrapText="1"/>
    </xf>
    <xf numFmtId="2" fontId="0" fillId="0" borderId="74" xfId="0" applyNumberFormat="1" applyFont="1" applyBorder="1"/>
    <xf numFmtId="2" fontId="15" fillId="0" borderId="488" xfId="3" applyNumberFormat="1" applyFont="1" applyFill="1" applyBorder="1" applyAlignment="1">
      <alignment horizontal="right" vertical="center" wrapText="1"/>
    </xf>
    <xf numFmtId="2" fontId="0" fillId="0" borderId="489" xfId="0" applyNumberFormat="1" applyFont="1" applyBorder="1"/>
    <xf numFmtId="0" fontId="48" fillId="22" borderId="488" xfId="18" applyNumberFormat="1" applyFont="1" applyFill="1" applyBorder="1" applyAlignment="1">
      <alignment horizontal="left" vertical="top"/>
    </xf>
    <xf numFmtId="2" fontId="0" fillId="0" borderId="488" xfId="0" applyNumberFormat="1" applyFont="1" applyBorder="1" applyAlignment="1">
      <alignment horizontal="right"/>
    </xf>
    <xf numFmtId="0" fontId="48" fillId="22" borderId="234" xfId="18" applyNumberFormat="1" applyFont="1" applyFill="1" applyBorder="1" applyAlignment="1">
      <alignment horizontal="left" vertical="top"/>
    </xf>
    <xf numFmtId="2" fontId="0" fillId="0" borderId="489" xfId="0" applyNumberFormat="1" applyFont="1" applyFill="1" applyBorder="1"/>
    <xf numFmtId="0" fontId="48" fillId="22" borderId="485" xfId="18" applyNumberFormat="1" applyFont="1" applyFill="1" applyBorder="1" applyAlignment="1">
      <alignment horizontal="left" vertical="top"/>
    </xf>
    <xf numFmtId="2" fontId="0" fillId="0" borderId="484" xfId="0" applyNumberFormat="1" applyFont="1" applyFill="1" applyBorder="1"/>
    <xf numFmtId="2" fontId="0" fillId="0" borderId="234" xfId="0" applyNumberFormat="1" applyBorder="1" applyAlignment="1">
      <alignment horizontal="right"/>
    </xf>
    <xf numFmtId="2" fontId="0" fillId="0" borderId="74" xfId="0" applyNumberFormat="1" applyBorder="1"/>
    <xf numFmtId="2" fontId="0" fillId="0" borderId="488" xfId="0" applyNumberFormat="1" applyBorder="1" applyAlignment="1">
      <alignment horizontal="right"/>
    </xf>
    <xf numFmtId="2" fontId="0" fillId="0" borderId="485" xfId="0" applyNumberFormat="1" applyBorder="1" applyAlignment="1">
      <alignment horizontal="right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15" fillId="0" borderId="485" xfId="3" applyNumberFormat="1" applyFont="1" applyFill="1" applyBorder="1" applyAlignment="1">
      <alignment horizontal="right" vertical="center" wrapText="1"/>
    </xf>
    <xf numFmtId="2" fontId="0" fillId="0" borderId="484" xfId="0" applyNumberFormat="1" applyFont="1" applyBorder="1"/>
    <xf numFmtId="2" fontId="15" fillId="0" borderId="499" xfId="0" applyNumberFormat="1" applyFont="1" applyBorder="1"/>
    <xf numFmtId="0" fontId="15" fillId="0" borderId="394" xfId="0" applyFont="1" applyBorder="1"/>
    <xf numFmtId="0" fontId="48" fillId="22" borderId="394" xfId="5" applyNumberFormat="1" applyFont="1" applyFill="1" applyBorder="1" applyAlignment="1">
      <alignment horizontal="left" vertical="top"/>
    </xf>
    <xf numFmtId="0" fontId="15" fillId="0" borderId="394" xfId="0" applyFont="1" applyBorder="1" applyAlignment="1">
      <alignment horizontal="center" vertical="center" wrapText="1"/>
    </xf>
    <xf numFmtId="9" fontId="0" fillId="0" borderId="394" xfId="0" applyNumberFormat="1" applyFont="1" applyBorder="1"/>
    <xf numFmtId="2" fontId="48" fillId="22" borderId="394" xfId="5" applyNumberFormat="1" applyFont="1" applyFill="1" applyBorder="1" applyAlignment="1">
      <alignment horizontal="right" vertical="top"/>
    </xf>
    <xf numFmtId="0" fontId="15" fillId="0" borderId="500" xfId="0" applyFont="1" applyBorder="1"/>
    <xf numFmtId="2" fontId="0" fillId="4" borderId="73" xfId="0" applyNumberFormat="1" applyFont="1" applyFill="1" applyBorder="1"/>
    <xf numFmtId="2" fontId="0" fillId="0" borderId="483" xfId="0" applyNumberFormat="1" applyFont="1" applyBorder="1"/>
    <xf numFmtId="0" fontId="22" fillId="0" borderId="485" xfId="3" applyNumberFormat="1" applyFont="1" applyFill="1" applyBorder="1" applyAlignment="1">
      <alignment horizontal="left" vertical="top" wrapText="1"/>
    </xf>
    <xf numFmtId="2" fontId="0" fillId="0" borderId="24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14" fontId="0" fillId="0" borderId="499" xfId="0" applyNumberFormat="1" applyFont="1" applyFill="1" applyBorder="1"/>
    <xf numFmtId="0" fontId="0" fillId="0" borderId="394" xfId="0" applyFont="1" applyFill="1" applyBorder="1" applyAlignment="1">
      <alignment vertical="top"/>
    </xf>
    <xf numFmtId="0" fontId="65" fillId="22" borderId="394" xfId="8" applyNumberFormat="1" applyFont="1" applyFill="1" applyBorder="1" applyAlignment="1">
      <alignment horizontal="left" vertical="top"/>
    </xf>
    <xf numFmtId="2" fontId="66" fillId="22" borderId="394" xfId="8" applyNumberFormat="1" applyFont="1" applyFill="1" applyBorder="1" applyAlignment="1">
      <alignment horizontal="right" vertical="top"/>
    </xf>
    <xf numFmtId="0" fontId="0" fillId="0" borderId="394" xfId="0" applyBorder="1" applyAlignment="1">
      <alignment horizontal="right"/>
    </xf>
    <xf numFmtId="2" fontId="0" fillId="0" borderId="489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9" fontId="0" fillId="0" borderId="488" xfId="0" applyNumberFormat="1" applyFill="1" applyBorder="1" applyAlignment="1">
      <alignment horizontal="center" vertical="center"/>
    </xf>
    <xf numFmtId="9" fontId="0" fillId="0" borderId="485" xfId="0" applyNumberFormat="1" applyFill="1" applyBorder="1" applyAlignment="1">
      <alignment horizontal="center" vertical="center"/>
    </xf>
    <xf numFmtId="0" fontId="0" fillId="4" borderId="483" xfId="0" applyFill="1" applyBorder="1"/>
    <xf numFmtId="9" fontId="0" fillId="4" borderId="485" xfId="0" applyNumberFormat="1" applyFont="1" applyFill="1" applyBorder="1"/>
    <xf numFmtId="0" fontId="0" fillId="4" borderId="484" xfId="0" applyFill="1" applyBorder="1"/>
    <xf numFmtId="0" fontId="0" fillId="0" borderId="503" xfId="0" applyBorder="1"/>
    <xf numFmtId="0" fontId="0" fillId="0" borderId="504" xfId="0" applyBorder="1"/>
    <xf numFmtId="9" fontId="0" fillId="0" borderId="504" xfId="0" applyNumberFormat="1" applyFont="1" applyBorder="1"/>
    <xf numFmtId="0" fontId="15" fillId="0" borderId="505" xfId="0" applyFont="1" applyBorder="1"/>
    <xf numFmtId="0" fontId="0" fillId="0" borderId="506" xfId="0" applyBorder="1"/>
    <xf numFmtId="0" fontId="0" fillId="0" borderId="507" xfId="0" applyBorder="1"/>
    <xf numFmtId="9" fontId="0" fillId="0" borderId="507" xfId="0" applyNumberFormat="1" applyFont="1" applyBorder="1"/>
    <xf numFmtId="0" fontId="15" fillId="0" borderId="508" xfId="0" applyFont="1" applyBorder="1"/>
    <xf numFmtId="0" fontId="0" fillId="0" borderId="499" xfId="0" applyFill="1" applyBorder="1"/>
    <xf numFmtId="0" fontId="15" fillId="0" borderId="394" xfId="0" applyFont="1" applyFill="1" applyBorder="1"/>
    <xf numFmtId="0" fontId="0" fillId="0" borderId="394" xfId="0" applyFill="1" applyBorder="1"/>
    <xf numFmtId="9" fontId="0" fillId="0" borderId="394" xfId="0" applyNumberFormat="1" applyFill="1" applyBorder="1"/>
    <xf numFmtId="0" fontId="0" fillId="0" borderId="86" xfId="0" applyBorder="1"/>
    <xf numFmtId="9" fontId="37" fillId="0" borderId="504" xfId="1" applyFont="1" applyBorder="1"/>
    <xf numFmtId="2" fontId="72" fillId="22" borderId="504" xfId="5" applyNumberFormat="1" applyFont="1" applyFill="1" applyBorder="1" applyAlignment="1">
      <alignment horizontal="right" vertical="top"/>
    </xf>
    <xf numFmtId="0" fontId="0" fillId="0" borderId="504" xfId="0" applyFill="1" applyBorder="1"/>
    <xf numFmtId="2" fontId="37" fillId="0" borderId="505" xfId="0" applyNumberFormat="1" applyFont="1" applyBorder="1"/>
    <xf numFmtId="9" fontId="37" fillId="0" borderId="507" xfId="1" applyFont="1" applyBorder="1"/>
    <xf numFmtId="2" fontId="72" fillId="22" borderId="507" xfId="5" applyNumberFormat="1" applyFont="1" applyFill="1" applyBorder="1" applyAlignment="1">
      <alignment horizontal="right" vertical="top"/>
    </xf>
    <xf numFmtId="2" fontId="37" fillId="0" borderId="508" xfId="0" applyNumberFormat="1" applyFont="1" applyBorder="1"/>
    <xf numFmtId="2" fontId="0" fillId="0" borderId="503" xfId="0" applyNumberFormat="1" applyFont="1" applyBorder="1"/>
    <xf numFmtId="0" fontId="0" fillId="0" borderId="504" xfId="0" applyFont="1" applyFill="1" applyBorder="1"/>
    <xf numFmtId="0" fontId="48" fillId="22" borderId="504" xfId="18" applyNumberFormat="1" applyFont="1" applyFill="1" applyBorder="1" applyAlignment="1">
      <alignment horizontal="left" vertical="top"/>
    </xf>
    <xf numFmtId="9" fontId="0" fillId="0" borderId="504" xfId="1" applyFont="1" applyBorder="1"/>
    <xf numFmtId="2" fontId="15" fillId="0" borderId="504" xfId="3" applyNumberFormat="1" applyFont="1" applyFill="1" applyBorder="1" applyAlignment="1">
      <alignment horizontal="right" vertical="center" wrapText="1"/>
    </xf>
    <xf numFmtId="2" fontId="0" fillId="0" borderId="505" xfId="0" applyNumberFormat="1" applyFont="1" applyBorder="1"/>
    <xf numFmtId="2" fontId="0" fillId="0" borderId="504" xfId="0" applyNumberFormat="1" applyBorder="1"/>
    <xf numFmtId="0" fontId="0" fillId="0" borderId="505" xfId="0" applyBorder="1"/>
    <xf numFmtId="9" fontId="0" fillId="0" borderId="507" xfId="1" applyFont="1" applyBorder="1"/>
    <xf numFmtId="2" fontId="0" fillId="0" borderId="507" xfId="0" applyNumberFormat="1" applyBorder="1"/>
    <xf numFmtId="0" fontId="0" fillId="0" borderId="508" xfId="0" applyBorder="1"/>
    <xf numFmtId="2" fontId="0" fillId="0" borderId="505" xfId="0" applyNumberFormat="1" applyBorder="1"/>
    <xf numFmtId="2" fontId="0" fillId="0" borderId="505" xfId="0" applyNumberFormat="1" applyFill="1" applyBorder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vertical="top"/>
    </xf>
    <xf numFmtId="0" fontId="65" fillId="22" borderId="0" xfId="8" applyNumberFormat="1" applyFont="1" applyFill="1" applyBorder="1" applyAlignment="1">
      <alignment horizontal="left" vertical="top"/>
    </xf>
    <xf numFmtId="2" fontId="66" fillId="22" borderId="0" xfId="8" applyNumberFormat="1" applyFont="1" applyFill="1" applyBorder="1" applyAlignment="1">
      <alignment horizontal="right" vertical="top"/>
    </xf>
    <xf numFmtId="9" fontId="0" fillId="0" borderId="0" xfId="0" applyNumberFormat="1" applyFont="1" applyFill="1" applyBorder="1"/>
    <xf numFmtId="0" fontId="0" fillId="0" borderId="0" xfId="0" applyBorder="1" applyAlignment="1">
      <alignment horizontal="right"/>
    </xf>
    <xf numFmtId="0" fontId="65" fillId="22" borderId="0" xfId="8" applyNumberFormat="1" applyFont="1" applyFill="1" applyBorder="1" applyAlignment="1">
      <alignment vertical="top"/>
    </xf>
    <xf numFmtId="0" fontId="65" fillId="22" borderId="509" xfId="8" applyNumberFormat="1" applyFont="1" applyFill="1" applyBorder="1" applyAlignment="1">
      <alignment vertical="top"/>
    </xf>
    <xf numFmtId="2" fontId="66" fillId="22" borderId="509" xfId="8" applyNumberFormat="1" applyFont="1" applyFill="1" applyBorder="1" applyAlignment="1">
      <alignment horizontal="right" vertical="top"/>
    </xf>
    <xf numFmtId="9" fontId="0" fillId="0" borderId="509" xfId="0" applyNumberFormat="1" applyFont="1" applyFill="1" applyBorder="1"/>
    <xf numFmtId="0" fontId="0" fillId="0" borderId="509" xfId="0" applyBorder="1" applyAlignment="1">
      <alignment horizontal="right"/>
    </xf>
    <xf numFmtId="0" fontId="0" fillId="0" borderId="509" xfId="0" applyBorder="1"/>
    <xf numFmtId="0" fontId="0" fillId="0" borderId="509" xfId="0" applyFont="1" applyFill="1" applyBorder="1" applyAlignment="1">
      <alignment vertical="top"/>
    </xf>
    <xf numFmtId="0" fontId="65" fillId="22" borderId="234" xfId="8" applyNumberFormat="1" applyFont="1" applyFill="1" applyBorder="1" applyAlignment="1">
      <alignment vertical="top"/>
    </xf>
    <xf numFmtId="2" fontId="0" fillId="0" borderId="510" xfId="0" applyNumberFormat="1" applyFont="1" applyFill="1" applyBorder="1"/>
    <xf numFmtId="0" fontId="0" fillId="0" borderId="511" xfId="0" applyBorder="1"/>
    <xf numFmtId="0" fontId="0" fillId="0" borderId="510" xfId="0" applyBorder="1"/>
    <xf numFmtId="0" fontId="0" fillId="0" borderId="511" xfId="0" applyFill="1" applyBorder="1"/>
    <xf numFmtId="14" fontId="0" fillId="0" borderId="510" xfId="0" applyNumberFormat="1" applyFont="1" applyFill="1" applyBorder="1"/>
    <xf numFmtId="0" fontId="0" fillId="0" borderId="512" xfId="0" applyBorder="1"/>
    <xf numFmtId="0" fontId="0" fillId="0" borderId="513" xfId="0" applyBorder="1"/>
    <xf numFmtId="0" fontId="65" fillId="22" borderId="513" xfId="8" applyNumberFormat="1" applyFont="1" applyFill="1" applyBorder="1" applyAlignment="1">
      <alignment vertical="top"/>
    </xf>
    <xf numFmtId="9" fontId="0" fillId="0" borderId="513" xfId="0" applyNumberFormat="1" applyFont="1" applyFill="1" applyBorder="1"/>
    <xf numFmtId="0" fontId="0" fillId="0" borderId="514" xfId="0" applyFill="1" applyBorder="1"/>
    <xf numFmtId="0" fontId="65" fillId="22" borderId="509" xfId="8" applyNumberFormat="1" applyFont="1" applyFill="1" applyBorder="1" applyAlignment="1">
      <alignment horizontal="left" vertical="top"/>
    </xf>
    <xf numFmtId="0" fontId="0" fillId="0" borderId="513" xfId="0" applyBorder="1" applyAlignment="1">
      <alignment horizontal="right"/>
    </xf>
    <xf numFmtId="0" fontId="0" fillId="0" borderId="514" xfId="0" applyBorder="1"/>
    <xf numFmtId="2" fontId="0" fillId="0" borderId="510" xfId="0" applyNumberFormat="1" applyFont="1" applyBorder="1"/>
    <xf numFmtId="0" fontId="0" fillId="0" borderId="509" xfId="0" applyFont="1" applyFill="1" applyBorder="1"/>
    <xf numFmtId="0" fontId="22" fillId="0" borderId="509" xfId="3" applyNumberFormat="1" applyFont="1" applyFill="1" applyBorder="1" applyAlignment="1">
      <alignment horizontal="left" vertical="top" wrapText="1"/>
    </xf>
    <xf numFmtId="9" fontId="0" fillId="0" borderId="509" xfId="1" applyFont="1" applyBorder="1"/>
    <xf numFmtId="2" fontId="22" fillId="0" borderId="509" xfId="3" applyNumberFormat="1" applyFont="1" applyFill="1" applyBorder="1" applyAlignment="1">
      <alignment horizontal="right" vertical="center" wrapText="1"/>
    </xf>
    <xf numFmtId="2" fontId="24" fillId="0" borderId="511" xfId="0" applyNumberFormat="1" applyFont="1" applyBorder="1"/>
    <xf numFmtId="9" fontId="0" fillId="0" borderId="513" xfId="1" applyFont="1" applyBorder="1"/>
    <xf numFmtId="9" fontId="0" fillId="0" borderId="513" xfId="0" applyNumberFormat="1" applyFont="1" applyBorder="1"/>
    <xf numFmtId="2" fontId="0" fillId="0" borderId="513" xfId="0" applyNumberFormat="1" applyBorder="1"/>
    <xf numFmtId="0" fontId="15" fillId="0" borderId="514" xfId="0" applyFont="1" applyBorder="1"/>
    <xf numFmtId="9" fontId="0" fillId="0" borderId="104" xfId="0" applyNumberFormat="1" applyFill="1" applyBorder="1" applyAlignment="1">
      <alignment horizontal="center" vertical="center"/>
    </xf>
    <xf numFmtId="2" fontId="0" fillId="0" borderId="104" xfId="0" applyNumberFormat="1" applyFill="1" applyBorder="1" applyAlignment="1">
      <alignment horizontal="center" vertical="center"/>
    </xf>
    <xf numFmtId="0" fontId="0" fillId="0" borderId="105" xfId="0" applyFill="1" applyBorder="1" applyAlignment="1">
      <alignment horizontal="center"/>
    </xf>
    <xf numFmtId="0" fontId="0" fillId="0" borderId="394" xfId="0" applyFont="1" applyBorder="1" applyAlignment="1">
      <alignment vertical="center"/>
    </xf>
    <xf numFmtId="0" fontId="48" fillId="22" borderId="394" xfId="18" applyNumberFormat="1" applyFont="1" applyFill="1" applyBorder="1" applyAlignment="1">
      <alignment horizontal="left" vertical="top"/>
    </xf>
    <xf numFmtId="9" fontId="0" fillId="0" borderId="394" xfId="1" applyNumberFormat="1" applyFont="1" applyBorder="1"/>
    <xf numFmtId="2" fontId="15" fillId="0" borderId="394" xfId="3" applyNumberFormat="1" applyFont="1" applyFill="1" applyBorder="1" applyAlignment="1">
      <alignment horizontal="right" vertical="center" wrapText="1"/>
    </xf>
    <xf numFmtId="2" fontId="0" fillId="0" borderId="500" xfId="0" applyNumberFormat="1" applyFont="1" applyBorder="1"/>
    <xf numFmtId="9" fontId="37" fillId="0" borderId="509" xfId="1" applyFont="1" applyBorder="1"/>
    <xf numFmtId="2" fontId="0" fillId="0" borderId="509" xfId="0" applyNumberFormat="1" applyBorder="1"/>
    <xf numFmtId="2" fontId="0" fillId="0" borderId="511" xfId="0" applyNumberFormat="1" applyBorder="1"/>
    <xf numFmtId="2" fontId="0" fillId="0" borderId="511" xfId="0" applyNumberFormat="1" applyFill="1" applyBorder="1"/>
    <xf numFmtId="9" fontId="37" fillId="0" borderId="513" xfId="1" applyFont="1" applyBorder="1"/>
    <xf numFmtId="0" fontId="0" fillId="0" borderId="509" xfId="0" applyBorder="1" applyAlignment="1">
      <alignment vertical="center"/>
    </xf>
    <xf numFmtId="0" fontId="0" fillId="0" borderId="509" xfId="0" applyBorder="1" applyAlignment="1">
      <alignment wrapText="1"/>
    </xf>
    <xf numFmtId="9" fontId="0" fillId="0" borderId="509" xfId="0" applyNumberFormat="1" applyBorder="1" applyAlignment="1">
      <alignment horizontal="center" vertical="center"/>
    </xf>
    <xf numFmtId="2" fontId="0" fillId="0" borderId="509" xfId="0" applyNumberFormat="1" applyBorder="1" applyAlignment="1">
      <alignment horizontal="center" vertical="center"/>
    </xf>
    <xf numFmtId="0" fontId="0" fillId="0" borderId="510" xfId="0" applyBorder="1" applyAlignment="1">
      <alignment vertical="center"/>
    </xf>
    <xf numFmtId="2" fontId="0" fillId="0" borderId="511" xfId="0" applyNumberFormat="1" applyBorder="1" applyAlignment="1">
      <alignment horizontal="center" vertical="center"/>
    </xf>
    <xf numFmtId="0" fontId="0" fillId="0" borderId="512" xfId="0" applyBorder="1" applyAlignment="1">
      <alignment vertical="center"/>
    </xf>
    <xf numFmtId="0" fontId="0" fillId="0" borderId="513" xfId="0" applyBorder="1" applyAlignment="1">
      <alignment vertical="center"/>
    </xf>
    <xf numFmtId="1" fontId="0" fillId="0" borderId="513" xfId="0" applyNumberFormat="1" applyFill="1" applyBorder="1" applyAlignment="1">
      <alignment wrapText="1"/>
    </xf>
    <xf numFmtId="9" fontId="0" fillId="0" borderId="513" xfId="0" applyNumberFormat="1" applyBorder="1" applyAlignment="1">
      <alignment horizontal="center" vertical="center"/>
    </xf>
    <xf numFmtId="2" fontId="0" fillId="0" borderId="513" xfId="0" applyNumberFormat="1" applyBorder="1" applyAlignment="1">
      <alignment horizontal="center" vertical="center"/>
    </xf>
    <xf numFmtId="2" fontId="0" fillId="0" borderId="514" xfId="0" applyNumberFormat="1" applyBorder="1" applyAlignment="1">
      <alignment horizontal="center" vertical="center"/>
    </xf>
    <xf numFmtId="0" fontId="2" fillId="0" borderId="509" xfId="10" applyFont="1" applyFill="1" applyBorder="1" applyAlignment="1">
      <alignment horizontal="left" vertical="center" wrapText="1"/>
    </xf>
    <xf numFmtId="9" fontId="0" fillId="0" borderId="509" xfId="0" applyNumberFormat="1" applyBorder="1" applyAlignment="1">
      <alignment vertical="center"/>
    </xf>
    <xf numFmtId="2" fontId="0" fillId="0" borderId="509" xfId="0" applyNumberFormat="1" applyFont="1" applyBorder="1" applyAlignment="1">
      <alignment horizontal="center" vertical="center"/>
    </xf>
    <xf numFmtId="1" fontId="0" fillId="0" borderId="509" xfId="0" applyNumberFormat="1" applyFill="1" applyBorder="1" applyAlignment="1">
      <alignment wrapText="1"/>
    </xf>
    <xf numFmtId="2" fontId="0" fillId="0" borderId="514" xfId="0" applyNumberFormat="1" applyFill="1" applyBorder="1"/>
    <xf numFmtId="0" fontId="0" fillId="0" borderId="269" xfId="0" applyBorder="1" applyAlignment="1">
      <alignment vertical="center"/>
    </xf>
    <xf numFmtId="2" fontId="0" fillId="0" borderId="509" xfId="0" applyNumberFormat="1" applyBorder="1" applyAlignment="1">
      <alignment vertical="center"/>
    </xf>
    <xf numFmtId="0" fontId="0" fillId="0" borderId="71" xfId="0" applyBorder="1" applyAlignment="1">
      <alignment vertical="center"/>
    </xf>
    <xf numFmtId="0" fontId="0" fillId="0" borderId="518" xfId="0" applyBorder="1" applyAlignment="1">
      <alignment vertical="center"/>
    </xf>
    <xf numFmtId="0" fontId="0" fillId="0" borderId="509" xfId="0" applyFill="1" applyBorder="1"/>
    <xf numFmtId="0" fontId="0" fillId="0" borderId="513" xfId="0" applyFill="1" applyBorder="1"/>
    <xf numFmtId="2" fontId="0" fillId="0" borderId="519" xfId="0" applyNumberFormat="1" applyFont="1" applyBorder="1"/>
    <xf numFmtId="0" fontId="22" fillId="0" borderId="278" xfId="3" applyNumberFormat="1" applyFont="1" applyFill="1" applyBorder="1" applyAlignment="1">
      <alignment horizontal="left" vertical="top" wrapText="1"/>
    </xf>
    <xf numFmtId="9" fontId="0" fillId="0" borderId="278" xfId="1" applyFont="1" applyBorder="1"/>
    <xf numFmtId="2" fontId="22" fillId="0" borderId="278" xfId="3" applyNumberFormat="1" applyFont="1" applyFill="1" applyBorder="1" applyAlignment="1">
      <alignment horizontal="right" vertical="center" wrapText="1"/>
    </xf>
    <xf numFmtId="2" fontId="24" fillId="0" borderId="279" xfId="0" applyNumberFormat="1" applyFont="1" applyBorder="1"/>
    <xf numFmtId="0" fontId="48" fillId="22" borderId="509" xfId="18" applyNumberFormat="1" applyFont="1" applyFill="1" applyBorder="1" applyAlignment="1">
      <alignment horizontal="left" vertical="top"/>
    </xf>
    <xf numFmtId="2" fontId="15" fillId="0" borderId="509" xfId="3" applyNumberFormat="1" applyFont="1" applyFill="1" applyBorder="1" applyAlignment="1">
      <alignment horizontal="right" vertical="center" wrapText="1"/>
    </xf>
    <xf numFmtId="2" fontId="0" fillId="0" borderId="511" xfId="0" applyNumberFormat="1" applyFont="1" applyBorder="1"/>
    <xf numFmtId="2" fontId="15" fillId="0" borderId="513" xfId="3" applyNumberFormat="1" applyFont="1" applyFill="1" applyBorder="1" applyAlignment="1">
      <alignment horizontal="right" vertical="center" wrapText="1"/>
    </xf>
    <xf numFmtId="2" fontId="0" fillId="0" borderId="514" xfId="0" applyNumberFormat="1" applyFont="1" applyBorder="1"/>
    <xf numFmtId="2" fontId="0" fillId="0" borderId="74" xfId="0" applyNumberFormat="1" applyFont="1" applyFill="1" applyBorder="1"/>
    <xf numFmtId="2" fontId="0" fillId="0" borderId="514" xfId="0" applyNumberFormat="1" applyFont="1" applyFill="1" applyBorder="1"/>
    <xf numFmtId="9" fontId="0" fillId="0" borderId="509" xfId="1" applyFont="1" applyFill="1" applyBorder="1"/>
    <xf numFmtId="9" fontId="0" fillId="0" borderId="513" xfId="1" applyFont="1" applyFill="1" applyBorder="1"/>
    <xf numFmtId="0" fontId="0" fillId="0" borderId="519" xfId="0" applyBorder="1" applyAlignment="1">
      <alignment vertical="center"/>
    </xf>
    <xf numFmtId="0" fontId="0" fillId="0" borderId="516" xfId="0" applyBorder="1" applyAlignment="1">
      <alignment vertical="center"/>
    </xf>
    <xf numFmtId="2" fontId="0" fillId="0" borderId="511" xfId="0" applyNumberFormat="1" applyFont="1" applyBorder="1" applyAlignment="1">
      <alignment horizontal="center" vertical="center"/>
    </xf>
    <xf numFmtId="9" fontId="0" fillId="0" borderId="513" xfId="0" applyNumberFormat="1" applyBorder="1" applyAlignment="1">
      <alignment vertical="center"/>
    </xf>
    <xf numFmtId="2" fontId="0" fillId="0" borderId="514" xfId="0" applyNumberFormat="1" applyFont="1" applyBorder="1" applyAlignment="1">
      <alignment horizontal="center" vertical="center"/>
    </xf>
    <xf numFmtId="0" fontId="0" fillId="0" borderId="520" xfId="0" applyBorder="1" applyAlignment="1">
      <alignment vertical="center"/>
    </xf>
    <xf numFmtId="0" fontId="0" fillId="0" borderId="497" xfId="0" applyBorder="1" applyAlignment="1">
      <alignment vertical="center"/>
    </xf>
    <xf numFmtId="2" fontId="0" fillId="0" borderId="511" xfId="0" applyNumberFormat="1" applyBorder="1" applyAlignment="1">
      <alignment vertical="center"/>
    </xf>
    <xf numFmtId="0" fontId="0" fillId="0" borderId="129" xfId="0" applyBorder="1" applyAlignment="1">
      <alignment vertical="center"/>
    </xf>
    <xf numFmtId="0" fontId="0" fillId="0" borderId="498" xfId="0" applyBorder="1" applyAlignment="1">
      <alignment vertical="center"/>
    </xf>
    <xf numFmtId="2" fontId="0" fillId="0" borderId="513" xfId="0" applyNumberFormat="1" applyBorder="1" applyAlignment="1">
      <alignment vertical="center"/>
    </xf>
    <xf numFmtId="2" fontId="0" fillId="0" borderId="514" xfId="0" applyNumberFormat="1" applyBorder="1" applyAlignment="1">
      <alignment vertical="center"/>
    </xf>
    <xf numFmtId="2" fontId="0" fillId="0" borderId="509" xfId="0" applyNumberFormat="1" applyBorder="1" applyAlignment="1">
      <alignment horizontal="right"/>
    </xf>
    <xf numFmtId="2" fontId="0" fillId="0" borderId="489" xfId="0" applyNumberFormat="1" applyFill="1" applyBorder="1" applyAlignment="1">
      <alignment horizontal="right"/>
    </xf>
    <xf numFmtId="0" fontId="15" fillId="0" borderId="509" xfId="0" applyFont="1" applyFill="1" applyBorder="1"/>
    <xf numFmtId="9" fontId="0" fillId="0" borderId="509" xfId="0" applyNumberFormat="1" applyFill="1" applyBorder="1"/>
    <xf numFmtId="14" fontId="0" fillId="0" borderId="510" xfId="0" applyNumberFormat="1" applyBorder="1"/>
    <xf numFmtId="9" fontId="0" fillId="0" borderId="513" xfId="0" applyNumberFormat="1" applyFill="1" applyBorder="1"/>
    <xf numFmtId="0" fontId="0" fillId="0" borderId="513" xfId="0" applyBorder="1" applyAlignment="1">
      <alignment wrapText="1"/>
    </xf>
    <xf numFmtId="2" fontId="0" fillId="0" borderId="513" xfId="0" applyNumberFormat="1" applyBorder="1" applyAlignment="1">
      <alignment horizontal="right"/>
    </xf>
    <xf numFmtId="2" fontId="0" fillId="0" borderId="514" xfId="0" applyNumberFormat="1" applyBorder="1"/>
    <xf numFmtId="2" fontId="0" fillId="0" borderId="512" xfId="0" applyNumberFormat="1" applyFont="1" applyFill="1" applyBorder="1"/>
    <xf numFmtId="0" fontId="0" fillId="0" borderId="513" xfId="0" applyFont="1" applyFill="1" applyBorder="1" applyAlignment="1">
      <alignment vertical="top"/>
    </xf>
    <xf numFmtId="0" fontId="65" fillId="22" borderId="513" xfId="8" applyNumberFormat="1" applyFont="1" applyFill="1" applyBorder="1" applyAlignment="1">
      <alignment horizontal="left" vertical="top"/>
    </xf>
    <xf numFmtId="2" fontId="66" fillId="22" borderId="513" xfId="8" applyNumberFormat="1" applyFont="1" applyFill="1" applyBorder="1" applyAlignment="1">
      <alignment horizontal="right" vertical="top"/>
    </xf>
    <xf numFmtId="9" fontId="37" fillId="0" borderId="509" xfId="1" applyFont="1" applyFill="1" applyBorder="1"/>
    <xf numFmtId="9" fontId="37" fillId="0" borderId="513" xfId="1" applyFont="1" applyFill="1" applyBorder="1"/>
    <xf numFmtId="0" fontId="2" fillId="0" borderId="509" xfId="0" applyFont="1" applyBorder="1"/>
    <xf numFmtId="0" fontId="2" fillId="0" borderId="513" xfId="0" applyFont="1" applyBorder="1"/>
    <xf numFmtId="2" fontId="0" fillId="0" borderId="512" xfId="0" applyNumberFormat="1" applyFont="1" applyBorder="1"/>
    <xf numFmtId="0" fontId="0" fillId="0" borderId="513" xfId="0" applyFont="1" applyFill="1" applyBorder="1"/>
    <xf numFmtId="0" fontId="48" fillId="22" borderId="513" xfId="18" applyNumberFormat="1" applyFont="1" applyFill="1" applyBorder="1" applyAlignment="1">
      <alignment horizontal="left" vertical="top"/>
    </xf>
    <xf numFmtId="0" fontId="2" fillId="0" borderId="513" xfId="10" applyFont="1" applyFill="1" applyBorder="1" applyAlignment="1">
      <alignment horizontal="left" vertical="center" wrapText="1"/>
    </xf>
    <xf numFmtId="0" fontId="0" fillId="0" borderId="368" xfId="0" applyBorder="1" applyAlignment="1">
      <alignment wrapText="1"/>
    </xf>
    <xf numFmtId="2" fontId="0" fillId="0" borderId="387" xfId="0" applyNumberFormat="1" applyBorder="1" applyAlignment="1">
      <alignment vertical="center"/>
    </xf>
    <xf numFmtId="2" fontId="37" fillId="0" borderId="74" xfId="0" applyNumberFormat="1" applyFont="1" applyBorder="1" applyAlignment="1">
      <alignment horizontal="center"/>
    </xf>
    <xf numFmtId="2" fontId="0" fillId="0" borderId="511" xfId="0" applyNumberFormat="1" applyBorder="1" applyAlignment="1">
      <alignment horizontal="center"/>
    </xf>
    <xf numFmtId="2" fontId="0" fillId="0" borderId="514" xfId="0" applyNumberFormat="1" applyBorder="1" applyAlignment="1">
      <alignment horizontal="center"/>
    </xf>
    <xf numFmtId="0" fontId="48" fillId="22" borderId="513" xfId="8" applyNumberFormat="1" applyFont="1" applyFill="1" applyBorder="1" applyAlignment="1">
      <alignment horizontal="left" vertical="top"/>
    </xf>
    <xf numFmtId="2" fontId="48" fillId="22" borderId="513" xfId="8" applyNumberFormat="1" applyFont="1" applyFill="1" applyBorder="1" applyAlignment="1">
      <alignment horizontal="right" vertical="top"/>
    </xf>
    <xf numFmtId="0" fontId="71" fillId="0" borderId="509" xfId="10" applyFont="1" applyFill="1" applyBorder="1" applyAlignment="1">
      <alignment horizontal="left" vertical="center" wrapText="1"/>
    </xf>
    <xf numFmtId="0" fontId="71" fillId="0" borderId="513" xfId="10" applyFont="1" applyFill="1" applyBorder="1" applyAlignment="1">
      <alignment horizontal="left" vertical="center" wrapText="1"/>
    </xf>
    <xf numFmtId="0" fontId="0" fillId="0" borderId="519" xfId="0" applyBorder="1"/>
    <xf numFmtId="0" fontId="0" fillId="0" borderId="516" xfId="0" applyBorder="1"/>
    <xf numFmtId="9" fontId="0" fillId="0" borderId="516" xfId="1" applyFont="1" applyBorder="1"/>
    <xf numFmtId="0" fontId="0" fillId="0" borderId="517" xfId="0" applyBorder="1"/>
    <xf numFmtId="0" fontId="0" fillId="0" borderId="509" xfId="0" applyFont="1" applyBorder="1"/>
    <xf numFmtId="2" fontId="48" fillId="22" borderId="509" xfId="13" applyNumberFormat="1" applyFont="1" applyFill="1" applyBorder="1" applyAlignment="1">
      <alignment horizontal="right" vertical="top"/>
    </xf>
    <xf numFmtId="0" fontId="15" fillId="0" borderId="509" xfId="13" applyNumberFormat="1" applyFont="1" applyFill="1" applyBorder="1" applyAlignment="1">
      <alignment horizontal="left" vertical="top"/>
    </xf>
    <xf numFmtId="168" fontId="0" fillId="17" borderId="511" xfId="4" applyNumberFormat="1" applyFont="1" applyFill="1" applyBorder="1" applyAlignment="1">
      <alignment horizontal="right" vertical="center"/>
    </xf>
    <xf numFmtId="0" fontId="0" fillId="0" borderId="510" xfId="0" applyFont="1" applyBorder="1"/>
    <xf numFmtId="0" fontId="0" fillId="0" borderId="511" xfId="0" applyFont="1" applyBorder="1"/>
    <xf numFmtId="2" fontId="0" fillId="0" borderId="74" xfId="0" applyNumberFormat="1" applyFont="1" applyBorder="1" applyAlignment="1">
      <alignment horizontal="right"/>
    </xf>
    <xf numFmtId="2" fontId="0" fillId="0" borderId="514" xfId="0" applyNumberFormat="1" applyFont="1" applyBorder="1" applyAlignment="1">
      <alignment horizontal="right"/>
    </xf>
    <xf numFmtId="0" fontId="22" fillId="0" borderId="513" xfId="3" applyNumberFormat="1" applyFont="1" applyFill="1" applyBorder="1" applyAlignment="1">
      <alignment horizontal="left" vertical="top" wrapText="1"/>
    </xf>
    <xf numFmtId="2" fontId="22" fillId="0" borderId="513" xfId="3" applyNumberFormat="1" applyFont="1" applyFill="1" applyBorder="1" applyAlignment="1">
      <alignment horizontal="right" vertical="center" wrapText="1"/>
    </xf>
    <xf numFmtId="2" fontId="24" fillId="0" borderId="514" xfId="0" applyNumberFormat="1" applyFont="1" applyBorder="1"/>
    <xf numFmtId="0" fontId="48" fillId="22" borderId="509" xfId="5" applyNumberFormat="1" applyFont="1" applyFill="1" applyBorder="1" applyAlignment="1">
      <alignment horizontal="left" vertical="top"/>
    </xf>
    <xf numFmtId="0" fontId="37" fillId="0" borderId="509" xfId="0" applyFont="1" applyBorder="1"/>
    <xf numFmtId="2" fontId="72" fillId="22" borderId="509" xfId="5" applyNumberFormat="1" applyFont="1" applyFill="1" applyBorder="1" applyAlignment="1">
      <alignment horizontal="right" vertical="top"/>
    </xf>
    <xf numFmtId="14" fontId="0" fillId="0" borderId="510" xfId="0" applyNumberFormat="1" applyBorder="1" applyAlignment="1">
      <alignment horizontal="left"/>
    </xf>
    <xf numFmtId="2" fontId="37" fillId="0" borderId="511" xfId="0" applyNumberFormat="1" applyFont="1" applyBorder="1"/>
    <xf numFmtId="9" fontId="0" fillId="0" borderId="509" xfId="1" applyNumberFormat="1" applyFont="1" applyBorder="1"/>
    <xf numFmtId="2" fontId="24" fillId="0" borderId="511" xfId="0" applyNumberFormat="1" applyFont="1" applyBorder="1" applyAlignment="1">
      <alignment horizontal="center"/>
    </xf>
    <xf numFmtId="0" fontId="0" fillId="0" borderId="514" xfId="0" applyBorder="1" applyAlignment="1">
      <alignment horizontal="center"/>
    </xf>
    <xf numFmtId="9" fontId="0" fillId="0" borderId="513" xfId="1" applyNumberFormat="1" applyFont="1" applyBorder="1"/>
    <xf numFmtId="0" fontId="43" fillId="0" borderId="513" xfId="0" applyFont="1" applyBorder="1"/>
    <xf numFmtId="0" fontId="54" fillId="0" borderId="509" xfId="3" applyNumberFormat="1" applyFont="1" applyFill="1" applyBorder="1" applyAlignment="1">
      <alignment horizontal="left" vertical="top" wrapText="1"/>
    </xf>
    <xf numFmtId="0" fontId="63" fillId="0" borderId="509" xfId="8" applyNumberFormat="1" applyFont="1" applyFill="1" applyBorder="1" applyAlignment="1">
      <alignment horizontal="left" vertical="top"/>
    </xf>
    <xf numFmtId="9" fontId="0" fillId="0" borderId="509" xfId="1" applyNumberFormat="1" applyFont="1" applyFill="1" applyBorder="1"/>
    <xf numFmtId="2" fontId="63" fillId="0" borderId="509" xfId="8" applyNumberFormat="1" applyFont="1" applyFill="1" applyBorder="1" applyAlignment="1">
      <alignment horizontal="right" vertical="top"/>
    </xf>
    <xf numFmtId="2" fontId="24" fillId="0" borderId="511" xfId="0" applyNumberFormat="1" applyFont="1" applyFill="1" applyBorder="1" applyAlignment="1">
      <alignment horizontal="right"/>
    </xf>
    <xf numFmtId="0" fontId="0" fillId="0" borderId="512" xfId="0" applyFont="1" applyFill="1" applyBorder="1"/>
    <xf numFmtId="0" fontId="63" fillId="0" borderId="513" xfId="8" applyNumberFormat="1" applyFont="1" applyFill="1" applyBorder="1" applyAlignment="1">
      <alignment horizontal="left" vertical="top"/>
    </xf>
    <xf numFmtId="9" fontId="0" fillId="0" borderId="513" xfId="1" applyNumberFormat="1" applyFont="1" applyFill="1" applyBorder="1"/>
    <xf numFmtId="2" fontId="63" fillId="0" borderId="513" xfId="8" applyNumberFormat="1" applyFont="1" applyFill="1" applyBorder="1" applyAlignment="1">
      <alignment horizontal="right" vertical="top"/>
    </xf>
    <xf numFmtId="0" fontId="0" fillId="0" borderId="514" xfId="0" applyFont="1" applyFill="1" applyBorder="1" applyAlignment="1">
      <alignment horizontal="right"/>
    </xf>
    <xf numFmtId="2" fontId="0" fillId="0" borderId="367" xfId="0" applyNumberFormat="1" applyFont="1" applyFill="1" applyBorder="1"/>
    <xf numFmtId="0" fontId="63" fillId="0" borderId="368" xfId="8" applyNumberFormat="1" applyFont="1" applyFill="1" applyBorder="1" applyAlignment="1">
      <alignment horizontal="left" vertical="top"/>
    </xf>
    <xf numFmtId="9" fontId="0" fillId="0" borderId="368" xfId="1" applyNumberFormat="1" applyFont="1" applyFill="1" applyBorder="1"/>
    <xf numFmtId="2" fontId="63" fillId="0" borderId="368" xfId="8" applyNumberFormat="1" applyFont="1" applyFill="1" applyBorder="1" applyAlignment="1">
      <alignment horizontal="right" vertical="top"/>
    </xf>
    <xf numFmtId="2" fontId="24" fillId="0" borderId="387" xfId="0" applyNumberFormat="1" applyFont="1" applyFill="1" applyBorder="1" applyAlignment="1">
      <alignment horizontal="right"/>
    </xf>
    <xf numFmtId="14" fontId="0" fillId="0" borderId="367" xfId="0" applyNumberFormat="1" applyFont="1" applyFill="1" applyBorder="1"/>
    <xf numFmtId="0" fontId="65" fillId="22" borderId="368" xfId="8" applyNumberFormat="1" applyFont="1" applyFill="1" applyBorder="1" applyAlignment="1">
      <alignment horizontal="left" vertical="top"/>
    </xf>
    <xf numFmtId="2" fontId="66" fillId="22" borderId="368" xfId="8" applyNumberFormat="1" applyFont="1" applyFill="1" applyBorder="1" applyAlignment="1">
      <alignment horizontal="right" vertical="top"/>
    </xf>
    <xf numFmtId="9" fontId="0" fillId="0" borderId="368" xfId="0" applyNumberFormat="1" applyFont="1" applyFill="1" applyBorder="1"/>
    <xf numFmtId="2" fontId="0" fillId="0" borderId="368" xfId="0" applyNumberFormat="1" applyBorder="1" applyAlignment="1">
      <alignment horizontal="right"/>
    </xf>
    <xf numFmtId="2" fontId="0" fillId="0" borderId="387" xfId="0" applyNumberFormat="1" applyBorder="1"/>
    <xf numFmtId="0" fontId="0" fillId="4" borderId="509" xfId="0" applyFill="1" applyBorder="1"/>
    <xf numFmtId="9" fontId="0" fillId="4" borderId="509" xfId="0" applyNumberFormat="1" applyFont="1" applyFill="1" applyBorder="1"/>
    <xf numFmtId="2" fontId="0" fillId="4" borderId="509" xfId="0" applyNumberFormat="1" applyFill="1" applyBorder="1"/>
    <xf numFmtId="2" fontId="23" fillId="0" borderId="509" xfId="0" applyNumberFormat="1" applyFont="1" applyFill="1" applyBorder="1"/>
    <xf numFmtId="0" fontId="23" fillId="0" borderId="509" xfId="0" applyFont="1" applyFill="1" applyBorder="1"/>
    <xf numFmtId="0" fontId="49" fillId="0" borderId="509" xfId="8" applyNumberFormat="1" applyFont="1" applyFill="1" applyBorder="1" applyAlignment="1">
      <alignment horizontal="left" vertical="top"/>
    </xf>
    <xf numFmtId="9" fontId="23" fillId="0" borderId="509" xfId="1" applyNumberFormat="1" applyFont="1" applyBorder="1"/>
    <xf numFmtId="2" fontId="49" fillId="0" borderId="509" xfId="3" applyNumberFormat="1" applyFont="1" applyFill="1" applyBorder="1" applyAlignment="1">
      <alignment horizontal="right" vertical="center" wrapText="1"/>
    </xf>
    <xf numFmtId="2" fontId="23" fillId="0" borderId="509" xfId="0" applyNumberFormat="1" applyFont="1" applyBorder="1"/>
    <xf numFmtId="0" fontId="49" fillId="0" borderId="509" xfId="3" applyNumberFormat="1" applyFont="1" applyFill="1" applyBorder="1" applyAlignment="1">
      <alignment horizontal="left" vertical="top" wrapText="1"/>
    </xf>
    <xf numFmtId="9" fontId="23" fillId="0" borderId="509" xfId="1" applyFont="1" applyBorder="1"/>
    <xf numFmtId="0" fontId="23" fillId="0" borderId="509" xfId="0" applyFont="1" applyBorder="1"/>
    <xf numFmtId="2" fontId="48" fillId="22" borderId="509" xfId="5" applyNumberFormat="1" applyFont="1" applyFill="1" applyBorder="1" applyAlignment="1">
      <alignment horizontal="right" vertical="top"/>
    </xf>
    <xf numFmtId="14" fontId="0" fillId="0" borderId="510" xfId="0" applyNumberFormat="1" applyFont="1" applyBorder="1" applyAlignment="1">
      <alignment horizontal="left"/>
    </xf>
    <xf numFmtId="2" fontId="15" fillId="17" borderId="511" xfId="2" applyNumberFormat="1" applyFont="1" applyFill="1" applyBorder="1" applyAlignment="1">
      <alignment horizontal="center" vertical="center"/>
    </xf>
    <xf numFmtId="0" fontId="0" fillId="0" borderId="512" xfId="0" applyFont="1" applyBorder="1"/>
    <xf numFmtId="0" fontId="0" fillId="0" borderId="513" xfId="0" applyFont="1" applyBorder="1"/>
    <xf numFmtId="0" fontId="48" fillId="22" borderId="513" xfId="5" applyNumberFormat="1" applyFont="1" applyFill="1" applyBorder="1" applyAlignment="1">
      <alignment horizontal="left" vertical="top"/>
    </xf>
    <xf numFmtId="2" fontId="48" fillId="22" borderId="513" xfId="5" applyNumberFormat="1" applyFont="1" applyFill="1" applyBorder="1" applyAlignment="1">
      <alignment horizontal="right" vertical="top"/>
    </xf>
    <xf numFmtId="2" fontId="15" fillId="17" borderId="514" xfId="2" applyNumberFormat="1" applyFont="1" applyFill="1" applyBorder="1" applyAlignment="1">
      <alignment horizontal="center" vertical="center"/>
    </xf>
    <xf numFmtId="14" fontId="0" fillId="0" borderId="82" xfId="0" applyNumberFormat="1" applyFont="1" applyFill="1" applyBorder="1"/>
    <xf numFmtId="0" fontId="65" fillId="22" borderId="104" xfId="8" applyNumberFormat="1" applyFont="1" applyFill="1" applyBorder="1" applyAlignment="1">
      <alignment horizontal="left" vertical="top"/>
    </xf>
    <xf numFmtId="2" fontId="66" fillId="22" borderId="104" xfId="8" applyNumberFormat="1" applyFont="1" applyFill="1" applyBorder="1" applyAlignment="1">
      <alignment horizontal="right" vertical="top"/>
    </xf>
    <xf numFmtId="2" fontId="0" fillId="0" borderId="104" xfId="0" applyNumberFormat="1" applyBorder="1" applyAlignment="1">
      <alignment horizontal="right"/>
    </xf>
    <xf numFmtId="2" fontId="0" fillId="0" borderId="105" xfId="0" applyNumberFormat="1" applyBorder="1"/>
    <xf numFmtId="2" fontId="0" fillId="0" borderId="74" xfId="0" applyNumberFormat="1" applyBorder="1" applyAlignment="1">
      <alignment horizontal="center"/>
    </xf>
    <xf numFmtId="0" fontId="48" fillId="22" borderId="494" xfId="8" applyNumberFormat="1" applyFont="1" applyFill="1" applyBorder="1" applyAlignment="1">
      <alignment horizontal="left" vertical="top"/>
    </xf>
    <xf numFmtId="0" fontId="48" fillId="22" borderId="450" xfId="8" applyNumberFormat="1" applyFont="1" applyFill="1" applyBorder="1" applyAlignment="1">
      <alignment horizontal="left" vertical="top"/>
    </xf>
    <xf numFmtId="2" fontId="48" fillId="22" borderId="494" xfId="8" applyNumberFormat="1" applyFont="1" applyFill="1" applyBorder="1" applyAlignment="1">
      <alignment vertical="top"/>
    </xf>
    <xf numFmtId="0" fontId="15" fillId="0" borderId="511" xfId="28" applyFont="1" applyBorder="1" applyAlignment="1" applyProtection="1">
      <protection locked="0"/>
    </xf>
    <xf numFmtId="2" fontId="15" fillId="26" borderId="524" xfId="25" applyNumberFormat="1" applyFont="1" applyFill="1" applyBorder="1" applyAlignment="1">
      <alignment vertical="top" wrapText="1"/>
    </xf>
    <xf numFmtId="2" fontId="48" fillId="22" borderId="450" xfId="8" applyNumberFormat="1" applyFont="1" applyFill="1" applyBorder="1" applyAlignment="1">
      <alignment vertical="top"/>
    </xf>
    <xf numFmtId="2" fontId="15" fillId="17" borderId="514" xfId="22" applyNumberFormat="1" applyFont="1" applyFill="1" applyBorder="1" applyAlignment="1" applyProtection="1">
      <alignment vertical="top" wrapText="1"/>
      <protection locked="0"/>
    </xf>
    <xf numFmtId="0" fontId="1" fillId="2" borderId="14" xfId="0" applyFont="1" applyFill="1" applyBorder="1" applyAlignment="1">
      <alignment horizontal="center" vertical="center" wrapText="1"/>
    </xf>
    <xf numFmtId="0" fontId="1" fillId="2" borderId="367" xfId="0" applyFont="1" applyFill="1" applyBorder="1" applyAlignment="1">
      <alignment horizontal="center" vertical="center" wrapText="1"/>
    </xf>
    <xf numFmtId="0" fontId="1" fillId="2" borderId="234" xfId="0" applyFont="1" applyFill="1" applyBorder="1" applyAlignment="1">
      <alignment horizontal="center" vertical="center" wrapText="1"/>
    </xf>
    <xf numFmtId="0" fontId="1" fillId="2" borderId="516" xfId="0" applyFont="1" applyFill="1" applyBorder="1" applyAlignment="1">
      <alignment horizontal="center" vertical="center" wrapText="1"/>
    </xf>
    <xf numFmtId="0" fontId="1" fillId="2" borderId="63" xfId="0" applyFont="1" applyFill="1" applyBorder="1" applyAlignment="1">
      <alignment horizontal="center" vertical="center" wrapText="1"/>
    </xf>
    <xf numFmtId="0" fontId="1" fillId="2" borderId="368" xfId="0" applyFont="1" applyFill="1" applyBorder="1" applyAlignment="1">
      <alignment horizontal="center" vertical="center" wrapText="1"/>
    </xf>
    <xf numFmtId="0" fontId="1" fillId="2" borderId="74" xfId="0" applyFont="1" applyFill="1" applyBorder="1" applyAlignment="1">
      <alignment horizontal="center" vertical="center" wrapText="1"/>
    </xf>
    <xf numFmtId="0" fontId="1" fillId="2" borderId="517" xfId="0" applyFont="1" applyFill="1" applyBorder="1" applyAlignment="1">
      <alignment horizontal="center" vertical="center" wrapText="1"/>
    </xf>
    <xf numFmtId="0" fontId="0" fillId="0" borderId="510" xfId="0" applyBorder="1" applyAlignment="1">
      <alignment horizontal="center" vertical="center"/>
    </xf>
    <xf numFmtId="0" fontId="0" fillId="0" borderId="512" xfId="0" applyBorder="1" applyAlignment="1">
      <alignment horizontal="center" vertical="center"/>
    </xf>
    <xf numFmtId="0" fontId="0" fillId="0" borderId="51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04" xfId="0" applyBorder="1" applyAlignment="1">
      <alignment horizontal="center" vertical="center"/>
    </xf>
    <xf numFmtId="0" fontId="1" fillId="2" borderId="24" xfId="0" applyFont="1" applyFill="1" applyBorder="1" applyAlignment="1">
      <alignment horizontal="center" vertical="center" wrapText="1"/>
    </xf>
    <xf numFmtId="0" fontId="0" fillId="0" borderId="521" xfId="0" applyBorder="1" applyAlignment="1">
      <alignment horizontal="center" vertical="center"/>
    </xf>
    <xf numFmtId="0" fontId="0" fillId="0" borderId="424" xfId="0" applyBorder="1" applyAlignment="1">
      <alignment horizontal="center" vertical="center"/>
    </xf>
    <xf numFmtId="0" fontId="1" fillId="2" borderId="519" xfId="0" applyFont="1" applyFill="1" applyBorder="1" applyAlignment="1">
      <alignment horizontal="center" vertical="center" wrapText="1"/>
    </xf>
    <xf numFmtId="0" fontId="1" fillId="2" borderId="509" xfId="0" applyFont="1" applyFill="1" applyBorder="1" applyAlignment="1">
      <alignment horizontal="center" vertical="center" wrapText="1"/>
    </xf>
    <xf numFmtId="0" fontId="0" fillId="0" borderId="368" xfId="0" applyBorder="1" applyAlignment="1">
      <alignment horizontal="center" vertical="center"/>
    </xf>
    <xf numFmtId="0" fontId="0" fillId="0" borderId="519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0" fillId="0" borderId="367" xfId="0" applyBorder="1" applyAlignment="1">
      <alignment horizontal="center" vertical="center"/>
    </xf>
    <xf numFmtId="0" fontId="0" fillId="0" borderId="509" xfId="0" applyBorder="1" applyAlignment="1">
      <alignment horizontal="center" vertical="center"/>
    </xf>
    <xf numFmtId="0" fontId="0" fillId="0" borderId="513" xfId="0" applyBorder="1" applyAlignment="1">
      <alignment horizontal="center" vertical="center"/>
    </xf>
    <xf numFmtId="0" fontId="0" fillId="0" borderId="518" xfId="0" applyBorder="1" applyAlignment="1">
      <alignment horizontal="center" vertical="center"/>
    </xf>
    <xf numFmtId="0" fontId="0" fillId="0" borderId="497" xfId="0" applyBorder="1" applyAlignment="1">
      <alignment horizontal="center" vertical="center"/>
    </xf>
    <xf numFmtId="0" fontId="0" fillId="0" borderId="498" xfId="0" applyBorder="1" applyAlignment="1">
      <alignment horizontal="center" vertical="center"/>
    </xf>
    <xf numFmtId="0" fontId="1" fillId="2" borderId="64" xfId="0" applyFont="1" applyFill="1" applyBorder="1" applyAlignment="1">
      <alignment horizontal="center" vertical="center" wrapText="1"/>
    </xf>
    <xf numFmtId="0" fontId="1" fillId="2" borderId="82" xfId="0" applyFont="1" applyFill="1" applyBorder="1" applyAlignment="1">
      <alignment horizontal="center" vertical="center" wrapText="1"/>
    </xf>
    <xf numFmtId="0" fontId="1" fillId="2" borderId="513" xfId="0" applyFont="1" applyFill="1" applyBorder="1" applyAlignment="1">
      <alignment horizontal="center" vertical="center" wrapText="1"/>
    </xf>
    <xf numFmtId="0" fontId="1" fillId="2" borderId="104" xfId="0" applyFont="1" applyFill="1" applyBorder="1" applyAlignment="1">
      <alignment horizontal="center" vertical="center" wrapText="1"/>
    </xf>
    <xf numFmtId="0" fontId="1" fillId="2" borderId="514" xfId="0" applyFont="1" applyFill="1" applyBorder="1" applyAlignment="1">
      <alignment horizontal="center" vertical="center" wrapText="1"/>
    </xf>
    <xf numFmtId="0" fontId="0" fillId="0" borderId="490" xfId="0" applyBorder="1" applyAlignment="1">
      <alignment horizontal="center" vertical="center"/>
    </xf>
    <xf numFmtId="0" fontId="1" fillId="2" borderId="490" xfId="0" applyFont="1" applyFill="1" applyBorder="1" applyAlignment="1">
      <alignment horizontal="center" vertical="center" wrapText="1"/>
    </xf>
    <xf numFmtId="0" fontId="1" fillId="2" borderId="496" xfId="0" applyFont="1" applyFill="1" applyBorder="1" applyAlignment="1">
      <alignment horizontal="center" vertical="center" wrapText="1"/>
    </xf>
    <xf numFmtId="0" fontId="0" fillId="0" borderId="487" xfId="0" applyBorder="1" applyAlignment="1">
      <alignment horizontal="center" vertical="center"/>
    </xf>
    <xf numFmtId="0" fontId="0" fillId="0" borderId="483" xfId="0" applyBorder="1" applyAlignment="1">
      <alignment horizontal="center" vertical="center"/>
    </xf>
    <xf numFmtId="0" fontId="1" fillId="2" borderId="485" xfId="0" applyFont="1" applyFill="1" applyBorder="1" applyAlignment="1">
      <alignment horizontal="center" vertical="center" wrapText="1"/>
    </xf>
    <xf numFmtId="0" fontId="1" fillId="2" borderId="486" xfId="0" applyFont="1" applyFill="1" applyBorder="1" applyAlignment="1">
      <alignment horizontal="center" vertical="center" wrapText="1"/>
    </xf>
    <xf numFmtId="0" fontId="1" fillId="2" borderId="488" xfId="0" applyFont="1" applyFill="1" applyBorder="1" applyAlignment="1">
      <alignment horizontal="center" vertical="center" wrapText="1"/>
    </xf>
    <xf numFmtId="0" fontId="0" fillId="2" borderId="234" xfId="0" applyFont="1" applyFill="1" applyBorder="1" applyAlignment="1">
      <alignment horizontal="center" vertical="center" wrapText="1"/>
    </xf>
    <xf numFmtId="0" fontId="0" fillId="2" borderId="488" xfId="0" applyFont="1" applyFill="1" applyBorder="1" applyAlignment="1">
      <alignment horizontal="center" vertical="center" wrapText="1"/>
    </xf>
    <xf numFmtId="0" fontId="0" fillId="2" borderId="74" xfId="0" applyFont="1" applyFill="1" applyBorder="1" applyAlignment="1">
      <alignment horizontal="center" vertical="center" wrapText="1"/>
    </xf>
    <xf numFmtId="0" fontId="0" fillId="2" borderId="489" xfId="0" applyFont="1" applyFill="1" applyBorder="1" applyAlignment="1">
      <alignment horizontal="center" vertical="center" wrapText="1"/>
    </xf>
    <xf numFmtId="0" fontId="1" fillId="2" borderId="484" xfId="0" applyFont="1" applyFill="1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82" xfId="0" applyBorder="1" applyAlignment="1">
      <alignment horizontal="center" vertical="center" wrapText="1"/>
    </xf>
    <xf numFmtId="2" fontId="0" fillId="0" borderId="496" xfId="0" applyNumberFormat="1" applyBorder="1" applyAlignment="1">
      <alignment horizontal="center" vertical="center"/>
    </xf>
    <xf numFmtId="2" fontId="0" fillId="0" borderId="242" xfId="0" applyNumberFormat="1" applyBorder="1" applyAlignment="1">
      <alignment horizontal="center" vertical="center"/>
    </xf>
    <xf numFmtId="2" fontId="0" fillId="0" borderId="105" xfId="0" applyNumberFormat="1" applyBorder="1" applyAlignment="1">
      <alignment horizontal="center" vertical="center"/>
    </xf>
    <xf numFmtId="0" fontId="0" fillId="0" borderId="22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69" xfId="0" applyBorder="1" applyAlignment="1">
      <alignment horizontal="center" vertical="center"/>
    </xf>
    <xf numFmtId="0" fontId="0" fillId="0" borderId="38" xfId="0" applyBorder="1"/>
    <xf numFmtId="0" fontId="0" fillId="0" borderId="369" xfId="0" applyBorder="1"/>
    <xf numFmtId="0" fontId="0" fillId="2" borderId="73" xfId="0" applyFont="1" applyFill="1" applyBorder="1" applyAlignment="1">
      <alignment horizontal="center" vertical="center" wrapText="1"/>
    </xf>
    <xf numFmtId="0" fontId="0" fillId="2" borderId="487" xfId="0" applyFont="1" applyFill="1" applyBorder="1" applyAlignment="1">
      <alignment horizontal="center" vertical="center" wrapText="1"/>
    </xf>
    <xf numFmtId="2" fontId="0" fillId="0" borderId="489" xfId="0" applyNumberFormat="1" applyBorder="1" applyAlignment="1">
      <alignment horizontal="center" vertical="center"/>
    </xf>
    <xf numFmtId="0" fontId="0" fillId="0" borderId="486" xfId="0" applyBorder="1" applyAlignment="1">
      <alignment horizontal="center" vertical="center"/>
    </xf>
    <xf numFmtId="9" fontId="0" fillId="0" borderId="490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9" fontId="0" fillId="0" borderId="104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90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104" xfId="0" applyNumberFormat="1" applyBorder="1" applyAlignment="1">
      <alignment horizontal="center" vertical="center"/>
    </xf>
    <xf numFmtId="0" fontId="0" fillId="0" borderId="490" xfId="0" applyFont="1" applyBorder="1" applyAlignment="1">
      <alignment horizontal="center" vertical="center" wrapText="1"/>
    </xf>
    <xf numFmtId="0" fontId="0" fillId="0" borderId="104" xfId="0" applyFont="1" applyBorder="1" applyAlignment="1">
      <alignment horizontal="center" vertical="center" wrapText="1"/>
    </xf>
    <xf numFmtId="9" fontId="0" fillId="0" borderId="368" xfId="0" applyNumberFormat="1" applyBorder="1" applyAlignment="1">
      <alignment horizontal="center" vertical="center"/>
    </xf>
    <xf numFmtId="0" fontId="0" fillId="0" borderId="488" xfId="0" applyBorder="1" applyAlignment="1">
      <alignment horizontal="center" vertical="center"/>
    </xf>
    <xf numFmtId="0" fontId="1" fillId="2" borderId="491" xfId="0" applyFont="1" applyFill="1" applyBorder="1" applyAlignment="1">
      <alignment horizontal="center" vertical="center" wrapText="1"/>
    </xf>
    <xf numFmtId="2" fontId="0" fillId="0" borderId="368" xfId="0" applyNumberForma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2" borderId="473" xfId="0" applyFont="1" applyFill="1" applyBorder="1" applyAlignment="1">
      <alignment horizontal="center" vertical="center" wrapText="1"/>
    </xf>
    <xf numFmtId="0" fontId="0" fillId="0" borderId="456" xfId="0" applyBorder="1" applyAlignment="1">
      <alignment horizontal="center" vertical="center"/>
    </xf>
    <xf numFmtId="0" fontId="15" fillId="2" borderId="73" xfId="0" applyFont="1" applyFill="1" applyBorder="1" applyAlignment="1">
      <alignment horizontal="center" vertical="center" wrapText="1"/>
    </xf>
    <xf numFmtId="0" fontId="15" fillId="2" borderId="487" xfId="0" applyFont="1" applyFill="1" applyBorder="1" applyAlignment="1">
      <alignment horizontal="center" vertical="center" wrapText="1"/>
    </xf>
    <xf numFmtId="0" fontId="1" fillId="2" borderId="474" xfId="0" applyFont="1" applyFill="1" applyBorder="1" applyAlignment="1">
      <alignment horizontal="center" vertical="center" wrapText="1"/>
    </xf>
    <xf numFmtId="0" fontId="0" fillId="0" borderId="472" xfId="0" applyBorder="1" applyAlignment="1">
      <alignment horizontal="center" vertical="center"/>
    </xf>
    <xf numFmtId="0" fontId="0" fillId="0" borderId="469" xfId="0" applyBorder="1" applyAlignment="1">
      <alignment horizontal="center" vertical="center"/>
    </xf>
    <xf numFmtId="0" fontId="0" fillId="0" borderId="473" xfId="0" applyBorder="1" applyAlignment="1">
      <alignment horizontal="center" vertical="center"/>
    </xf>
    <xf numFmtId="0" fontId="0" fillId="0" borderId="471" xfId="0" applyBorder="1" applyAlignment="1">
      <alignment horizontal="center" vertical="center"/>
    </xf>
    <xf numFmtId="0" fontId="0" fillId="0" borderId="475" xfId="0" applyBorder="1" applyAlignment="1">
      <alignment horizontal="center" vertical="center"/>
    </xf>
    <xf numFmtId="0" fontId="15" fillId="2" borderId="234" xfId="0" applyFont="1" applyFill="1" applyBorder="1" applyAlignment="1">
      <alignment horizontal="center" vertical="center" wrapText="1"/>
    </xf>
    <xf numFmtId="0" fontId="15" fillId="2" borderId="488" xfId="0" applyFont="1" applyFill="1" applyBorder="1" applyAlignment="1">
      <alignment horizontal="center" vertical="center" wrapText="1"/>
    </xf>
    <xf numFmtId="0" fontId="0" fillId="0" borderId="490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368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/>
    </xf>
    <xf numFmtId="0" fontId="1" fillId="2" borderId="352" xfId="0" applyFont="1" applyFill="1" applyBorder="1" applyAlignment="1">
      <alignment horizontal="center" vertical="center" wrapText="1"/>
    </xf>
    <xf numFmtId="0" fontId="1" fillId="2" borderId="348" xfId="0" applyFont="1" applyFill="1" applyBorder="1" applyAlignment="1">
      <alignment horizontal="center" vertical="center" wrapText="1"/>
    </xf>
    <xf numFmtId="2" fontId="0" fillId="0" borderId="457" xfId="0" applyNumberFormat="1" applyBorder="1" applyAlignment="1">
      <alignment horizontal="center" vertical="center"/>
    </xf>
    <xf numFmtId="0" fontId="1" fillId="2" borderId="431" xfId="0" applyFont="1" applyFill="1" applyBorder="1" applyAlignment="1">
      <alignment horizontal="center" vertical="center" wrapText="1"/>
    </xf>
    <xf numFmtId="0" fontId="1" fillId="2" borderId="456" xfId="0" applyFont="1" applyFill="1" applyBorder="1" applyAlignment="1">
      <alignment horizontal="center" vertical="center" wrapText="1"/>
    </xf>
    <xf numFmtId="0" fontId="0" fillId="0" borderId="431" xfId="0" applyBorder="1" applyAlignment="1">
      <alignment horizontal="center" vertical="center"/>
    </xf>
    <xf numFmtId="0" fontId="0" fillId="0" borderId="348" xfId="0" applyBorder="1" applyAlignment="1">
      <alignment horizontal="center" vertical="center"/>
    </xf>
    <xf numFmtId="0" fontId="1" fillId="2" borderId="73" xfId="0" applyFont="1" applyFill="1" applyBorder="1" applyAlignment="1">
      <alignment horizontal="center" vertical="center" wrapText="1"/>
    </xf>
    <xf numFmtId="0" fontId="1" fillId="2" borderId="472" xfId="0" applyFont="1" applyFill="1" applyBorder="1" applyAlignment="1">
      <alignment horizontal="center" vertical="center" wrapText="1"/>
    </xf>
    <xf numFmtId="0" fontId="15" fillId="2" borderId="74" xfId="0" applyFont="1" applyFill="1" applyBorder="1" applyAlignment="1">
      <alignment horizontal="center" vertical="center" wrapText="1"/>
    </xf>
    <xf numFmtId="0" fontId="15" fillId="2" borderId="489" xfId="0" applyFont="1" applyFill="1" applyBorder="1" applyAlignment="1">
      <alignment horizontal="center" vertical="center" wrapText="1"/>
    </xf>
    <xf numFmtId="0" fontId="0" fillId="0" borderId="417" xfId="0" applyBorder="1" applyAlignment="1">
      <alignment horizontal="center" vertical="center"/>
    </xf>
    <xf numFmtId="0" fontId="1" fillId="2" borderId="444" xfId="0" applyFont="1" applyFill="1" applyBorder="1" applyAlignment="1">
      <alignment horizontal="center" vertical="center" wrapText="1"/>
    </xf>
    <xf numFmtId="0" fontId="1" fillId="2" borderId="446" xfId="0" applyFont="1" applyFill="1" applyBorder="1" applyAlignment="1">
      <alignment horizontal="center" vertical="center" wrapText="1"/>
    </xf>
    <xf numFmtId="2" fontId="0" fillId="0" borderId="456" xfId="0" applyNumberFormat="1" applyBorder="1" applyAlignment="1">
      <alignment horizontal="center" vertical="center"/>
    </xf>
    <xf numFmtId="0" fontId="1" fillId="2" borderId="278" xfId="0" applyFont="1" applyFill="1" applyBorder="1" applyAlignment="1">
      <alignment horizontal="center" vertical="center" wrapText="1"/>
    </xf>
    <xf numFmtId="2" fontId="0" fillId="0" borderId="348" xfId="0" applyNumberFormat="1" applyBorder="1" applyAlignment="1">
      <alignment horizontal="center" vertical="center"/>
    </xf>
    <xf numFmtId="0" fontId="0" fillId="2" borderId="433" xfId="0" applyFont="1" applyFill="1" applyBorder="1" applyAlignment="1">
      <alignment horizontal="center" vertical="center" wrapText="1"/>
    </xf>
    <xf numFmtId="0" fontId="0" fillId="2" borderId="447" xfId="0" applyFont="1" applyFill="1" applyBorder="1" applyAlignment="1">
      <alignment horizontal="center" vertical="center" wrapText="1"/>
    </xf>
    <xf numFmtId="0" fontId="0" fillId="2" borderId="278" xfId="0" applyFont="1" applyFill="1" applyBorder="1" applyAlignment="1">
      <alignment horizontal="center" vertical="center" wrapText="1"/>
    </xf>
    <xf numFmtId="0" fontId="0" fillId="2" borderId="279" xfId="0" applyFont="1" applyFill="1" applyBorder="1" applyAlignment="1">
      <alignment horizontal="center" vertical="center" wrapText="1"/>
    </xf>
    <xf numFmtId="0" fontId="0" fillId="2" borderId="348" xfId="0" applyFont="1" applyFill="1" applyBorder="1" applyAlignment="1">
      <alignment horizontal="center" vertical="center" wrapText="1"/>
    </xf>
    <xf numFmtId="0" fontId="0" fillId="2" borderId="352" xfId="0" applyFont="1" applyFill="1" applyBorder="1" applyAlignment="1">
      <alignment horizontal="center" vertical="center" wrapText="1"/>
    </xf>
    <xf numFmtId="0" fontId="1" fillId="2" borderId="429" xfId="0" applyFont="1" applyFill="1" applyBorder="1" applyAlignment="1">
      <alignment horizontal="center" vertical="center" wrapText="1"/>
    </xf>
    <xf numFmtId="0" fontId="1" fillId="2" borderId="437" xfId="0" applyFont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1" fillId="2" borderId="306" xfId="0" applyFont="1" applyFill="1" applyBorder="1" applyAlignment="1">
      <alignment horizontal="center" vertical="center" wrapText="1"/>
    </xf>
    <xf numFmtId="9" fontId="0" fillId="0" borderId="278" xfId="0" applyNumberFormat="1" applyBorder="1" applyAlignment="1">
      <alignment horizontal="center" vertical="center"/>
    </xf>
    <xf numFmtId="0" fontId="0" fillId="2" borderId="297" xfId="0" applyFont="1" applyFill="1" applyBorder="1" applyAlignment="1">
      <alignment horizontal="center" vertical="center" wrapText="1"/>
    </xf>
    <xf numFmtId="0" fontId="0" fillId="2" borderId="59" xfId="0" applyFont="1" applyFill="1" applyBorder="1" applyAlignment="1">
      <alignment horizontal="center" vertical="center" wrapText="1"/>
    </xf>
    <xf numFmtId="0" fontId="0" fillId="2" borderId="412" xfId="0" applyFont="1" applyFill="1" applyBorder="1" applyAlignment="1">
      <alignment horizontal="center" vertical="center" wrapText="1"/>
    </xf>
    <xf numFmtId="0" fontId="0" fillId="0" borderId="63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104" xfId="0" applyFont="1" applyBorder="1" applyAlignment="1">
      <alignment horizontal="center" vertical="center"/>
    </xf>
    <xf numFmtId="0" fontId="1" fillId="2" borderId="432" xfId="0" applyFont="1" applyFill="1" applyBorder="1" applyAlignment="1">
      <alignment horizontal="center" vertical="center" wrapText="1"/>
    </xf>
    <xf numFmtId="0" fontId="0" fillId="0" borderId="306" xfId="0" applyBorder="1" applyAlignment="1">
      <alignment horizontal="center" vertical="center"/>
    </xf>
    <xf numFmtId="0" fontId="0" fillId="2" borderId="413" xfId="0" applyFont="1" applyFill="1" applyBorder="1" applyAlignment="1">
      <alignment horizontal="center" vertical="center" wrapText="1"/>
    </xf>
    <xf numFmtId="2" fontId="0" fillId="0" borderId="278" xfId="0" applyNumberFormat="1" applyBorder="1" applyAlignment="1">
      <alignment horizontal="center" vertical="center"/>
    </xf>
    <xf numFmtId="9" fontId="0" fillId="0" borderId="306" xfId="0" applyNumberFormat="1" applyBorder="1" applyAlignment="1">
      <alignment horizontal="center" vertical="center"/>
    </xf>
    <xf numFmtId="0" fontId="1" fillId="2" borderId="412" xfId="0" applyFont="1" applyFill="1" applyBorder="1" applyAlignment="1">
      <alignment horizontal="center" vertical="center" wrapText="1"/>
    </xf>
    <xf numFmtId="2" fontId="0" fillId="0" borderId="278" xfId="0" applyNumberFormat="1" applyFont="1" applyBorder="1" applyAlignment="1">
      <alignment horizontal="center" vertical="center"/>
    </xf>
    <xf numFmtId="2" fontId="0" fillId="0" borderId="24" xfId="0" applyNumberFormat="1" applyFont="1" applyBorder="1" applyAlignment="1">
      <alignment horizontal="center" vertical="center"/>
    </xf>
    <xf numFmtId="2" fontId="0" fillId="0" borderId="368" xfId="0" applyNumberFormat="1" applyFont="1" applyBorder="1" applyAlignment="1">
      <alignment horizontal="center" vertical="center"/>
    </xf>
    <xf numFmtId="0" fontId="1" fillId="2" borderId="400" xfId="0" applyFont="1" applyFill="1" applyBorder="1" applyAlignment="1">
      <alignment horizontal="center" vertical="center" wrapText="1"/>
    </xf>
    <xf numFmtId="2" fontId="0" fillId="0" borderId="306" xfId="0" applyNumberFormat="1" applyBorder="1" applyAlignment="1">
      <alignment horizontal="center" vertical="center"/>
    </xf>
    <xf numFmtId="0" fontId="0" fillId="2" borderId="381" xfId="0" applyFont="1" applyFill="1" applyBorder="1" applyAlignment="1">
      <alignment horizontal="center" vertical="center" wrapText="1"/>
    </xf>
    <xf numFmtId="0" fontId="0" fillId="0" borderId="380" xfId="0" applyFont="1" applyBorder="1" applyAlignment="1">
      <alignment horizontal="center" vertical="center"/>
    </xf>
    <xf numFmtId="0" fontId="0" fillId="0" borderId="260" xfId="0" applyFont="1" applyBorder="1" applyAlignment="1">
      <alignment horizontal="center" vertical="center"/>
    </xf>
    <xf numFmtId="0" fontId="0" fillId="0" borderId="348" xfId="0" applyFont="1" applyBorder="1" applyAlignment="1">
      <alignment horizontal="center" vertical="center"/>
    </xf>
    <xf numFmtId="0" fontId="2" fillId="0" borderId="362" xfId="0" applyFont="1" applyBorder="1" applyAlignment="1">
      <alignment horizontal="center" vertical="center"/>
    </xf>
    <xf numFmtId="0" fontId="0" fillId="0" borderId="362" xfId="0" applyBorder="1" applyAlignment="1">
      <alignment horizontal="center" vertical="center"/>
    </xf>
    <xf numFmtId="0" fontId="0" fillId="0" borderId="373" xfId="0" applyBorder="1" applyAlignment="1">
      <alignment horizontal="center" vertical="center"/>
    </xf>
    <xf numFmtId="9" fontId="0" fillId="0" borderId="362" xfId="0" applyNumberFormat="1" applyBorder="1" applyAlignment="1">
      <alignment horizontal="center" vertical="center"/>
    </xf>
    <xf numFmtId="9" fontId="0" fillId="0" borderId="373" xfId="0" applyNumberFormat="1" applyBorder="1" applyAlignment="1">
      <alignment horizontal="center" vertical="center"/>
    </xf>
    <xf numFmtId="2" fontId="0" fillId="0" borderId="362" xfId="0" applyNumberFormat="1" applyBorder="1" applyAlignment="1">
      <alignment horizontal="center" vertical="center"/>
    </xf>
    <xf numFmtId="2" fontId="0" fillId="0" borderId="373" xfId="0" applyNumberFormat="1" applyBorder="1" applyAlignment="1">
      <alignment horizontal="center" vertical="center"/>
    </xf>
    <xf numFmtId="2" fontId="0" fillId="0" borderId="381" xfId="0" applyNumberFormat="1" applyBorder="1" applyAlignment="1">
      <alignment horizontal="center" vertical="center"/>
    </xf>
    <xf numFmtId="2" fontId="0" fillId="0" borderId="257" xfId="0" applyNumberFormat="1" applyBorder="1" applyAlignment="1">
      <alignment horizontal="center" vertical="center"/>
    </xf>
    <xf numFmtId="0" fontId="0" fillId="2" borderId="380" xfId="0" applyFont="1" applyFill="1" applyBorder="1" applyAlignment="1">
      <alignment horizontal="center" vertical="center" wrapText="1"/>
    </xf>
    <xf numFmtId="0" fontId="1" fillId="2" borderId="370" xfId="0" applyFont="1" applyFill="1" applyBorder="1" applyAlignment="1">
      <alignment horizontal="center" vertical="center" wrapText="1"/>
    </xf>
    <xf numFmtId="0" fontId="0" fillId="2" borderId="362" xfId="0" applyFont="1" applyFill="1" applyBorder="1" applyAlignment="1">
      <alignment horizontal="center" vertical="center" wrapText="1"/>
    </xf>
    <xf numFmtId="0" fontId="0" fillId="0" borderId="370" xfId="0" applyFill="1" applyBorder="1" applyAlignment="1">
      <alignment horizontal="center" vertical="center"/>
    </xf>
    <xf numFmtId="0" fontId="1" fillId="2" borderId="109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0" fillId="0" borderId="351" xfId="0" applyBorder="1" applyAlignment="1">
      <alignment horizontal="center" vertical="center"/>
    </xf>
    <xf numFmtId="2" fontId="0" fillId="0" borderId="354" xfId="0" applyNumberFormat="1" applyBorder="1" applyAlignment="1">
      <alignment horizontal="center" vertical="center"/>
    </xf>
    <xf numFmtId="0" fontId="1" fillId="2" borderId="366" xfId="0" applyFont="1" applyFill="1" applyBorder="1" applyAlignment="1">
      <alignment horizontal="center" vertical="center" wrapText="1"/>
    </xf>
    <xf numFmtId="0" fontId="1" fillId="2" borderId="362" xfId="0" applyFont="1" applyFill="1" applyBorder="1" applyAlignment="1">
      <alignment horizontal="center" vertical="center" wrapText="1"/>
    </xf>
    <xf numFmtId="0" fontId="1" fillId="2" borderId="276" xfId="0" applyFont="1" applyFill="1" applyBorder="1" applyAlignment="1">
      <alignment horizontal="center" vertical="center" wrapText="1"/>
    </xf>
    <xf numFmtId="0" fontId="0" fillId="2" borderId="222" xfId="0" applyFont="1" applyFill="1" applyBorder="1" applyAlignment="1">
      <alignment horizontal="center" vertical="center" wrapText="1"/>
    </xf>
    <xf numFmtId="0" fontId="0" fillId="2" borderId="351" xfId="0" applyFont="1" applyFill="1" applyBorder="1" applyAlignment="1">
      <alignment horizontal="center" vertical="center" wrapText="1"/>
    </xf>
    <xf numFmtId="0" fontId="1" fillId="2" borderId="271" xfId="0" applyFont="1" applyFill="1" applyBorder="1" applyAlignment="1">
      <alignment horizontal="center" vertical="center" wrapText="1"/>
    </xf>
    <xf numFmtId="0" fontId="0" fillId="0" borderId="272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1" fillId="2" borderId="162" xfId="0" applyFont="1" applyFill="1" applyBorder="1" applyAlignment="1">
      <alignment horizontal="center" vertical="center" wrapText="1"/>
    </xf>
    <xf numFmtId="0" fontId="1" fillId="2" borderId="270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0" fontId="1" fillId="2" borderId="185" xfId="0" applyFont="1" applyFill="1" applyBorder="1" applyAlignment="1">
      <alignment horizontal="center" vertical="center" wrapText="1"/>
    </xf>
    <xf numFmtId="0" fontId="1" fillId="2" borderId="186" xfId="0" applyFont="1" applyFill="1" applyBorder="1" applyAlignment="1">
      <alignment horizontal="center" vertical="center" wrapText="1"/>
    </xf>
    <xf numFmtId="9" fontId="0" fillId="0" borderId="339" xfId="0" applyNumberFormat="1" applyBorder="1" applyAlignment="1">
      <alignment horizontal="center" vertical="center"/>
    </xf>
    <xf numFmtId="2" fontId="0" fillId="0" borderId="339" xfId="0" applyNumberFormat="1" applyBorder="1" applyAlignment="1">
      <alignment horizontal="center" vertical="center"/>
    </xf>
    <xf numFmtId="0" fontId="0" fillId="0" borderId="271" xfId="0" applyBorder="1" applyAlignment="1">
      <alignment horizontal="center" vertical="center"/>
    </xf>
    <xf numFmtId="9" fontId="0" fillId="0" borderId="271" xfId="0" applyNumberFormat="1" applyBorder="1" applyAlignment="1">
      <alignment horizontal="center" vertical="center"/>
    </xf>
    <xf numFmtId="0" fontId="0" fillId="2" borderId="267" xfId="0" applyFont="1" applyFill="1" applyBorder="1" applyAlignment="1">
      <alignment horizontal="center" vertical="center" wrapText="1"/>
    </xf>
    <xf numFmtId="0" fontId="1" fillId="2" borderId="59" xfId="0" applyFont="1" applyFill="1" applyBorder="1" applyAlignment="1">
      <alignment horizontal="center" vertical="center" wrapText="1"/>
    </xf>
    <xf numFmtId="0" fontId="1" fillId="2" borderId="258" xfId="0" applyFont="1" applyFill="1" applyBorder="1" applyAlignment="1">
      <alignment horizontal="center" vertical="center" wrapText="1"/>
    </xf>
    <xf numFmtId="0" fontId="0" fillId="2" borderId="270" xfId="0" applyFont="1" applyFill="1" applyBorder="1" applyAlignment="1">
      <alignment horizontal="center" vertical="center" wrapText="1"/>
    </xf>
    <xf numFmtId="0" fontId="0" fillId="2" borderId="162" xfId="0" applyFont="1" applyFill="1" applyBorder="1" applyAlignment="1">
      <alignment horizontal="center" vertical="center" wrapText="1"/>
    </xf>
    <xf numFmtId="0" fontId="0" fillId="0" borderId="186" xfId="0" applyBorder="1" applyAlignment="1">
      <alignment horizontal="center" vertical="center"/>
    </xf>
    <xf numFmtId="9" fontId="0" fillId="0" borderId="186" xfId="0" applyNumberFormat="1" applyBorder="1" applyAlignment="1">
      <alignment horizontal="center" vertical="center"/>
    </xf>
    <xf numFmtId="0" fontId="0" fillId="2" borderId="200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9" fontId="0" fillId="0" borderId="22" xfId="0" applyNumberFormat="1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1" fillId="2" borderId="274" xfId="0" applyFont="1" applyFill="1" applyBorder="1" applyAlignment="1">
      <alignment horizontal="center" vertical="center" wrapText="1"/>
    </xf>
    <xf numFmtId="0" fontId="1" fillId="2" borderId="229" xfId="0" applyFont="1" applyFill="1" applyBorder="1" applyAlignment="1">
      <alignment horizontal="center" vertical="center" wrapText="1"/>
    </xf>
    <xf numFmtId="0" fontId="0" fillId="2" borderId="268" xfId="0" applyFont="1" applyFill="1" applyBorder="1" applyAlignment="1">
      <alignment horizontal="center" vertical="center" wrapText="1"/>
    </xf>
    <xf numFmtId="2" fontId="0" fillId="0" borderId="186" xfId="0" applyNumberFormat="1" applyBorder="1" applyAlignment="1">
      <alignment horizontal="center" vertical="center"/>
    </xf>
    <xf numFmtId="0" fontId="1" fillId="2" borderId="199" xfId="0" applyFont="1" applyFill="1" applyBorder="1" applyAlignment="1">
      <alignment horizontal="center" vertical="center" wrapText="1"/>
    </xf>
    <xf numFmtId="0" fontId="1" fillId="2" borderId="247" xfId="0" applyFont="1" applyFill="1" applyBorder="1" applyAlignment="1">
      <alignment horizontal="center" vertical="center" wrapText="1"/>
    </xf>
    <xf numFmtId="0" fontId="0" fillId="2" borderId="201" xfId="0" applyFont="1" applyFill="1" applyBorder="1" applyAlignment="1">
      <alignment horizontal="center" vertical="center" wrapText="1"/>
    </xf>
    <xf numFmtId="0" fontId="0" fillId="2" borderId="223" xfId="0" applyFont="1" applyFill="1" applyBorder="1" applyAlignment="1">
      <alignment horizontal="center" vertical="center" wrapText="1"/>
    </xf>
    <xf numFmtId="0" fontId="1" fillId="2" borderId="211" xfId="0" applyFont="1" applyFill="1" applyBorder="1" applyAlignment="1">
      <alignment horizontal="center" vertical="center" wrapText="1"/>
    </xf>
    <xf numFmtId="0" fontId="0" fillId="2" borderId="202" xfId="0" applyFont="1" applyFill="1" applyBorder="1" applyAlignment="1">
      <alignment horizontal="center" vertical="center" wrapText="1"/>
    </xf>
    <xf numFmtId="0" fontId="0" fillId="0" borderId="162" xfId="0" applyBorder="1" applyAlignment="1">
      <alignment horizontal="center" vertical="center"/>
    </xf>
    <xf numFmtId="0" fontId="1" fillId="2" borderId="163" xfId="0" applyFont="1" applyFill="1" applyBorder="1" applyAlignment="1">
      <alignment horizontal="center" vertical="center" wrapText="1"/>
    </xf>
    <xf numFmtId="0" fontId="1" fillId="2" borderId="164" xfId="0" applyFont="1" applyFill="1" applyBorder="1" applyAlignment="1">
      <alignment horizontal="center" vertical="center" wrapText="1"/>
    </xf>
    <xf numFmtId="0" fontId="1" fillId="2" borderId="183" xfId="0" applyFont="1" applyFill="1" applyBorder="1" applyAlignment="1">
      <alignment horizontal="center" vertical="center" wrapText="1"/>
    </xf>
    <xf numFmtId="0" fontId="1" fillId="2" borderId="135" xfId="0" applyFont="1" applyFill="1" applyBorder="1" applyAlignment="1">
      <alignment horizontal="center" vertical="center" wrapText="1"/>
    </xf>
    <xf numFmtId="0" fontId="0" fillId="2" borderId="167" xfId="0" applyFont="1" applyFill="1" applyBorder="1" applyAlignment="1">
      <alignment horizontal="center" vertical="center" wrapText="1"/>
    </xf>
    <xf numFmtId="0" fontId="1" fillId="2" borderId="179" xfId="0" applyFont="1" applyFill="1" applyBorder="1" applyAlignment="1">
      <alignment horizontal="center" vertical="center" wrapText="1"/>
    </xf>
    <xf numFmtId="9" fontId="0" fillId="0" borderId="211" xfId="0" applyNumberFormat="1" applyBorder="1" applyAlignment="1">
      <alignment horizontal="center" vertical="center"/>
    </xf>
    <xf numFmtId="0" fontId="1" fillId="2" borderId="156" xfId="0" applyFont="1" applyFill="1" applyBorder="1" applyAlignment="1">
      <alignment horizontal="center" vertical="center" wrapText="1"/>
    </xf>
    <xf numFmtId="0" fontId="0" fillId="0" borderId="179" xfId="0" applyBorder="1" applyAlignment="1">
      <alignment horizontal="center" vertical="center"/>
    </xf>
    <xf numFmtId="9" fontId="0" fillId="0" borderId="179" xfId="0" applyNumberFormat="1" applyBorder="1" applyAlignment="1">
      <alignment horizontal="center" vertical="center"/>
    </xf>
    <xf numFmtId="9" fontId="0" fillId="0" borderId="183" xfId="0" applyNumberFormat="1" applyBorder="1" applyAlignment="1">
      <alignment horizontal="center" vertical="center"/>
    </xf>
    <xf numFmtId="0" fontId="0" fillId="0" borderId="163" xfId="0" applyBorder="1" applyAlignment="1">
      <alignment horizontal="center" vertical="center"/>
    </xf>
    <xf numFmtId="9" fontId="0" fillId="0" borderId="163" xfId="0" applyNumberFormat="1" applyBorder="1" applyAlignment="1">
      <alignment horizontal="center" vertical="center"/>
    </xf>
    <xf numFmtId="0" fontId="0" fillId="2" borderId="171" xfId="0" applyFont="1" applyFill="1" applyBorder="1" applyAlignment="1">
      <alignment horizontal="center" vertical="center" wrapText="1"/>
    </xf>
    <xf numFmtId="0" fontId="0" fillId="0" borderId="199" xfId="0" applyBorder="1" applyAlignment="1">
      <alignment horizontal="center" vertical="center"/>
    </xf>
    <xf numFmtId="0" fontId="1" fillId="2" borderId="76" xfId="0" applyFont="1" applyFill="1" applyBorder="1" applyAlignment="1">
      <alignment horizontal="center" vertical="center" wrapText="1"/>
    </xf>
    <xf numFmtId="0" fontId="1" fillId="2" borderId="97" xfId="0" applyFont="1" applyFill="1" applyBorder="1" applyAlignment="1">
      <alignment horizontal="center" vertical="center" wrapText="1"/>
    </xf>
    <xf numFmtId="0" fontId="45" fillId="2" borderId="199" xfId="0" applyFont="1" applyFill="1" applyBorder="1" applyAlignment="1">
      <alignment horizontal="center" vertical="center" wrapText="1"/>
    </xf>
    <xf numFmtId="2" fontId="0" fillId="0" borderId="22" xfId="0" applyNumberFormat="1" applyBorder="1" applyAlignment="1">
      <alignment horizontal="center" vertical="center"/>
    </xf>
    <xf numFmtId="0" fontId="0" fillId="0" borderId="214" xfId="0" applyBorder="1" applyAlignment="1">
      <alignment horizontal="center" vertical="center"/>
    </xf>
    <xf numFmtId="0" fontId="0" fillId="2" borderId="144" xfId="0" applyFont="1" applyFill="1" applyBorder="1" applyAlignment="1">
      <alignment horizontal="center" vertical="center" wrapText="1"/>
    </xf>
    <xf numFmtId="0" fontId="0" fillId="0" borderId="164" xfId="0" applyBorder="1" applyAlignment="1">
      <alignment horizontal="center" vertical="center"/>
    </xf>
    <xf numFmtId="0" fontId="0" fillId="0" borderId="211" xfId="0" applyBorder="1" applyAlignment="1">
      <alignment horizontal="center" vertical="center"/>
    </xf>
    <xf numFmtId="0" fontId="0" fillId="2" borderId="145" xfId="0" applyFont="1" applyFill="1" applyBorder="1" applyAlignment="1">
      <alignment horizontal="center" vertical="center" wrapText="1"/>
    </xf>
    <xf numFmtId="0" fontId="35" fillId="2" borderId="143" xfId="0" applyFont="1" applyFill="1" applyBorder="1" applyAlignment="1">
      <alignment horizontal="center" vertical="center" wrapText="1"/>
    </xf>
    <xf numFmtId="0" fontId="35" fillId="2" borderId="134" xfId="0" applyFont="1" applyFill="1" applyBorder="1" applyAlignment="1">
      <alignment horizontal="center" vertical="center" wrapText="1"/>
    </xf>
    <xf numFmtId="0" fontId="35" fillId="2" borderId="9" xfId="0" applyFont="1" applyFill="1" applyBorder="1" applyAlignment="1">
      <alignment horizontal="center" vertical="center" wrapText="1"/>
    </xf>
    <xf numFmtId="0" fontId="1" fillId="2" borderId="153" xfId="0" applyFont="1" applyFill="1" applyBorder="1" applyAlignment="1">
      <alignment horizontal="center" vertical="center" wrapText="1"/>
    </xf>
    <xf numFmtId="0" fontId="1" fillId="2" borderId="134" xfId="0" applyFont="1" applyFill="1" applyBorder="1" applyAlignment="1">
      <alignment horizontal="center" vertical="center" wrapText="1"/>
    </xf>
    <xf numFmtId="0" fontId="0" fillId="2" borderId="131" xfId="0" applyFont="1" applyFill="1" applyBorder="1" applyAlignment="1">
      <alignment horizontal="center" vertical="center" wrapText="1"/>
    </xf>
    <xf numFmtId="0" fontId="1" fillId="2" borderId="131" xfId="0" applyFont="1" applyFill="1" applyBorder="1" applyAlignment="1">
      <alignment horizontal="center" vertical="center" wrapText="1"/>
    </xf>
    <xf numFmtId="0" fontId="0" fillId="0" borderId="134" xfId="0" applyBorder="1" applyAlignment="1">
      <alignment horizontal="center" vertical="center"/>
    </xf>
    <xf numFmtId="0" fontId="0" fillId="0" borderId="127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161" xfId="0" applyBorder="1" applyAlignment="1">
      <alignment horizontal="center" vertical="center"/>
    </xf>
    <xf numFmtId="0" fontId="1" fillId="2" borderId="120" xfId="0" applyFont="1" applyFill="1" applyBorder="1" applyAlignment="1">
      <alignment horizontal="center" vertical="center" wrapText="1"/>
    </xf>
    <xf numFmtId="0" fontId="1" fillId="2" borderId="123" xfId="0" applyFont="1" applyFill="1" applyBorder="1" applyAlignment="1">
      <alignment horizontal="center" vertical="center" wrapText="1"/>
    </xf>
    <xf numFmtId="0" fontId="0" fillId="2" borderId="120" xfId="0" applyFont="1" applyFill="1" applyBorder="1" applyAlignment="1">
      <alignment horizontal="center" vertical="center" wrapText="1"/>
    </xf>
    <xf numFmtId="0" fontId="1" fillId="2" borderId="143" xfId="0" applyFont="1" applyFill="1" applyBorder="1" applyAlignment="1">
      <alignment horizontal="center" vertical="center" wrapText="1"/>
    </xf>
    <xf numFmtId="0" fontId="3" fillId="0" borderId="13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5" fillId="2" borderId="131" xfId="0" applyFont="1" applyFill="1" applyBorder="1" applyAlignment="1">
      <alignment horizontal="center" vertical="center" wrapText="1"/>
    </xf>
    <xf numFmtId="0" fontId="35" fillId="2" borderId="109" xfId="0" applyFont="1" applyFill="1" applyBorder="1" applyAlignment="1">
      <alignment horizontal="center" vertical="center" wrapText="1"/>
    </xf>
    <xf numFmtId="0" fontId="1" fillId="2" borderId="115" xfId="0" applyFont="1" applyFill="1" applyBorder="1" applyAlignment="1">
      <alignment horizontal="center" vertical="center" wrapText="1"/>
    </xf>
    <xf numFmtId="0" fontId="1" fillId="2" borderId="138" xfId="0" applyFont="1" applyFill="1" applyBorder="1" applyAlignment="1">
      <alignment horizontal="center" vertical="center" wrapText="1"/>
    </xf>
    <xf numFmtId="0" fontId="1" fillId="2" borderId="118" xfId="0" applyFont="1" applyFill="1" applyBorder="1" applyAlignment="1">
      <alignment horizontal="center" vertical="center" wrapText="1"/>
    </xf>
    <xf numFmtId="0" fontId="0" fillId="0" borderId="131" xfId="0" applyBorder="1" applyAlignment="1">
      <alignment horizontal="center" vertical="center"/>
    </xf>
    <xf numFmtId="0" fontId="1" fillId="2" borderId="102" xfId="0" applyFont="1" applyFill="1" applyBorder="1" applyAlignment="1">
      <alignment horizontal="center" vertical="center" wrapText="1"/>
    </xf>
    <xf numFmtId="0" fontId="1" fillId="2" borderId="140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1" fillId="2" borderId="77" xfId="0" applyFont="1" applyFill="1" applyBorder="1" applyAlignment="1">
      <alignment horizontal="center" vertical="center" wrapText="1"/>
    </xf>
    <xf numFmtId="0" fontId="1" fillId="2" borderId="103" xfId="0" applyFont="1" applyFill="1" applyBorder="1" applyAlignment="1">
      <alignment horizontal="center" vertical="center" wrapText="1"/>
    </xf>
    <xf numFmtId="0" fontId="1" fillId="2" borderId="116" xfId="0" applyFont="1" applyFill="1" applyBorder="1" applyAlignment="1">
      <alignment horizontal="center" vertical="center" wrapText="1"/>
    </xf>
    <xf numFmtId="0" fontId="0" fillId="0" borderId="125" xfId="0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1" fillId="2" borderId="130" xfId="0" applyFont="1" applyFill="1" applyBorder="1" applyAlignment="1">
      <alignment horizontal="center" vertical="center" wrapText="1"/>
    </xf>
    <xf numFmtId="0" fontId="1" fillId="2" borderId="136" xfId="0" applyFont="1" applyFill="1" applyBorder="1" applyAlignment="1">
      <alignment horizontal="center" vertical="center" wrapText="1"/>
    </xf>
    <xf numFmtId="0" fontId="1" fillId="2" borderId="122" xfId="0" applyFont="1" applyFill="1" applyBorder="1" applyAlignment="1">
      <alignment horizontal="center" vertical="center" wrapText="1"/>
    </xf>
    <xf numFmtId="0" fontId="1" fillId="2" borderId="117" xfId="0" applyFont="1" applyFill="1" applyBorder="1" applyAlignment="1">
      <alignment horizontal="center" vertical="center" wrapText="1"/>
    </xf>
    <xf numFmtId="0" fontId="1" fillId="2" borderId="124" xfId="0" applyFont="1" applyFill="1" applyBorder="1" applyAlignment="1">
      <alignment horizontal="center" vertical="center" wrapText="1"/>
    </xf>
    <xf numFmtId="0" fontId="1" fillId="2" borderId="139" xfId="0" applyFont="1" applyFill="1" applyBorder="1" applyAlignment="1">
      <alignment horizontal="center" vertical="center" wrapText="1"/>
    </xf>
    <xf numFmtId="0" fontId="1" fillId="0" borderId="59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0" borderId="74" xfId="0" applyFont="1" applyFill="1" applyBorder="1" applyAlignment="1">
      <alignment horizontal="center" vertical="center" wrapText="1"/>
    </xf>
    <xf numFmtId="0" fontId="1" fillId="0" borderId="77" xfId="0" applyFont="1" applyFill="1" applyBorder="1" applyAlignment="1">
      <alignment horizontal="center" vertical="center" wrapText="1"/>
    </xf>
    <xf numFmtId="0" fontId="0" fillId="0" borderId="76" xfId="0" applyBorder="1" applyAlignment="1">
      <alignment horizontal="center" vertical="center"/>
    </xf>
    <xf numFmtId="0" fontId="1" fillId="2" borderId="98" xfId="0" applyFont="1" applyFill="1" applyBorder="1" applyAlignment="1">
      <alignment horizontal="center" vertical="center" wrapText="1"/>
    </xf>
    <xf numFmtId="0" fontId="0" fillId="0" borderId="109" xfId="0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 wrapText="1"/>
    </xf>
    <xf numFmtId="0" fontId="0" fillId="0" borderId="106" xfId="0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1" fillId="2" borderId="96" xfId="0" applyFont="1" applyFill="1" applyBorder="1" applyAlignment="1">
      <alignment horizontal="center" vertical="center" wrapText="1"/>
    </xf>
    <xf numFmtId="0" fontId="0" fillId="0" borderId="76" xfId="0" applyFill="1" applyBorder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0" fontId="1" fillId="0" borderId="75" xfId="0" applyFont="1" applyFill="1" applyBorder="1" applyAlignment="1">
      <alignment horizontal="center" vertical="center" wrapText="1"/>
    </xf>
    <xf numFmtId="0" fontId="1" fillId="0" borderId="20" xfId="0" applyFont="1" applyFill="1" applyBorder="1" applyAlignment="1">
      <alignment horizontal="center" vertical="center" wrapText="1"/>
    </xf>
    <xf numFmtId="0" fontId="1" fillId="0" borderId="73" xfId="0" applyFont="1" applyFill="1" applyBorder="1" applyAlignment="1">
      <alignment horizontal="center" vertical="center" wrapText="1"/>
    </xf>
    <xf numFmtId="0" fontId="1" fillId="0" borderId="76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0" fillId="0" borderId="173" xfId="0" applyBorder="1" applyAlignment="1">
      <alignment horizontal="center" vertical="center"/>
    </xf>
    <xf numFmtId="9" fontId="0" fillId="0" borderId="173" xfId="0" applyNumberFormat="1" applyBorder="1" applyAlignment="1">
      <alignment horizontal="center" vertical="center"/>
    </xf>
    <xf numFmtId="0" fontId="1" fillId="2" borderId="157" xfId="0" applyFont="1" applyFill="1" applyBorder="1" applyAlignment="1">
      <alignment horizontal="center" vertical="center" wrapText="1"/>
    </xf>
    <xf numFmtId="0" fontId="0" fillId="0" borderId="179" xfId="0" applyBorder="1" applyAlignment="1">
      <alignment horizontal="center" vertical="center" wrapText="1"/>
    </xf>
    <xf numFmtId="2" fontId="0" fillId="0" borderId="22" xfId="0" applyNumberFormat="1" applyFont="1" applyBorder="1" applyAlignment="1">
      <alignment horizontal="center" vertical="center"/>
    </xf>
    <xf numFmtId="2" fontId="0" fillId="0" borderId="9" xfId="0" applyNumberFormat="1" applyFont="1" applyBorder="1" applyAlignment="1">
      <alignment horizontal="center" vertical="center"/>
    </xf>
    <xf numFmtId="9" fontId="15" fillId="0" borderId="24" xfId="0" applyNumberFormat="1" applyFont="1" applyBorder="1" applyAlignment="1">
      <alignment horizontal="center" vertical="center"/>
    </xf>
    <xf numFmtId="9" fontId="15" fillId="0" borderId="9" xfId="0" applyNumberFormat="1" applyFont="1" applyBorder="1" applyAlignment="1">
      <alignment horizontal="center" vertical="center"/>
    </xf>
    <xf numFmtId="0" fontId="15" fillId="0" borderId="214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9" fontId="15" fillId="0" borderId="211" xfId="0" applyNumberFormat="1" applyFont="1" applyBorder="1" applyAlignment="1">
      <alignment horizontal="center" vertical="center"/>
    </xf>
    <xf numFmtId="0" fontId="1" fillId="2" borderId="200" xfId="0" applyFont="1" applyFill="1" applyBorder="1" applyAlignment="1">
      <alignment horizontal="center" vertical="center" wrapText="1"/>
    </xf>
    <xf numFmtId="0" fontId="15" fillId="0" borderId="199" xfId="0" applyFont="1" applyBorder="1" applyAlignment="1">
      <alignment horizontal="center" vertical="center"/>
    </xf>
    <xf numFmtId="9" fontId="15" fillId="0" borderId="199" xfId="0" applyNumberFormat="1" applyFont="1" applyBorder="1" applyAlignment="1">
      <alignment horizontal="center" vertical="center"/>
    </xf>
    <xf numFmtId="0" fontId="0" fillId="0" borderId="156" xfId="0" applyBorder="1" applyAlignment="1">
      <alignment horizontal="center" vertical="center"/>
    </xf>
    <xf numFmtId="0" fontId="0" fillId="0" borderId="154" xfId="0" applyBorder="1" applyAlignment="1">
      <alignment horizontal="center" vertical="center"/>
    </xf>
    <xf numFmtId="0" fontId="1" fillId="2" borderId="259" xfId="0" applyFont="1" applyFill="1" applyBorder="1" applyAlignment="1">
      <alignment horizontal="center" vertical="center" wrapText="1"/>
    </xf>
    <xf numFmtId="0" fontId="1" fillId="2" borderId="310" xfId="0" applyFont="1" applyFill="1" applyBorder="1" applyAlignment="1">
      <alignment horizontal="center" vertical="center" wrapText="1"/>
    </xf>
    <xf numFmtId="0" fontId="0" fillId="0" borderId="109" xfId="0" applyFont="1" applyBorder="1" applyAlignment="1">
      <alignment horizontal="center" vertical="center"/>
    </xf>
    <xf numFmtId="0" fontId="0" fillId="0" borderId="324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325" xfId="0" applyFont="1" applyBorder="1" applyAlignment="1">
      <alignment horizontal="center" vertical="center"/>
    </xf>
    <xf numFmtId="0" fontId="2" fillId="0" borderId="261" xfId="0" applyFont="1" applyBorder="1" applyAlignment="1">
      <alignment horizontal="center" vertical="center"/>
    </xf>
    <xf numFmtId="0" fontId="0" fillId="2" borderId="311" xfId="0" applyFont="1" applyFill="1" applyBorder="1" applyAlignment="1">
      <alignment horizontal="center" vertical="center" wrapText="1"/>
    </xf>
    <xf numFmtId="0" fontId="1" fillId="2" borderId="309" xfId="0" applyFont="1" applyFill="1" applyBorder="1" applyAlignment="1">
      <alignment horizontal="center" vertical="center" wrapText="1"/>
    </xf>
    <xf numFmtId="0" fontId="1" fillId="2" borderId="301" xfId="0" applyFont="1" applyFill="1" applyBorder="1" applyAlignment="1">
      <alignment horizontal="center" vertical="center" wrapText="1"/>
    </xf>
    <xf numFmtId="0" fontId="1" fillId="2" borderId="289" xfId="0" applyFont="1" applyFill="1" applyBorder="1" applyAlignment="1">
      <alignment horizontal="center" vertical="center" wrapText="1"/>
    </xf>
    <xf numFmtId="0" fontId="0" fillId="2" borderId="260" xfId="0" applyFont="1" applyFill="1" applyBorder="1" applyAlignment="1">
      <alignment horizontal="center" vertical="center" wrapText="1"/>
    </xf>
    <xf numFmtId="0" fontId="0" fillId="2" borderId="261" xfId="0" applyFont="1" applyFill="1" applyBorder="1" applyAlignment="1">
      <alignment horizontal="center" vertical="center" wrapText="1"/>
    </xf>
    <xf numFmtId="0" fontId="1" fillId="2" borderId="279" xfId="0" applyFont="1" applyFill="1" applyBorder="1" applyAlignment="1">
      <alignment horizontal="center" vertical="center" wrapText="1"/>
    </xf>
    <xf numFmtId="0" fontId="0" fillId="0" borderId="270" xfId="0" applyBorder="1" applyAlignment="1">
      <alignment horizontal="center" vertical="center"/>
    </xf>
    <xf numFmtId="0" fontId="0" fillId="2" borderId="257" xfId="0" applyFont="1" applyFill="1" applyBorder="1" applyAlignment="1">
      <alignment horizontal="center" vertical="center" wrapText="1"/>
    </xf>
    <xf numFmtId="0" fontId="1" fillId="2" borderId="339" xfId="0" applyFont="1" applyFill="1" applyBorder="1" applyAlignment="1">
      <alignment horizontal="center" vertical="center" wrapText="1"/>
    </xf>
    <xf numFmtId="0" fontId="0" fillId="2" borderId="294" xfId="0" applyFont="1" applyFill="1" applyBorder="1" applyAlignment="1">
      <alignment horizontal="center" vertical="center" wrapText="1"/>
    </xf>
    <xf numFmtId="0" fontId="0" fillId="2" borderId="316" xfId="0" applyFont="1" applyFill="1" applyBorder="1" applyAlignment="1">
      <alignment horizontal="center" vertical="center" wrapText="1"/>
    </xf>
    <xf numFmtId="0" fontId="1" fillId="2" borderId="300" xfId="0" applyFont="1" applyFill="1" applyBorder="1" applyAlignment="1">
      <alignment horizontal="center" vertical="center" wrapText="1"/>
    </xf>
    <xf numFmtId="0" fontId="0" fillId="0" borderId="31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313" xfId="0" applyFont="1" applyBorder="1" applyAlignment="1">
      <alignment horizontal="center" vertical="center"/>
    </xf>
    <xf numFmtId="0" fontId="0" fillId="0" borderId="316" xfId="0" applyFont="1" applyBorder="1" applyAlignment="1">
      <alignment horizontal="center" vertical="center"/>
    </xf>
    <xf numFmtId="0" fontId="1" fillId="2" borderId="327" xfId="0" applyFont="1" applyFill="1" applyBorder="1" applyAlignment="1">
      <alignment horizontal="center" vertical="center" wrapText="1"/>
    </xf>
    <xf numFmtId="0" fontId="1" fillId="2" borderId="407" xfId="0" applyFont="1" applyFill="1" applyBorder="1" applyAlignment="1">
      <alignment horizontal="center" vertical="center" wrapText="1"/>
    </xf>
    <xf numFmtId="0" fontId="0" fillId="2" borderId="327" xfId="0" applyFont="1" applyFill="1" applyBorder="1" applyAlignment="1">
      <alignment horizontal="center" vertical="center" wrapText="1"/>
    </xf>
    <xf numFmtId="0" fontId="1" fillId="2" borderId="341" xfId="0" applyFont="1" applyFill="1" applyBorder="1" applyAlignment="1">
      <alignment horizontal="center" vertical="center" wrapText="1"/>
    </xf>
    <xf numFmtId="9" fontId="0" fillId="0" borderId="370" xfId="0" applyNumberFormat="1" applyBorder="1" applyAlignment="1">
      <alignment horizontal="center" vertical="center"/>
    </xf>
    <xf numFmtId="0" fontId="0" fillId="0" borderId="297" xfId="0" applyFont="1" applyBorder="1" applyAlignment="1">
      <alignment horizontal="center" vertical="center"/>
    </xf>
    <xf numFmtId="0" fontId="1" fillId="2" borderId="415" xfId="0" applyFont="1" applyFill="1" applyBorder="1" applyAlignment="1">
      <alignment horizontal="center" vertical="center" wrapText="1"/>
    </xf>
    <xf numFmtId="0" fontId="0" fillId="0" borderId="278" xfId="0" applyFont="1" applyBorder="1" applyAlignment="1">
      <alignment horizontal="center" vertical="center"/>
    </xf>
    <xf numFmtId="0" fontId="1" fillId="2" borderId="377" xfId="0" applyFont="1" applyFill="1" applyBorder="1" applyAlignment="1">
      <alignment horizontal="center" vertical="center" wrapText="1"/>
    </xf>
    <xf numFmtId="0" fontId="0" fillId="2" borderId="405" xfId="0" applyFont="1" applyFill="1" applyBorder="1" applyAlignment="1">
      <alignment horizontal="center" vertical="center" wrapText="1"/>
    </xf>
    <xf numFmtId="9" fontId="0" fillId="0" borderId="310" xfId="0" applyNumberFormat="1" applyBorder="1" applyAlignment="1">
      <alignment horizontal="center" vertical="center"/>
    </xf>
    <xf numFmtId="9" fontId="0" fillId="0" borderId="296" xfId="0" applyNumberFormat="1" applyBorder="1" applyAlignment="1">
      <alignment horizontal="center" vertical="center"/>
    </xf>
    <xf numFmtId="2" fontId="0" fillId="0" borderId="310" xfId="0" applyNumberFormat="1" applyBorder="1" applyAlignment="1">
      <alignment horizontal="center" vertical="center"/>
    </xf>
    <xf numFmtId="2" fontId="0" fillId="0" borderId="296" xfId="0" applyNumberFormat="1" applyBorder="1" applyAlignment="1">
      <alignment horizontal="center" vertical="center"/>
    </xf>
    <xf numFmtId="0" fontId="0" fillId="2" borderId="431" xfId="0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/>
    </xf>
    <xf numFmtId="0" fontId="0" fillId="0" borderId="64" xfId="0" applyFont="1" applyBorder="1" applyAlignment="1">
      <alignment horizontal="center" vertical="center"/>
    </xf>
    <xf numFmtId="0" fontId="0" fillId="0" borderId="82" xfId="0" applyFont="1" applyBorder="1" applyAlignment="1">
      <alignment horizontal="center" vertical="center"/>
    </xf>
    <xf numFmtId="0" fontId="1" fillId="2" borderId="398" xfId="0" applyFont="1" applyFill="1" applyBorder="1" applyAlignment="1">
      <alignment horizontal="center" vertical="center" wrapText="1"/>
    </xf>
    <xf numFmtId="0" fontId="0" fillId="2" borderId="426" xfId="0" applyFont="1" applyFill="1" applyBorder="1" applyAlignment="1">
      <alignment horizontal="center" vertical="center" wrapText="1"/>
    </xf>
    <xf numFmtId="0" fontId="0" fillId="2" borderId="398" xfId="0" applyFont="1" applyFill="1" applyBorder="1" applyAlignment="1">
      <alignment horizontal="center" vertical="center" wrapText="1"/>
    </xf>
    <xf numFmtId="0" fontId="1" fillId="2" borderId="376" xfId="0" applyFont="1" applyFill="1" applyBorder="1" applyAlignment="1">
      <alignment horizontal="center" vertical="center" wrapText="1"/>
    </xf>
    <xf numFmtId="0" fontId="1" fillId="2" borderId="433" xfId="0" applyFont="1" applyFill="1" applyBorder="1" applyAlignment="1">
      <alignment horizontal="center" vertical="center" wrapText="1"/>
    </xf>
    <xf numFmtId="0" fontId="0" fillId="2" borderId="443" xfId="0" applyFont="1" applyFill="1" applyBorder="1" applyAlignment="1">
      <alignment horizontal="center" vertical="center" wrapText="1"/>
    </xf>
    <xf numFmtId="9" fontId="0" fillId="0" borderId="348" xfId="0" applyNumberFormat="1" applyBorder="1" applyAlignment="1">
      <alignment horizontal="center" vertical="center"/>
    </xf>
    <xf numFmtId="0" fontId="0" fillId="2" borderId="452" xfId="0" applyFont="1" applyFill="1" applyBorder="1" applyAlignment="1">
      <alignment horizontal="center" vertical="center" wrapText="1"/>
    </xf>
    <xf numFmtId="0" fontId="0" fillId="0" borderId="458" xfId="0" applyBorder="1" applyAlignment="1">
      <alignment horizontal="center" vertical="center"/>
    </xf>
    <xf numFmtId="9" fontId="0" fillId="0" borderId="461" xfId="0" applyNumberFormat="1" applyBorder="1" applyAlignment="1">
      <alignment horizontal="center" vertical="center"/>
    </xf>
    <xf numFmtId="0" fontId="1" fillId="2" borderId="460" xfId="0" applyFont="1" applyFill="1" applyBorder="1" applyAlignment="1">
      <alignment horizontal="center" vertical="center" wrapText="1"/>
    </xf>
    <xf numFmtId="0" fontId="0" fillId="0" borderId="104" xfId="0" applyBorder="1" applyAlignment="1">
      <alignment horizontal="center" vertical="center" wrapText="1"/>
    </xf>
    <xf numFmtId="9" fontId="0" fillId="0" borderId="485" xfId="0" applyNumberFormat="1" applyBorder="1" applyAlignment="1">
      <alignment horizontal="center" vertical="center"/>
    </xf>
    <xf numFmtId="0" fontId="0" fillId="0" borderId="485" xfId="0" applyBorder="1" applyAlignment="1">
      <alignment horizontal="center" vertical="center"/>
    </xf>
    <xf numFmtId="0" fontId="1" fillId="2" borderId="487" xfId="0" applyFont="1" applyFill="1" applyBorder="1" applyAlignment="1">
      <alignment horizontal="center" vertical="center" wrapText="1"/>
    </xf>
    <xf numFmtId="0" fontId="1" fillId="2" borderId="489" xfId="0" applyFont="1" applyFill="1" applyBorder="1" applyAlignment="1">
      <alignment horizontal="center" vertical="center" wrapText="1"/>
    </xf>
    <xf numFmtId="2" fontId="0" fillId="0" borderId="484" xfId="0" applyNumberFormat="1" applyBorder="1" applyAlignment="1">
      <alignment horizontal="center" vertical="center"/>
    </xf>
    <xf numFmtId="0" fontId="0" fillId="0" borderId="126" xfId="0" applyBorder="1"/>
    <xf numFmtId="2" fontId="0" fillId="0" borderId="485" xfId="0" applyNumberFormat="1" applyBorder="1" applyAlignment="1">
      <alignment horizontal="center" vertical="center"/>
    </xf>
    <xf numFmtId="0" fontId="1" fillId="2" borderId="512" xfId="0" applyFont="1" applyFill="1" applyBorder="1" applyAlignment="1">
      <alignment horizontal="center" vertical="center" wrapText="1"/>
    </xf>
    <xf numFmtId="0" fontId="1" fillId="2" borderId="510" xfId="0" applyFont="1" applyFill="1" applyBorder="1" applyAlignment="1">
      <alignment horizontal="center" vertical="center" wrapText="1"/>
    </xf>
    <xf numFmtId="0" fontId="1" fillId="2" borderId="511" xfId="0" applyFont="1" applyFill="1" applyBorder="1" applyAlignment="1">
      <alignment horizontal="center" vertical="center" wrapText="1"/>
    </xf>
    <xf numFmtId="0" fontId="1" fillId="2" borderId="515" xfId="0" applyFont="1" applyFill="1" applyBorder="1" applyAlignment="1">
      <alignment horizontal="center" vertical="center" wrapText="1"/>
    </xf>
    <xf numFmtId="0" fontId="0" fillId="0" borderId="510" xfId="0" applyBorder="1" applyAlignment="1">
      <alignment horizontal="center" vertical="center" wrapText="1"/>
    </xf>
    <xf numFmtId="0" fontId="0" fillId="0" borderId="512" xfId="0" applyBorder="1" applyAlignment="1">
      <alignment horizontal="center" vertical="center" wrapText="1"/>
    </xf>
    <xf numFmtId="0" fontId="0" fillId="0" borderId="509" xfId="0" applyBorder="1" applyAlignment="1">
      <alignment horizontal="center" vertical="center" wrapText="1"/>
    </xf>
    <xf numFmtId="0" fontId="0" fillId="0" borderId="513" xfId="0" applyBorder="1" applyAlignment="1">
      <alignment horizontal="center" vertical="center" wrapText="1"/>
    </xf>
    <xf numFmtId="0" fontId="0" fillId="0" borderId="522" xfId="0" applyBorder="1" applyAlignment="1">
      <alignment horizontal="center" vertical="center"/>
    </xf>
    <xf numFmtId="0" fontId="0" fillId="2" borderId="516" xfId="0" applyFont="1" applyFill="1" applyBorder="1" applyAlignment="1">
      <alignment horizontal="center" vertical="center" wrapText="1"/>
    </xf>
    <xf numFmtId="0" fontId="0" fillId="2" borderId="517" xfId="0" applyFont="1" applyFill="1" applyBorder="1" applyAlignment="1">
      <alignment horizontal="center" vertical="center" wrapText="1"/>
    </xf>
    <xf numFmtId="0" fontId="0" fillId="2" borderId="486" xfId="0" applyFont="1" applyFill="1" applyBorder="1" applyAlignment="1">
      <alignment horizontal="center" vertical="center" wrapText="1"/>
    </xf>
    <xf numFmtId="0" fontId="0" fillId="2" borderId="490" xfId="0" applyFont="1" applyFill="1" applyBorder="1" applyAlignment="1">
      <alignment horizontal="center" vertical="center" wrapText="1"/>
    </xf>
    <xf numFmtId="0" fontId="15" fillId="2" borderId="490" xfId="0" applyFont="1" applyFill="1" applyBorder="1" applyAlignment="1">
      <alignment horizontal="center" vertical="center" wrapText="1"/>
    </xf>
    <xf numFmtId="0" fontId="0" fillId="2" borderId="519" xfId="0" applyFont="1" applyFill="1" applyBorder="1" applyAlignment="1">
      <alignment horizontal="center" vertical="center" wrapText="1"/>
    </xf>
    <xf numFmtId="0" fontId="15" fillId="2" borderId="515" xfId="0" applyFont="1" applyFill="1" applyBorder="1" applyAlignment="1">
      <alignment horizontal="center" vertical="center" wrapText="1"/>
    </xf>
    <xf numFmtId="0" fontId="0" fillId="2" borderId="502" xfId="0" applyFont="1" applyFill="1" applyBorder="1" applyAlignment="1">
      <alignment horizontal="center" vertical="center" wrapText="1"/>
    </xf>
    <xf numFmtId="0" fontId="0" fillId="2" borderId="515" xfId="0" applyFont="1" applyFill="1" applyBorder="1" applyAlignment="1">
      <alignment horizontal="center" vertical="center" wrapText="1"/>
    </xf>
    <xf numFmtId="0" fontId="15" fillId="2" borderId="486" xfId="0" applyFont="1" applyFill="1" applyBorder="1" applyAlignment="1">
      <alignment horizontal="center" vertical="center" wrapText="1"/>
    </xf>
    <xf numFmtId="0" fontId="0" fillId="2" borderId="496" xfId="0" applyFont="1" applyFill="1" applyBorder="1" applyAlignment="1">
      <alignment horizontal="center" vertical="center" wrapText="1"/>
    </xf>
    <xf numFmtId="0" fontId="0" fillId="2" borderId="485" xfId="0" applyFont="1" applyFill="1" applyBorder="1" applyAlignment="1">
      <alignment horizontal="center" vertical="center" wrapText="1"/>
    </xf>
    <xf numFmtId="0" fontId="0" fillId="2" borderId="484" xfId="0" applyFont="1" applyFill="1" applyBorder="1" applyAlignment="1">
      <alignment horizontal="center" vertical="center" wrapText="1"/>
    </xf>
    <xf numFmtId="0" fontId="0" fillId="2" borderId="483" xfId="0" applyFont="1" applyFill="1" applyBorder="1" applyAlignment="1">
      <alignment horizontal="center" vertical="center" wrapText="1"/>
    </xf>
    <xf numFmtId="0" fontId="0" fillId="2" borderId="491" xfId="0" applyFont="1" applyFill="1" applyBorder="1" applyAlignment="1">
      <alignment horizontal="center" vertical="center" wrapText="1"/>
    </xf>
    <xf numFmtId="0" fontId="15" fillId="2" borderId="483" xfId="0" applyFont="1" applyFill="1" applyBorder="1" applyAlignment="1">
      <alignment horizontal="center" vertical="center" wrapText="1"/>
    </xf>
    <xf numFmtId="0" fontId="15" fillId="2" borderId="485" xfId="0" applyFont="1" applyFill="1" applyBorder="1" applyAlignment="1">
      <alignment horizontal="center" vertical="center" wrapText="1"/>
    </xf>
    <xf numFmtId="0" fontId="15" fillId="2" borderId="484" xfId="0" applyFont="1" applyFill="1" applyBorder="1" applyAlignment="1">
      <alignment horizontal="center" vertical="center" wrapText="1"/>
    </xf>
    <xf numFmtId="0" fontId="15" fillId="2" borderId="491" xfId="0" applyFont="1" applyFill="1" applyBorder="1" applyAlignment="1">
      <alignment horizontal="center" vertical="center" wrapText="1"/>
    </xf>
    <xf numFmtId="0" fontId="15" fillId="2" borderId="59" xfId="0" applyFont="1" applyFill="1" applyBorder="1" applyAlignment="1">
      <alignment horizontal="center" vertical="center" wrapText="1"/>
    </xf>
    <xf numFmtId="0" fontId="15" fillId="2" borderId="265" xfId="0" applyFont="1" applyFill="1" applyBorder="1" applyAlignment="1">
      <alignment horizontal="center" vertical="center" wrapText="1"/>
    </xf>
    <xf numFmtId="0" fontId="15" fillId="2" borderId="448" xfId="0" applyFont="1" applyFill="1" applyBorder="1" applyAlignment="1">
      <alignment horizontal="center" vertical="center" wrapText="1"/>
    </xf>
    <xf numFmtId="0" fontId="15" fillId="2" borderId="427" xfId="0" applyFont="1" applyFill="1" applyBorder="1" applyAlignment="1">
      <alignment horizontal="center" vertical="center" wrapText="1"/>
    </xf>
    <xf numFmtId="0" fontId="15" fillId="2" borderId="257" xfId="0" applyFont="1" applyFill="1" applyBorder="1" applyAlignment="1">
      <alignment horizontal="center" vertical="center" wrapText="1"/>
    </xf>
    <xf numFmtId="0" fontId="0" fillId="2" borderId="186" xfId="0" applyFont="1" applyFill="1" applyBorder="1" applyAlignment="1">
      <alignment horizontal="center" vertical="center" wrapText="1"/>
    </xf>
    <xf numFmtId="0" fontId="0" fillId="2" borderId="249" xfId="0" applyFont="1" applyFill="1" applyBorder="1" applyAlignment="1">
      <alignment horizontal="center" vertical="center" wrapText="1"/>
    </xf>
    <xf numFmtId="0" fontId="0" fillId="2" borderId="22" xfId="0" applyFont="1" applyFill="1" applyBorder="1" applyAlignment="1">
      <alignment horizontal="center" vertical="center" wrapText="1"/>
    </xf>
    <xf numFmtId="0" fontId="0" fillId="2" borderId="135" xfId="0" applyFont="1" applyFill="1" applyBorder="1" applyAlignment="1">
      <alignment horizontal="center" vertical="center" wrapText="1"/>
    </xf>
    <xf numFmtId="0" fontId="0" fillId="2" borderId="265" xfId="0" applyFont="1" applyFill="1" applyBorder="1" applyAlignment="1">
      <alignment horizontal="center" vertical="center" wrapText="1"/>
    </xf>
    <xf numFmtId="0" fontId="0" fillId="2" borderId="241" xfId="0" applyFont="1" applyFill="1" applyBorder="1" applyAlignment="1">
      <alignment horizontal="center" vertical="center" wrapText="1"/>
    </xf>
    <xf numFmtId="0" fontId="15" fillId="2" borderId="260" xfId="0" applyFont="1" applyFill="1" applyBorder="1" applyAlignment="1">
      <alignment horizontal="center" vertical="center" wrapText="1"/>
    </xf>
    <xf numFmtId="0" fontId="0" fillId="2" borderId="229" xfId="0" applyFont="1" applyFill="1" applyBorder="1" applyAlignment="1">
      <alignment horizontal="center" vertical="center" wrapText="1"/>
    </xf>
    <xf numFmtId="0" fontId="0" fillId="2" borderId="250" xfId="0" applyFont="1" applyFill="1" applyBorder="1" applyAlignment="1">
      <alignment horizontal="center" vertical="center" wrapText="1"/>
    </xf>
    <xf numFmtId="0" fontId="0" fillId="2" borderId="251" xfId="0" applyFont="1" applyFill="1" applyBorder="1" applyAlignment="1">
      <alignment horizontal="center" vertical="center" wrapText="1"/>
    </xf>
    <xf numFmtId="0" fontId="0" fillId="2" borderId="252" xfId="0" applyFont="1" applyFill="1" applyBorder="1" applyAlignment="1">
      <alignment horizontal="center" vertical="center" wrapText="1"/>
    </xf>
    <xf numFmtId="0" fontId="0" fillId="2" borderId="206" xfId="0" applyFont="1" applyFill="1" applyBorder="1" applyAlignment="1">
      <alignment horizontal="center" vertical="center" wrapText="1"/>
    </xf>
    <xf numFmtId="0" fontId="0" fillId="2" borderId="247" xfId="0" applyFont="1" applyFill="1" applyBorder="1" applyAlignment="1">
      <alignment horizontal="center" vertical="center" wrapText="1"/>
    </xf>
    <xf numFmtId="0" fontId="15" fillId="2" borderId="250" xfId="0" applyFont="1" applyFill="1" applyBorder="1" applyAlignment="1">
      <alignment horizontal="center" vertical="center" wrapText="1"/>
    </xf>
    <xf numFmtId="0" fontId="15" fillId="2" borderId="251" xfId="0" applyFont="1" applyFill="1" applyBorder="1" applyAlignment="1">
      <alignment horizontal="center" vertical="center" wrapText="1"/>
    </xf>
    <xf numFmtId="0" fontId="0" fillId="2" borderId="154" xfId="0" applyFont="1" applyFill="1" applyBorder="1" applyAlignment="1">
      <alignment horizontal="center" vertical="center" wrapText="1"/>
    </xf>
    <xf numFmtId="0" fontId="0" fillId="2" borderId="204" xfId="0" applyFont="1" applyFill="1" applyBorder="1" applyAlignment="1">
      <alignment horizontal="center" vertical="center" wrapText="1"/>
    </xf>
    <xf numFmtId="0" fontId="15" fillId="2" borderId="204" xfId="0" applyFont="1" applyFill="1" applyBorder="1" applyAlignment="1">
      <alignment horizontal="center" vertical="center" wrapText="1"/>
    </xf>
    <xf numFmtId="0" fontId="15" fillId="2" borderId="252" xfId="0" applyFont="1" applyFill="1" applyBorder="1" applyAlignment="1">
      <alignment horizontal="center" vertical="center" wrapText="1"/>
    </xf>
    <xf numFmtId="0" fontId="0" fillId="2" borderId="199" xfId="0" applyFont="1" applyFill="1" applyBorder="1" applyAlignment="1">
      <alignment horizontal="center" vertical="center" wrapText="1"/>
    </xf>
    <xf numFmtId="0" fontId="15" fillId="2" borderId="206" xfId="0" applyFont="1" applyFill="1" applyBorder="1" applyAlignment="1">
      <alignment horizontal="center" vertical="center" wrapText="1"/>
    </xf>
    <xf numFmtId="0" fontId="0" fillId="2" borderId="205" xfId="0" applyFont="1" applyFill="1" applyBorder="1" applyAlignment="1">
      <alignment horizontal="center" vertical="center" wrapText="1"/>
    </xf>
    <xf numFmtId="0" fontId="0" fillId="2" borderId="97" xfId="0" applyFont="1" applyFill="1" applyBorder="1" applyAlignment="1">
      <alignment horizontal="center" vertical="center" wrapText="1"/>
    </xf>
    <xf numFmtId="0" fontId="0" fillId="2" borderId="173" xfId="0" applyFont="1" applyFill="1" applyBorder="1" applyAlignment="1">
      <alignment horizontal="center" vertical="center" wrapText="1"/>
    </xf>
    <xf numFmtId="0" fontId="15" fillId="2" borderId="205" xfId="0" applyFont="1" applyFill="1" applyBorder="1" applyAlignment="1">
      <alignment horizontal="center" vertical="center" wrapText="1"/>
    </xf>
    <xf numFmtId="0" fontId="0" fillId="2" borderId="174" xfId="0" applyFont="1" applyFill="1" applyBorder="1" applyAlignment="1">
      <alignment horizontal="center" vertical="center" wrapText="1"/>
    </xf>
    <xf numFmtId="0" fontId="0" fillId="2" borderId="156" xfId="0" applyFont="1" applyFill="1" applyBorder="1" applyAlignment="1">
      <alignment horizontal="center" vertical="center" wrapText="1"/>
    </xf>
    <xf numFmtId="0" fontId="0" fillId="2" borderId="185" xfId="0" applyFont="1" applyFill="1" applyBorder="1" applyAlignment="1">
      <alignment horizontal="center" vertical="center" wrapText="1"/>
    </xf>
    <xf numFmtId="0" fontId="0" fillId="2" borderId="179" xfId="0" applyFont="1" applyFill="1" applyBorder="1" applyAlignment="1">
      <alignment horizontal="center" vertical="center" wrapText="1"/>
    </xf>
    <xf numFmtId="0" fontId="0" fillId="2" borderId="163" xfId="0" applyFont="1" applyFill="1" applyBorder="1" applyAlignment="1">
      <alignment horizontal="center" vertical="center" wrapText="1"/>
    </xf>
    <xf numFmtId="0" fontId="0" fillId="2" borderId="172" xfId="0" applyFont="1" applyFill="1" applyBorder="1" applyAlignment="1">
      <alignment horizontal="center" vertical="center" wrapText="1"/>
    </xf>
    <xf numFmtId="0" fontId="0" fillId="2" borderId="164" xfId="0" applyFont="1" applyFill="1" applyBorder="1" applyAlignment="1">
      <alignment horizontal="center" vertical="center" wrapText="1"/>
    </xf>
    <xf numFmtId="0" fontId="0" fillId="2" borderId="142" xfId="0" applyFont="1" applyFill="1" applyBorder="1" applyAlignment="1">
      <alignment horizontal="center" vertical="center" wrapText="1"/>
    </xf>
    <xf numFmtId="0" fontId="0" fillId="2" borderId="133" xfId="0" applyFont="1" applyFill="1" applyBorder="1" applyAlignment="1">
      <alignment horizontal="center" vertical="center" wrapText="1"/>
    </xf>
    <xf numFmtId="0" fontId="0" fillId="2" borderId="152" xfId="0" applyFont="1" applyFill="1" applyBorder="1" applyAlignment="1">
      <alignment horizontal="center" vertical="center" wrapText="1"/>
    </xf>
    <xf numFmtId="0" fontId="0" fillId="2" borderId="132" xfId="0" applyFont="1" applyFill="1" applyBorder="1" applyAlignment="1">
      <alignment horizontal="center" vertical="center" wrapText="1"/>
    </xf>
    <xf numFmtId="0" fontId="3" fillId="2" borderId="73" xfId="0" applyFont="1" applyFill="1" applyBorder="1" applyAlignment="1">
      <alignment horizontal="center" vertical="center" wrapText="1"/>
    </xf>
    <xf numFmtId="0" fontId="3" fillId="2" borderId="132" xfId="0" applyFont="1" applyFill="1" applyBorder="1" applyAlignment="1">
      <alignment horizontal="center" vertical="center" wrapText="1"/>
    </xf>
    <xf numFmtId="0" fontId="3" fillId="2" borderId="59" xfId="0" applyFont="1" applyFill="1" applyBorder="1" applyAlignment="1">
      <alignment horizontal="center" vertical="center" wrapText="1"/>
    </xf>
    <xf numFmtId="0" fontId="3" fillId="2" borderId="142" xfId="0" applyFont="1" applyFill="1" applyBorder="1" applyAlignment="1">
      <alignment horizontal="center" vertical="center" wrapText="1"/>
    </xf>
    <xf numFmtId="0" fontId="3" fillId="2" borderId="143" xfId="0" applyFont="1" applyFill="1" applyBorder="1" applyAlignment="1">
      <alignment horizontal="center" vertical="center" wrapText="1"/>
    </xf>
    <xf numFmtId="0" fontId="3" fillId="2" borderId="74" xfId="0" applyFont="1" applyFill="1" applyBorder="1" applyAlignment="1">
      <alignment horizontal="center" vertical="center" wrapText="1"/>
    </xf>
    <xf numFmtId="0" fontId="3" fillId="2" borderId="133" xfId="0" applyFont="1" applyFill="1" applyBorder="1" applyAlignment="1">
      <alignment horizontal="center" vertical="center" wrapText="1"/>
    </xf>
    <xf numFmtId="0" fontId="0" fillId="2" borderId="143" xfId="0" applyFont="1" applyFill="1" applyBorder="1" applyAlignment="1">
      <alignment horizontal="center" vertical="center" wrapText="1"/>
    </xf>
    <xf numFmtId="0" fontId="0" fillId="2" borderId="155" xfId="0" applyFont="1" applyFill="1" applyBorder="1" applyAlignment="1">
      <alignment horizontal="center" vertical="center" wrapText="1"/>
    </xf>
    <xf numFmtId="0" fontId="0" fillId="2" borderId="122" xfId="0" applyFont="1" applyFill="1" applyBorder="1" applyAlignment="1">
      <alignment horizontal="center" vertical="center" wrapText="1"/>
    </xf>
    <xf numFmtId="0" fontId="0" fillId="2" borderId="91" xfId="0" applyFont="1" applyFill="1" applyBorder="1" applyAlignment="1">
      <alignment horizontal="center" vertical="center" wrapText="1"/>
    </xf>
    <xf numFmtId="0" fontId="0" fillId="2" borderId="134" xfId="0" applyFont="1" applyFill="1" applyBorder="1" applyAlignment="1">
      <alignment horizontal="center" vertical="center" wrapText="1"/>
    </xf>
    <xf numFmtId="0" fontId="0" fillId="2" borderId="115" xfId="0" applyFont="1" applyFill="1" applyBorder="1" applyAlignment="1">
      <alignment horizontal="center" vertical="center" wrapText="1"/>
    </xf>
    <xf numFmtId="0" fontId="0" fillId="2" borderId="130" xfId="0" applyFont="1" applyFill="1" applyBorder="1" applyAlignment="1">
      <alignment horizontal="center" vertical="center" wrapText="1"/>
    </xf>
    <xf numFmtId="0" fontId="0" fillId="2" borderId="118" xfId="0" applyFont="1" applyFill="1" applyBorder="1" applyAlignment="1">
      <alignment horizontal="center" vertical="center" wrapText="1"/>
    </xf>
    <xf numFmtId="0" fontId="0" fillId="2" borderId="76" xfId="0" applyFont="1" applyFill="1" applyBorder="1" applyAlignment="1">
      <alignment horizontal="center" vertical="center" wrapText="1"/>
    </xf>
    <xf numFmtId="0" fontId="0" fillId="2" borderId="116" xfId="0" applyFont="1" applyFill="1" applyBorder="1" applyAlignment="1">
      <alignment horizontal="center" vertical="center" wrapText="1"/>
    </xf>
    <xf numFmtId="0" fontId="0" fillId="2" borderId="117" xfId="0" applyFont="1" applyFill="1" applyBorder="1" applyAlignment="1">
      <alignment horizontal="center" vertical="center" wrapText="1"/>
    </xf>
    <xf numFmtId="0" fontId="1" fillId="0" borderId="9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91" xfId="0" applyFont="1" applyFill="1" applyBorder="1" applyAlignment="1">
      <alignment horizontal="center" vertical="center" wrapText="1"/>
    </xf>
    <xf numFmtId="0" fontId="1" fillId="0" borderId="81" xfId="0" applyFont="1" applyFill="1" applyBorder="1" applyAlignment="1">
      <alignment horizontal="center" vertical="center" wrapText="1"/>
    </xf>
    <xf numFmtId="0" fontId="12" fillId="0" borderId="32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" fillId="0" borderId="89" xfId="0" applyFont="1" applyFill="1" applyBorder="1" applyAlignment="1">
      <alignment horizontal="center" vertical="center" wrapText="1"/>
    </xf>
    <xf numFmtId="0" fontId="0" fillId="2" borderId="96" xfId="0" applyFont="1" applyFill="1" applyBorder="1" applyAlignment="1">
      <alignment horizontal="center" vertical="center" wrapText="1"/>
    </xf>
    <xf numFmtId="0" fontId="0" fillId="2" borderId="98" xfId="0" applyFont="1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 vertical="center" wrapText="1"/>
    </xf>
    <xf numFmtId="0" fontId="0" fillId="2" borderId="114" xfId="0" applyFont="1" applyFill="1" applyBorder="1" applyAlignment="1">
      <alignment horizontal="center" vertical="center" wrapText="1"/>
    </xf>
    <xf numFmtId="0" fontId="0" fillId="2" borderId="89" xfId="0" applyFont="1" applyFill="1" applyBorder="1" applyAlignment="1">
      <alignment horizontal="center" vertical="center" wrapText="1"/>
    </xf>
    <xf numFmtId="0" fontId="0" fillId="2" borderId="293" xfId="0" applyFont="1" applyFill="1" applyBorder="1" applyAlignment="1">
      <alignment horizontal="center" vertical="center" wrapText="1"/>
    </xf>
    <xf numFmtId="0" fontId="0" fillId="2" borderId="289" xfId="0" applyFont="1" applyFill="1" applyBorder="1" applyAlignment="1">
      <alignment horizontal="center" vertical="center" wrapText="1"/>
    </xf>
    <xf numFmtId="0" fontId="0" fillId="2" borderId="300" xfId="0" applyFont="1" applyFill="1" applyBorder="1" applyAlignment="1">
      <alignment horizontal="center" vertical="center" wrapText="1"/>
    </xf>
    <xf numFmtId="0" fontId="0" fillId="2" borderId="322" xfId="0" applyFont="1" applyFill="1" applyBorder="1" applyAlignment="1">
      <alignment horizontal="center" vertical="center" wrapText="1"/>
    </xf>
    <xf numFmtId="0" fontId="0" fillId="2" borderId="323" xfId="0" applyFont="1" applyFill="1" applyBorder="1" applyAlignment="1">
      <alignment horizontal="center" vertical="center" wrapText="1"/>
    </xf>
    <xf numFmtId="0" fontId="15" fillId="2" borderId="296" xfId="0" applyFont="1" applyFill="1" applyBorder="1" applyAlignment="1">
      <alignment horizontal="center" vertical="center" wrapText="1"/>
    </xf>
    <xf numFmtId="0" fontId="0" fillId="2" borderId="341" xfId="0" applyFont="1" applyFill="1" applyBorder="1" applyAlignment="1">
      <alignment horizontal="center" vertical="center" wrapText="1"/>
    </xf>
    <xf numFmtId="0" fontId="0" fillId="2" borderId="317" xfId="0" applyFont="1" applyFill="1" applyBorder="1" applyAlignment="1">
      <alignment horizontal="center" vertical="center" wrapText="1"/>
    </xf>
    <xf numFmtId="0" fontId="0" fillId="2" borderId="308" xfId="0" applyFont="1" applyFill="1" applyBorder="1" applyAlignment="1">
      <alignment horizontal="center" vertical="center" wrapText="1"/>
    </xf>
    <xf numFmtId="0" fontId="15" fillId="2" borderId="308" xfId="0" applyFont="1" applyFill="1" applyBorder="1" applyAlignment="1">
      <alignment horizontal="center" vertical="center" wrapText="1"/>
    </xf>
    <xf numFmtId="0" fontId="0" fillId="2" borderId="339" xfId="0" applyFont="1" applyFill="1" applyBorder="1" applyAlignment="1">
      <alignment horizontal="center" vertical="center" wrapText="1"/>
    </xf>
    <xf numFmtId="0" fontId="0" fillId="2" borderId="344" xfId="0" applyFont="1" applyFill="1" applyBorder="1" applyAlignment="1">
      <alignment horizontal="center" vertical="center" wrapText="1"/>
    </xf>
    <xf numFmtId="0" fontId="0" fillId="2" borderId="353" xfId="0" applyFont="1" applyFill="1" applyBorder="1" applyAlignment="1">
      <alignment horizontal="center" vertical="center" wrapText="1"/>
    </xf>
    <xf numFmtId="0" fontId="0" fillId="2" borderId="346" xfId="0" applyFont="1" applyFill="1" applyBorder="1" applyAlignment="1">
      <alignment horizontal="center" vertical="center" wrapText="1"/>
    </xf>
    <xf numFmtId="0" fontId="0" fillId="2" borderId="354" xfId="0" applyFont="1" applyFill="1" applyBorder="1" applyAlignment="1">
      <alignment horizontal="center" vertical="center" wrapText="1"/>
    </xf>
    <xf numFmtId="0" fontId="0" fillId="2" borderId="366" xfId="0" applyFont="1" applyFill="1" applyBorder="1" applyAlignment="1">
      <alignment horizontal="center" vertical="center" wrapText="1"/>
    </xf>
    <xf numFmtId="0" fontId="0" fillId="2" borderId="377" xfId="0" applyFont="1" applyFill="1" applyBorder="1" applyAlignment="1">
      <alignment horizontal="center" vertical="center" wrapText="1"/>
    </xf>
    <xf numFmtId="0" fontId="0" fillId="2" borderId="391" xfId="0" applyFont="1" applyFill="1" applyBorder="1" applyAlignment="1">
      <alignment horizontal="center" vertical="center" wrapText="1"/>
    </xf>
    <xf numFmtId="0" fontId="0" fillId="2" borderId="296" xfId="0" applyFont="1" applyFill="1" applyBorder="1" applyAlignment="1">
      <alignment horizontal="center" vertical="center" wrapText="1"/>
    </xf>
    <xf numFmtId="0" fontId="0" fillId="2" borderId="400" xfId="0" applyFont="1" applyFill="1" applyBorder="1" applyAlignment="1">
      <alignment horizontal="center" vertical="center" wrapText="1"/>
    </xf>
    <xf numFmtId="0" fontId="0" fillId="2" borderId="415" xfId="0" applyFont="1" applyFill="1" applyBorder="1" applyAlignment="1">
      <alignment horizontal="center" vertical="center" wrapText="1"/>
    </xf>
    <xf numFmtId="0" fontId="0" fillId="2" borderId="411" xfId="0" applyFont="1" applyFill="1" applyBorder="1" applyAlignment="1">
      <alignment horizontal="center" vertical="center" wrapText="1"/>
    </xf>
    <xf numFmtId="0" fontId="0" fillId="2" borderId="306" xfId="0" applyFont="1" applyFill="1" applyBorder="1" applyAlignment="1">
      <alignment horizontal="center" vertical="center" wrapText="1"/>
    </xf>
    <xf numFmtId="0" fontId="0" fillId="2" borderId="418" xfId="0" applyFont="1" applyFill="1" applyBorder="1" applyAlignment="1">
      <alignment horizontal="center" vertical="center" wrapText="1"/>
    </xf>
    <xf numFmtId="0" fontId="15" fillId="2" borderId="388" xfId="0" applyFont="1" applyFill="1" applyBorder="1" applyAlignment="1">
      <alignment horizontal="center" vertical="center" wrapText="1"/>
    </xf>
    <xf numFmtId="0" fontId="0" fillId="2" borderId="442" xfId="0" applyFont="1" applyFill="1" applyBorder="1" applyAlignment="1">
      <alignment horizontal="center" vertical="center" wrapText="1"/>
    </xf>
    <xf numFmtId="0" fontId="0" fillId="2" borderId="480" xfId="0" applyFont="1" applyFill="1" applyBorder="1" applyAlignment="1">
      <alignment horizontal="center" vertical="center" wrapText="1"/>
    </xf>
    <xf numFmtId="0" fontId="0" fillId="2" borderId="481" xfId="0" applyFont="1" applyFill="1" applyBorder="1" applyAlignment="1">
      <alignment horizontal="center" vertical="center" wrapText="1"/>
    </xf>
    <xf numFmtId="0" fontId="15" fillId="2" borderId="481" xfId="0" applyFont="1" applyFill="1" applyBorder="1" applyAlignment="1">
      <alignment horizontal="center" vertical="center" wrapText="1"/>
    </xf>
    <xf numFmtId="0" fontId="15" fillId="2" borderId="482" xfId="0" applyFont="1" applyFill="1" applyBorder="1" applyAlignment="1">
      <alignment horizontal="center" vertical="center" wrapText="1"/>
    </xf>
    <xf numFmtId="0" fontId="0" fillId="2" borderId="482" xfId="0" applyFont="1" applyFill="1" applyBorder="1" applyAlignment="1">
      <alignment horizontal="center" vertical="center" wrapText="1"/>
    </xf>
    <xf numFmtId="0" fontId="15" fillId="2" borderId="480" xfId="0" applyFont="1" applyFill="1" applyBorder="1" applyAlignment="1">
      <alignment horizontal="center" vertical="center" wrapText="1"/>
    </xf>
    <xf numFmtId="0" fontId="15" fillId="2" borderId="469" xfId="0" applyFont="1" applyFill="1" applyBorder="1" applyAlignment="1">
      <alignment horizontal="center" vertical="center" wrapText="1"/>
    </xf>
    <xf numFmtId="0" fontId="15" fillId="2" borderId="471" xfId="0" applyFont="1" applyFill="1" applyBorder="1" applyAlignment="1">
      <alignment horizontal="center" vertical="center" wrapText="1"/>
    </xf>
    <xf numFmtId="0" fontId="15" fillId="2" borderId="470" xfId="0" applyFont="1" applyFill="1" applyBorder="1" applyAlignment="1">
      <alignment horizontal="center" vertical="center" wrapText="1"/>
    </xf>
    <xf numFmtId="0" fontId="0" fillId="2" borderId="510" xfId="0" applyFont="1" applyFill="1" applyBorder="1" applyAlignment="1">
      <alignment horizontal="center" vertical="center" wrapText="1"/>
    </xf>
    <xf numFmtId="0" fontId="0" fillId="2" borderId="509" xfId="0" applyFont="1" applyFill="1" applyBorder="1" applyAlignment="1">
      <alignment horizontal="center" vertical="center" wrapText="1"/>
    </xf>
    <xf numFmtId="0" fontId="0" fillId="2" borderId="511" xfId="0" applyFont="1" applyFill="1" applyBorder="1" applyAlignment="1">
      <alignment horizontal="center" vertical="center" wrapText="1"/>
    </xf>
    <xf numFmtId="0" fontId="1" fillId="2" borderId="523" xfId="0" applyFont="1" applyFill="1" applyBorder="1" applyAlignment="1">
      <alignment horizontal="center" vertical="center" wrapText="1"/>
    </xf>
    <xf numFmtId="0" fontId="1" fillId="2" borderId="506" xfId="0" applyFont="1" applyFill="1" applyBorder="1" applyAlignment="1">
      <alignment horizontal="center" vertical="center" wrapText="1"/>
    </xf>
    <xf numFmtId="0" fontId="1" fillId="2" borderId="502" xfId="0" applyFont="1" applyFill="1" applyBorder="1" applyAlignment="1">
      <alignment horizontal="center" vertical="center" wrapText="1"/>
    </xf>
    <xf numFmtId="0" fontId="1" fillId="2" borderId="483" xfId="0" applyFont="1" applyFill="1" applyBorder="1" applyAlignment="1">
      <alignment horizontal="center" vertical="center" wrapText="1"/>
    </xf>
    <xf numFmtId="0" fontId="74" fillId="2" borderId="73" xfId="0" applyFont="1" applyFill="1" applyBorder="1" applyAlignment="1">
      <alignment horizontal="center" vertical="center" wrapText="1"/>
    </xf>
    <xf numFmtId="0" fontId="74" fillId="2" borderId="486" xfId="0" applyFont="1" applyFill="1" applyBorder="1" applyAlignment="1">
      <alignment horizontal="center" vertical="center" wrapText="1"/>
    </xf>
    <xf numFmtId="0" fontId="74" fillId="2" borderId="234" xfId="0" applyFont="1" applyFill="1" applyBorder="1" applyAlignment="1">
      <alignment horizontal="center" vertical="center" wrapText="1"/>
    </xf>
    <xf numFmtId="0" fontId="74" fillId="2" borderId="490" xfId="0" applyFont="1" applyFill="1" applyBorder="1" applyAlignment="1">
      <alignment horizontal="center" vertical="center" wrapText="1"/>
    </xf>
    <xf numFmtId="0" fontId="1" fillId="2" borderId="495" xfId="0" applyFont="1" applyFill="1" applyBorder="1" applyAlignment="1">
      <alignment horizontal="center" vertical="center" wrapText="1"/>
    </xf>
    <xf numFmtId="0" fontId="1" fillId="2" borderId="467" xfId="0" applyFont="1" applyFill="1" applyBorder="1" applyAlignment="1">
      <alignment horizontal="center" vertical="center" wrapText="1"/>
    </xf>
    <xf numFmtId="0" fontId="1" fillId="2" borderId="465" xfId="0" applyFont="1" applyFill="1" applyBorder="1" applyAlignment="1">
      <alignment horizontal="center" vertical="center" wrapText="1"/>
    </xf>
    <xf numFmtId="0" fontId="1" fillId="2" borderId="466" xfId="0" applyFont="1" applyFill="1" applyBorder="1" applyAlignment="1">
      <alignment horizontal="center" vertical="center" wrapText="1"/>
    </xf>
    <xf numFmtId="0" fontId="0" fillId="0" borderId="468" xfId="0" applyFont="1" applyBorder="1" applyAlignment="1">
      <alignment horizontal="center" vertical="center"/>
    </xf>
    <xf numFmtId="0" fontId="1" fillId="2" borderId="481" xfId="0" applyFont="1" applyFill="1" applyBorder="1" applyAlignment="1">
      <alignment horizontal="center" vertical="center" wrapText="1"/>
    </xf>
    <xf numFmtId="0" fontId="1" fillId="2" borderId="482" xfId="0" applyFont="1" applyFill="1" applyBorder="1" applyAlignment="1">
      <alignment horizontal="center" vertical="center" wrapText="1"/>
    </xf>
    <xf numFmtId="0" fontId="0" fillId="0" borderId="472" xfId="0" applyFont="1" applyBorder="1" applyAlignment="1">
      <alignment horizontal="center" vertical="center"/>
    </xf>
    <xf numFmtId="0" fontId="0" fillId="0" borderId="469" xfId="0" applyFont="1" applyBorder="1" applyAlignment="1">
      <alignment horizontal="center" vertical="center"/>
    </xf>
    <xf numFmtId="0" fontId="0" fillId="0" borderId="433" xfId="0" applyFont="1" applyBorder="1" applyAlignment="1">
      <alignment horizontal="center" vertical="center"/>
    </xf>
    <xf numFmtId="0" fontId="0" fillId="0" borderId="443" xfId="0" applyFont="1" applyBorder="1" applyAlignment="1">
      <alignment horizontal="center" vertical="center"/>
    </xf>
    <xf numFmtId="0" fontId="1" fillId="2" borderId="260" xfId="0" applyFont="1" applyFill="1" applyBorder="1" applyAlignment="1">
      <alignment horizontal="center" vertical="center" wrapText="1"/>
    </xf>
    <xf numFmtId="0" fontId="0" fillId="0" borderId="390" xfId="0" applyFont="1" applyBorder="1" applyAlignment="1">
      <alignment horizontal="center" vertical="center"/>
    </xf>
    <xf numFmtId="0" fontId="0" fillId="2" borderId="390" xfId="0" applyFont="1" applyFill="1" applyBorder="1" applyAlignment="1">
      <alignment horizontal="center" vertical="center" wrapText="1"/>
    </xf>
    <xf numFmtId="0" fontId="1" fillId="2" borderId="296" xfId="0" applyFont="1" applyFill="1" applyBorder="1" applyAlignment="1">
      <alignment horizontal="center" vertical="center" wrapText="1"/>
    </xf>
    <xf numFmtId="0" fontId="1" fillId="2" borderId="257" xfId="0" applyFont="1" applyFill="1" applyBorder="1" applyAlignment="1">
      <alignment horizontal="center" vertical="center" wrapText="1"/>
    </xf>
    <xf numFmtId="0" fontId="0" fillId="0" borderId="367" xfId="0" applyFont="1" applyBorder="1" applyAlignment="1">
      <alignment horizontal="center" vertical="center"/>
    </xf>
    <xf numFmtId="0" fontId="0" fillId="0" borderId="415" xfId="0" applyFont="1" applyBorder="1" applyAlignment="1">
      <alignment horizontal="center" vertical="center"/>
    </xf>
    <xf numFmtId="0" fontId="1" fillId="2" borderId="308" xfId="0" applyFont="1" applyFill="1" applyBorder="1" applyAlignment="1">
      <alignment horizontal="center" vertical="center" wrapText="1"/>
    </xf>
    <xf numFmtId="0" fontId="1" fillId="2" borderId="173" xfId="0" applyFont="1" applyFill="1" applyBorder="1" applyAlignment="1">
      <alignment horizontal="center" vertical="center" wrapText="1"/>
    </xf>
    <xf numFmtId="0" fontId="1" fillId="2" borderId="174" xfId="0" applyFont="1" applyFill="1" applyBorder="1" applyAlignment="1">
      <alignment horizontal="center" vertical="center" wrapText="1"/>
    </xf>
    <xf numFmtId="0" fontId="1" fillId="2" borderId="170" xfId="0" applyFont="1" applyFill="1" applyBorder="1" applyAlignment="1">
      <alignment horizontal="center" vertical="center" wrapText="1"/>
    </xf>
    <xf numFmtId="0" fontId="0" fillId="2" borderId="386" xfId="0" applyFont="1" applyFill="1" applyBorder="1" applyAlignment="1">
      <alignment horizontal="center" vertical="center" wrapText="1"/>
    </xf>
    <xf numFmtId="0" fontId="0" fillId="2" borderId="383" xfId="0" applyFont="1" applyFill="1" applyBorder="1" applyAlignment="1">
      <alignment horizontal="center" vertical="center" wrapText="1"/>
    </xf>
    <xf numFmtId="0" fontId="0" fillId="2" borderId="389" xfId="0" applyFont="1" applyFill="1" applyBorder="1" applyAlignment="1">
      <alignment horizontal="center" vertical="center" wrapText="1"/>
    </xf>
    <xf numFmtId="0" fontId="0" fillId="0" borderId="386" xfId="0" applyFont="1" applyBorder="1" applyAlignment="1">
      <alignment horizontal="center" vertical="center"/>
    </xf>
    <xf numFmtId="0" fontId="0" fillId="0" borderId="308" xfId="0" applyFont="1" applyBorder="1" applyAlignment="1">
      <alignment horizontal="center" vertical="center"/>
    </xf>
    <xf numFmtId="0" fontId="1" fillId="2" borderId="167" xfId="0" applyFont="1" applyFill="1" applyBorder="1" applyAlignment="1">
      <alignment horizontal="center" vertical="center" wrapText="1"/>
    </xf>
    <xf numFmtId="0" fontId="1" fillId="2" borderId="171" xfId="0" applyFont="1" applyFill="1" applyBorder="1" applyAlignment="1">
      <alignment horizontal="center" vertical="center" wrapText="1"/>
    </xf>
    <xf numFmtId="0" fontId="1" fillId="2" borderId="388" xfId="0" applyFont="1" applyFill="1" applyBorder="1" applyAlignment="1">
      <alignment horizontal="center" vertical="center" wrapText="1"/>
    </xf>
    <xf numFmtId="0" fontId="1" fillId="2" borderId="132" xfId="0" applyFont="1" applyFill="1" applyBorder="1" applyAlignment="1">
      <alignment horizontal="center" vertical="center" wrapText="1"/>
    </xf>
    <xf numFmtId="0" fontId="1" fillId="2" borderId="121" xfId="0" applyFont="1" applyFill="1" applyBorder="1" applyAlignment="1">
      <alignment horizontal="center" vertical="center" wrapText="1"/>
    </xf>
    <xf numFmtId="0" fontId="1" fillId="2" borderId="133" xfId="0" applyFont="1" applyFill="1" applyBorder="1" applyAlignment="1">
      <alignment horizontal="center" vertical="center" wrapText="1"/>
    </xf>
    <xf numFmtId="0" fontId="1" fillId="2" borderId="151" xfId="0" applyFont="1" applyFill="1" applyBorder="1" applyAlignment="1">
      <alignment horizontal="center" vertical="center" wrapText="1"/>
    </xf>
    <xf numFmtId="0" fontId="1" fillId="2" borderId="105" xfId="0" applyFont="1" applyFill="1" applyBorder="1" applyAlignment="1">
      <alignment horizontal="center" vertical="center" wrapText="1"/>
    </xf>
    <xf numFmtId="0" fontId="1" fillId="2" borderId="144" xfId="0" applyFont="1" applyFill="1" applyBorder="1" applyAlignment="1">
      <alignment horizontal="center" vertical="center" wrapText="1"/>
    </xf>
    <xf numFmtId="0" fontId="1" fillId="2" borderId="99" xfId="0" applyFont="1" applyFill="1" applyBorder="1" applyAlignment="1">
      <alignment horizontal="center" vertical="center" wrapText="1"/>
    </xf>
    <xf numFmtId="0" fontId="1" fillId="2" borderId="100" xfId="0" applyFont="1" applyFill="1" applyBorder="1" applyAlignment="1">
      <alignment horizontal="center" vertical="center" wrapText="1"/>
    </xf>
    <xf numFmtId="0" fontId="1" fillId="2" borderId="101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2" borderId="154" xfId="0" applyFont="1" applyFill="1" applyBorder="1" applyAlignment="1">
      <alignment horizontal="center" vertical="center" wrapText="1"/>
    </xf>
    <xf numFmtId="0" fontId="1" fillId="2" borderId="207" xfId="0" applyFont="1" applyFill="1" applyBorder="1" applyAlignment="1">
      <alignment horizontal="center" vertical="center" wrapText="1"/>
    </xf>
    <xf numFmtId="0" fontId="1" fillId="2" borderId="201" xfId="0" applyFont="1" applyFill="1" applyBorder="1" applyAlignment="1">
      <alignment horizontal="center" vertical="center" wrapText="1"/>
    </xf>
    <xf numFmtId="0" fontId="1" fillId="2" borderId="202" xfId="0" applyFont="1" applyFill="1" applyBorder="1" applyAlignment="1">
      <alignment horizontal="center" vertical="center" wrapText="1"/>
    </xf>
    <xf numFmtId="0" fontId="1" fillId="2" borderId="206" xfId="0" applyFont="1" applyFill="1" applyBorder="1" applyAlignment="1">
      <alignment horizontal="center" vertical="center" wrapText="1"/>
    </xf>
    <xf numFmtId="0" fontId="1" fillId="2" borderId="204" xfId="0" applyFont="1" applyFill="1" applyBorder="1" applyAlignment="1">
      <alignment horizontal="center" vertical="center" wrapText="1"/>
    </xf>
    <xf numFmtId="0" fontId="1" fillId="2" borderId="205" xfId="0" applyFont="1" applyFill="1" applyBorder="1" applyAlignment="1">
      <alignment horizontal="center" vertical="center" wrapText="1"/>
    </xf>
    <xf numFmtId="0" fontId="45" fillId="2" borderId="73" xfId="0" applyFont="1" applyFill="1" applyBorder="1" applyAlignment="1">
      <alignment horizontal="center" vertical="center" wrapText="1"/>
    </xf>
    <xf numFmtId="0" fontId="45" fillId="2" borderId="206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204" xfId="0" applyFont="1" applyFill="1" applyBorder="1" applyAlignment="1">
      <alignment horizontal="center" vertical="center" wrapText="1"/>
    </xf>
    <xf numFmtId="0" fontId="45" fillId="2" borderId="74" xfId="0" applyFont="1" applyFill="1" applyBorder="1" applyAlignment="1">
      <alignment horizontal="center" vertical="center" wrapText="1"/>
    </xf>
    <xf numFmtId="0" fontId="45" fillId="2" borderId="205" xfId="0" applyFont="1" applyFill="1" applyBorder="1" applyAlignment="1">
      <alignment horizontal="center" vertical="center" wrapText="1"/>
    </xf>
    <xf numFmtId="0" fontId="1" fillId="2" borderId="249" xfId="0" applyFont="1" applyFill="1" applyBorder="1" applyAlignment="1">
      <alignment horizontal="center" vertical="center" wrapText="1"/>
    </xf>
    <xf numFmtId="0" fontId="1" fillId="2" borderId="250" xfId="0" applyFont="1" applyFill="1" applyBorder="1" applyAlignment="1">
      <alignment horizontal="center" vertical="center" wrapText="1"/>
    </xf>
    <xf numFmtId="0" fontId="1" fillId="2" borderId="241" xfId="0" applyFont="1" applyFill="1" applyBorder="1" applyAlignment="1">
      <alignment horizontal="center" vertical="center" wrapText="1"/>
    </xf>
    <xf numFmtId="0" fontId="23" fillId="2" borderId="73" xfId="0" applyFont="1" applyFill="1" applyBorder="1" applyAlignment="1">
      <alignment horizontal="center" vertical="center" wrapText="1"/>
    </xf>
    <xf numFmtId="0" fontId="23" fillId="2" borderId="266" xfId="0" applyFont="1" applyFill="1" applyBorder="1" applyAlignment="1">
      <alignment horizontal="center" vertical="center" wrapText="1"/>
    </xf>
    <xf numFmtId="0" fontId="23" fillId="2" borderId="59" xfId="0" applyFont="1" applyFill="1" applyBorder="1" applyAlignment="1">
      <alignment horizontal="center" vertical="center" wrapText="1"/>
    </xf>
    <xf numFmtId="0" fontId="23" fillId="2" borderId="267" xfId="0" applyFont="1" applyFill="1" applyBorder="1" applyAlignment="1">
      <alignment horizontal="center" vertical="center" wrapText="1"/>
    </xf>
    <xf numFmtId="0" fontId="23" fillId="2" borderId="186" xfId="0" applyFont="1" applyFill="1" applyBorder="1" applyAlignment="1">
      <alignment horizontal="center" vertical="center" wrapText="1"/>
    </xf>
    <xf numFmtId="0" fontId="23" fillId="2" borderId="74" xfId="0" applyFont="1" applyFill="1" applyBorder="1" applyAlignment="1">
      <alignment horizontal="center" vertical="center" wrapText="1"/>
    </xf>
    <xf numFmtId="0" fontId="23" fillId="2" borderId="268" xfId="0" applyFont="1" applyFill="1" applyBorder="1" applyAlignment="1">
      <alignment horizontal="center" vertical="center" wrapText="1"/>
    </xf>
    <xf numFmtId="0" fontId="1" fillId="2" borderId="265" xfId="0" applyFont="1" applyFill="1" applyBorder="1" applyAlignment="1">
      <alignment horizontal="center" vertical="center" wrapText="1"/>
    </xf>
    <xf numFmtId="0" fontId="23" fillId="2" borderId="162" xfId="0" applyFont="1" applyFill="1" applyBorder="1" applyAlignment="1">
      <alignment horizontal="center" vertical="center" wrapText="1"/>
    </xf>
    <xf numFmtId="0" fontId="23" fillId="2" borderId="22" xfId="0" applyFont="1" applyFill="1" applyBorder="1" applyAlignment="1">
      <alignment horizontal="center" vertical="center" wrapText="1"/>
    </xf>
    <xf numFmtId="0" fontId="23" fillId="2" borderId="135" xfId="0" applyFont="1" applyFill="1" applyBorder="1" applyAlignment="1">
      <alignment horizontal="center" vertical="center" wrapText="1"/>
    </xf>
    <xf numFmtId="0" fontId="23" fillId="2" borderId="270" xfId="0" applyFont="1" applyFill="1" applyBorder="1" applyAlignment="1">
      <alignment horizontal="center" vertical="center" wrapText="1"/>
    </xf>
    <xf numFmtId="0" fontId="23" fillId="2" borderId="278" xfId="0" applyFont="1" applyFill="1" applyBorder="1" applyAlignment="1">
      <alignment horizontal="center" vertical="center" wrapText="1"/>
    </xf>
    <xf numFmtId="0" fontId="23" fillId="2" borderId="279" xfId="0" applyFont="1" applyFill="1" applyBorder="1" applyAlignment="1">
      <alignment horizontal="center" vertical="center" wrapText="1"/>
    </xf>
    <xf numFmtId="0" fontId="1" fillId="2" borderId="316" xfId="0" applyFont="1" applyFill="1" applyBorder="1" applyAlignment="1">
      <alignment horizontal="center" vertical="center" wrapText="1"/>
    </xf>
    <xf numFmtId="0" fontId="1" fillId="2" borderId="294" xfId="0" applyFont="1" applyFill="1" applyBorder="1" applyAlignment="1">
      <alignment horizontal="center" vertical="center" wrapText="1"/>
    </xf>
    <xf numFmtId="0" fontId="0" fillId="0" borderId="341" xfId="0" applyBorder="1" applyAlignment="1">
      <alignment horizontal="center" vertical="center"/>
    </xf>
    <xf numFmtId="0" fontId="1" fillId="2" borderId="261" xfId="0" applyFont="1" applyFill="1" applyBorder="1" applyAlignment="1">
      <alignment horizontal="center" vertical="center" wrapText="1"/>
    </xf>
    <xf numFmtId="0" fontId="0" fillId="0" borderId="388" xfId="0" applyFont="1" applyBorder="1" applyAlignment="1">
      <alignment horizontal="center" vertical="center"/>
    </xf>
    <xf numFmtId="0" fontId="0" fillId="2" borderId="388" xfId="0" applyFont="1" applyFill="1" applyBorder="1" applyAlignment="1">
      <alignment horizontal="center" vertical="center" wrapText="1"/>
    </xf>
    <xf numFmtId="0" fontId="0" fillId="2" borderId="437" xfId="0" applyFont="1" applyFill="1" applyBorder="1" applyAlignment="1">
      <alignment horizontal="center" vertical="center" wrapText="1"/>
    </xf>
    <xf numFmtId="0" fontId="0" fillId="0" borderId="106" xfId="0" applyFont="1" applyBorder="1" applyAlignment="1">
      <alignment horizontal="center" vertical="center"/>
    </xf>
    <xf numFmtId="0" fontId="0" fillId="0" borderId="107" xfId="0" applyFont="1" applyBorder="1" applyAlignment="1">
      <alignment horizontal="center" vertical="center"/>
    </xf>
    <xf numFmtId="0" fontId="0" fillId="0" borderId="108" xfId="0" applyFont="1" applyBorder="1" applyAlignment="1">
      <alignment horizontal="center" vertical="center"/>
    </xf>
    <xf numFmtId="0" fontId="1" fillId="2" borderId="430" xfId="0" applyFont="1" applyFill="1" applyBorder="1" applyAlignment="1">
      <alignment horizontal="center" vertical="center" wrapText="1"/>
    </xf>
    <xf numFmtId="0" fontId="1" fillId="2" borderId="438" xfId="0" applyFont="1" applyFill="1" applyBorder="1" applyAlignment="1">
      <alignment horizontal="center" vertical="center" wrapText="1"/>
    </xf>
    <xf numFmtId="0" fontId="1" fillId="2" borderId="469" xfId="0" applyFont="1" applyFill="1" applyBorder="1" applyAlignment="1">
      <alignment horizontal="center" vertical="center" wrapText="1"/>
    </xf>
    <xf numFmtId="0" fontId="1" fillId="2" borderId="475" xfId="0" applyFont="1" applyFill="1" applyBorder="1" applyAlignment="1">
      <alignment horizontal="center" vertical="center" wrapText="1"/>
    </xf>
    <xf numFmtId="0" fontId="0" fillId="0" borderId="453" xfId="0" applyFont="1" applyBorder="1" applyAlignment="1">
      <alignment horizontal="center" vertical="center"/>
    </xf>
    <xf numFmtId="0" fontId="74" fillId="2" borderId="74" xfId="0" applyFont="1" applyFill="1" applyBorder="1" applyAlignment="1">
      <alignment horizontal="center" vertical="center" wrapText="1"/>
    </xf>
    <xf numFmtId="0" fontId="74" fillId="2" borderId="496" xfId="0" applyFont="1" applyFill="1" applyBorder="1" applyAlignment="1">
      <alignment horizontal="center" vertical="center" wrapText="1"/>
    </xf>
    <xf numFmtId="0" fontId="0" fillId="2" borderId="407" xfId="0" applyFont="1" applyFill="1" applyBorder="1" applyAlignment="1">
      <alignment horizontal="center" vertical="center" wrapText="1"/>
    </xf>
    <xf numFmtId="0" fontId="1" fillId="2" borderId="426" xfId="0" applyFont="1" applyFill="1" applyBorder="1" applyAlignment="1">
      <alignment horizontal="center" vertical="center" wrapText="1"/>
    </xf>
    <xf numFmtId="0" fontId="0" fillId="2" borderId="370" xfId="0" applyFont="1" applyFill="1" applyBorder="1" applyAlignment="1">
      <alignment horizontal="center" vertical="center" wrapText="1"/>
    </xf>
    <xf numFmtId="0" fontId="0" fillId="2" borderId="355" xfId="0" applyFont="1" applyFill="1" applyBorder="1" applyAlignment="1">
      <alignment horizontal="center" vertical="center" wrapText="1"/>
    </xf>
    <xf numFmtId="0" fontId="0" fillId="2" borderId="337" xfId="0" applyFont="1" applyFill="1" applyBorder="1" applyAlignment="1">
      <alignment horizontal="center" vertical="center" wrapText="1"/>
    </xf>
    <xf numFmtId="0" fontId="0" fillId="0" borderId="63" xfId="0" applyFill="1" applyBorder="1" applyAlignment="1">
      <alignment horizontal="left" vertical="top"/>
    </xf>
    <xf numFmtId="0" fontId="0" fillId="0" borderId="24" xfId="0" applyFill="1" applyBorder="1" applyAlignment="1">
      <alignment horizontal="left" vertical="top"/>
    </xf>
    <xf numFmtId="0" fontId="0" fillId="0" borderId="104" xfId="0" applyFill="1" applyBorder="1" applyAlignment="1">
      <alignment horizontal="left" vertical="top"/>
    </xf>
    <xf numFmtId="0" fontId="43" fillId="2" borderId="59" xfId="0" applyFont="1" applyFill="1" applyBorder="1" applyAlignment="1">
      <alignment horizontal="center" vertical="center" wrapText="1"/>
    </xf>
    <xf numFmtId="0" fontId="43" fillId="2" borderId="265" xfId="0" applyFont="1" applyFill="1" applyBorder="1" applyAlignment="1">
      <alignment horizontal="center" vertical="center" wrapText="1"/>
    </xf>
    <xf numFmtId="0" fontId="43" fillId="2" borderId="74" xfId="0" applyFont="1" applyFill="1" applyBorder="1" applyAlignment="1">
      <alignment horizontal="center" vertical="center" wrapText="1"/>
    </xf>
    <xf numFmtId="0" fontId="43" fillId="2" borderId="257" xfId="0" applyFont="1" applyFill="1" applyBorder="1" applyAlignment="1">
      <alignment horizontal="center" vertical="center" wrapText="1"/>
    </xf>
    <xf numFmtId="0" fontId="43" fillId="2" borderId="73" xfId="0" applyFont="1" applyFill="1" applyBorder="1" applyAlignment="1">
      <alignment horizontal="center" vertical="center" wrapText="1"/>
    </xf>
    <xf numFmtId="0" fontId="43" fillId="2" borderId="260" xfId="0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horizontal="left" vertical="top"/>
    </xf>
    <xf numFmtId="0" fontId="0" fillId="0" borderId="276" xfId="0" applyFont="1" applyFill="1" applyBorder="1" applyAlignment="1">
      <alignment horizontal="left" vertical="top"/>
    </xf>
    <xf numFmtId="0" fontId="0" fillId="0" borderId="278" xfId="0" applyFont="1" applyFill="1" applyBorder="1" applyAlignment="1">
      <alignment horizontal="left" vertical="top"/>
    </xf>
    <xf numFmtId="0" fontId="0" fillId="0" borderId="265" xfId="0" applyFont="1" applyFill="1" applyBorder="1" applyAlignment="1">
      <alignment horizontal="left" vertical="top"/>
    </xf>
    <xf numFmtId="0" fontId="0" fillId="0" borderId="274" xfId="0" applyFill="1" applyBorder="1" applyAlignment="1">
      <alignment horizontal="left" vertical="top"/>
    </xf>
    <xf numFmtId="0" fontId="0" fillId="0" borderId="265" xfId="0" applyFill="1" applyBorder="1" applyAlignment="1">
      <alignment horizontal="left" vertical="top"/>
    </xf>
    <xf numFmtId="0" fontId="1" fillId="2" borderId="273" xfId="0" applyFont="1" applyFill="1" applyBorder="1" applyAlignment="1">
      <alignment horizontal="center" vertical="center" wrapText="1"/>
    </xf>
    <xf numFmtId="0" fontId="0" fillId="0" borderId="24" xfId="0" applyFill="1" applyBorder="1" applyAlignment="1">
      <alignment horizontal="center" vertical="center" wrapText="1"/>
    </xf>
    <xf numFmtId="0" fontId="0" fillId="0" borderId="104" xfId="0" applyFill="1" applyBorder="1" applyAlignment="1">
      <alignment horizontal="center" vertical="center" wrapText="1"/>
    </xf>
    <xf numFmtId="0" fontId="43" fillId="2" borderId="250" xfId="0" applyFont="1" applyFill="1" applyBorder="1" applyAlignment="1">
      <alignment horizontal="center" vertical="center" wrapText="1"/>
    </xf>
    <xf numFmtId="0" fontId="43" fillId="2" borderId="249" xfId="0" applyFont="1" applyFill="1" applyBorder="1" applyAlignment="1">
      <alignment horizontal="center" vertical="center" wrapText="1"/>
    </xf>
    <xf numFmtId="0" fontId="43" fillId="2" borderId="252" xfId="0" applyFont="1" applyFill="1" applyBorder="1" applyAlignment="1">
      <alignment horizontal="center" vertical="center" wrapText="1"/>
    </xf>
    <xf numFmtId="0" fontId="0" fillId="0" borderId="90" xfId="0" applyBorder="1" applyAlignment="1">
      <alignment horizontal="center" vertical="center" wrapText="1"/>
    </xf>
    <xf numFmtId="0" fontId="1" fillId="2" borderId="252" xfId="0" applyFont="1" applyFill="1" applyBorder="1" applyAlignment="1">
      <alignment horizontal="center" vertical="center" wrapText="1"/>
    </xf>
    <xf numFmtId="0" fontId="0" fillId="0" borderId="63" xfId="0" applyFill="1" applyBorder="1" applyAlignment="1">
      <alignment horizontal="center" vertical="top"/>
    </xf>
    <xf numFmtId="0" fontId="0" fillId="0" borderId="24" xfId="0" applyFill="1" applyBorder="1" applyAlignment="1">
      <alignment horizontal="center" vertical="top"/>
    </xf>
    <xf numFmtId="0" fontId="0" fillId="0" borderId="104" xfId="0" applyFill="1" applyBorder="1" applyAlignment="1">
      <alignment horizontal="center" vertical="top"/>
    </xf>
    <xf numFmtId="0" fontId="1" fillId="2" borderId="251" xfId="0" applyFont="1" applyFill="1" applyBorder="1" applyAlignment="1">
      <alignment horizontal="center" vertical="center" wrapText="1"/>
    </xf>
    <xf numFmtId="0" fontId="43" fillId="0" borderId="63" xfId="0" applyFont="1" applyFill="1" applyBorder="1" applyAlignment="1">
      <alignment horizontal="left" vertical="top"/>
    </xf>
    <xf numFmtId="0" fontId="43" fillId="0" borderId="24" xfId="0" applyFont="1" applyFill="1" applyBorder="1" applyAlignment="1">
      <alignment horizontal="left" vertical="top"/>
    </xf>
    <xf numFmtId="0" fontId="43" fillId="0" borderId="104" xfId="0" applyFont="1" applyFill="1" applyBorder="1" applyAlignment="1">
      <alignment horizontal="left" vertical="top"/>
    </xf>
    <xf numFmtId="0" fontId="1" fillId="2" borderId="221" xfId="0" applyFont="1" applyFill="1" applyBorder="1" applyAlignment="1">
      <alignment horizontal="center" vertical="center" wrapText="1"/>
    </xf>
    <xf numFmtId="0" fontId="1" fillId="2" borderId="222" xfId="0" applyFont="1" applyFill="1" applyBorder="1" applyAlignment="1">
      <alignment horizontal="center" vertical="center" wrapText="1"/>
    </xf>
    <xf numFmtId="0" fontId="1" fillId="2" borderId="223" xfId="0" applyFont="1" applyFill="1" applyBorder="1" applyAlignment="1">
      <alignment horizontal="center" vertical="center" wrapText="1"/>
    </xf>
    <xf numFmtId="0" fontId="43" fillId="2" borderId="206" xfId="0" applyFont="1" applyFill="1" applyBorder="1" applyAlignment="1">
      <alignment horizontal="center" vertical="center" wrapText="1"/>
    </xf>
    <xf numFmtId="0" fontId="43" fillId="2" borderId="204" xfId="0" applyFont="1" applyFill="1" applyBorder="1" applyAlignment="1">
      <alignment horizontal="center" vertical="center" wrapText="1"/>
    </xf>
    <xf numFmtId="0" fontId="43" fillId="2" borderId="205" xfId="0" applyFont="1" applyFill="1" applyBorder="1" applyAlignment="1">
      <alignment horizontal="center" vertical="center" wrapText="1"/>
    </xf>
    <xf numFmtId="0" fontId="43" fillId="2" borderId="170" xfId="0" applyFont="1" applyFill="1" applyBorder="1" applyAlignment="1">
      <alignment horizontal="center" vertical="center" wrapText="1"/>
    </xf>
    <xf numFmtId="0" fontId="43" fillId="2" borderId="167" xfId="0" applyFont="1" applyFill="1" applyBorder="1" applyAlignment="1">
      <alignment horizontal="center" vertical="center" wrapText="1"/>
    </xf>
    <xf numFmtId="0" fontId="43" fillId="2" borderId="188" xfId="0" applyFont="1" applyFill="1" applyBorder="1" applyAlignment="1">
      <alignment horizontal="center" vertical="center" wrapText="1"/>
    </xf>
    <xf numFmtId="0" fontId="43" fillId="2" borderId="191" xfId="0" applyFont="1" applyFill="1" applyBorder="1" applyAlignment="1">
      <alignment horizontal="center" vertical="center" wrapText="1"/>
    </xf>
    <xf numFmtId="0" fontId="43" fillId="2" borderId="102" xfId="0" applyFont="1" applyFill="1" applyBorder="1" applyAlignment="1">
      <alignment horizontal="center" vertical="center" wrapText="1"/>
    </xf>
    <xf numFmtId="0" fontId="43" fillId="2" borderId="192" xfId="0" applyFont="1" applyFill="1" applyBorder="1" applyAlignment="1">
      <alignment horizontal="center" vertical="center" wrapText="1"/>
    </xf>
    <xf numFmtId="0" fontId="43" fillId="2" borderId="189" xfId="0" applyFont="1" applyFill="1" applyBorder="1" applyAlignment="1">
      <alignment horizontal="center" vertical="center" wrapText="1"/>
    </xf>
    <xf numFmtId="0" fontId="43" fillId="2" borderId="193" xfId="0" applyFont="1" applyFill="1" applyBorder="1" applyAlignment="1">
      <alignment horizontal="center" vertical="center" wrapText="1"/>
    </xf>
    <xf numFmtId="0" fontId="43" fillId="2" borderId="190" xfId="0" applyFont="1" applyFill="1" applyBorder="1" applyAlignment="1">
      <alignment horizontal="center" vertical="center" wrapText="1"/>
    </xf>
    <xf numFmtId="0" fontId="43" fillId="2" borderId="194" xfId="0" applyFont="1" applyFill="1" applyBorder="1" applyAlignment="1">
      <alignment horizontal="center" vertical="center" wrapText="1"/>
    </xf>
    <xf numFmtId="0" fontId="43" fillId="2" borderId="171" xfId="0" applyFont="1" applyFill="1" applyBorder="1" applyAlignment="1">
      <alignment horizontal="center" vertical="center" wrapText="1"/>
    </xf>
    <xf numFmtId="0" fontId="0" fillId="2" borderId="170" xfId="0" applyFont="1" applyFill="1" applyBorder="1" applyAlignment="1">
      <alignment horizontal="center" vertical="center" wrapText="1"/>
    </xf>
    <xf numFmtId="0" fontId="1" fillId="2" borderId="166" xfId="0" applyFont="1" applyFill="1" applyBorder="1" applyAlignment="1">
      <alignment horizontal="center" vertical="center" wrapText="1"/>
    </xf>
    <xf numFmtId="0" fontId="1" fillId="2" borderId="168" xfId="0" applyFont="1" applyFill="1" applyBorder="1" applyAlignment="1">
      <alignment horizontal="center" vertical="center" wrapText="1"/>
    </xf>
    <xf numFmtId="2" fontId="43" fillId="0" borderId="38" xfId="0" applyNumberFormat="1" applyFont="1" applyBorder="1" applyAlignment="1">
      <alignment horizontal="center"/>
    </xf>
    <xf numFmtId="2" fontId="43" fillId="0" borderId="78" xfId="0" applyNumberFormat="1" applyFont="1" applyBorder="1" applyAlignment="1">
      <alignment horizontal="center"/>
    </xf>
    <xf numFmtId="0" fontId="1" fillId="2" borderId="180" xfId="0" applyFont="1" applyFill="1" applyBorder="1" applyAlignment="1">
      <alignment horizontal="center" vertical="center" wrapText="1"/>
    </xf>
    <xf numFmtId="0" fontId="43" fillId="2" borderId="208" xfId="0" applyFont="1" applyFill="1" applyBorder="1" applyAlignment="1">
      <alignment horizontal="center" vertical="center" wrapText="1"/>
    </xf>
    <xf numFmtId="0" fontId="43" fillId="2" borderId="209" xfId="0" applyFont="1" applyFill="1" applyBorder="1" applyAlignment="1">
      <alignment horizontal="center" vertical="center" wrapText="1"/>
    </xf>
    <xf numFmtId="0" fontId="43" fillId="2" borderId="27" xfId="0" applyFont="1" applyFill="1" applyBorder="1" applyAlignment="1">
      <alignment horizontal="center" vertical="center" wrapText="1"/>
    </xf>
    <xf numFmtId="0" fontId="43" fillId="2" borderId="210" xfId="0" applyFont="1" applyFill="1" applyBorder="1" applyAlignment="1">
      <alignment horizontal="center" vertical="center" wrapText="1"/>
    </xf>
    <xf numFmtId="0" fontId="1" fillId="2" borderId="91" xfId="0" applyFont="1" applyFill="1" applyBorder="1" applyAlignment="1">
      <alignment horizontal="center" vertical="center" wrapText="1"/>
    </xf>
    <xf numFmtId="0" fontId="0" fillId="11" borderId="63" xfId="0" applyFill="1" applyBorder="1" applyAlignment="1">
      <alignment horizontal="center" vertical="top"/>
    </xf>
    <xf numFmtId="0" fontId="0" fillId="11" borderId="24" xfId="0" applyFill="1" applyBorder="1" applyAlignment="1">
      <alignment horizontal="center" vertical="top"/>
    </xf>
    <xf numFmtId="0" fontId="0" fillId="11" borderId="104" xfId="0" applyFill="1" applyBorder="1" applyAlignment="1">
      <alignment horizontal="center" vertical="top"/>
    </xf>
    <xf numFmtId="0" fontId="43" fillId="2" borderId="234" xfId="0" applyFont="1" applyFill="1" applyBorder="1" applyAlignment="1">
      <alignment horizontal="center" vertical="center" wrapText="1"/>
    </xf>
    <xf numFmtId="0" fontId="43" fillId="2" borderId="224" xfId="0" applyFont="1" applyFill="1" applyBorder="1" applyAlignment="1">
      <alignment horizontal="center" vertical="center" wrapText="1"/>
    </xf>
    <xf numFmtId="0" fontId="43" fillId="2" borderId="225" xfId="0" applyFont="1" applyFill="1" applyBorder="1" applyAlignment="1">
      <alignment horizontal="center" vertical="center" wrapText="1"/>
    </xf>
    <xf numFmtId="0" fontId="43" fillId="2" borderId="241" xfId="0" applyFont="1" applyFill="1" applyBorder="1" applyAlignment="1">
      <alignment horizontal="center" vertical="center" wrapText="1"/>
    </xf>
    <xf numFmtId="0" fontId="1" fillId="2" borderId="266" xfId="0" applyFont="1" applyFill="1" applyBorder="1" applyAlignment="1">
      <alignment horizontal="center" vertical="center" wrapText="1"/>
    </xf>
    <xf numFmtId="0" fontId="1" fillId="2" borderId="267" xfId="0" applyFont="1" applyFill="1" applyBorder="1" applyAlignment="1">
      <alignment horizontal="center" vertical="center" wrapText="1"/>
    </xf>
    <xf numFmtId="0" fontId="1" fillId="2" borderId="268" xfId="0" applyFont="1" applyFill="1" applyBorder="1" applyAlignment="1">
      <alignment horizontal="center" vertical="center" wrapText="1"/>
    </xf>
    <xf numFmtId="0" fontId="1" fillId="2" borderId="225" xfId="0" applyFont="1" applyFill="1" applyBorder="1" applyAlignment="1">
      <alignment horizontal="center" vertical="center" wrapText="1"/>
    </xf>
    <xf numFmtId="0" fontId="1" fillId="2" borderId="224" xfId="0" applyFont="1" applyFill="1" applyBorder="1" applyAlignment="1">
      <alignment horizontal="center" vertical="center" wrapText="1"/>
    </xf>
    <xf numFmtId="0" fontId="1" fillId="2" borderId="262" xfId="0" applyFont="1" applyFill="1" applyBorder="1" applyAlignment="1">
      <alignment horizontal="center" vertical="center" wrapText="1"/>
    </xf>
    <xf numFmtId="0" fontId="0" fillId="0" borderId="234" xfId="0" applyFont="1" applyFill="1" applyBorder="1" applyAlignment="1">
      <alignment horizontal="left" vertical="top"/>
    </xf>
    <xf numFmtId="0" fontId="0" fillId="0" borderId="290" xfId="0" applyFont="1" applyFill="1" applyBorder="1" applyAlignment="1">
      <alignment horizontal="left" vertical="top"/>
    </xf>
    <xf numFmtId="0" fontId="43" fillId="2" borderId="296" xfId="0" applyFont="1" applyFill="1" applyBorder="1" applyAlignment="1">
      <alignment horizontal="center" vertical="center" wrapText="1"/>
    </xf>
    <xf numFmtId="0" fontId="0" fillId="2" borderId="310" xfId="0" applyFont="1" applyFill="1" applyBorder="1" applyAlignment="1">
      <alignment horizontal="center" vertical="center" wrapText="1"/>
    </xf>
    <xf numFmtId="0" fontId="0" fillId="2" borderId="324" xfId="0" applyFont="1" applyFill="1" applyBorder="1" applyAlignment="1">
      <alignment horizontal="center" vertical="center" wrapText="1"/>
    </xf>
    <xf numFmtId="0" fontId="1" fillId="2" borderId="311" xfId="0" applyFont="1" applyFill="1" applyBorder="1" applyAlignment="1">
      <alignment horizontal="center" vertical="center" wrapText="1"/>
    </xf>
    <xf numFmtId="0" fontId="0" fillId="2" borderId="325" xfId="0" applyFont="1" applyFill="1" applyBorder="1" applyAlignment="1">
      <alignment horizontal="center" vertical="center" wrapText="1"/>
    </xf>
    <xf numFmtId="0" fontId="0" fillId="2" borderId="320" xfId="0" applyFont="1" applyFill="1" applyBorder="1" applyAlignment="1">
      <alignment horizontal="center" vertical="center" wrapText="1"/>
    </xf>
    <xf numFmtId="0" fontId="0" fillId="2" borderId="328" xfId="0" applyFont="1" applyFill="1" applyBorder="1" applyAlignment="1">
      <alignment horizontal="center" vertical="center" wrapText="1"/>
    </xf>
    <xf numFmtId="0" fontId="1" fillId="2" borderId="293" xfId="0" applyFont="1" applyFill="1" applyBorder="1" applyAlignment="1">
      <alignment horizontal="center" vertical="center" wrapText="1"/>
    </xf>
    <xf numFmtId="0" fontId="1" fillId="2" borderId="317" xfId="0" applyFont="1" applyFill="1" applyBorder="1" applyAlignment="1">
      <alignment horizontal="center" vertical="center" wrapText="1"/>
    </xf>
    <xf numFmtId="0" fontId="1" fillId="2" borderId="391" xfId="0" applyFont="1" applyFill="1" applyBorder="1" applyAlignment="1">
      <alignment horizontal="center" vertical="center" wrapText="1"/>
    </xf>
    <xf numFmtId="0" fontId="0" fillId="2" borderId="396" xfId="0" applyFont="1" applyFill="1" applyBorder="1" applyAlignment="1">
      <alignment horizontal="center" vertical="center" wrapText="1"/>
    </xf>
    <xf numFmtId="0" fontId="0" fillId="2" borderId="453" xfId="0" applyFont="1" applyFill="1" applyBorder="1" applyAlignment="1">
      <alignment horizontal="center" vertical="center" wrapText="1"/>
    </xf>
    <xf numFmtId="0" fontId="0" fillId="2" borderId="454" xfId="0" applyFont="1" applyFill="1" applyBorder="1" applyAlignment="1">
      <alignment horizontal="center" vertical="center" wrapText="1"/>
    </xf>
    <xf numFmtId="0" fontId="0" fillId="2" borderId="455" xfId="0" applyFont="1" applyFill="1" applyBorder="1" applyAlignment="1">
      <alignment horizontal="center" vertical="center" wrapText="1"/>
    </xf>
    <xf numFmtId="0" fontId="0" fillId="2" borderId="446" xfId="0" applyFont="1" applyFill="1" applyBorder="1" applyAlignment="1">
      <alignment horizontal="center" vertical="center" wrapText="1"/>
    </xf>
    <xf numFmtId="0" fontId="1" fillId="2" borderId="501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41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4" fillId="0" borderId="52" xfId="0" applyFont="1" applyBorder="1" applyAlignment="1">
      <alignment horizontal="center" vertical="center" wrapText="1"/>
    </xf>
    <xf numFmtId="0" fontId="4" fillId="0" borderId="53" xfId="0" applyFont="1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6" borderId="42" xfId="0" applyFill="1" applyBorder="1" applyAlignment="1">
      <alignment horizontal="center" vertical="center" wrapText="1"/>
    </xf>
    <xf numFmtId="0" fontId="0" fillId="6" borderId="35" xfId="0" applyFill="1" applyBorder="1" applyAlignment="1">
      <alignment horizontal="center" vertical="center" wrapText="1"/>
    </xf>
    <xf numFmtId="0" fontId="0" fillId="6" borderId="53" xfId="0" applyFill="1" applyBorder="1" applyAlignment="1">
      <alignment horizontal="center" vertical="center" wrapText="1"/>
    </xf>
    <xf numFmtId="0" fontId="0" fillId="6" borderId="41" xfId="0" applyFill="1" applyBorder="1" applyAlignment="1">
      <alignment horizontal="center" vertical="center" wrapText="1"/>
    </xf>
    <xf numFmtId="0" fontId="0" fillId="6" borderId="48" xfId="0" applyFill="1" applyBorder="1" applyAlignment="1">
      <alignment horizontal="center" vertical="center" wrapText="1"/>
    </xf>
    <xf numFmtId="0" fontId="0" fillId="6" borderId="52" xfId="0" applyFill="1" applyBorder="1" applyAlignment="1">
      <alignment horizontal="center" vertical="center" wrapText="1"/>
    </xf>
    <xf numFmtId="0" fontId="4" fillId="6" borderId="41" xfId="0" applyFont="1" applyFill="1" applyBorder="1" applyAlignment="1">
      <alignment horizontal="center" vertical="center" wrapText="1"/>
    </xf>
    <xf numFmtId="0" fontId="4" fillId="6" borderId="48" xfId="0" applyFont="1" applyFill="1" applyBorder="1" applyAlignment="1">
      <alignment horizontal="center" vertical="center" wrapText="1"/>
    </xf>
    <xf numFmtId="0" fontId="4" fillId="6" borderId="52" xfId="0" applyFont="1" applyFill="1" applyBorder="1" applyAlignment="1">
      <alignment horizontal="center" vertical="center" wrapText="1"/>
    </xf>
    <xf numFmtId="0" fontId="4" fillId="6" borderId="42" xfId="0" applyFont="1" applyFill="1" applyBorder="1" applyAlignment="1">
      <alignment horizontal="center" vertical="center" wrapText="1"/>
    </xf>
    <xf numFmtId="0" fontId="4" fillId="6" borderId="35" xfId="0" applyFont="1" applyFill="1" applyBorder="1" applyAlignment="1">
      <alignment horizontal="center" vertical="center" wrapText="1"/>
    </xf>
    <xf numFmtId="0" fontId="4" fillId="6" borderId="53" xfId="0" applyFont="1" applyFill="1" applyBorder="1" applyAlignment="1">
      <alignment horizontal="center" vertical="center" wrapText="1"/>
    </xf>
    <xf numFmtId="16" fontId="0" fillId="0" borderId="1" xfId="0" applyNumberFormat="1" applyBorder="1" applyAlignment="1">
      <alignment horizontal="center"/>
    </xf>
    <xf numFmtId="16" fontId="0" fillId="0" borderId="3" xfId="0" applyNumberFormat="1" applyBorder="1" applyAlignment="1">
      <alignment horizontal="center"/>
    </xf>
    <xf numFmtId="164" fontId="0" fillId="0" borderId="66" xfId="0" applyNumberFormat="1" applyBorder="1" applyAlignment="1">
      <alignment horizontal="center"/>
    </xf>
    <xf numFmtId="164" fontId="0" fillId="0" borderId="67" xfId="0" applyNumberFormat="1" applyBorder="1" applyAlignment="1">
      <alignment horizontal="center"/>
    </xf>
    <xf numFmtId="164" fontId="0" fillId="0" borderId="65" xfId="0" applyNumberFormat="1" applyBorder="1" applyAlignment="1">
      <alignment horizontal="center"/>
    </xf>
    <xf numFmtId="0" fontId="0" fillId="18" borderId="70" xfId="0" applyFont="1" applyFill="1" applyBorder="1" applyAlignment="1">
      <alignment horizontal="center" vertical="center" wrapText="1"/>
    </xf>
    <xf numFmtId="0" fontId="0" fillId="19" borderId="70" xfId="0" applyFont="1" applyFill="1" applyBorder="1" applyAlignment="1">
      <alignment horizontal="center" vertical="center" wrapText="1"/>
    </xf>
  </cellXfs>
  <cellStyles count="30">
    <cellStyle name="Обычный" xfId="0" builtinId="0"/>
    <cellStyle name="Обычный 14" xfId="12"/>
    <cellStyle name="Обычный 2" xfId="3"/>
    <cellStyle name="Обычный 2 2" xfId="10"/>
    <cellStyle name="Обычный 2 3" xfId="22"/>
    <cellStyle name="Обычный 2 4" xfId="23"/>
    <cellStyle name="Обычный 3" xfId="19"/>
    <cellStyle name="Обычный 3 2" xfId="26"/>
    <cellStyle name="Обычный 4" xfId="27"/>
    <cellStyle name="Обычный 5" xfId="21"/>
    <cellStyle name="Обычный 5 2" xfId="28"/>
    <cellStyle name="Обычный 6" xfId="25"/>
    <cellStyle name="Обычный_Грин" xfId="6"/>
    <cellStyle name="Обычный_Д Райский" xfId="7"/>
    <cellStyle name="Обычный_Евсеева" xfId="18"/>
    <cellStyle name="Обычный_Лист1" xfId="2"/>
    <cellStyle name="Обычный_Максименко" xfId="13"/>
    <cellStyle name="Обычный_Прочие" xfId="8"/>
    <cellStyle name="Обычный_Чумак" xfId="5"/>
    <cellStyle name="Процентный" xfId="1" builtinId="5"/>
    <cellStyle name="Процентный 2" xfId="9"/>
    <cellStyle name="Процентный 2 2" xfId="24"/>
    <cellStyle name="Процентный 2 3" xfId="29"/>
    <cellStyle name="Финансовый" xfId="4" builtinId="3"/>
    <cellStyle name="Финансовый 2" xfId="11"/>
    <cellStyle name="Финансовый 2 2" xfId="15"/>
    <cellStyle name="Финансовый 2 3" xfId="17"/>
    <cellStyle name="Финансовый 2 4" xfId="20"/>
    <cellStyle name="Финансовый 3" xfId="14"/>
    <cellStyle name="Финансовый 4" xfId="16"/>
  </cellStyles>
  <dxfs count="7">
    <dxf>
      <fill>
        <patternFill>
          <bgColor theme="9" tint="0.59996337778862885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N4827"/>
  <sheetViews>
    <sheetView showGridLines="0" topLeftCell="A4810" zoomScale="85" zoomScaleNormal="85" workbookViewId="0">
      <selection activeCell="C4825" sqref="C4825"/>
    </sheetView>
  </sheetViews>
  <sheetFormatPr defaultRowHeight="15" outlineLevelRow="1"/>
  <cols>
    <col min="1" max="1" width="20.7109375" customWidth="1"/>
    <col min="2" max="2" width="37.28515625" customWidth="1"/>
    <col min="3" max="3" width="68.28515625" customWidth="1"/>
    <col min="4" max="6" width="20.7109375" customWidth="1"/>
    <col min="7" max="7" width="20.28515625" customWidth="1"/>
    <col min="8" max="8" width="19.85546875" customWidth="1"/>
    <col min="9" max="9" width="70.7109375" customWidth="1"/>
    <col min="10" max="10" width="10.28515625" bestFit="1" customWidth="1"/>
    <col min="11" max="11" width="9.85546875" bestFit="1" customWidth="1"/>
    <col min="12" max="12" width="9.28515625" bestFit="1" customWidth="1"/>
  </cols>
  <sheetData>
    <row r="1" spans="1:12" ht="15.75" thickBot="1"/>
    <row r="2" spans="1:12" ht="15.75" thickTop="1">
      <c r="A2" s="3782" t="s">
        <v>0</v>
      </c>
      <c r="B2" s="3781" t="s">
        <v>1</v>
      </c>
      <c r="C2" s="3781" t="s">
        <v>2</v>
      </c>
      <c r="D2" s="3781" t="s">
        <v>3</v>
      </c>
      <c r="E2" s="3781" t="s">
        <v>4</v>
      </c>
      <c r="F2" s="3765" t="s">
        <v>5</v>
      </c>
      <c r="G2" t="s">
        <v>76</v>
      </c>
      <c r="H2" t="s">
        <v>77</v>
      </c>
      <c r="J2" t="s">
        <v>79</v>
      </c>
    </row>
    <row r="3" spans="1:12" ht="25.5" customHeight="1" thickBot="1">
      <c r="A3" s="3783"/>
      <c r="B3" s="3767"/>
      <c r="C3" s="3767"/>
      <c r="D3" s="3767"/>
      <c r="E3" s="3767"/>
      <c r="F3" s="3766"/>
    </row>
    <row r="4" spans="1:12" ht="15.75" outlineLevel="1" thickTop="1">
      <c r="A4" s="10" t="s">
        <v>66</v>
      </c>
      <c r="B4" s="5" t="s">
        <v>6</v>
      </c>
      <c r="C4" s="5" t="s">
        <v>10</v>
      </c>
      <c r="D4" s="5" t="s">
        <v>13</v>
      </c>
      <c r="E4" s="5">
        <v>0.15</v>
      </c>
      <c r="F4" s="6">
        <v>3001</v>
      </c>
      <c r="G4">
        <v>3122</v>
      </c>
      <c r="H4">
        <v>9369122</v>
      </c>
      <c r="J4">
        <f>G4*I4</f>
        <v>0</v>
      </c>
      <c r="L4">
        <f>F4*1.2</f>
        <v>3601.2</v>
      </c>
    </row>
    <row r="5" spans="1:12" outlineLevel="1">
      <c r="A5" s="8"/>
      <c r="B5" s="1" t="s">
        <v>7</v>
      </c>
      <c r="C5" s="1" t="s">
        <v>11</v>
      </c>
      <c r="D5" s="1" t="s">
        <v>13</v>
      </c>
      <c r="E5" s="1">
        <v>0.15</v>
      </c>
      <c r="F5" s="2">
        <v>3223</v>
      </c>
      <c r="G5">
        <v>3061</v>
      </c>
      <c r="H5">
        <v>9865603</v>
      </c>
      <c r="J5">
        <f>G5*I5</f>
        <v>0</v>
      </c>
      <c r="L5">
        <f>F5*1.2</f>
        <v>3867.6</v>
      </c>
    </row>
    <row r="6" spans="1:12" outlineLevel="1">
      <c r="A6" s="8"/>
      <c r="B6" s="1" t="s">
        <v>8</v>
      </c>
      <c r="C6" s="1" t="s">
        <v>12</v>
      </c>
      <c r="D6" s="1" t="s">
        <v>13</v>
      </c>
      <c r="E6" s="1">
        <v>0.15</v>
      </c>
      <c r="F6" s="2">
        <v>5778</v>
      </c>
      <c r="G6">
        <v>3964</v>
      </c>
      <c r="H6">
        <v>22903992</v>
      </c>
      <c r="J6">
        <f>G6*I6</f>
        <v>0</v>
      </c>
      <c r="L6">
        <f>F6*1.2</f>
        <v>6933.5999999999995</v>
      </c>
    </row>
    <row r="7" spans="1:12" outlineLevel="1">
      <c r="A7" s="8"/>
      <c r="B7" s="1" t="s">
        <v>9</v>
      </c>
      <c r="C7" s="1"/>
      <c r="D7" s="1"/>
      <c r="E7" s="1"/>
      <c r="F7" s="2"/>
    </row>
    <row r="8" spans="1:12" outlineLevel="1">
      <c r="A8" s="8"/>
      <c r="B8" s="1"/>
      <c r="C8" s="1"/>
      <c r="D8" s="1"/>
      <c r="E8" s="1"/>
      <c r="F8" s="2"/>
      <c r="H8">
        <f>SUM(H4:H7)</f>
        <v>42138717</v>
      </c>
      <c r="J8">
        <f>SUM(J4:J7)</f>
        <v>0</v>
      </c>
    </row>
    <row r="9" spans="1:12" outlineLevel="1">
      <c r="A9" s="8"/>
      <c r="B9" s="1"/>
      <c r="C9" s="1"/>
      <c r="D9" s="1"/>
      <c r="E9" s="1"/>
      <c r="F9" s="2"/>
    </row>
    <row r="10" spans="1:12" outlineLevel="1">
      <c r="A10" s="8"/>
      <c r="B10" s="1"/>
      <c r="C10" s="1"/>
      <c r="D10" s="1"/>
      <c r="E10" s="1"/>
      <c r="F10" s="2"/>
      <c r="G10" s="15">
        <f>J8-H8</f>
        <v>-42138717</v>
      </c>
      <c r="H10" t="s">
        <v>80</v>
      </c>
    </row>
    <row r="11" spans="1:12" outlineLevel="1">
      <c r="A11" s="8"/>
      <c r="B11" s="1"/>
      <c r="C11" s="1"/>
      <c r="D11" s="1"/>
      <c r="E11" s="1"/>
      <c r="F11" s="2"/>
      <c r="G11" s="15">
        <f>G10*1.2</f>
        <v>-50566460.399999999</v>
      </c>
      <c r="H11" t="s">
        <v>81</v>
      </c>
    </row>
    <row r="12" spans="1:12" outlineLevel="1">
      <c r="A12" s="8"/>
      <c r="B12" s="1"/>
      <c r="C12" s="1"/>
      <c r="D12" s="1"/>
      <c r="E12" s="1"/>
      <c r="F12" s="2"/>
    </row>
    <row r="13" spans="1:12" outlineLevel="1">
      <c r="A13" s="8"/>
      <c r="B13" s="1"/>
      <c r="C13" s="1"/>
      <c r="D13" s="1"/>
      <c r="E13" s="1"/>
      <c r="F13" s="2"/>
    </row>
    <row r="14" spans="1:12" outlineLevel="1">
      <c r="A14" s="8"/>
      <c r="B14" s="1"/>
      <c r="C14" s="1"/>
      <c r="D14" s="1"/>
      <c r="E14" s="1"/>
      <c r="F14" s="2"/>
    </row>
    <row r="15" spans="1:12" ht="15.75" outlineLevel="1" thickBot="1">
      <c r="A15" s="9"/>
      <c r="B15" s="3"/>
      <c r="C15" s="3"/>
      <c r="D15" s="3"/>
      <c r="E15" s="3"/>
      <c r="F15" s="4"/>
    </row>
    <row r="16" spans="1:12" ht="16.5" thickTop="1" thickBot="1"/>
    <row r="17" spans="1:10" ht="15.75" thickTop="1">
      <c r="A17" s="3782" t="s">
        <v>0</v>
      </c>
      <c r="B17" s="3781" t="s">
        <v>1</v>
      </c>
      <c r="C17" s="3781" t="s">
        <v>2</v>
      </c>
      <c r="D17" s="3781" t="s">
        <v>3</v>
      </c>
      <c r="E17" s="3781" t="s">
        <v>4</v>
      </c>
      <c r="F17" s="3765" t="s">
        <v>5</v>
      </c>
      <c r="G17" t="s">
        <v>76</v>
      </c>
      <c r="H17" t="s">
        <v>77</v>
      </c>
      <c r="J17" t="s">
        <v>79</v>
      </c>
    </row>
    <row r="18" spans="1:10" ht="24.75" customHeight="1" thickBot="1">
      <c r="A18" s="3783"/>
      <c r="B18" s="3767"/>
      <c r="C18" s="3767"/>
      <c r="D18" s="3767"/>
      <c r="E18" s="3767"/>
      <c r="F18" s="3766"/>
    </row>
    <row r="19" spans="1:10" ht="15.75" outlineLevel="1" thickTop="1">
      <c r="A19" s="7" t="s">
        <v>14</v>
      </c>
      <c r="B19" s="5" t="s">
        <v>15</v>
      </c>
      <c r="C19" s="5" t="s">
        <v>16</v>
      </c>
      <c r="D19" s="5" t="s">
        <v>20</v>
      </c>
      <c r="E19" s="5">
        <v>0.15</v>
      </c>
      <c r="F19" s="6">
        <v>7096</v>
      </c>
      <c r="G19">
        <v>2496</v>
      </c>
      <c r="H19">
        <f>G19*F19</f>
        <v>17711616</v>
      </c>
      <c r="J19">
        <f>I19*G19</f>
        <v>0</v>
      </c>
    </row>
    <row r="20" spans="1:10" outlineLevel="1">
      <c r="A20" s="8"/>
      <c r="B20" s="1"/>
      <c r="C20" s="1" t="s">
        <v>17</v>
      </c>
      <c r="D20" s="1" t="s">
        <v>20</v>
      </c>
      <c r="E20" s="1">
        <v>0.15</v>
      </c>
      <c r="F20" s="2">
        <v>7096</v>
      </c>
      <c r="G20">
        <f>J19-H19</f>
        <v>-17711616</v>
      </c>
      <c r="H20" t="s">
        <v>80</v>
      </c>
    </row>
    <row r="21" spans="1:10" outlineLevel="1">
      <c r="A21" s="8"/>
      <c r="B21" s="1"/>
      <c r="C21" s="1" t="s">
        <v>18</v>
      </c>
      <c r="D21" s="1" t="s">
        <v>20</v>
      </c>
      <c r="E21" s="1">
        <v>0.15</v>
      </c>
      <c r="F21" s="2">
        <v>7096</v>
      </c>
      <c r="G21">
        <f>ROUND(G20*1.2,0)</f>
        <v>-21253939</v>
      </c>
      <c r="H21" t="s">
        <v>81</v>
      </c>
    </row>
    <row r="22" spans="1:10" outlineLevel="1">
      <c r="A22" s="8"/>
      <c r="B22" s="1"/>
      <c r="C22" s="1" t="s">
        <v>19</v>
      </c>
      <c r="D22" s="1" t="s">
        <v>20</v>
      </c>
      <c r="E22" s="1">
        <v>0.15</v>
      </c>
      <c r="F22" s="2">
        <v>7096</v>
      </c>
    </row>
    <row r="23" spans="1:10" outlineLevel="1">
      <c r="A23" s="8"/>
      <c r="B23" s="1"/>
      <c r="C23" s="1"/>
      <c r="D23" s="1"/>
      <c r="E23" s="1"/>
      <c r="F23" s="2"/>
    </row>
    <row r="24" spans="1:10" outlineLevel="1">
      <c r="A24" s="8"/>
      <c r="B24" s="1"/>
      <c r="C24" s="1"/>
      <c r="D24" s="1"/>
      <c r="E24" s="1"/>
      <c r="F24" s="2"/>
    </row>
    <row r="25" spans="1:10" outlineLevel="1">
      <c r="A25" s="8"/>
      <c r="B25" s="1"/>
      <c r="C25" s="1"/>
      <c r="D25" s="1"/>
      <c r="E25" s="1"/>
      <c r="F25" s="2"/>
    </row>
    <row r="26" spans="1:10" outlineLevel="1">
      <c r="A26" s="8"/>
      <c r="B26" s="1"/>
      <c r="C26" s="1"/>
      <c r="D26" s="1"/>
      <c r="E26" s="1"/>
      <c r="F26" s="2"/>
    </row>
    <row r="27" spans="1:10" outlineLevel="1">
      <c r="A27" s="8"/>
      <c r="B27" s="1"/>
      <c r="C27" s="1"/>
      <c r="D27" s="1"/>
      <c r="E27" s="1"/>
      <c r="F27" s="2"/>
    </row>
    <row r="28" spans="1:10" outlineLevel="1">
      <c r="A28" s="8"/>
      <c r="B28" s="1"/>
      <c r="C28" s="1"/>
      <c r="D28" s="1"/>
      <c r="E28" s="1"/>
      <c r="F28" s="2"/>
    </row>
    <row r="29" spans="1:10" outlineLevel="1">
      <c r="A29" s="8"/>
      <c r="B29" s="1"/>
      <c r="C29" s="1"/>
      <c r="D29" s="1"/>
      <c r="E29" s="1"/>
      <c r="F29" s="2"/>
    </row>
    <row r="30" spans="1:10" ht="15.75" outlineLevel="1" thickBot="1">
      <c r="A30" s="9"/>
      <c r="B30" s="3"/>
      <c r="C30" s="3"/>
      <c r="D30" s="3"/>
      <c r="E30" s="3"/>
      <c r="F30" s="4"/>
    </row>
    <row r="31" spans="1:10" ht="16.5" thickTop="1" thickBot="1"/>
    <row r="32" spans="1:10" ht="15.75" thickTop="1">
      <c r="A32" s="3782" t="s">
        <v>0</v>
      </c>
      <c r="B32" s="3781" t="s">
        <v>1</v>
      </c>
      <c r="C32" s="3781" t="s">
        <v>2</v>
      </c>
      <c r="D32" s="3781" t="s">
        <v>3</v>
      </c>
      <c r="E32" s="3781" t="s">
        <v>4</v>
      </c>
      <c r="F32" s="3765" t="s">
        <v>5</v>
      </c>
      <c r="G32" t="s">
        <v>76</v>
      </c>
      <c r="H32" t="s">
        <v>77</v>
      </c>
      <c r="J32" t="s">
        <v>79</v>
      </c>
    </row>
    <row r="33" spans="1:12" ht="24.75" customHeight="1" thickBot="1">
      <c r="A33" s="3783"/>
      <c r="B33" s="3767"/>
      <c r="C33" s="3767"/>
      <c r="D33" s="3767"/>
      <c r="E33" s="3767"/>
      <c r="F33" s="3766"/>
    </row>
    <row r="34" spans="1:12" ht="15.75" outlineLevel="1" thickTop="1">
      <c r="A34" s="7" t="s">
        <v>63</v>
      </c>
      <c r="B34" s="5" t="s">
        <v>6</v>
      </c>
      <c r="C34" s="5" t="s">
        <v>60</v>
      </c>
      <c r="D34" s="1" t="s">
        <v>13</v>
      </c>
      <c r="E34" s="5">
        <v>0.1</v>
      </c>
      <c r="F34" s="6">
        <v>6060</v>
      </c>
      <c r="G34">
        <v>2628</v>
      </c>
      <c r="H34">
        <f>F34*G34</f>
        <v>15925680</v>
      </c>
      <c r="J34">
        <f>G34*I34</f>
        <v>0</v>
      </c>
      <c r="L34">
        <f>F34*1.2</f>
        <v>7272</v>
      </c>
    </row>
    <row r="35" spans="1:12" outlineLevel="1">
      <c r="A35" s="8"/>
      <c r="B35" s="1" t="s">
        <v>7</v>
      </c>
      <c r="C35" s="1" t="s">
        <v>61</v>
      </c>
      <c r="D35" s="1" t="s">
        <v>13</v>
      </c>
      <c r="E35" s="5">
        <v>0.1</v>
      </c>
      <c r="F35" s="2">
        <v>4237</v>
      </c>
      <c r="G35">
        <v>3041</v>
      </c>
      <c r="H35">
        <f>F35*G35</f>
        <v>12884717</v>
      </c>
      <c r="J35">
        <f>G35*I35</f>
        <v>0</v>
      </c>
    </row>
    <row r="36" spans="1:12" outlineLevel="1">
      <c r="A36" s="8"/>
      <c r="B36" s="1" t="s">
        <v>8</v>
      </c>
      <c r="C36" s="1" t="s">
        <v>62</v>
      </c>
      <c r="D36" s="1" t="s">
        <v>13</v>
      </c>
      <c r="E36" s="5">
        <v>0.1</v>
      </c>
      <c r="F36" s="2">
        <v>5068</v>
      </c>
      <c r="G36">
        <v>2782</v>
      </c>
      <c r="H36">
        <f>F36*G36</f>
        <v>14099176</v>
      </c>
      <c r="J36">
        <f>G36*I36</f>
        <v>0</v>
      </c>
    </row>
    <row r="37" spans="1:12" outlineLevel="1">
      <c r="A37" s="8"/>
      <c r="B37" s="1" t="s">
        <v>9</v>
      </c>
      <c r="C37" s="1"/>
      <c r="D37" s="1"/>
      <c r="E37" s="1"/>
      <c r="F37" s="2"/>
    </row>
    <row r="38" spans="1:12" outlineLevel="1">
      <c r="A38" s="8"/>
      <c r="B38" s="1"/>
      <c r="C38" s="1"/>
      <c r="D38" s="1"/>
      <c r="E38" s="1"/>
      <c r="F38" s="2"/>
    </row>
    <row r="39" spans="1:12" outlineLevel="1">
      <c r="A39" s="8"/>
      <c r="B39" s="1"/>
      <c r="C39" s="1"/>
      <c r="D39" s="1"/>
      <c r="E39" s="1"/>
      <c r="F39" s="2"/>
      <c r="H39">
        <f>H34</f>
        <v>15925680</v>
      </c>
      <c r="J39">
        <f>J34</f>
        <v>0</v>
      </c>
    </row>
    <row r="40" spans="1:12" outlineLevel="1">
      <c r="A40" s="8"/>
      <c r="B40" s="1"/>
      <c r="C40" s="1"/>
      <c r="D40" s="1"/>
      <c r="E40" s="1"/>
      <c r="F40" s="2"/>
      <c r="H40">
        <f>H35+H36</f>
        <v>26983893</v>
      </c>
      <c r="J40">
        <f>J35+J36</f>
        <v>0</v>
      </c>
    </row>
    <row r="41" spans="1:12" outlineLevel="1">
      <c r="A41" s="8"/>
      <c r="B41" s="1"/>
      <c r="C41" s="1"/>
      <c r="D41" s="1"/>
      <c r="E41" s="1"/>
      <c r="F41" s="2"/>
    </row>
    <row r="42" spans="1:12" outlineLevel="1">
      <c r="A42" s="8"/>
      <c r="B42" s="1"/>
      <c r="C42" s="1"/>
      <c r="D42" s="1"/>
      <c r="E42" s="1"/>
      <c r="F42" s="2"/>
      <c r="H42">
        <f>J39-H39</f>
        <v>-15925680</v>
      </c>
    </row>
    <row r="43" spans="1:12" outlineLevel="1">
      <c r="A43" s="8"/>
      <c r="B43" s="1"/>
      <c r="C43" s="1"/>
      <c r="D43" s="1"/>
      <c r="E43" s="1"/>
      <c r="F43" s="2"/>
      <c r="H43">
        <f>H42*1.2</f>
        <v>-19110816</v>
      </c>
    </row>
    <row r="44" spans="1:12" outlineLevel="1">
      <c r="A44" s="8"/>
      <c r="B44" s="1"/>
      <c r="C44" s="1"/>
      <c r="D44" s="1"/>
      <c r="E44" s="1"/>
      <c r="F44" s="2"/>
      <c r="H44">
        <f>J40-H40</f>
        <v>-26983893</v>
      </c>
    </row>
    <row r="45" spans="1:12" ht="15.75" outlineLevel="1" thickBot="1">
      <c r="A45" s="9"/>
      <c r="B45" s="3"/>
      <c r="C45" s="3"/>
      <c r="D45" s="3"/>
      <c r="E45" s="3"/>
      <c r="F45" s="4"/>
      <c r="H45">
        <f>H44*1.2</f>
        <v>-32380671.599999998</v>
      </c>
    </row>
    <row r="46" spans="1:12" ht="16.5" thickTop="1" thickBot="1"/>
    <row r="47" spans="1:12" ht="15.75" thickTop="1">
      <c r="A47" s="3782" t="s">
        <v>0</v>
      </c>
      <c r="B47" s="3781" t="s">
        <v>1</v>
      </c>
      <c r="C47" s="3781" t="s">
        <v>2</v>
      </c>
      <c r="D47" s="3781" t="s">
        <v>3</v>
      </c>
      <c r="E47" s="3781" t="s">
        <v>4</v>
      </c>
      <c r="F47" s="3765" t="s">
        <v>5</v>
      </c>
      <c r="G47" t="s">
        <v>76</v>
      </c>
      <c r="H47" t="s">
        <v>77</v>
      </c>
      <c r="J47" t="s">
        <v>79</v>
      </c>
    </row>
    <row r="48" spans="1:12" ht="24.75" customHeight="1" thickBot="1">
      <c r="A48" s="3783"/>
      <c r="B48" s="3767"/>
      <c r="C48" s="3767"/>
      <c r="D48" s="3767"/>
      <c r="E48" s="3767"/>
      <c r="F48" s="3766"/>
    </row>
    <row r="49" spans="1:12" ht="15.75" outlineLevel="1" thickTop="1">
      <c r="A49" s="7" t="s">
        <v>64</v>
      </c>
      <c r="B49" s="5" t="s">
        <v>65</v>
      </c>
      <c r="C49" s="5" t="s">
        <v>71</v>
      </c>
      <c r="D49" s="5" t="s">
        <v>13</v>
      </c>
      <c r="E49" s="11">
        <v>0.1</v>
      </c>
      <c r="F49" s="6">
        <v>104628</v>
      </c>
      <c r="G49">
        <v>100</v>
      </c>
      <c r="H49">
        <f>F49*G49</f>
        <v>10462800</v>
      </c>
      <c r="J49">
        <f>I49*G49</f>
        <v>0</v>
      </c>
    </row>
    <row r="50" spans="1:12" outlineLevel="1">
      <c r="A50" s="8"/>
      <c r="B50" s="1"/>
      <c r="C50" s="1" t="s">
        <v>72</v>
      </c>
      <c r="D50" s="1" t="s">
        <v>13</v>
      </c>
      <c r="E50" s="1">
        <v>0.1</v>
      </c>
      <c r="F50" s="2">
        <v>104628</v>
      </c>
    </row>
    <row r="51" spans="1:12" outlineLevel="1">
      <c r="A51" s="8"/>
      <c r="B51" s="1"/>
      <c r="C51" s="1" t="s">
        <v>73</v>
      </c>
      <c r="D51" s="1" t="s">
        <v>13</v>
      </c>
      <c r="E51" s="1">
        <v>0.1</v>
      </c>
      <c r="F51" s="2">
        <v>104628</v>
      </c>
      <c r="H51">
        <f>J49-H49</f>
        <v>-10462800</v>
      </c>
    </row>
    <row r="52" spans="1:12" outlineLevel="1">
      <c r="A52" s="8"/>
      <c r="B52" s="1"/>
      <c r="C52" s="1" t="s">
        <v>74</v>
      </c>
      <c r="D52" s="1" t="s">
        <v>13</v>
      </c>
      <c r="E52" s="1">
        <v>0.1</v>
      </c>
      <c r="F52" s="2">
        <v>104628</v>
      </c>
      <c r="H52">
        <f>H51*1.1</f>
        <v>-11509080</v>
      </c>
    </row>
    <row r="53" spans="1:12" outlineLevel="1">
      <c r="A53" s="8"/>
      <c r="B53" s="1"/>
      <c r="C53" s="1"/>
      <c r="D53" s="1" t="s">
        <v>13</v>
      </c>
      <c r="E53" s="1">
        <v>0.1</v>
      </c>
      <c r="F53" s="2">
        <v>104628</v>
      </c>
    </row>
    <row r="54" spans="1:12" outlineLevel="1">
      <c r="A54" s="8"/>
      <c r="B54" s="1"/>
      <c r="C54" s="1"/>
      <c r="D54" s="1"/>
      <c r="E54" s="1"/>
      <c r="F54" s="2"/>
    </row>
    <row r="55" spans="1:12" outlineLevel="1">
      <c r="A55" s="8"/>
      <c r="B55" s="1"/>
      <c r="C55" s="1"/>
      <c r="D55" s="1"/>
      <c r="E55" s="1"/>
      <c r="F55" s="2"/>
    </row>
    <row r="56" spans="1:12" outlineLevel="1">
      <c r="A56" s="8"/>
      <c r="B56" s="1"/>
      <c r="C56" s="1"/>
      <c r="D56" s="1"/>
      <c r="E56" s="1"/>
      <c r="F56" s="2"/>
    </row>
    <row r="57" spans="1:12" outlineLevel="1">
      <c r="A57" s="8"/>
      <c r="B57" s="1"/>
      <c r="C57" s="1"/>
      <c r="D57" s="1"/>
      <c r="E57" s="1"/>
      <c r="F57" s="2"/>
    </row>
    <row r="58" spans="1:12" outlineLevel="1">
      <c r="A58" s="8"/>
      <c r="B58" s="1"/>
      <c r="C58" s="1"/>
      <c r="D58" s="1"/>
      <c r="E58" s="1"/>
      <c r="F58" s="2"/>
    </row>
    <row r="59" spans="1:12" outlineLevel="1">
      <c r="A59" s="8"/>
      <c r="B59" s="1"/>
      <c r="C59" s="1"/>
      <c r="D59" s="1"/>
      <c r="E59" s="1"/>
      <c r="F59" s="2"/>
    </row>
    <row r="60" spans="1:12" ht="15.75" outlineLevel="1" thickBot="1">
      <c r="A60" s="9"/>
      <c r="B60" s="3"/>
      <c r="C60" s="3"/>
      <c r="D60" s="3"/>
      <c r="E60" s="3"/>
      <c r="F60" s="4"/>
    </row>
    <row r="61" spans="1:12" ht="16.5" thickTop="1" thickBot="1"/>
    <row r="62" spans="1:12" ht="15.75" thickTop="1">
      <c r="A62" s="3782" t="s">
        <v>0</v>
      </c>
      <c r="B62" s="3781" t="s">
        <v>1</v>
      </c>
      <c r="C62" s="3781" t="s">
        <v>2</v>
      </c>
      <c r="D62" s="3781" t="s">
        <v>3</v>
      </c>
      <c r="E62" s="3781" t="s">
        <v>4</v>
      </c>
      <c r="F62" s="3765" t="s">
        <v>5</v>
      </c>
      <c r="G62" t="s">
        <v>76</v>
      </c>
      <c r="H62" t="s">
        <v>77</v>
      </c>
      <c r="J62" t="s">
        <v>79</v>
      </c>
    </row>
    <row r="63" spans="1:12" ht="24.75" customHeight="1" thickBot="1">
      <c r="A63" s="3783"/>
      <c r="B63" s="3767"/>
      <c r="C63" s="3767"/>
      <c r="D63" s="3767"/>
      <c r="E63" s="3767"/>
      <c r="F63" s="3766"/>
    </row>
    <row r="64" spans="1:12" ht="15.75" outlineLevel="1" thickTop="1">
      <c r="A64" s="7" t="s">
        <v>119</v>
      </c>
      <c r="B64" s="5" t="s">
        <v>120</v>
      </c>
      <c r="C64" s="5" t="s">
        <v>57</v>
      </c>
      <c r="D64" s="5" t="s">
        <v>13</v>
      </c>
      <c r="E64" s="11">
        <v>0.15</v>
      </c>
      <c r="F64" s="6">
        <v>5379</v>
      </c>
      <c r="G64" s="15">
        <v>2185</v>
      </c>
      <c r="H64" s="15">
        <f>G64*F64</f>
        <v>11753115</v>
      </c>
      <c r="J64" s="15">
        <f>I64*G64</f>
        <v>0</v>
      </c>
      <c r="K64">
        <f>I64*1.2</f>
        <v>0</v>
      </c>
      <c r="L64">
        <f>F64*1.2</f>
        <v>6454.8</v>
      </c>
    </row>
    <row r="65" spans="1:12" outlineLevel="1">
      <c r="A65" s="8"/>
      <c r="B65" s="1" t="s">
        <v>121</v>
      </c>
      <c r="C65" s="1" t="s">
        <v>58</v>
      </c>
      <c r="D65" s="1" t="s">
        <v>13</v>
      </c>
      <c r="E65" s="11">
        <v>0.15</v>
      </c>
      <c r="F65" s="2">
        <v>4223</v>
      </c>
      <c r="G65" s="15">
        <v>2075</v>
      </c>
      <c r="H65" s="15">
        <f>G65*F65</f>
        <v>8762725</v>
      </c>
      <c r="J65" s="15">
        <f>I65*G65</f>
        <v>0</v>
      </c>
      <c r="K65">
        <f>I65*1.2</f>
        <v>0</v>
      </c>
      <c r="L65">
        <f>F65*1.2</f>
        <v>5067.5999999999995</v>
      </c>
    </row>
    <row r="66" spans="1:12" outlineLevel="1">
      <c r="A66" s="8"/>
      <c r="B66" s="1" t="s">
        <v>122</v>
      </c>
      <c r="C66" s="1" t="s">
        <v>59</v>
      </c>
      <c r="D66" s="1" t="s">
        <v>13</v>
      </c>
      <c r="E66" s="11">
        <v>0.15</v>
      </c>
      <c r="F66" s="2">
        <v>4370</v>
      </c>
      <c r="G66" s="15">
        <v>2669</v>
      </c>
      <c r="H66" s="15">
        <f>G66*F66</f>
        <v>11663530</v>
      </c>
      <c r="J66" s="15">
        <f>I66*G66</f>
        <v>0</v>
      </c>
      <c r="K66">
        <f>I66*1.2</f>
        <v>0</v>
      </c>
      <c r="L66">
        <f>F66*1.2</f>
        <v>5244</v>
      </c>
    </row>
    <row r="67" spans="1:12" outlineLevel="1">
      <c r="A67" s="8"/>
      <c r="B67" s="1" t="s">
        <v>123</v>
      </c>
      <c r="C67" s="1"/>
      <c r="D67" s="1"/>
      <c r="E67" s="1"/>
      <c r="F67" s="2"/>
      <c r="G67" s="15"/>
      <c r="H67" s="15"/>
      <c r="J67" s="15"/>
    </row>
    <row r="68" spans="1:12" outlineLevel="1">
      <c r="A68" s="8"/>
      <c r="B68" s="1"/>
      <c r="C68" s="1"/>
      <c r="D68" s="1"/>
      <c r="E68" s="1"/>
      <c r="F68" s="2"/>
      <c r="G68" s="15"/>
      <c r="H68" s="15">
        <f>SUM(H64:H67)</f>
        <v>32179370</v>
      </c>
      <c r="J68" s="15">
        <f>SUM(J64:J67)</f>
        <v>0</v>
      </c>
    </row>
    <row r="69" spans="1:12" outlineLevel="1">
      <c r="A69" s="8"/>
      <c r="B69" s="1"/>
      <c r="C69" s="1"/>
      <c r="D69" s="1"/>
      <c r="E69" s="1"/>
      <c r="F69" s="2"/>
      <c r="G69" s="15"/>
      <c r="H69" s="15"/>
      <c r="J69" s="15"/>
    </row>
    <row r="70" spans="1:12" outlineLevel="1">
      <c r="A70" s="8"/>
      <c r="B70" s="1"/>
      <c r="C70" s="1"/>
      <c r="D70" s="1"/>
      <c r="E70" s="1"/>
      <c r="F70" s="2"/>
      <c r="G70" s="15"/>
      <c r="H70" s="15">
        <f>J68-H68</f>
        <v>-32179370</v>
      </c>
      <c r="J70" s="15"/>
    </row>
    <row r="71" spans="1:12" outlineLevel="1">
      <c r="A71" s="8"/>
      <c r="B71" s="1"/>
      <c r="C71" s="1"/>
      <c r="D71" s="1"/>
      <c r="E71" s="1"/>
      <c r="F71" s="2"/>
      <c r="G71" s="15"/>
      <c r="H71" s="15">
        <v>6812687</v>
      </c>
      <c r="J71" s="15"/>
    </row>
    <row r="72" spans="1:12" outlineLevel="1">
      <c r="A72" s="8"/>
      <c r="B72" s="1"/>
      <c r="C72" s="1"/>
      <c r="D72" s="1"/>
      <c r="E72" s="1"/>
      <c r="F72" s="2"/>
    </row>
    <row r="73" spans="1:12" outlineLevel="1">
      <c r="A73" s="8"/>
      <c r="B73" s="1"/>
      <c r="C73" s="1"/>
      <c r="D73" s="1"/>
      <c r="E73" s="1"/>
      <c r="F73" s="2"/>
    </row>
    <row r="74" spans="1:12" outlineLevel="1">
      <c r="A74" s="8"/>
      <c r="B74" s="1"/>
      <c r="C74" s="1"/>
      <c r="D74" s="1"/>
      <c r="E74" s="1"/>
      <c r="F74" s="2"/>
    </row>
    <row r="75" spans="1:12" ht="15.75" outlineLevel="1" thickBot="1">
      <c r="A75" s="9"/>
      <c r="B75" s="3"/>
      <c r="C75" s="3"/>
      <c r="D75" s="3"/>
      <c r="E75" s="3"/>
      <c r="F75" s="4"/>
    </row>
    <row r="76" spans="1:12" ht="16.5" thickTop="1" thickBot="1"/>
    <row r="77" spans="1:12" ht="15.75" thickTop="1">
      <c r="A77" s="3782" t="s">
        <v>0</v>
      </c>
      <c r="B77" s="3781" t="s">
        <v>1</v>
      </c>
      <c r="C77" s="3781" t="s">
        <v>2</v>
      </c>
      <c r="D77" s="3781" t="s">
        <v>3</v>
      </c>
      <c r="E77" s="3781" t="s">
        <v>4</v>
      </c>
      <c r="F77" s="3765" t="s">
        <v>5</v>
      </c>
      <c r="G77" t="s">
        <v>76</v>
      </c>
      <c r="H77" t="s">
        <v>77</v>
      </c>
      <c r="J77" t="s">
        <v>79</v>
      </c>
    </row>
    <row r="78" spans="1:12" ht="24.75" customHeight="1" thickBot="1">
      <c r="A78" s="3783"/>
      <c r="B78" s="3767"/>
      <c r="C78" s="3767"/>
      <c r="D78" s="3767"/>
      <c r="E78" s="3767"/>
      <c r="F78" s="3766"/>
    </row>
    <row r="79" spans="1:12" ht="15.75" outlineLevel="1" thickTop="1">
      <c r="A79" s="7" t="s">
        <v>159</v>
      </c>
      <c r="B79" s="5" t="s">
        <v>120</v>
      </c>
      <c r="C79" s="5" t="s">
        <v>160</v>
      </c>
      <c r="D79" s="1" t="s">
        <v>13</v>
      </c>
      <c r="E79" s="11">
        <v>0.15</v>
      </c>
      <c r="F79" s="6">
        <v>107409</v>
      </c>
      <c r="G79">
        <v>163</v>
      </c>
      <c r="H79">
        <f>F79*G79</f>
        <v>17507667</v>
      </c>
      <c r="J79">
        <f>G79*I79</f>
        <v>0</v>
      </c>
    </row>
    <row r="80" spans="1:12" outlineLevel="1">
      <c r="A80" s="8"/>
      <c r="B80" s="1" t="s">
        <v>121</v>
      </c>
      <c r="C80" s="1" t="s">
        <v>113</v>
      </c>
      <c r="D80" s="1" t="s">
        <v>13</v>
      </c>
      <c r="E80" s="11">
        <v>0.15</v>
      </c>
      <c r="F80" s="6">
        <v>107409</v>
      </c>
      <c r="G80">
        <v>189</v>
      </c>
      <c r="H80">
        <f>F80*G80</f>
        <v>20300301</v>
      </c>
      <c r="J80">
        <f>G80*I80</f>
        <v>0</v>
      </c>
    </row>
    <row r="81" spans="1:10" outlineLevel="1">
      <c r="A81" s="8"/>
      <c r="B81" s="1" t="s">
        <v>123</v>
      </c>
      <c r="C81" s="1" t="s">
        <v>161</v>
      </c>
      <c r="D81" s="1" t="s">
        <v>13</v>
      </c>
      <c r="E81" s="11">
        <v>0.15</v>
      </c>
      <c r="F81" s="6">
        <v>107409</v>
      </c>
      <c r="G81">
        <v>117</v>
      </c>
      <c r="H81">
        <f>F81*G81</f>
        <v>12566853</v>
      </c>
      <c r="J81">
        <f>G81*I81</f>
        <v>0</v>
      </c>
    </row>
    <row r="82" spans="1:10" outlineLevel="1">
      <c r="A82" s="8"/>
      <c r="B82" s="1"/>
      <c r="C82" s="1"/>
      <c r="D82" s="1"/>
      <c r="E82" s="1"/>
      <c r="F82" s="2"/>
    </row>
    <row r="83" spans="1:10" outlineLevel="1">
      <c r="A83" s="8"/>
      <c r="B83" s="1"/>
      <c r="C83" s="1"/>
      <c r="D83" s="1"/>
      <c r="E83" s="1"/>
      <c r="F83" s="2"/>
      <c r="H83">
        <f>SUM(H79:H82)</f>
        <v>50374821</v>
      </c>
      <c r="J83">
        <f>SUM(J79:J82)</f>
        <v>0</v>
      </c>
    </row>
    <row r="84" spans="1:10" outlineLevel="1">
      <c r="A84" s="8"/>
      <c r="B84" s="1"/>
      <c r="C84" s="1"/>
      <c r="D84" s="1"/>
      <c r="E84" s="1"/>
      <c r="F84" s="2"/>
    </row>
    <row r="85" spans="1:10" outlineLevel="1">
      <c r="A85" s="8"/>
      <c r="B85" s="1"/>
      <c r="C85" s="1"/>
      <c r="D85" s="1"/>
      <c r="E85" s="1"/>
      <c r="F85" s="2"/>
      <c r="H85">
        <f>J83-H83</f>
        <v>-50374821</v>
      </c>
    </row>
    <row r="86" spans="1:10" outlineLevel="1">
      <c r="A86" s="8"/>
      <c r="B86" s="1"/>
      <c r="C86" s="1"/>
      <c r="D86" s="1"/>
      <c r="E86" s="1"/>
      <c r="F86" s="2"/>
      <c r="H86">
        <f>H85*1.1</f>
        <v>-55412303.100000001</v>
      </c>
    </row>
    <row r="87" spans="1:10" outlineLevel="1">
      <c r="A87" s="8"/>
      <c r="B87" s="1"/>
      <c r="C87" s="1"/>
      <c r="D87" s="1"/>
      <c r="E87" s="1"/>
      <c r="F87" s="2"/>
    </row>
    <row r="88" spans="1:10" outlineLevel="1">
      <c r="A88" s="8"/>
      <c r="B88" s="1"/>
      <c r="C88" s="1"/>
      <c r="D88" s="1"/>
      <c r="E88" s="1"/>
      <c r="F88" s="2"/>
    </row>
    <row r="89" spans="1:10" outlineLevel="1">
      <c r="A89" s="8"/>
      <c r="B89" s="1"/>
      <c r="C89" s="1"/>
      <c r="D89" s="1"/>
      <c r="E89" s="1"/>
      <c r="F89" s="2"/>
    </row>
    <row r="90" spans="1:10" ht="15.75" outlineLevel="1" thickBot="1">
      <c r="A90" s="9"/>
      <c r="B90" s="3"/>
      <c r="C90" s="3"/>
      <c r="D90" s="3"/>
      <c r="E90" s="3"/>
      <c r="F90" s="4"/>
    </row>
    <row r="91" spans="1:10" ht="16.5" thickTop="1" thickBot="1"/>
    <row r="92" spans="1:10" ht="15.75" thickTop="1">
      <c r="A92" s="3782" t="s">
        <v>0</v>
      </c>
      <c r="B92" s="3781" t="s">
        <v>1</v>
      </c>
      <c r="C92" s="3781" t="s">
        <v>2</v>
      </c>
      <c r="D92" s="3781" t="s">
        <v>3</v>
      </c>
      <c r="E92" s="3781" t="s">
        <v>4</v>
      </c>
      <c r="F92" s="3765" t="s">
        <v>5</v>
      </c>
      <c r="G92" t="s">
        <v>76</v>
      </c>
      <c r="H92" t="s">
        <v>77</v>
      </c>
      <c r="J92" t="s">
        <v>79</v>
      </c>
    </row>
    <row r="93" spans="1:10" ht="24.75" customHeight="1" thickBot="1">
      <c r="A93" s="3783"/>
      <c r="B93" s="3767"/>
      <c r="C93" s="3767"/>
      <c r="D93" s="3767"/>
      <c r="E93" s="3767"/>
      <c r="F93" s="3766"/>
    </row>
    <row r="94" spans="1:10" ht="15.75" outlineLevel="1" thickTop="1">
      <c r="A94" s="7" t="s">
        <v>190</v>
      </c>
      <c r="B94" s="5" t="s">
        <v>191</v>
      </c>
      <c r="C94" s="5" t="s">
        <v>155</v>
      </c>
      <c r="D94" s="5" t="s">
        <v>20</v>
      </c>
      <c r="E94" s="11">
        <v>0.15</v>
      </c>
      <c r="F94" s="6">
        <v>5278</v>
      </c>
      <c r="G94">
        <v>220</v>
      </c>
      <c r="H94">
        <f>F94*G94</f>
        <v>1161160</v>
      </c>
      <c r="J94">
        <f>I94*G94</f>
        <v>0</v>
      </c>
    </row>
    <row r="95" spans="1:10" outlineLevel="1">
      <c r="A95" s="8"/>
      <c r="B95" s="1"/>
      <c r="C95" s="1" t="s">
        <v>154</v>
      </c>
      <c r="D95" s="1" t="s">
        <v>20</v>
      </c>
      <c r="E95" s="11">
        <v>0.15</v>
      </c>
      <c r="F95" s="2">
        <v>4144</v>
      </c>
      <c r="G95">
        <v>180</v>
      </c>
      <c r="H95">
        <f>F95*G95</f>
        <v>745920</v>
      </c>
      <c r="J95">
        <f>I95*G95</f>
        <v>0</v>
      </c>
    </row>
    <row r="96" spans="1:10" outlineLevel="1">
      <c r="A96" s="8"/>
      <c r="B96" s="1"/>
      <c r="C96" s="1" t="s">
        <v>183</v>
      </c>
      <c r="D96" s="1" t="s">
        <v>20</v>
      </c>
      <c r="E96" s="11">
        <v>0.15</v>
      </c>
      <c r="F96" s="2">
        <v>7179</v>
      </c>
      <c r="G96">
        <v>200</v>
      </c>
      <c r="H96">
        <f>F96*G96</f>
        <v>1435800</v>
      </c>
      <c r="J96">
        <f>I96*G96</f>
        <v>0</v>
      </c>
    </row>
    <row r="97" spans="1:12" outlineLevel="1">
      <c r="A97" s="8"/>
      <c r="B97" s="1"/>
      <c r="C97" s="1"/>
      <c r="D97" s="1"/>
      <c r="E97" s="1"/>
      <c r="F97" s="2"/>
    </row>
    <row r="98" spans="1:12" outlineLevel="1">
      <c r="A98" s="8"/>
      <c r="B98" s="1"/>
      <c r="C98" s="1"/>
      <c r="D98" s="1"/>
      <c r="E98" s="1"/>
      <c r="F98" s="2"/>
      <c r="H98">
        <f>SUM(H94:H97)</f>
        <v>3342880</v>
      </c>
      <c r="J98">
        <f>SUM(J94:J97)</f>
        <v>0</v>
      </c>
    </row>
    <row r="99" spans="1:12" outlineLevel="1">
      <c r="A99" s="8"/>
      <c r="B99" s="1"/>
      <c r="C99" s="1"/>
      <c r="D99" s="1"/>
      <c r="E99" s="1"/>
      <c r="F99" s="2"/>
    </row>
    <row r="100" spans="1:12" outlineLevel="1">
      <c r="A100" s="8"/>
      <c r="B100" s="1"/>
      <c r="C100" s="1"/>
      <c r="D100" s="1"/>
      <c r="E100" s="1"/>
      <c r="F100" s="2"/>
      <c r="H100">
        <f>J98-H98</f>
        <v>-3342880</v>
      </c>
    </row>
    <row r="101" spans="1:12" outlineLevel="1">
      <c r="A101" s="8"/>
      <c r="B101" s="1"/>
      <c r="C101" s="1"/>
      <c r="D101" s="1"/>
      <c r="E101" s="1"/>
      <c r="F101" s="2"/>
      <c r="H101">
        <f>H100*1.2</f>
        <v>-4011456</v>
      </c>
    </row>
    <row r="102" spans="1:12" outlineLevel="1">
      <c r="A102" s="8"/>
      <c r="B102" s="1"/>
      <c r="C102" s="1"/>
      <c r="D102" s="1"/>
      <c r="E102" s="1"/>
      <c r="F102" s="2"/>
    </row>
    <row r="103" spans="1:12" outlineLevel="1">
      <c r="A103" s="8"/>
      <c r="B103" s="1"/>
      <c r="C103" s="1"/>
      <c r="D103" s="1"/>
      <c r="E103" s="1"/>
      <c r="F103" s="2"/>
    </row>
    <row r="104" spans="1:12" outlineLevel="1">
      <c r="A104" s="8"/>
      <c r="B104" s="1"/>
      <c r="C104" s="1"/>
      <c r="D104" s="1"/>
      <c r="E104" s="1"/>
      <c r="F104" s="2"/>
    </row>
    <row r="105" spans="1:12" ht="15.75" outlineLevel="1" thickBot="1">
      <c r="A105" s="9"/>
      <c r="B105" s="3"/>
      <c r="C105" s="3"/>
      <c r="D105" s="3"/>
      <c r="E105" s="3"/>
      <c r="F105" s="4"/>
    </row>
    <row r="106" spans="1:12" ht="16.5" thickTop="1" thickBot="1"/>
    <row r="107" spans="1:12" ht="15.75" thickTop="1">
      <c r="A107" s="3782" t="s">
        <v>0</v>
      </c>
      <c r="B107" s="3781" t="s">
        <v>1</v>
      </c>
      <c r="C107" s="3781" t="s">
        <v>2</v>
      </c>
      <c r="D107" s="3781" t="s">
        <v>3</v>
      </c>
      <c r="E107" s="3781" t="s">
        <v>4</v>
      </c>
      <c r="F107" s="3765" t="s">
        <v>5</v>
      </c>
      <c r="G107" t="s">
        <v>76</v>
      </c>
      <c r="H107" t="s">
        <v>77</v>
      </c>
      <c r="J107" t="s">
        <v>79</v>
      </c>
    </row>
    <row r="108" spans="1:12" ht="24.75" customHeight="1" thickBot="1">
      <c r="A108" s="3783"/>
      <c r="B108" s="3767"/>
      <c r="C108" s="3767"/>
      <c r="D108" s="3767"/>
      <c r="E108" s="3767"/>
      <c r="F108" s="3766"/>
    </row>
    <row r="109" spans="1:12" ht="15.75" outlineLevel="1" thickTop="1">
      <c r="A109" s="7" t="s">
        <v>236</v>
      </c>
      <c r="B109" s="5" t="s">
        <v>120</v>
      </c>
      <c r="C109" s="5" t="s">
        <v>53</v>
      </c>
      <c r="D109" s="5" t="s">
        <v>237</v>
      </c>
      <c r="E109" s="11">
        <v>0.1</v>
      </c>
      <c r="F109" s="6">
        <v>6656</v>
      </c>
      <c r="G109">
        <v>2577</v>
      </c>
      <c r="H109">
        <f>F109*G109</f>
        <v>17152512</v>
      </c>
      <c r="J109">
        <f>G109*I109</f>
        <v>0</v>
      </c>
      <c r="K109">
        <f>J109-H109</f>
        <v>-17152512</v>
      </c>
      <c r="L109">
        <f>K109*1.2</f>
        <v>-20583014.399999999</v>
      </c>
    </row>
    <row r="110" spans="1:12" outlineLevel="1">
      <c r="A110" s="8"/>
      <c r="B110" s="1" t="s">
        <v>121</v>
      </c>
      <c r="C110" s="1" t="s">
        <v>189</v>
      </c>
      <c r="D110" s="5" t="s">
        <v>237</v>
      </c>
      <c r="E110" s="11">
        <v>0.1</v>
      </c>
      <c r="F110" s="2">
        <v>2795</v>
      </c>
      <c r="G110">
        <v>3684</v>
      </c>
      <c r="H110">
        <f>F110*G110</f>
        <v>10296780</v>
      </c>
      <c r="J110">
        <f>G110*I110</f>
        <v>0</v>
      </c>
      <c r="K110">
        <f>J110-H110</f>
        <v>-10296780</v>
      </c>
      <c r="L110">
        <f>K110*1.2</f>
        <v>-12356136</v>
      </c>
    </row>
    <row r="111" spans="1:12" outlineLevel="1">
      <c r="A111" s="8"/>
      <c r="B111" s="1" t="s">
        <v>122</v>
      </c>
      <c r="C111" s="1" t="s">
        <v>238</v>
      </c>
      <c r="D111" s="5" t="s">
        <v>237</v>
      </c>
      <c r="E111" s="11">
        <v>0.1</v>
      </c>
      <c r="F111" s="2">
        <v>41259</v>
      </c>
      <c r="G111">
        <v>856</v>
      </c>
      <c r="H111">
        <f>F111*G111</f>
        <v>35317704</v>
      </c>
      <c r="J111">
        <f>G111*I111</f>
        <v>0</v>
      </c>
      <c r="K111">
        <f>J111-H111</f>
        <v>-35317704</v>
      </c>
      <c r="L111">
        <f>K111*1.1</f>
        <v>-38849474.400000006</v>
      </c>
    </row>
    <row r="112" spans="1:12" outlineLevel="1">
      <c r="A112" s="8"/>
      <c r="B112" s="1" t="s">
        <v>123</v>
      </c>
      <c r="C112" s="1" t="s">
        <v>239</v>
      </c>
      <c r="D112" s="5" t="s">
        <v>237</v>
      </c>
      <c r="E112" s="11">
        <v>0.1</v>
      </c>
      <c r="F112" s="2">
        <v>41259</v>
      </c>
    </row>
    <row r="113" spans="1:12" outlineLevel="1">
      <c r="A113" s="8"/>
      <c r="B113" s="1"/>
      <c r="C113" s="1" t="s">
        <v>240</v>
      </c>
      <c r="D113" s="5" t="s">
        <v>237</v>
      </c>
      <c r="E113" s="11">
        <v>0.1</v>
      </c>
      <c r="F113" s="2">
        <v>41259</v>
      </c>
    </row>
    <row r="114" spans="1:12" outlineLevel="1">
      <c r="A114" s="8"/>
      <c r="B114" s="1"/>
      <c r="C114" s="1"/>
      <c r="D114" s="1"/>
      <c r="E114" s="1"/>
      <c r="F114" s="2"/>
      <c r="H114">
        <f>SUM(H109:H113)</f>
        <v>62766996</v>
      </c>
      <c r="J114">
        <f>SUM(J109:J113)</f>
        <v>0</v>
      </c>
      <c r="K114">
        <f>J114-H114</f>
        <v>-62766996</v>
      </c>
      <c r="L114">
        <f>SUM(L109:L113)</f>
        <v>-71788624.800000012</v>
      </c>
    </row>
    <row r="115" spans="1:12" outlineLevel="1">
      <c r="A115" s="8"/>
      <c r="B115" s="1"/>
      <c r="C115" s="1"/>
      <c r="D115" s="1"/>
      <c r="E115" s="1"/>
      <c r="F115" s="2"/>
    </row>
    <row r="116" spans="1:12" outlineLevel="1">
      <c r="A116" s="8"/>
      <c r="B116" s="1"/>
      <c r="C116" s="1"/>
      <c r="D116" s="1"/>
      <c r="E116" s="1"/>
      <c r="F116" s="2"/>
    </row>
    <row r="117" spans="1:12" outlineLevel="1">
      <c r="A117" s="8"/>
      <c r="B117" s="1"/>
      <c r="C117" s="1"/>
      <c r="D117" s="1"/>
      <c r="E117" s="1"/>
      <c r="F117" s="2"/>
    </row>
    <row r="118" spans="1:12" outlineLevel="1">
      <c r="A118" s="8"/>
      <c r="B118" s="1"/>
      <c r="C118" s="1"/>
      <c r="D118" s="1"/>
      <c r="E118" s="1"/>
      <c r="F118" s="2"/>
    </row>
    <row r="119" spans="1:12" outlineLevel="1">
      <c r="A119" s="8"/>
      <c r="B119" s="1"/>
      <c r="C119" s="1"/>
      <c r="D119" s="1"/>
      <c r="E119" s="1"/>
      <c r="F119" s="2"/>
    </row>
    <row r="120" spans="1:12" ht="15.75" outlineLevel="1" thickBot="1">
      <c r="A120" s="9"/>
      <c r="B120" s="3"/>
      <c r="C120" s="3"/>
      <c r="D120" s="3"/>
      <c r="E120" s="3"/>
      <c r="F120" s="4"/>
    </row>
    <row r="121" spans="1:12" ht="16.5" thickTop="1" thickBot="1"/>
    <row r="122" spans="1:12" ht="15.75" thickTop="1">
      <c r="A122" s="3782" t="s">
        <v>0</v>
      </c>
      <c r="B122" s="3781" t="s">
        <v>1</v>
      </c>
      <c r="C122" s="3781" t="s">
        <v>2</v>
      </c>
      <c r="D122" s="3781" t="s">
        <v>3</v>
      </c>
      <c r="E122" s="3781" t="s">
        <v>4</v>
      </c>
      <c r="F122" s="3765" t="s">
        <v>5</v>
      </c>
      <c r="G122" t="s">
        <v>76</v>
      </c>
      <c r="H122" t="s">
        <v>77</v>
      </c>
      <c r="J122" t="s">
        <v>79</v>
      </c>
    </row>
    <row r="123" spans="1:12" ht="24.75" customHeight="1" thickBot="1">
      <c r="A123" s="3783"/>
      <c r="B123" s="3767"/>
      <c r="C123" s="3767"/>
      <c r="D123" s="3767"/>
      <c r="E123" s="3767"/>
      <c r="F123" s="3766"/>
    </row>
    <row r="124" spans="1:12" ht="15.75" outlineLevel="1" thickTop="1">
      <c r="A124" s="7" t="s">
        <v>261</v>
      </c>
      <c r="B124" s="5" t="s">
        <v>264</v>
      </c>
      <c r="C124" s="5" t="s">
        <v>263</v>
      </c>
      <c r="D124" s="5" t="s">
        <v>262</v>
      </c>
      <c r="E124" s="13">
        <v>0.15</v>
      </c>
      <c r="F124" s="6">
        <v>5723</v>
      </c>
      <c r="G124">
        <v>17616</v>
      </c>
      <c r="H124">
        <f>F124*G124</f>
        <v>100816368</v>
      </c>
      <c r="J124">
        <f>G124*I124</f>
        <v>0</v>
      </c>
      <c r="K124">
        <f>J124-H124</f>
        <v>-100816368</v>
      </c>
      <c r="L124">
        <f>K124*1.2</f>
        <v>-120979641.59999999</v>
      </c>
    </row>
    <row r="125" spans="1:12" outlineLevel="1">
      <c r="A125" s="8"/>
      <c r="B125" s="1" t="s">
        <v>265</v>
      </c>
      <c r="C125" s="1"/>
      <c r="D125" s="1"/>
      <c r="E125" s="1"/>
      <c r="F125" s="2"/>
    </row>
    <row r="126" spans="1:12" outlineLevel="1">
      <c r="A126" s="8"/>
      <c r="B126" s="1" t="s">
        <v>266</v>
      </c>
      <c r="C126" s="1"/>
      <c r="D126" s="1"/>
      <c r="E126" s="1"/>
      <c r="F126" s="2"/>
    </row>
    <row r="127" spans="1:12" outlineLevel="1">
      <c r="A127" s="8"/>
      <c r="B127" s="1" t="s">
        <v>267</v>
      </c>
      <c r="C127" s="1"/>
      <c r="D127" s="1"/>
      <c r="E127" s="1"/>
      <c r="F127" s="2"/>
    </row>
    <row r="128" spans="1:12" outlineLevel="1">
      <c r="A128" s="8"/>
      <c r="B128" s="1" t="s">
        <v>268</v>
      </c>
      <c r="C128" s="1"/>
      <c r="D128" s="1"/>
      <c r="E128" s="1"/>
      <c r="F128" s="2"/>
    </row>
    <row r="129" spans="1:10" outlineLevel="1">
      <c r="A129" s="8"/>
      <c r="B129" s="1" t="s">
        <v>269</v>
      </c>
      <c r="C129" s="1"/>
      <c r="D129" s="1"/>
      <c r="E129" s="1"/>
      <c r="F129" s="2"/>
    </row>
    <row r="130" spans="1:10" outlineLevel="1">
      <c r="A130" s="8"/>
      <c r="B130" s="1" t="s">
        <v>270</v>
      </c>
      <c r="C130" s="1"/>
      <c r="D130" s="1"/>
      <c r="E130" s="1"/>
      <c r="F130" s="2"/>
    </row>
    <row r="131" spans="1:10" outlineLevel="1">
      <c r="A131" s="8"/>
      <c r="B131" s="1"/>
      <c r="C131" s="1"/>
      <c r="D131" s="1"/>
      <c r="E131" s="1"/>
      <c r="F131" s="2"/>
    </row>
    <row r="132" spans="1:10" outlineLevel="1">
      <c r="A132" s="8"/>
      <c r="B132" s="1"/>
      <c r="C132" s="1"/>
      <c r="D132" s="1"/>
      <c r="E132" s="1"/>
      <c r="F132" s="2"/>
    </row>
    <row r="133" spans="1:10" outlineLevel="1">
      <c r="A133" s="8"/>
      <c r="B133" s="1"/>
      <c r="C133" s="1"/>
      <c r="D133" s="1"/>
      <c r="E133" s="1"/>
      <c r="F133" s="2"/>
    </row>
    <row r="134" spans="1:10" outlineLevel="1">
      <c r="A134" s="8"/>
      <c r="B134" s="1"/>
      <c r="C134" s="1"/>
      <c r="D134" s="1"/>
      <c r="E134" s="1"/>
      <c r="F134" s="2"/>
    </row>
    <row r="135" spans="1:10" ht="15.75" outlineLevel="1" thickBot="1">
      <c r="A135" s="9"/>
      <c r="B135" s="3"/>
      <c r="C135" s="3"/>
      <c r="D135" s="3"/>
      <c r="E135" s="3"/>
      <c r="F135" s="4"/>
    </row>
    <row r="136" spans="1:10" ht="16.5" thickTop="1" thickBot="1"/>
    <row r="137" spans="1:10" ht="15.75" thickTop="1">
      <c r="A137" s="3782" t="s">
        <v>0</v>
      </c>
      <c r="B137" s="3781" t="s">
        <v>1</v>
      </c>
      <c r="C137" s="3781" t="s">
        <v>2</v>
      </c>
      <c r="D137" s="3781" t="s">
        <v>3</v>
      </c>
      <c r="E137" s="3781" t="s">
        <v>4</v>
      </c>
      <c r="F137" s="3765" t="s">
        <v>5</v>
      </c>
      <c r="G137" t="s">
        <v>76</v>
      </c>
      <c r="H137" t="s">
        <v>77</v>
      </c>
      <c r="J137" t="s">
        <v>79</v>
      </c>
    </row>
    <row r="138" spans="1:10" ht="24.75" customHeight="1" thickBot="1">
      <c r="A138" s="3783"/>
      <c r="B138" s="3767"/>
      <c r="C138" s="3767"/>
      <c r="D138" s="3767"/>
      <c r="E138" s="3767"/>
      <c r="F138" s="3766"/>
    </row>
    <row r="139" spans="1:10" ht="15.75" outlineLevel="1" thickTop="1">
      <c r="A139" s="10" t="s">
        <v>340</v>
      </c>
      <c r="B139" s="5" t="s">
        <v>342</v>
      </c>
      <c r="C139" s="5" t="s">
        <v>341</v>
      </c>
      <c r="D139" s="5" t="s">
        <v>343</v>
      </c>
      <c r="E139" s="11">
        <v>0.3</v>
      </c>
      <c r="F139" s="6">
        <v>3676</v>
      </c>
      <c r="G139">
        <v>400</v>
      </c>
      <c r="H139">
        <f>F139*G139</f>
        <v>1470400</v>
      </c>
      <c r="J139">
        <f>G139*I139</f>
        <v>0</v>
      </c>
    </row>
    <row r="140" spans="1:10" outlineLevel="1">
      <c r="A140" s="8"/>
      <c r="B140" s="1"/>
      <c r="C140" s="1"/>
      <c r="D140" s="1"/>
      <c r="E140" s="1"/>
      <c r="F140" s="2"/>
    </row>
    <row r="141" spans="1:10" outlineLevel="1">
      <c r="A141" s="8"/>
      <c r="B141" s="1"/>
      <c r="C141" s="1"/>
      <c r="D141" s="1"/>
      <c r="E141" s="1"/>
      <c r="F141" s="2"/>
      <c r="H141">
        <f>J139-H139</f>
        <v>-1470400</v>
      </c>
    </row>
    <row r="142" spans="1:10" outlineLevel="1">
      <c r="A142" s="8"/>
      <c r="B142" s="1"/>
      <c r="C142" s="1"/>
      <c r="D142" s="1"/>
      <c r="E142" s="1"/>
      <c r="F142" s="2"/>
      <c r="H142">
        <f>H141*1.2</f>
        <v>-1764480</v>
      </c>
    </row>
    <row r="143" spans="1:10" outlineLevel="1">
      <c r="A143" s="8"/>
      <c r="B143" s="1"/>
      <c r="C143" s="1"/>
      <c r="D143" s="1"/>
      <c r="E143" s="1"/>
      <c r="F143" s="2"/>
    </row>
    <row r="144" spans="1:10" outlineLevel="1">
      <c r="A144" s="8"/>
      <c r="B144" s="1"/>
      <c r="C144" s="1"/>
      <c r="D144" s="1"/>
      <c r="E144" s="1"/>
      <c r="F144" s="2"/>
    </row>
    <row r="145" spans="1:13" outlineLevel="1">
      <c r="A145" s="8"/>
      <c r="B145" s="1"/>
      <c r="C145" s="1"/>
      <c r="D145" s="1"/>
      <c r="E145" s="1"/>
      <c r="F145" s="2"/>
    </row>
    <row r="146" spans="1:13" outlineLevel="1">
      <c r="A146" s="8"/>
      <c r="B146" s="1"/>
      <c r="C146" s="1"/>
      <c r="D146" s="1"/>
      <c r="E146" s="1"/>
      <c r="F146" s="2"/>
    </row>
    <row r="147" spans="1:13" outlineLevel="1">
      <c r="A147" s="8"/>
      <c r="B147" s="1"/>
      <c r="C147" s="1"/>
      <c r="D147" s="1"/>
      <c r="E147" s="1"/>
      <c r="F147" s="2"/>
    </row>
    <row r="148" spans="1:13" outlineLevel="1">
      <c r="A148" s="8"/>
      <c r="B148" s="1"/>
      <c r="C148" s="1"/>
      <c r="D148" s="1"/>
      <c r="E148" s="1"/>
      <c r="F148" s="2"/>
    </row>
    <row r="149" spans="1:13" outlineLevel="1">
      <c r="A149" s="8"/>
      <c r="B149" s="1"/>
      <c r="C149" s="1"/>
      <c r="D149" s="1"/>
      <c r="E149" s="1"/>
      <c r="F149" s="2"/>
    </row>
    <row r="150" spans="1:13" ht="15.75" outlineLevel="1" thickBot="1">
      <c r="A150" s="9"/>
      <c r="B150" s="3"/>
      <c r="C150" s="3"/>
      <c r="D150" s="3"/>
      <c r="E150" s="3"/>
      <c r="F150" s="4"/>
    </row>
    <row r="151" spans="1:13" ht="16.5" thickTop="1" thickBot="1"/>
    <row r="152" spans="1:13" ht="15.75" thickTop="1">
      <c r="A152" s="3782" t="s">
        <v>0</v>
      </c>
      <c r="B152" s="3781" t="s">
        <v>1</v>
      </c>
      <c r="C152" s="3781" t="s">
        <v>2</v>
      </c>
      <c r="D152" s="3781" t="s">
        <v>3</v>
      </c>
      <c r="E152" s="3781" t="s">
        <v>4</v>
      </c>
      <c r="F152" s="3765" t="s">
        <v>5</v>
      </c>
      <c r="G152" t="s">
        <v>76</v>
      </c>
      <c r="H152" t="s">
        <v>77</v>
      </c>
      <c r="J152" t="s">
        <v>79</v>
      </c>
    </row>
    <row r="153" spans="1:13" ht="24.75" customHeight="1" thickBot="1">
      <c r="A153" s="3783"/>
      <c r="B153" s="3767"/>
      <c r="C153" s="3767"/>
      <c r="D153" s="3767"/>
      <c r="E153" s="3767"/>
      <c r="F153" s="3766"/>
    </row>
    <row r="154" spans="1:13" ht="15.75" outlineLevel="1" thickTop="1">
      <c r="A154" s="7" t="s">
        <v>353</v>
      </c>
      <c r="B154" s="5" t="s">
        <v>269</v>
      </c>
      <c r="C154" s="5" t="s">
        <v>239</v>
      </c>
      <c r="D154" s="5" t="s">
        <v>262</v>
      </c>
      <c r="E154" s="13">
        <v>0.2</v>
      </c>
      <c r="F154" s="6">
        <v>37133</v>
      </c>
      <c r="G154">
        <v>2394</v>
      </c>
      <c r="H154">
        <v>88896402</v>
      </c>
      <c r="J154">
        <f>G154*I154</f>
        <v>0</v>
      </c>
      <c r="K154">
        <f>J154-H154</f>
        <v>-88896402</v>
      </c>
      <c r="L154">
        <f>K154*1.1</f>
        <v>-97786042.200000003</v>
      </c>
      <c r="M154">
        <f>L154/12500</f>
        <v>-7822.8833760000007</v>
      </c>
    </row>
    <row r="155" spans="1:13" outlineLevel="1">
      <c r="A155" s="8"/>
      <c r="B155" s="1" t="s">
        <v>267</v>
      </c>
      <c r="C155" s="1" t="s">
        <v>238</v>
      </c>
      <c r="D155" s="1" t="s">
        <v>262</v>
      </c>
      <c r="E155" s="14">
        <v>0.2</v>
      </c>
      <c r="F155" s="2">
        <v>37133</v>
      </c>
    </row>
    <row r="156" spans="1:13" outlineLevel="1">
      <c r="A156" s="8"/>
      <c r="B156" s="1" t="s">
        <v>268</v>
      </c>
      <c r="C156" s="1" t="s">
        <v>263</v>
      </c>
      <c r="D156" s="1" t="s">
        <v>262</v>
      </c>
      <c r="E156" s="14">
        <v>0.15</v>
      </c>
      <c r="F156" s="2">
        <v>5723</v>
      </c>
      <c r="G156">
        <v>17296</v>
      </c>
      <c r="H156">
        <f>F156*G156</f>
        <v>98985008</v>
      </c>
      <c r="J156">
        <f>G156*I156</f>
        <v>0</v>
      </c>
      <c r="K156">
        <f>J156-H156</f>
        <v>-98985008</v>
      </c>
      <c r="L156">
        <f>K156*1.2</f>
        <v>-118782009.59999999</v>
      </c>
    </row>
    <row r="157" spans="1:13" outlineLevel="1">
      <c r="A157" s="8"/>
      <c r="B157" s="1" t="s">
        <v>264</v>
      </c>
      <c r="C157" s="1"/>
      <c r="D157" s="1"/>
      <c r="E157" s="1"/>
      <c r="F157" s="2"/>
    </row>
    <row r="158" spans="1:13" outlineLevel="1">
      <c r="A158" s="8"/>
      <c r="B158" s="1" t="s">
        <v>265</v>
      </c>
      <c r="C158" s="1"/>
      <c r="D158" s="1"/>
      <c r="E158" s="1"/>
      <c r="F158" s="2"/>
    </row>
    <row r="159" spans="1:13" outlineLevel="1">
      <c r="A159" s="8"/>
      <c r="B159" s="1" t="s">
        <v>266</v>
      </c>
      <c r="C159" s="1"/>
      <c r="D159" s="1"/>
      <c r="E159" s="1"/>
      <c r="F159" s="2"/>
    </row>
    <row r="160" spans="1:13" outlineLevel="1">
      <c r="A160" s="8"/>
      <c r="B160" s="1" t="s">
        <v>395</v>
      </c>
      <c r="C160" s="1"/>
      <c r="D160" s="1"/>
      <c r="E160" s="1"/>
      <c r="F160" s="2"/>
    </row>
    <row r="161" spans="1:11" outlineLevel="1">
      <c r="A161" s="8"/>
      <c r="B161" s="1"/>
      <c r="C161" s="1"/>
      <c r="D161" s="1"/>
      <c r="E161" s="1"/>
      <c r="F161" s="2"/>
    </row>
    <row r="162" spans="1:11" outlineLevel="1">
      <c r="A162" s="8"/>
      <c r="B162" s="1"/>
      <c r="C162" s="1"/>
      <c r="D162" s="1"/>
      <c r="E162" s="1"/>
      <c r="F162" s="2"/>
    </row>
    <row r="163" spans="1:11" outlineLevel="1">
      <c r="A163" s="8"/>
      <c r="B163" s="1"/>
      <c r="C163" s="1"/>
      <c r="D163" s="1"/>
      <c r="E163" s="1"/>
      <c r="F163" s="2"/>
    </row>
    <row r="164" spans="1:11" outlineLevel="1">
      <c r="A164" s="8"/>
      <c r="B164" s="1"/>
      <c r="C164" s="1"/>
      <c r="D164" s="1"/>
      <c r="E164" s="1"/>
      <c r="F164" s="2"/>
    </row>
    <row r="165" spans="1:11" ht="15.75" outlineLevel="1" thickBot="1">
      <c r="A165" s="9"/>
      <c r="B165" s="3"/>
      <c r="C165" s="3"/>
      <c r="D165" s="3"/>
      <c r="E165" s="3"/>
      <c r="F165" s="4"/>
    </row>
    <row r="166" spans="1:11" ht="16.5" thickTop="1" thickBot="1"/>
    <row r="167" spans="1:11" ht="15.75" thickTop="1">
      <c r="A167" s="3782" t="s">
        <v>0</v>
      </c>
      <c r="B167" s="3781" t="s">
        <v>1</v>
      </c>
      <c r="C167" s="3781" t="s">
        <v>2</v>
      </c>
      <c r="D167" s="3781" t="s">
        <v>3</v>
      </c>
      <c r="E167" s="3781" t="s">
        <v>4</v>
      </c>
      <c r="F167" s="3765" t="s">
        <v>5</v>
      </c>
      <c r="G167" t="s">
        <v>76</v>
      </c>
      <c r="H167" t="s">
        <v>77</v>
      </c>
      <c r="J167" t="s">
        <v>79</v>
      </c>
    </row>
    <row r="168" spans="1:11" ht="24.75" customHeight="1" thickBot="1">
      <c r="A168" s="3783"/>
      <c r="B168" s="3767"/>
      <c r="C168" s="3767"/>
      <c r="D168" s="3767"/>
      <c r="E168" s="3767"/>
      <c r="F168" s="3766"/>
    </row>
    <row r="169" spans="1:11" ht="15.75" outlineLevel="1" thickTop="1">
      <c r="A169" s="7" t="s">
        <v>357</v>
      </c>
      <c r="B169" s="5" t="s">
        <v>120</v>
      </c>
      <c r="C169" s="5" t="s">
        <v>326</v>
      </c>
      <c r="D169" s="5" t="s">
        <v>237</v>
      </c>
      <c r="E169" s="11">
        <v>0.15</v>
      </c>
      <c r="F169" s="6">
        <v>127778</v>
      </c>
      <c r="G169">
        <v>382</v>
      </c>
      <c r="H169">
        <f>F169*G169</f>
        <v>48811196</v>
      </c>
      <c r="J169">
        <f>G169*I169</f>
        <v>0</v>
      </c>
      <c r="K169">
        <f>I169-F169</f>
        <v>-127778</v>
      </c>
    </row>
    <row r="170" spans="1:11" outlineLevel="1">
      <c r="A170" s="8"/>
      <c r="B170" s="1" t="s">
        <v>121</v>
      </c>
      <c r="C170" s="1" t="s">
        <v>358</v>
      </c>
      <c r="D170" s="5" t="s">
        <v>237</v>
      </c>
      <c r="E170" s="11">
        <v>0.15</v>
      </c>
      <c r="F170" s="6">
        <v>127778</v>
      </c>
      <c r="K170">
        <f>K169*1.1</f>
        <v>-140555.80000000002</v>
      </c>
    </row>
    <row r="171" spans="1:11" outlineLevel="1">
      <c r="A171" s="8"/>
      <c r="B171" s="1" t="s">
        <v>122</v>
      </c>
      <c r="C171" s="1" t="s">
        <v>328</v>
      </c>
      <c r="D171" s="5" t="s">
        <v>237</v>
      </c>
      <c r="E171" s="11">
        <v>0.15</v>
      </c>
      <c r="F171" s="6">
        <v>127778</v>
      </c>
      <c r="H171">
        <f>J169-H169</f>
        <v>-48811196</v>
      </c>
    </row>
    <row r="172" spans="1:11" outlineLevel="1">
      <c r="A172" s="8"/>
      <c r="B172" s="1" t="s">
        <v>123</v>
      </c>
      <c r="C172" s="1"/>
      <c r="D172" s="5"/>
      <c r="E172" s="11"/>
      <c r="F172" s="6"/>
      <c r="H172">
        <f>H171*1.1</f>
        <v>-53692315.600000001</v>
      </c>
    </row>
    <row r="173" spans="1:11" outlineLevel="1">
      <c r="A173" s="8"/>
      <c r="B173" s="1"/>
      <c r="C173" s="1"/>
      <c r="D173" s="1"/>
      <c r="E173" s="1"/>
      <c r="F173" s="2"/>
    </row>
    <row r="174" spans="1:11" outlineLevel="1">
      <c r="A174" s="8"/>
      <c r="B174" s="1"/>
      <c r="C174" s="1"/>
      <c r="D174" s="1"/>
      <c r="E174" s="1"/>
      <c r="F174" s="2"/>
    </row>
    <row r="175" spans="1:11" outlineLevel="1">
      <c r="A175" s="8"/>
      <c r="B175" s="1"/>
      <c r="C175" s="1"/>
      <c r="D175" s="1"/>
      <c r="E175" s="1"/>
      <c r="F175" s="2"/>
    </row>
    <row r="176" spans="1:11" outlineLevel="1">
      <c r="A176" s="8"/>
      <c r="B176" s="1"/>
      <c r="C176" s="1"/>
      <c r="D176" s="1"/>
      <c r="E176" s="1"/>
      <c r="F176" s="2"/>
    </row>
    <row r="177" spans="1:14" outlineLevel="1">
      <c r="A177" s="8"/>
      <c r="B177" s="1"/>
      <c r="C177" s="1"/>
      <c r="D177" s="1"/>
      <c r="E177" s="1"/>
      <c r="F177" s="2"/>
    </row>
    <row r="178" spans="1:14" outlineLevel="1">
      <c r="A178" s="8"/>
      <c r="B178" s="1"/>
      <c r="C178" s="1"/>
      <c r="D178" s="1"/>
      <c r="E178" s="1"/>
      <c r="F178" s="2"/>
    </row>
    <row r="179" spans="1:14" outlineLevel="1">
      <c r="A179" s="8"/>
      <c r="B179" s="1"/>
      <c r="C179" s="1"/>
      <c r="D179" s="1"/>
      <c r="E179" s="1"/>
      <c r="F179" s="2"/>
    </row>
    <row r="180" spans="1:14" ht="15.75" outlineLevel="1" thickBot="1">
      <c r="A180" s="9"/>
      <c r="B180" s="3"/>
      <c r="C180" s="3"/>
      <c r="D180" s="3"/>
      <c r="E180" s="3"/>
      <c r="F180" s="4"/>
    </row>
    <row r="181" spans="1:14" ht="16.5" thickTop="1" thickBot="1"/>
    <row r="182" spans="1:14" ht="15.75" thickTop="1">
      <c r="A182" s="3782" t="s">
        <v>0</v>
      </c>
      <c r="B182" s="3781" t="s">
        <v>1</v>
      </c>
      <c r="C182" s="3781" t="s">
        <v>2</v>
      </c>
      <c r="D182" s="3781" t="s">
        <v>3</v>
      </c>
      <c r="E182" s="3781" t="s">
        <v>4</v>
      </c>
      <c r="F182" s="3765" t="s">
        <v>5</v>
      </c>
    </row>
    <row r="183" spans="1:14" ht="24.75" customHeight="1" thickBot="1">
      <c r="A183" s="3783"/>
      <c r="B183" s="3767"/>
      <c r="C183" s="3767"/>
      <c r="D183" s="3767"/>
      <c r="E183" s="3767"/>
      <c r="F183" s="3766"/>
    </row>
    <row r="184" spans="1:14" ht="15.75" outlineLevel="1" thickTop="1">
      <c r="A184" s="7" t="s">
        <v>391</v>
      </c>
      <c r="B184" s="5" t="s">
        <v>392</v>
      </c>
      <c r="C184" s="5" t="s">
        <v>393</v>
      </c>
      <c r="D184" s="5" t="s">
        <v>343</v>
      </c>
      <c r="E184" s="11">
        <v>0.15</v>
      </c>
      <c r="F184" s="6">
        <v>7336</v>
      </c>
      <c r="G184">
        <v>1720</v>
      </c>
      <c r="H184">
        <f>G184*F184</f>
        <v>12617920</v>
      </c>
      <c r="J184">
        <f>I184*G184</f>
        <v>0</v>
      </c>
      <c r="K184">
        <f>J184-H184</f>
        <v>-12617920</v>
      </c>
      <c r="L184">
        <f>K184*1.2</f>
        <v>-15141504</v>
      </c>
    </row>
    <row r="185" spans="1:14" outlineLevel="1">
      <c r="A185" s="8"/>
      <c r="B185" s="1" t="s">
        <v>191</v>
      </c>
      <c r="C185" s="1" t="s">
        <v>394</v>
      </c>
      <c r="D185" s="1" t="s">
        <v>343</v>
      </c>
      <c r="E185" s="11">
        <v>0.15</v>
      </c>
      <c r="F185" s="2">
        <v>5734</v>
      </c>
      <c r="G185">
        <v>888</v>
      </c>
      <c r="H185">
        <f>G185*F185</f>
        <v>5091792</v>
      </c>
      <c r="J185">
        <f>I185*G185</f>
        <v>0</v>
      </c>
      <c r="K185">
        <f>J185-H185</f>
        <v>-5091792</v>
      </c>
      <c r="L185">
        <f>K185*1.2</f>
        <v>-6110150.3999999994</v>
      </c>
      <c r="M185">
        <f>L184+L185</f>
        <v>-21251654.399999999</v>
      </c>
      <c r="N185">
        <f>M185/12500</f>
        <v>-1700.1323519999999</v>
      </c>
    </row>
    <row r="186" spans="1:14" outlineLevel="1">
      <c r="A186" s="8"/>
      <c r="B186" s="1"/>
      <c r="C186" s="1" t="s">
        <v>231</v>
      </c>
      <c r="D186" s="1" t="s">
        <v>343</v>
      </c>
      <c r="E186" s="11">
        <v>0.15</v>
      </c>
      <c r="F186" s="2">
        <v>6484</v>
      </c>
      <c r="G186">
        <v>1296</v>
      </c>
      <c r="H186">
        <v>8403264</v>
      </c>
      <c r="J186">
        <v>9885888</v>
      </c>
      <c r="K186">
        <f>J186-H186</f>
        <v>1482624</v>
      </c>
      <c r="L186">
        <f>K186*1.2</f>
        <v>1779148.8</v>
      </c>
    </row>
    <row r="187" spans="1:14" outlineLevel="1">
      <c r="A187" s="8"/>
      <c r="B187" s="1"/>
      <c r="C187" s="1"/>
      <c r="D187" s="1"/>
      <c r="E187" s="1"/>
      <c r="F187" s="2"/>
    </row>
    <row r="188" spans="1:14" outlineLevel="1">
      <c r="A188" s="8"/>
      <c r="B188" s="1"/>
      <c r="C188" s="1"/>
      <c r="D188" s="1"/>
      <c r="E188" s="1"/>
      <c r="F188" s="2"/>
      <c r="G188">
        <f>F186*1.2</f>
        <v>7780.7999999999993</v>
      </c>
    </row>
    <row r="189" spans="1:14" outlineLevel="1">
      <c r="A189" s="8"/>
      <c r="B189" s="1"/>
      <c r="C189" s="1"/>
      <c r="D189" s="1"/>
      <c r="E189" s="1"/>
      <c r="F189" s="2"/>
    </row>
    <row r="190" spans="1:14" outlineLevel="1">
      <c r="A190" s="8"/>
      <c r="B190" s="1"/>
      <c r="C190" s="1"/>
      <c r="D190" s="1"/>
      <c r="E190" s="1"/>
      <c r="F190" s="2"/>
    </row>
    <row r="191" spans="1:14" outlineLevel="1">
      <c r="A191" s="8"/>
      <c r="B191" s="1"/>
      <c r="C191" s="1"/>
      <c r="D191" s="1"/>
      <c r="E191" s="1"/>
      <c r="F191" s="2"/>
    </row>
    <row r="192" spans="1:14" outlineLevel="1">
      <c r="A192" s="8"/>
      <c r="B192" s="1"/>
      <c r="C192" s="1"/>
      <c r="D192" s="1"/>
      <c r="E192" s="1"/>
      <c r="F192" s="2"/>
    </row>
    <row r="193" spans="1:12" outlineLevel="1">
      <c r="A193" s="8"/>
      <c r="B193" s="1"/>
      <c r="C193" s="1"/>
      <c r="D193" s="1"/>
      <c r="E193" s="1"/>
      <c r="F193" s="2"/>
    </row>
    <row r="194" spans="1:12" outlineLevel="1">
      <c r="A194" s="8"/>
      <c r="B194" s="1"/>
      <c r="C194" s="1"/>
      <c r="D194" s="1"/>
      <c r="E194" s="1"/>
      <c r="F194" s="2"/>
    </row>
    <row r="195" spans="1:12" ht="15.75" outlineLevel="1" thickBot="1">
      <c r="A195" s="9"/>
      <c r="B195" s="3"/>
      <c r="C195" s="3"/>
      <c r="D195" s="3"/>
      <c r="E195" s="3"/>
      <c r="F195" s="4"/>
    </row>
    <row r="196" spans="1:12" ht="16.5" thickTop="1" thickBot="1"/>
    <row r="197" spans="1:12" ht="15.75" thickTop="1">
      <c r="A197" s="3782" t="s">
        <v>0</v>
      </c>
      <c r="B197" s="3781" t="s">
        <v>1</v>
      </c>
      <c r="C197" s="3781" t="s">
        <v>2</v>
      </c>
      <c r="D197" s="3781" t="s">
        <v>3</v>
      </c>
      <c r="E197" s="3781" t="s">
        <v>4</v>
      </c>
      <c r="F197" s="3765" t="s">
        <v>5</v>
      </c>
    </row>
    <row r="198" spans="1:12" ht="24.75" customHeight="1" thickBot="1">
      <c r="A198" s="3783"/>
      <c r="B198" s="3767"/>
      <c r="C198" s="3767"/>
      <c r="D198" s="3767"/>
      <c r="E198" s="3767"/>
      <c r="F198" s="3766"/>
    </row>
    <row r="199" spans="1:12" ht="15.75" outlineLevel="1" thickTop="1">
      <c r="A199" s="7" t="s">
        <v>405</v>
      </c>
      <c r="B199" s="5" t="s">
        <v>120</v>
      </c>
      <c r="C199" s="5" t="s">
        <v>406</v>
      </c>
      <c r="D199" s="5" t="s">
        <v>237</v>
      </c>
      <c r="E199" s="11">
        <v>0.15</v>
      </c>
      <c r="F199" s="6">
        <v>30397</v>
      </c>
      <c r="G199">
        <v>22</v>
      </c>
      <c r="H199">
        <f>F199*G199</f>
        <v>668734</v>
      </c>
      <c r="J199">
        <f>G199*I199</f>
        <v>0</v>
      </c>
      <c r="K199">
        <f>J199-H199</f>
        <v>-668734</v>
      </c>
      <c r="L199">
        <f>K199*1.2</f>
        <v>-802480.79999999993</v>
      </c>
    </row>
    <row r="200" spans="1:12" outlineLevel="1">
      <c r="A200" s="8"/>
      <c r="B200" s="1"/>
      <c r="C200" s="1" t="s">
        <v>407</v>
      </c>
      <c r="D200" s="5" t="s">
        <v>237</v>
      </c>
      <c r="E200" s="11">
        <v>0.15</v>
      </c>
      <c r="F200" s="6">
        <v>30397</v>
      </c>
    </row>
    <row r="201" spans="1:12" outlineLevel="1">
      <c r="A201" s="8"/>
      <c r="B201" s="1"/>
      <c r="C201" s="1"/>
      <c r="D201" s="1"/>
      <c r="E201" s="1"/>
      <c r="F201" s="2"/>
    </row>
    <row r="202" spans="1:12" outlineLevel="1">
      <c r="A202" s="8"/>
      <c r="B202" s="1"/>
      <c r="C202" s="1"/>
      <c r="D202" s="1"/>
      <c r="E202" s="1"/>
      <c r="F202" s="2"/>
    </row>
    <row r="203" spans="1:12" outlineLevel="1">
      <c r="A203" s="8"/>
      <c r="B203" s="1"/>
      <c r="C203" s="1"/>
      <c r="D203" s="1"/>
      <c r="E203" s="1"/>
      <c r="F203" s="2"/>
    </row>
    <row r="204" spans="1:12" outlineLevel="1">
      <c r="A204" s="8"/>
      <c r="B204" s="1"/>
      <c r="C204" s="1"/>
      <c r="D204" s="1"/>
      <c r="E204" s="1"/>
      <c r="F204" s="2"/>
    </row>
    <row r="205" spans="1:12" outlineLevel="1">
      <c r="A205" s="8"/>
      <c r="B205" s="1"/>
      <c r="C205" s="1"/>
      <c r="D205" s="1"/>
      <c r="E205" s="1"/>
      <c r="F205" s="2"/>
    </row>
    <row r="206" spans="1:12" outlineLevel="1">
      <c r="A206" s="8"/>
      <c r="B206" s="1"/>
      <c r="C206" s="1"/>
      <c r="D206" s="1"/>
      <c r="E206" s="1"/>
      <c r="F206" s="2"/>
    </row>
    <row r="207" spans="1:12" outlineLevel="1">
      <c r="A207" s="8"/>
      <c r="B207" s="1"/>
      <c r="C207" s="1"/>
      <c r="D207" s="1"/>
      <c r="E207" s="1"/>
      <c r="F207" s="2"/>
    </row>
    <row r="208" spans="1:12" outlineLevel="1">
      <c r="A208" s="8"/>
      <c r="B208" s="1"/>
      <c r="C208" s="1"/>
      <c r="D208" s="1"/>
      <c r="E208" s="1"/>
      <c r="F208" s="2"/>
    </row>
    <row r="209" spans="1:12" outlineLevel="1">
      <c r="A209" s="8"/>
      <c r="B209" s="1"/>
      <c r="C209" s="1"/>
      <c r="D209" s="1"/>
      <c r="E209" s="1"/>
      <c r="F209" s="2"/>
    </row>
    <row r="210" spans="1:12" ht="15.75" outlineLevel="1" thickBot="1">
      <c r="A210" s="9"/>
      <c r="B210" s="3"/>
      <c r="C210" s="3"/>
      <c r="D210" s="3"/>
      <c r="E210" s="3"/>
      <c r="F210" s="4"/>
    </row>
    <row r="211" spans="1:12" ht="16.5" thickTop="1" thickBot="1"/>
    <row r="212" spans="1:12" ht="15.75" thickTop="1">
      <c r="A212" s="3782" t="s">
        <v>0</v>
      </c>
      <c r="B212" s="3781" t="s">
        <v>1</v>
      </c>
      <c r="C212" s="3781" t="s">
        <v>2</v>
      </c>
      <c r="D212" s="3781" t="s">
        <v>3</v>
      </c>
      <c r="E212" s="3781" t="s">
        <v>4</v>
      </c>
      <c r="F212" s="3765" t="s">
        <v>5</v>
      </c>
    </row>
    <row r="213" spans="1:12" ht="24.75" customHeight="1" thickBot="1">
      <c r="A213" s="3783"/>
      <c r="B213" s="3767"/>
      <c r="C213" s="3767"/>
      <c r="D213" s="3767"/>
      <c r="E213" s="3767"/>
      <c r="F213" s="3766"/>
    </row>
    <row r="214" spans="1:12" ht="15.75" outlineLevel="1" thickTop="1">
      <c r="A214" s="7" t="s">
        <v>425</v>
      </c>
      <c r="B214" s="5" t="s">
        <v>342</v>
      </c>
      <c r="C214" s="5" t="s">
        <v>238</v>
      </c>
      <c r="D214" s="5" t="s">
        <v>343</v>
      </c>
      <c r="E214" s="13">
        <v>0.15</v>
      </c>
      <c r="F214" s="6">
        <v>41580</v>
      </c>
      <c r="G214">
        <v>2160</v>
      </c>
      <c r="H214">
        <f>F214*G214</f>
        <v>89812800</v>
      </c>
      <c r="J214">
        <f>I214*G214</f>
        <v>0</v>
      </c>
      <c r="K214">
        <f>J214-H214</f>
        <v>-89812800</v>
      </c>
      <c r="L214">
        <f>K214*1.1</f>
        <v>-98794080.000000015</v>
      </c>
    </row>
    <row r="215" spans="1:12" outlineLevel="1">
      <c r="A215" s="8"/>
      <c r="B215" s="1"/>
      <c r="C215" s="1" t="s">
        <v>239</v>
      </c>
      <c r="D215" s="1" t="s">
        <v>343</v>
      </c>
      <c r="E215" s="14">
        <v>0.15</v>
      </c>
      <c r="F215" s="2">
        <v>41580</v>
      </c>
    </row>
    <row r="216" spans="1:12" outlineLevel="1">
      <c r="A216" s="8"/>
      <c r="B216" s="1"/>
      <c r="C216" s="1" t="s">
        <v>107</v>
      </c>
      <c r="D216" s="1" t="s">
        <v>343</v>
      </c>
      <c r="E216" s="12">
        <v>0.15</v>
      </c>
      <c r="F216" s="2">
        <v>11488</v>
      </c>
      <c r="G216">
        <v>240</v>
      </c>
      <c r="H216">
        <f>F216*G216</f>
        <v>2757120</v>
      </c>
      <c r="J216">
        <v>3243600</v>
      </c>
      <c r="K216">
        <f>J216-H216</f>
        <v>486480</v>
      </c>
      <c r="L216">
        <f>K216*1.1</f>
        <v>535128</v>
      </c>
    </row>
    <row r="217" spans="1:12" outlineLevel="1">
      <c r="A217" s="8"/>
      <c r="B217" s="1"/>
      <c r="C217" s="1"/>
      <c r="D217" s="1"/>
      <c r="E217" s="1"/>
      <c r="F217" s="2"/>
    </row>
    <row r="218" spans="1:12" outlineLevel="1">
      <c r="A218" s="8"/>
      <c r="B218" s="1"/>
      <c r="C218" s="1"/>
      <c r="D218" s="1"/>
      <c r="E218" s="1"/>
      <c r="F218" s="2"/>
    </row>
    <row r="219" spans="1:12" outlineLevel="1">
      <c r="A219" s="8"/>
      <c r="B219" s="1"/>
      <c r="C219" s="1"/>
      <c r="D219" s="1"/>
      <c r="E219" s="1"/>
      <c r="F219" s="2"/>
    </row>
    <row r="220" spans="1:12" outlineLevel="1">
      <c r="A220" s="8"/>
      <c r="B220" s="1"/>
      <c r="C220" s="1"/>
      <c r="D220" s="1"/>
      <c r="E220" s="1"/>
      <c r="F220" s="2"/>
    </row>
    <row r="221" spans="1:12" outlineLevel="1">
      <c r="A221" s="8"/>
      <c r="B221" s="1"/>
      <c r="C221" s="1"/>
      <c r="D221" s="1"/>
      <c r="E221" s="1"/>
      <c r="F221" s="2"/>
    </row>
    <row r="222" spans="1:12" outlineLevel="1">
      <c r="A222" s="8"/>
      <c r="B222" s="1"/>
      <c r="C222" s="1"/>
      <c r="D222" s="1"/>
      <c r="E222" s="1"/>
      <c r="F222" s="2"/>
    </row>
    <row r="223" spans="1:12" outlineLevel="1">
      <c r="A223" s="8"/>
      <c r="B223" s="1"/>
      <c r="C223" s="1"/>
      <c r="D223" s="1"/>
      <c r="E223" s="1"/>
      <c r="F223" s="2"/>
    </row>
    <row r="224" spans="1:12" outlineLevel="1">
      <c r="A224" s="8"/>
      <c r="B224" s="1"/>
      <c r="C224" s="1"/>
      <c r="D224" s="1"/>
      <c r="E224" s="1"/>
      <c r="F224" s="2"/>
    </row>
    <row r="225" spans="1:11" ht="15.75" outlineLevel="1" thickBot="1">
      <c r="A225" s="9"/>
      <c r="B225" s="3"/>
      <c r="C225" s="3"/>
      <c r="D225" s="3"/>
      <c r="E225" s="3"/>
      <c r="F225" s="4"/>
    </row>
    <row r="226" spans="1:11" ht="16.5" thickTop="1" thickBot="1"/>
    <row r="227" spans="1:11" ht="15.75" thickTop="1">
      <c r="A227" s="3782" t="s">
        <v>0</v>
      </c>
      <c r="B227" s="3781" t="s">
        <v>1</v>
      </c>
      <c r="C227" s="3781" t="s">
        <v>2</v>
      </c>
      <c r="D227" s="3781" t="s">
        <v>3</v>
      </c>
      <c r="E227" s="3781" t="s">
        <v>4</v>
      </c>
      <c r="F227" s="3765" t="s">
        <v>5</v>
      </c>
    </row>
    <row r="228" spans="1:11" ht="24.75" customHeight="1" thickBot="1">
      <c r="A228" s="3783"/>
      <c r="B228" s="3767"/>
      <c r="C228" s="3767"/>
      <c r="D228" s="3767"/>
      <c r="E228" s="3767"/>
      <c r="F228" s="3766"/>
    </row>
    <row r="229" spans="1:11" ht="15.75" outlineLevel="1" thickTop="1">
      <c r="A229" s="7" t="s">
        <v>426</v>
      </c>
      <c r="B229" s="5" t="s">
        <v>265</v>
      </c>
      <c r="C229" s="5" t="s">
        <v>263</v>
      </c>
      <c r="D229" s="5" t="s">
        <v>262</v>
      </c>
      <c r="E229" s="5">
        <v>0.15</v>
      </c>
      <c r="F229" s="6">
        <v>6115</v>
      </c>
      <c r="G229">
        <v>10140</v>
      </c>
      <c r="H229">
        <f>F229*G229</f>
        <v>62006100</v>
      </c>
      <c r="J229">
        <f>I229*G229</f>
        <v>0</v>
      </c>
      <c r="K229">
        <f>J229-H229</f>
        <v>-62006100</v>
      </c>
    </row>
    <row r="230" spans="1:11" outlineLevel="1">
      <c r="A230" s="8"/>
      <c r="B230" s="1" t="s">
        <v>264</v>
      </c>
      <c r="C230" s="1" t="s">
        <v>436</v>
      </c>
      <c r="D230" s="5" t="s">
        <v>262</v>
      </c>
      <c r="E230" s="177">
        <v>0.16500000000000001</v>
      </c>
      <c r="F230" s="2">
        <v>6115</v>
      </c>
      <c r="G230">
        <v>4464</v>
      </c>
      <c r="H230">
        <f>F230*G230</f>
        <v>27297360</v>
      </c>
      <c r="J230">
        <f>I230*G230</f>
        <v>0</v>
      </c>
      <c r="K230">
        <f>J230-H230</f>
        <v>-27297360</v>
      </c>
    </row>
    <row r="231" spans="1:11" outlineLevel="1">
      <c r="A231" s="8"/>
      <c r="B231" s="1" t="s">
        <v>395</v>
      </c>
      <c r="C231" s="1"/>
      <c r="D231" s="1"/>
      <c r="E231" s="1"/>
      <c r="F231" s="2"/>
    </row>
    <row r="232" spans="1:11" outlineLevel="1">
      <c r="A232" s="8"/>
      <c r="B232" s="1" t="s">
        <v>266</v>
      </c>
      <c r="C232" s="1"/>
      <c r="D232" s="1"/>
      <c r="E232" s="1"/>
      <c r="F232" s="2"/>
      <c r="H232">
        <f>SUM(K229:K231)</f>
        <v>-89303460</v>
      </c>
    </row>
    <row r="233" spans="1:11" outlineLevel="1">
      <c r="A233" s="8"/>
      <c r="B233" s="1" t="s">
        <v>267</v>
      </c>
      <c r="C233" s="1"/>
      <c r="D233" s="1"/>
      <c r="E233" s="1"/>
      <c r="F233" s="2"/>
      <c r="H233">
        <f>H232*1.2</f>
        <v>-107164152</v>
      </c>
    </row>
    <row r="234" spans="1:11" outlineLevel="1">
      <c r="A234" s="8"/>
      <c r="B234" s="1" t="s">
        <v>268</v>
      </c>
      <c r="C234" s="1"/>
      <c r="D234" s="1"/>
      <c r="E234" s="1"/>
      <c r="F234" s="2"/>
    </row>
    <row r="235" spans="1:11" outlineLevel="1">
      <c r="A235" s="8"/>
      <c r="B235" t="s">
        <v>269</v>
      </c>
      <c r="C235" s="1"/>
      <c r="D235" s="1"/>
      <c r="E235" s="1"/>
      <c r="F235" s="2"/>
    </row>
    <row r="236" spans="1:11" outlineLevel="1">
      <c r="A236" s="8"/>
      <c r="B236" s="1"/>
      <c r="C236" s="1"/>
      <c r="D236" s="1"/>
      <c r="E236" s="1"/>
      <c r="F236" s="2"/>
    </row>
    <row r="237" spans="1:11" outlineLevel="1">
      <c r="A237" s="8"/>
      <c r="B237" s="1"/>
      <c r="C237" s="1"/>
      <c r="D237" s="1"/>
      <c r="E237" s="1"/>
      <c r="F237" s="2"/>
    </row>
    <row r="238" spans="1:11" outlineLevel="1">
      <c r="A238" s="8"/>
      <c r="B238" s="1"/>
      <c r="C238" s="1"/>
      <c r="D238" s="1"/>
      <c r="E238" s="1"/>
      <c r="F238" s="2"/>
    </row>
    <row r="239" spans="1:11" outlineLevel="1">
      <c r="A239" s="8"/>
      <c r="B239" s="1"/>
      <c r="C239" s="1"/>
      <c r="D239" s="1"/>
      <c r="E239" s="1"/>
      <c r="F239" s="2"/>
    </row>
    <row r="240" spans="1:11" ht="15.75" outlineLevel="1" thickBot="1">
      <c r="A240" s="9"/>
      <c r="B240" s="3"/>
      <c r="C240" s="3"/>
      <c r="D240" s="3"/>
      <c r="E240" s="3"/>
      <c r="F240" s="4"/>
    </row>
    <row r="241" spans="1:12" ht="16.5" thickTop="1" thickBot="1"/>
    <row r="242" spans="1:12" ht="15.75" thickTop="1">
      <c r="A242" s="3782" t="s">
        <v>0</v>
      </c>
      <c r="B242" s="3781" t="s">
        <v>1</v>
      </c>
      <c r="C242" s="3781" t="s">
        <v>2</v>
      </c>
      <c r="D242" s="3781" t="s">
        <v>3</v>
      </c>
      <c r="E242" s="3781" t="s">
        <v>4</v>
      </c>
      <c r="F242" s="3765" t="s">
        <v>5</v>
      </c>
    </row>
    <row r="243" spans="1:12" ht="24.75" customHeight="1" thickBot="1">
      <c r="A243" s="3783"/>
      <c r="B243" s="3767"/>
      <c r="C243" s="3767"/>
      <c r="D243" s="3767"/>
      <c r="E243" s="3767"/>
      <c r="F243" s="3766"/>
    </row>
    <row r="244" spans="1:12" ht="15.75" outlineLevel="1" thickTop="1">
      <c r="A244" s="7" t="s">
        <v>438</v>
      </c>
      <c r="B244" s="5" t="s">
        <v>439</v>
      </c>
      <c r="C244" s="5" t="s">
        <v>231</v>
      </c>
      <c r="D244" s="178" t="s">
        <v>360</v>
      </c>
      <c r="E244" s="11">
        <v>0.15</v>
      </c>
      <c r="F244" s="6">
        <v>6850</v>
      </c>
      <c r="G244">
        <v>108</v>
      </c>
      <c r="H244">
        <f>F244*G244</f>
        <v>739800</v>
      </c>
      <c r="J244">
        <f>I244*G244</f>
        <v>0</v>
      </c>
      <c r="K244">
        <f>J244-H244</f>
        <v>-739800</v>
      </c>
      <c r="L244">
        <f>K244*1.2</f>
        <v>-887760</v>
      </c>
    </row>
    <row r="245" spans="1:12" outlineLevel="1">
      <c r="A245" s="8"/>
      <c r="B245" s="1"/>
      <c r="C245" s="1"/>
      <c r="D245" s="1"/>
      <c r="E245" s="1"/>
      <c r="F245" s="2"/>
    </row>
    <row r="246" spans="1:12" outlineLevel="1">
      <c r="A246" s="8"/>
      <c r="B246" s="1"/>
      <c r="C246" s="1"/>
      <c r="D246" s="1"/>
      <c r="E246" s="1"/>
      <c r="F246" s="2"/>
    </row>
    <row r="247" spans="1:12" outlineLevel="1">
      <c r="A247" s="8"/>
      <c r="B247" s="1"/>
      <c r="C247" s="1"/>
      <c r="D247" s="1"/>
      <c r="E247" s="1"/>
      <c r="F247" s="2"/>
    </row>
    <row r="248" spans="1:12" outlineLevel="1">
      <c r="A248" s="8"/>
      <c r="B248" s="1"/>
      <c r="C248" s="1"/>
      <c r="D248" s="1"/>
      <c r="E248" s="1"/>
      <c r="F248" s="2"/>
    </row>
    <row r="249" spans="1:12" outlineLevel="1">
      <c r="A249" s="8"/>
      <c r="B249" s="1"/>
      <c r="C249" s="1"/>
      <c r="D249" s="1"/>
      <c r="E249" s="1"/>
      <c r="F249" s="2"/>
    </row>
    <row r="250" spans="1:12" outlineLevel="1">
      <c r="A250" s="8"/>
      <c r="B250" s="1"/>
      <c r="C250" s="1"/>
      <c r="D250" s="1"/>
      <c r="E250" s="1"/>
      <c r="F250" s="2"/>
    </row>
    <row r="251" spans="1:12" outlineLevel="1">
      <c r="A251" s="8"/>
      <c r="B251" s="1"/>
      <c r="C251" s="1"/>
      <c r="D251" s="1"/>
      <c r="E251" s="1"/>
      <c r="F251" s="2"/>
    </row>
    <row r="252" spans="1:12" outlineLevel="1">
      <c r="A252" s="8"/>
      <c r="B252" s="1"/>
      <c r="C252" s="1"/>
      <c r="D252" s="1"/>
      <c r="E252" s="1"/>
      <c r="F252" s="2"/>
    </row>
    <row r="253" spans="1:12" outlineLevel="1">
      <c r="A253" s="8"/>
      <c r="B253" s="1"/>
      <c r="C253" s="1"/>
      <c r="D253" s="1"/>
      <c r="E253" s="1"/>
      <c r="F253" s="2"/>
    </row>
    <row r="254" spans="1:12" outlineLevel="1">
      <c r="A254" s="8"/>
      <c r="B254" s="1"/>
      <c r="C254" s="1"/>
      <c r="D254" s="1"/>
      <c r="E254" s="1"/>
      <c r="F254" s="2"/>
    </row>
    <row r="255" spans="1:12" ht="15.75" outlineLevel="1" thickBot="1">
      <c r="A255" s="9"/>
      <c r="B255" s="3"/>
      <c r="C255" s="3"/>
      <c r="D255" s="3"/>
      <c r="E255" s="3"/>
      <c r="F255" s="4"/>
    </row>
    <row r="256" spans="1:12" ht="16.5" thickTop="1" thickBot="1"/>
    <row r="257" spans="1:11" ht="15.75" thickTop="1">
      <c r="A257" s="3782" t="s">
        <v>0</v>
      </c>
      <c r="B257" s="3781" t="s">
        <v>1</v>
      </c>
      <c r="C257" s="3781" t="s">
        <v>2</v>
      </c>
      <c r="D257" s="3781" t="s">
        <v>3</v>
      </c>
      <c r="E257" s="3781" t="s">
        <v>4</v>
      </c>
      <c r="F257" s="3765" t="s">
        <v>5</v>
      </c>
    </row>
    <row r="258" spans="1:11" ht="24.75" customHeight="1" thickBot="1">
      <c r="A258" s="3783"/>
      <c r="B258" s="3767"/>
      <c r="C258" s="3767"/>
      <c r="D258" s="3767"/>
      <c r="E258" s="3767"/>
      <c r="F258" s="3766"/>
    </row>
    <row r="259" spans="1:11" ht="15.75" outlineLevel="1" thickTop="1">
      <c r="A259" s="10" t="s">
        <v>458</v>
      </c>
      <c r="B259" s="5" t="s">
        <v>120</v>
      </c>
      <c r="C259" s="5" t="s">
        <v>328</v>
      </c>
      <c r="D259" s="5" t="s">
        <v>237</v>
      </c>
      <c r="E259" s="13">
        <v>0.15</v>
      </c>
      <c r="F259" s="6">
        <v>131287</v>
      </c>
      <c r="G259">
        <v>545</v>
      </c>
      <c r="H259">
        <f>F259*G259</f>
        <v>71551415</v>
      </c>
      <c r="J259">
        <f>G259*I259</f>
        <v>0</v>
      </c>
      <c r="K259">
        <f>J259-H259</f>
        <v>-71551415</v>
      </c>
    </row>
    <row r="260" spans="1:11" outlineLevel="1">
      <c r="A260" s="8"/>
      <c r="B260" s="1" t="s">
        <v>121</v>
      </c>
      <c r="C260" s="1" t="s">
        <v>358</v>
      </c>
      <c r="D260" s="1" t="s">
        <v>237</v>
      </c>
      <c r="E260" s="14">
        <v>0.15</v>
      </c>
      <c r="F260" s="2">
        <v>131287</v>
      </c>
    </row>
    <row r="261" spans="1:11" outlineLevel="1">
      <c r="A261" s="8"/>
      <c r="B261" s="1" t="s">
        <v>123</v>
      </c>
      <c r="C261" s="1" t="s">
        <v>326</v>
      </c>
      <c r="D261" s="1" t="s">
        <v>237</v>
      </c>
      <c r="E261" s="14">
        <v>0.15</v>
      </c>
      <c r="F261" s="2">
        <v>131287</v>
      </c>
      <c r="J261">
        <f>K259*1.1</f>
        <v>-78706556.5</v>
      </c>
    </row>
    <row r="262" spans="1:11" outlineLevel="1">
      <c r="A262" s="8"/>
      <c r="B262" s="1"/>
      <c r="C262" s="1"/>
      <c r="D262" s="1"/>
      <c r="E262" s="1"/>
      <c r="F262" s="2"/>
    </row>
    <row r="263" spans="1:11" outlineLevel="1">
      <c r="A263" s="8"/>
      <c r="B263" s="1"/>
      <c r="C263" s="1"/>
      <c r="D263" s="1"/>
      <c r="E263" s="1"/>
      <c r="F263" s="2"/>
    </row>
    <row r="264" spans="1:11" outlineLevel="1">
      <c r="A264" s="8"/>
      <c r="B264" s="1"/>
      <c r="C264" s="1"/>
      <c r="D264" s="1"/>
      <c r="E264" s="1"/>
      <c r="F264" s="2"/>
    </row>
    <row r="265" spans="1:11" outlineLevel="1">
      <c r="A265" s="8"/>
      <c r="B265" s="1"/>
      <c r="C265" s="1"/>
      <c r="D265" s="1"/>
      <c r="E265" s="1"/>
      <c r="F265" s="2"/>
    </row>
    <row r="266" spans="1:11" outlineLevel="1">
      <c r="A266" s="8"/>
      <c r="B266" s="1"/>
      <c r="C266" s="1"/>
      <c r="D266" s="1"/>
      <c r="E266" s="1"/>
      <c r="F266" s="2"/>
    </row>
    <row r="267" spans="1:11" outlineLevel="1">
      <c r="A267" s="8"/>
      <c r="B267" s="1"/>
      <c r="C267" s="1"/>
      <c r="D267" s="1"/>
      <c r="E267" s="1"/>
      <c r="F267" s="2"/>
    </row>
    <row r="268" spans="1:11" outlineLevel="1">
      <c r="A268" s="8"/>
      <c r="B268" s="1"/>
      <c r="C268" s="1"/>
      <c r="D268" s="1"/>
      <c r="E268" s="1"/>
      <c r="F268" s="2"/>
    </row>
    <row r="269" spans="1:11" outlineLevel="1">
      <c r="A269" s="8"/>
      <c r="B269" s="1"/>
      <c r="C269" s="1"/>
      <c r="D269" s="1"/>
      <c r="E269" s="1"/>
      <c r="F269" s="2"/>
    </row>
    <row r="270" spans="1:11" ht="15.75" outlineLevel="1" thickBot="1">
      <c r="A270" s="9"/>
      <c r="B270" s="3"/>
      <c r="C270" s="3"/>
      <c r="D270" s="3"/>
      <c r="E270" s="3"/>
      <c r="F270" s="4"/>
    </row>
    <row r="271" spans="1:11" ht="16.5" thickTop="1" thickBot="1"/>
    <row r="272" spans="1:11" ht="15.75" thickTop="1">
      <c r="A272" s="3782" t="s">
        <v>0</v>
      </c>
      <c r="B272" s="3781" t="s">
        <v>1</v>
      </c>
      <c r="C272" s="3781" t="s">
        <v>2</v>
      </c>
      <c r="D272" s="3781" t="s">
        <v>3</v>
      </c>
      <c r="E272" s="3781" t="s">
        <v>4</v>
      </c>
      <c r="F272" s="3765" t="s">
        <v>5</v>
      </c>
    </row>
    <row r="273" spans="1:11" ht="24.75" customHeight="1" thickBot="1">
      <c r="A273" s="3783"/>
      <c r="B273" s="3767"/>
      <c r="C273" s="3767"/>
      <c r="D273" s="3767"/>
      <c r="E273" s="3767"/>
      <c r="F273" s="3766"/>
    </row>
    <row r="274" spans="1:11" ht="15.75" outlineLevel="1" thickTop="1">
      <c r="A274" s="7" t="s">
        <v>459</v>
      </c>
      <c r="B274" s="5" t="s">
        <v>460</v>
      </c>
      <c r="C274" s="5" t="s">
        <v>183</v>
      </c>
      <c r="D274" s="5" t="s">
        <v>54</v>
      </c>
      <c r="E274" s="11">
        <v>0.1</v>
      </c>
      <c r="F274" s="6">
        <v>7565</v>
      </c>
      <c r="G274">
        <v>1665</v>
      </c>
      <c r="H274">
        <f>F274*G274</f>
        <v>12595725</v>
      </c>
      <c r="J274">
        <f>G274*I274</f>
        <v>0</v>
      </c>
      <c r="K274">
        <f>J274-H274</f>
        <v>-12595725</v>
      </c>
    </row>
    <row r="275" spans="1:11" outlineLevel="1">
      <c r="A275" s="8"/>
      <c r="B275" s="1"/>
      <c r="C275" s="1" t="s">
        <v>452</v>
      </c>
      <c r="D275" s="5" t="s">
        <v>54</v>
      </c>
      <c r="E275" s="11">
        <v>0.1</v>
      </c>
      <c r="F275" s="2">
        <v>4031</v>
      </c>
      <c r="G275">
        <v>774</v>
      </c>
      <c r="H275">
        <f>F275*G275</f>
        <v>3119994</v>
      </c>
      <c r="J275">
        <f>G275*I275</f>
        <v>0</v>
      </c>
      <c r="K275">
        <f>J275-H275</f>
        <v>-3119994</v>
      </c>
    </row>
    <row r="276" spans="1:11" outlineLevel="1">
      <c r="A276" s="8"/>
      <c r="B276" s="1"/>
      <c r="C276" s="1"/>
      <c r="D276" s="1"/>
      <c r="E276" s="1"/>
      <c r="F276" s="2"/>
    </row>
    <row r="277" spans="1:11" outlineLevel="1">
      <c r="A277" s="8"/>
      <c r="B277" s="1"/>
      <c r="C277" s="1"/>
      <c r="D277" s="1"/>
      <c r="E277" s="1"/>
      <c r="F277" s="2"/>
      <c r="G277">
        <f>F274*1.2</f>
        <v>9078</v>
      </c>
      <c r="K277">
        <f>SUM(K274:K276)</f>
        <v>-15715719</v>
      </c>
    </row>
    <row r="278" spans="1:11" outlineLevel="1">
      <c r="A278" s="8"/>
      <c r="B278" s="1"/>
      <c r="C278" s="1"/>
      <c r="D278" s="1"/>
      <c r="E278" s="1"/>
      <c r="F278" s="2"/>
      <c r="G278">
        <f>F275*1.2</f>
        <v>4837.2</v>
      </c>
      <c r="K278">
        <f>K277*1.2</f>
        <v>-18858862.800000001</v>
      </c>
    </row>
    <row r="279" spans="1:11" outlineLevel="1">
      <c r="A279" s="8"/>
      <c r="B279" s="1"/>
      <c r="C279" s="1"/>
      <c r="D279" s="1"/>
      <c r="E279" s="1"/>
      <c r="F279" s="2"/>
    </row>
    <row r="280" spans="1:11" outlineLevel="1">
      <c r="A280" s="8"/>
      <c r="B280" s="1"/>
      <c r="C280" s="1"/>
      <c r="D280" s="1"/>
      <c r="E280" s="1"/>
      <c r="F280" s="2"/>
    </row>
    <row r="281" spans="1:11" outlineLevel="1">
      <c r="A281" s="8"/>
      <c r="B281" s="1"/>
      <c r="C281" s="1"/>
      <c r="D281" s="1"/>
      <c r="E281" s="1"/>
      <c r="F281" s="2"/>
    </row>
    <row r="282" spans="1:11" outlineLevel="1">
      <c r="A282" s="8"/>
      <c r="B282" s="1"/>
      <c r="C282" s="1"/>
      <c r="D282" s="1"/>
      <c r="E282" s="1"/>
      <c r="F282" s="2"/>
    </row>
    <row r="283" spans="1:11" outlineLevel="1">
      <c r="A283" s="8"/>
      <c r="B283" s="1"/>
      <c r="C283" s="1"/>
      <c r="D283" s="1"/>
      <c r="E283" s="1"/>
      <c r="F283" s="2"/>
    </row>
    <row r="284" spans="1:11" outlineLevel="1">
      <c r="A284" s="8"/>
      <c r="B284" s="1"/>
      <c r="C284" s="1"/>
      <c r="D284" s="1"/>
      <c r="E284" s="1"/>
      <c r="F284" s="2"/>
    </row>
    <row r="285" spans="1:11" ht="15.75" outlineLevel="1" thickBot="1">
      <c r="A285" s="9"/>
      <c r="B285" s="3"/>
      <c r="C285" s="3"/>
      <c r="D285" s="3"/>
      <c r="E285" s="3"/>
      <c r="F285" s="4"/>
    </row>
    <row r="286" spans="1:11" ht="16.5" thickTop="1" thickBot="1"/>
    <row r="287" spans="1:11" ht="15.75" thickTop="1">
      <c r="A287" s="3782" t="s">
        <v>0</v>
      </c>
      <c r="B287" s="3781" t="s">
        <v>1</v>
      </c>
      <c r="C287" s="3781" t="s">
        <v>2</v>
      </c>
      <c r="D287" s="3781" t="s">
        <v>3</v>
      </c>
      <c r="E287" s="3781" t="s">
        <v>4</v>
      </c>
      <c r="F287" s="3765" t="s">
        <v>5</v>
      </c>
    </row>
    <row r="288" spans="1:11" ht="24.75" customHeight="1" thickBot="1">
      <c r="A288" s="3783"/>
      <c r="B288" s="3767"/>
      <c r="C288" s="3767"/>
      <c r="D288" s="3767"/>
      <c r="E288" s="3767"/>
      <c r="F288" s="3766"/>
    </row>
    <row r="289" spans="1:11" ht="15.75" outlineLevel="1" thickTop="1">
      <c r="A289" s="7" t="s">
        <v>481</v>
      </c>
      <c r="B289" s="5" t="s">
        <v>342</v>
      </c>
      <c r="C289" s="5" t="s">
        <v>160</v>
      </c>
      <c r="D289" s="5" t="s">
        <v>343</v>
      </c>
      <c r="E289" s="11">
        <v>0.15</v>
      </c>
      <c r="F289" s="6">
        <v>115832</v>
      </c>
      <c r="G289">
        <v>150</v>
      </c>
      <c r="H289">
        <f>F289*G289</f>
        <v>17374800</v>
      </c>
      <c r="J289">
        <f>G289*I289</f>
        <v>0</v>
      </c>
      <c r="K289">
        <f>J289-H289</f>
        <v>-17374800</v>
      </c>
    </row>
    <row r="290" spans="1:11" outlineLevel="1">
      <c r="A290" s="8"/>
      <c r="B290" s="1"/>
      <c r="C290" s="1" t="s">
        <v>113</v>
      </c>
      <c r="D290" s="1"/>
      <c r="E290" s="12">
        <v>0.15</v>
      </c>
      <c r="F290" s="2">
        <v>115832</v>
      </c>
      <c r="G290">
        <v>150</v>
      </c>
      <c r="H290">
        <f>F290*G290</f>
        <v>17374800</v>
      </c>
      <c r="J290">
        <f>G290*I290</f>
        <v>0</v>
      </c>
      <c r="K290">
        <f>J290-H290</f>
        <v>-17374800</v>
      </c>
    </row>
    <row r="291" spans="1:11" outlineLevel="1">
      <c r="A291" s="8"/>
      <c r="B291" s="1"/>
      <c r="C291" s="1"/>
      <c r="D291" s="1"/>
      <c r="E291" s="1"/>
      <c r="F291" s="2"/>
    </row>
    <row r="292" spans="1:11" outlineLevel="1">
      <c r="A292" s="8"/>
      <c r="B292" s="1"/>
      <c r="C292" s="1"/>
      <c r="D292" s="1"/>
      <c r="E292" s="1"/>
      <c r="F292" s="2"/>
    </row>
    <row r="293" spans="1:11" outlineLevel="1">
      <c r="A293" s="8"/>
      <c r="B293" s="1"/>
      <c r="C293" s="1"/>
      <c r="D293" s="1"/>
      <c r="E293" s="1"/>
      <c r="F293" s="2"/>
      <c r="H293">
        <f>K289+K290</f>
        <v>-34749600</v>
      </c>
    </row>
    <row r="294" spans="1:11" outlineLevel="1">
      <c r="A294" s="8"/>
      <c r="B294" s="1"/>
      <c r="C294" s="1"/>
      <c r="D294" s="1"/>
      <c r="E294" s="1"/>
      <c r="F294" s="2"/>
      <c r="H294">
        <f>H293*1.1</f>
        <v>-38224560</v>
      </c>
    </row>
    <row r="295" spans="1:11" outlineLevel="1">
      <c r="A295" s="8"/>
      <c r="B295" s="1"/>
      <c r="C295" s="1"/>
      <c r="D295" s="1"/>
      <c r="E295" s="1"/>
      <c r="F295" s="2"/>
    </row>
    <row r="296" spans="1:11" outlineLevel="1">
      <c r="A296" s="8"/>
      <c r="B296" s="1"/>
      <c r="C296" s="1"/>
      <c r="D296" s="1"/>
      <c r="E296" s="1"/>
      <c r="F296" s="2"/>
    </row>
    <row r="297" spans="1:11" outlineLevel="1">
      <c r="A297" s="8"/>
      <c r="B297" s="1"/>
      <c r="C297" s="1"/>
      <c r="D297" s="1"/>
      <c r="E297" s="1"/>
      <c r="F297" s="2"/>
    </row>
    <row r="298" spans="1:11" outlineLevel="1">
      <c r="A298" s="8"/>
      <c r="B298" s="1"/>
      <c r="C298" s="1"/>
      <c r="D298" s="1"/>
      <c r="E298" s="1"/>
      <c r="F298" s="2"/>
    </row>
    <row r="299" spans="1:11" outlineLevel="1">
      <c r="A299" s="8"/>
      <c r="B299" s="1"/>
      <c r="C299" s="1"/>
      <c r="D299" s="1"/>
      <c r="E299" s="1"/>
      <c r="F299" s="2"/>
    </row>
    <row r="300" spans="1:11" ht="15.75" outlineLevel="1" thickBot="1">
      <c r="A300" s="9"/>
      <c r="B300" s="3"/>
      <c r="C300" s="3"/>
      <c r="D300" s="3"/>
      <c r="E300" s="3"/>
      <c r="F300" s="4"/>
    </row>
    <row r="301" spans="1:11" ht="16.5" thickTop="1" thickBot="1"/>
    <row r="302" spans="1:11" ht="15.75" thickTop="1">
      <c r="A302" s="3782" t="s">
        <v>0</v>
      </c>
      <c r="B302" s="3781" t="s">
        <v>1</v>
      </c>
      <c r="C302" s="3781" t="s">
        <v>2</v>
      </c>
      <c r="D302" s="3781" t="s">
        <v>3</v>
      </c>
      <c r="E302" s="3781" t="s">
        <v>4</v>
      </c>
      <c r="F302" s="3765" t="s">
        <v>5</v>
      </c>
    </row>
    <row r="303" spans="1:11" ht="24.75" customHeight="1" thickBot="1">
      <c r="A303" s="3783"/>
      <c r="B303" s="3767"/>
      <c r="C303" s="3767"/>
      <c r="D303" s="3767"/>
      <c r="E303" s="3767"/>
      <c r="F303" s="3766"/>
    </row>
    <row r="304" spans="1:11" ht="15.75" outlineLevel="1" thickTop="1">
      <c r="A304" s="10" t="s">
        <v>492</v>
      </c>
      <c r="B304" s="5" t="s">
        <v>410</v>
      </c>
      <c r="C304" s="5" t="s">
        <v>493</v>
      </c>
      <c r="D304" s="5" t="s">
        <v>343</v>
      </c>
      <c r="E304" s="11">
        <v>0.15</v>
      </c>
      <c r="F304" s="6">
        <v>7965</v>
      </c>
      <c r="G304">
        <v>150</v>
      </c>
      <c r="H304">
        <v>1194750</v>
      </c>
      <c r="J304">
        <f>I304*G304</f>
        <v>0</v>
      </c>
    </row>
    <row r="305" spans="1:12" outlineLevel="1">
      <c r="A305" s="8"/>
      <c r="B305" s="1"/>
      <c r="C305" s="1"/>
      <c r="D305" s="1"/>
      <c r="E305" s="1"/>
      <c r="F305" s="2"/>
    </row>
    <row r="306" spans="1:12" outlineLevel="1">
      <c r="A306" s="8"/>
      <c r="B306" s="1"/>
      <c r="C306" s="1"/>
      <c r="D306" s="1"/>
      <c r="E306" s="1"/>
      <c r="F306" s="2"/>
      <c r="J306">
        <f>J304-H304</f>
        <v>-1194750</v>
      </c>
    </row>
    <row r="307" spans="1:12" outlineLevel="1">
      <c r="A307" s="8"/>
      <c r="B307" s="1"/>
      <c r="C307" s="1"/>
      <c r="D307" s="1"/>
      <c r="E307" s="1"/>
      <c r="F307" s="2"/>
      <c r="J307">
        <f>J306*1.2</f>
        <v>-1433700</v>
      </c>
    </row>
    <row r="308" spans="1:12" outlineLevel="1">
      <c r="A308" s="8"/>
      <c r="B308" s="1"/>
      <c r="C308" s="1"/>
      <c r="D308" s="1"/>
      <c r="E308" s="1"/>
      <c r="F308" s="2"/>
    </row>
    <row r="309" spans="1:12" outlineLevel="1">
      <c r="A309" s="8"/>
      <c r="B309" s="1"/>
      <c r="C309" s="1"/>
      <c r="D309" s="1"/>
      <c r="E309" s="1"/>
      <c r="F309" s="2"/>
    </row>
    <row r="310" spans="1:12" outlineLevel="1">
      <c r="A310" s="8"/>
      <c r="B310" s="1"/>
      <c r="C310" s="1"/>
      <c r="D310" s="1"/>
      <c r="E310" s="1"/>
      <c r="F310" s="2"/>
    </row>
    <row r="311" spans="1:12" outlineLevel="1">
      <c r="A311" s="8"/>
      <c r="B311" s="1"/>
      <c r="C311" s="1"/>
      <c r="D311" s="1"/>
      <c r="E311" s="1"/>
      <c r="F311" s="2"/>
    </row>
    <row r="312" spans="1:12" outlineLevel="1">
      <c r="A312" s="8"/>
      <c r="B312" s="1"/>
      <c r="C312" s="1"/>
      <c r="D312" s="1"/>
      <c r="E312" s="1"/>
      <c r="F312" s="2"/>
    </row>
    <row r="313" spans="1:12" outlineLevel="1">
      <c r="A313" s="8"/>
      <c r="B313" s="1"/>
      <c r="C313" s="1"/>
      <c r="D313" s="1"/>
      <c r="E313" s="1"/>
      <c r="F313" s="2"/>
    </row>
    <row r="314" spans="1:12" outlineLevel="1">
      <c r="A314" s="8"/>
      <c r="B314" s="1"/>
      <c r="C314" s="1"/>
      <c r="D314" s="1"/>
      <c r="E314" s="1"/>
      <c r="F314" s="2"/>
    </row>
    <row r="315" spans="1:12" ht="15.75" outlineLevel="1" thickBot="1">
      <c r="A315" s="9"/>
      <c r="B315" s="3"/>
      <c r="C315" s="3"/>
      <c r="D315" s="3"/>
      <c r="E315" s="3"/>
      <c r="F315" s="4"/>
    </row>
    <row r="316" spans="1:12" ht="16.5" thickTop="1" thickBot="1"/>
    <row r="317" spans="1:12" ht="15.75" thickTop="1">
      <c r="A317" s="3782" t="s">
        <v>0</v>
      </c>
      <c r="B317" s="3781" t="s">
        <v>1</v>
      </c>
      <c r="C317" s="3781" t="s">
        <v>2</v>
      </c>
      <c r="D317" s="3781" t="s">
        <v>3</v>
      </c>
      <c r="E317" s="3781" t="s">
        <v>4</v>
      </c>
      <c r="F317" s="3765" t="s">
        <v>5</v>
      </c>
    </row>
    <row r="318" spans="1:12" ht="24.75" customHeight="1" thickBot="1">
      <c r="A318" s="3783"/>
      <c r="B318" s="3767"/>
      <c r="C318" s="3767"/>
      <c r="D318" s="3767"/>
      <c r="E318" s="3767"/>
      <c r="F318" s="3766"/>
    </row>
    <row r="319" spans="1:12" ht="15.75" outlineLevel="1" thickTop="1">
      <c r="A319" s="277" t="s">
        <v>509</v>
      </c>
      <c r="B319" s="191" t="s">
        <v>120</v>
      </c>
      <c r="C319" s="191" t="s">
        <v>510</v>
      </c>
      <c r="D319" s="191" t="s">
        <v>237</v>
      </c>
      <c r="E319" s="286">
        <v>7.0000000000000007E-2</v>
      </c>
      <c r="F319" s="279">
        <v>30999</v>
      </c>
      <c r="G319" s="176">
        <v>706</v>
      </c>
      <c r="H319" s="176">
        <f>F319*G319</f>
        <v>21885294</v>
      </c>
      <c r="J319" s="176">
        <f>G319*I319</f>
        <v>0</v>
      </c>
      <c r="K319" s="176">
        <f>J319-H319</f>
        <v>-21885294</v>
      </c>
      <c r="L319" s="176">
        <f>K319*1.2</f>
        <v>-26262352.800000001</v>
      </c>
    </row>
    <row r="320" spans="1:12" outlineLevel="1">
      <c r="A320" s="280"/>
      <c r="B320" s="31" t="s">
        <v>121</v>
      </c>
      <c r="C320" s="31" t="s">
        <v>511</v>
      </c>
      <c r="D320" s="191" t="s">
        <v>237</v>
      </c>
      <c r="E320" s="287">
        <v>7.0000000000000007E-2</v>
      </c>
      <c r="F320" s="281">
        <v>30999</v>
      </c>
      <c r="G320" s="176"/>
      <c r="H320" s="176"/>
      <c r="J320" s="176"/>
      <c r="K320" s="176"/>
      <c r="L320" s="176"/>
    </row>
    <row r="321" spans="1:12" outlineLevel="1">
      <c r="A321" s="280"/>
      <c r="B321" s="31" t="s">
        <v>123</v>
      </c>
      <c r="C321" s="31" t="s">
        <v>238</v>
      </c>
      <c r="D321" s="191" t="s">
        <v>237</v>
      </c>
      <c r="E321" s="287">
        <v>0.15</v>
      </c>
      <c r="F321" s="281">
        <v>45739</v>
      </c>
      <c r="G321" s="176">
        <v>302</v>
      </c>
      <c r="H321" s="176">
        <v>13813178</v>
      </c>
      <c r="J321" s="176">
        <f>G321*I321</f>
        <v>0</v>
      </c>
      <c r="K321" s="176">
        <f>J321-H321</f>
        <v>-13813178</v>
      </c>
      <c r="L321" s="176">
        <f>K321*1.1</f>
        <v>-15194495.800000001</v>
      </c>
    </row>
    <row r="322" spans="1:12" outlineLevel="1">
      <c r="A322" s="280"/>
      <c r="B322" s="31" t="s">
        <v>122</v>
      </c>
      <c r="C322" s="31" t="s">
        <v>239</v>
      </c>
      <c r="D322" s="191" t="s">
        <v>237</v>
      </c>
      <c r="E322" s="287">
        <v>0.15</v>
      </c>
      <c r="F322" s="281">
        <v>45739</v>
      </c>
      <c r="G322" s="176"/>
      <c r="H322" s="176"/>
      <c r="J322" s="176"/>
      <c r="K322" s="176"/>
      <c r="L322" s="176"/>
    </row>
    <row r="323" spans="1:12" outlineLevel="1">
      <c r="A323" s="280"/>
      <c r="B323" s="31"/>
      <c r="C323" s="31" t="s">
        <v>512</v>
      </c>
      <c r="D323" s="191" t="s">
        <v>237</v>
      </c>
      <c r="E323" s="287">
        <v>0.15</v>
      </c>
      <c r="F323" s="281">
        <v>5252</v>
      </c>
      <c r="G323" s="176">
        <v>2880</v>
      </c>
      <c r="H323" s="176">
        <f>F323*G323</f>
        <v>15125760</v>
      </c>
      <c r="J323" s="176">
        <f>G323*I323</f>
        <v>0</v>
      </c>
      <c r="K323" s="176">
        <f>J323-H323</f>
        <v>-15125760</v>
      </c>
      <c r="L323" s="176">
        <f>K323*1.2</f>
        <v>-18150912</v>
      </c>
    </row>
    <row r="324" spans="1:12" outlineLevel="1">
      <c r="A324" s="280"/>
      <c r="B324" s="31"/>
      <c r="C324" s="31"/>
      <c r="D324" s="31"/>
      <c r="E324" s="31"/>
      <c r="F324" s="281"/>
      <c r="G324" s="176"/>
      <c r="H324" s="176"/>
      <c r="J324" s="176"/>
      <c r="K324" s="176"/>
      <c r="L324" s="176"/>
    </row>
    <row r="325" spans="1:12" outlineLevel="1">
      <c r="A325" s="280"/>
      <c r="B325" s="31"/>
      <c r="C325" s="31"/>
      <c r="D325" s="31"/>
      <c r="E325" s="31"/>
      <c r="F325" s="281"/>
      <c r="G325" s="176"/>
      <c r="H325" s="176"/>
      <c r="J325" s="176"/>
      <c r="K325" s="176"/>
      <c r="L325" s="176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ht="15.75" outlineLevel="1" thickBot="1">
      <c r="A330" s="9"/>
      <c r="B330" s="3"/>
      <c r="C330" s="3"/>
      <c r="D330" s="3"/>
      <c r="E330" s="3"/>
      <c r="F330" s="4"/>
    </row>
    <row r="331" spans="1:12" ht="16.5" thickTop="1" thickBot="1"/>
    <row r="332" spans="1:12" ht="15.75" thickTop="1">
      <c r="A332" s="3782" t="s">
        <v>0</v>
      </c>
      <c r="B332" s="3781" t="s">
        <v>1</v>
      </c>
      <c r="C332" s="3781" t="s">
        <v>2</v>
      </c>
      <c r="D332" s="3781" t="s">
        <v>3</v>
      </c>
      <c r="E332" s="3781" t="s">
        <v>4</v>
      </c>
      <c r="F332" s="3765" t="s">
        <v>5</v>
      </c>
    </row>
    <row r="333" spans="1:12" ht="24.75" customHeight="1" thickBot="1">
      <c r="A333" s="3783"/>
      <c r="B333" s="3767"/>
      <c r="C333" s="3767"/>
      <c r="D333" s="3767"/>
      <c r="E333" s="3767"/>
      <c r="F333" s="3766"/>
    </row>
    <row r="334" spans="1:12" ht="15.75" outlineLevel="1" thickTop="1">
      <c r="A334" s="10" t="s">
        <v>564</v>
      </c>
      <c r="B334" s="5" t="s">
        <v>285</v>
      </c>
      <c r="C334" s="5" t="s">
        <v>328</v>
      </c>
      <c r="D334" s="5" t="s">
        <v>360</v>
      </c>
      <c r="E334" s="11">
        <v>0.1</v>
      </c>
      <c r="F334" s="6">
        <v>146042</v>
      </c>
      <c r="G334">
        <v>442</v>
      </c>
      <c r="H334">
        <f>F334*G334</f>
        <v>64550564</v>
      </c>
      <c r="J334">
        <f>G334*I334</f>
        <v>0</v>
      </c>
      <c r="K334">
        <f>J334-H334</f>
        <v>-64550564</v>
      </c>
      <c r="L334">
        <f>K334*1.1</f>
        <v>-71005620.400000006</v>
      </c>
    </row>
    <row r="335" spans="1:12" outlineLevel="1">
      <c r="A335" s="8"/>
      <c r="B335" s="1"/>
      <c r="C335" s="1" t="s">
        <v>326</v>
      </c>
      <c r="D335" s="5" t="s">
        <v>360</v>
      </c>
      <c r="E335" s="11">
        <v>0.1</v>
      </c>
      <c r="F335" s="2">
        <v>146042</v>
      </c>
      <c r="G335">
        <f>I334-F334</f>
        <v>-146042</v>
      </c>
    </row>
    <row r="336" spans="1:12" outlineLevel="1">
      <c r="A336" s="8"/>
      <c r="B336" s="1"/>
      <c r="C336" s="1" t="s">
        <v>327</v>
      </c>
      <c r="D336" s="5" t="s">
        <v>360</v>
      </c>
      <c r="E336" s="11">
        <v>0.1</v>
      </c>
      <c r="F336" s="2">
        <v>146042</v>
      </c>
      <c r="G336">
        <f>G335*1.1</f>
        <v>-160646.20000000001</v>
      </c>
    </row>
    <row r="337" spans="1:13" outlineLevel="1">
      <c r="A337" s="8"/>
      <c r="B337" s="1"/>
      <c r="C337" s="1"/>
      <c r="D337" s="1"/>
      <c r="E337" s="1"/>
      <c r="F337" s="2"/>
    </row>
    <row r="338" spans="1:13" outlineLevel="1">
      <c r="A338" s="8"/>
      <c r="B338" s="1"/>
      <c r="C338" s="1"/>
      <c r="D338" s="1"/>
      <c r="E338" s="1"/>
      <c r="F338" s="2"/>
    </row>
    <row r="339" spans="1:13" outlineLevel="1">
      <c r="A339" s="8"/>
      <c r="B339" s="1"/>
      <c r="C339" s="1"/>
      <c r="D339" s="1"/>
      <c r="E339" s="1"/>
      <c r="F339" s="2"/>
    </row>
    <row r="340" spans="1:13" outlineLevel="1">
      <c r="A340" s="8"/>
      <c r="B340" s="1"/>
      <c r="C340" s="1"/>
      <c r="D340" s="1"/>
      <c r="E340" s="1"/>
      <c r="F340" s="2"/>
    </row>
    <row r="341" spans="1:13" outlineLevel="1">
      <c r="A341" s="8"/>
      <c r="B341" s="1"/>
      <c r="C341" s="1"/>
      <c r="D341" s="1"/>
      <c r="E341" s="1"/>
      <c r="F341" s="2"/>
    </row>
    <row r="342" spans="1:13" outlineLevel="1">
      <c r="A342" s="8"/>
      <c r="B342" s="1"/>
      <c r="C342" s="1"/>
      <c r="D342" s="1"/>
      <c r="E342" s="1"/>
      <c r="F342" s="2"/>
    </row>
    <row r="343" spans="1:13" outlineLevel="1">
      <c r="A343" s="8"/>
      <c r="B343" s="1"/>
      <c r="C343" s="1"/>
      <c r="D343" s="1"/>
      <c r="E343" s="1"/>
      <c r="F343" s="2"/>
    </row>
    <row r="344" spans="1:13" outlineLevel="1">
      <c r="A344" s="8"/>
      <c r="B344" s="1"/>
      <c r="C344" s="1"/>
      <c r="D344" s="1"/>
      <c r="E344" s="1"/>
      <c r="F344" s="2"/>
    </row>
    <row r="345" spans="1:13" ht="15.75" outlineLevel="1" thickBot="1">
      <c r="A345" s="9"/>
      <c r="B345" s="3"/>
      <c r="C345" s="3"/>
      <c r="D345" s="3"/>
      <c r="E345" s="3"/>
      <c r="F345" s="4"/>
    </row>
    <row r="346" spans="1:13" ht="15.75" thickTop="1">
      <c r="A346" s="3782" t="s">
        <v>0</v>
      </c>
      <c r="B346" s="3781" t="s">
        <v>1</v>
      </c>
      <c r="C346" s="3781" t="s">
        <v>2</v>
      </c>
      <c r="D346" s="3781" t="s">
        <v>3</v>
      </c>
      <c r="E346" s="3781" t="s">
        <v>4</v>
      </c>
      <c r="F346" s="3765" t="s">
        <v>5</v>
      </c>
    </row>
    <row r="347" spans="1:13" ht="24.75" customHeight="1" thickBot="1">
      <c r="A347" s="3783"/>
      <c r="B347" s="3767"/>
      <c r="C347" s="3767"/>
      <c r="D347" s="3767"/>
      <c r="E347" s="3767"/>
      <c r="F347" s="3766"/>
    </row>
    <row r="348" spans="1:13" ht="15.75" outlineLevel="1" thickTop="1">
      <c r="A348" s="289" t="s">
        <v>519</v>
      </c>
      <c r="B348" s="288" t="s">
        <v>265</v>
      </c>
      <c r="C348" s="288" t="s">
        <v>511</v>
      </c>
      <c r="D348" s="288" t="s">
        <v>343</v>
      </c>
      <c r="E348" s="290">
        <v>0.02</v>
      </c>
      <c r="F348" s="291">
        <v>32665</v>
      </c>
      <c r="G348" s="32">
        <v>178</v>
      </c>
      <c r="H348" s="32">
        <f>F348*G348</f>
        <v>5814370</v>
      </c>
      <c r="J348" s="32">
        <f>G348*I348</f>
        <v>0</v>
      </c>
      <c r="K348" s="32">
        <f>J348-H348</f>
        <v>-5814370</v>
      </c>
      <c r="L348" s="294">
        <f>K348*1.2</f>
        <v>-6977244</v>
      </c>
      <c r="M348" s="32"/>
    </row>
    <row r="349" spans="1:13" outlineLevel="1">
      <c r="A349" s="292"/>
      <c r="B349" s="81" t="s">
        <v>395</v>
      </c>
      <c r="C349" s="81" t="s">
        <v>510</v>
      </c>
      <c r="D349" s="288" t="s">
        <v>343</v>
      </c>
      <c r="E349" s="290">
        <v>0.02</v>
      </c>
      <c r="F349" s="293">
        <v>32665</v>
      </c>
      <c r="G349" s="32"/>
      <c r="H349" s="32"/>
      <c r="J349" s="32"/>
      <c r="K349" s="32"/>
      <c r="L349" s="32"/>
      <c r="M349" s="32"/>
    </row>
    <row r="350" spans="1:13" outlineLevel="1">
      <c r="A350" s="292"/>
      <c r="B350" s="81" t="s">
        <v>264</v>
      </c>
      <c r="C350" s="81" t="s">
        <v>520</v>
      </c>
      <c r="D350" s="288" t="s">
        <v>343</v>
      </c>
      <c r="E350" s="290">
        <v>0.02</v>
      </c>
      <c r="F350" s="293">
        <v>5137</v>
      </c>
      <c r="G350" s="32">
        <v>653</v>
      </c>
      <c r="H350" s="32">
        <f>F350*G350</f>
        <v>3354461</v>
      </c>
      <c r="J350" s="32">
        <f>G350*I350</f>
        <v>0</v>
      </c>
      <c r="K350" s="32">
        <f>J350-H350</f>
        <v>-3354461</v>
      </c>
      <c r="L350" s="32">
        <f>K350*1.2</f>
        <v>-4025353.1999999997</v>
      </c>
      <c r="M350" s="32"/>
    </row>
    <row r="351" spans="1:13" outlineLevel="1">
      <c r="A351" s="292"/>
      <c r="B351" s="81" t="s">
        <v>266</v>
      </c>
      <c r="C351" s="81" t="s">
        <v>521</v>
      </c>
      <c r="D351" s="288" t="s">
        <v>343</v>
      </c>
      <c r="E351" s="290">
        <v>0.02</v>
      </c>
      <c r="F351" s="293">
        <v>5137</v>
      </c>
      <c r="G351" s="32"/>
      <c r="H351" s="32"/>
      <c r="J351" s="32"/>
      <c r="K351" s="32"/>
      <c r="L351" s="32"/>
      <c r="M351" s="32"/>
    </row>
    <row r="352" spans="1:13" outlineLevel="1">
      <c r="A352" s="292"/>
      <c r="B352" s="81" t="s">
        <v>269</v>
      </c>
      <c r="C352" s="81" t="s">
        <v>522</v>
      </c>
      <c r="D352" s="288" t="s">
        <v>343</v>
      </c>
      <c r="E352" s="290">
        <v>0.02</v>
      </c>
      <c r="F352" s="293">
        <v>5137</v>
      </c>
      <c r="G352" s="32"/>
      <c r="H352" s="32"/>
      <c r="J352" s="32"/>
      <c r="K352" s="32"/>
      <c r="L352" s="32"/>
      <c r="M352" s="32"/>
    </row>
    <row r="353" spans="1:13" outlineLevel="1">
      <c r="A353" s="292"/>
      <c r="B353" s="81" t="s">
        <v>267</v>
      </c>
      <c r="C353" s="81"/>
      <c r="D353" s="288"/>
      <c r="E353" s="290"/>
      <c r="F353" s="293"/>
      <c r="G353" s="32"/>
      <c r="H353" s="32"/>
      <c r="J353" s="32"/>
      <c r="K353" s="32"/>
      <c r="L353" s="32"/>
      <c r="M353" s="32"/>
    </row>
    <row r="354" spans="1:13" outlineLevel="1">
      <c r="A354" s="292"/>
      <c r="B354" s="81" t="s">
        <v>268</v>
      </c>
      <c r="C354" s="81"/>
      <c r="D354" s="288"/>
      <c r="E354" s="290"/>
      <c r="F354" s="293"/>
      <c r="G354" s="32"/>
      <c r="H354" s="32"/>
      <c r="J354" s="32"/>
      <c r="K354" s="32"/>
      <c r="L354" s="32"/>
      <c r="M354" s="32"/>
    </row>
    <row r="355" spans="1:13" outlineLevel="1">
      <c r="A355" s="8"/>
      <c r="B355" s="1"/>
      <c r="C355" s="1"/>
      <c r="D355" s="1"/>
      <c r="E355" s="1"/>
      <c r="F355" s="2"/>
    </row>
    <row r="356" spans="1:13" outlineLevel="1">
      <c r="A356" s="8"/>
      <c r="B356" s="1"/>
      <c r="C356" s="1"/>
      <c r="D356" s="1"/>
      <c r="E356" s="1"/>
      <c r="F356" s="2"/>
    </row>
    <row r="357" spans="1:13" outlineLevel="1">
      <c r="A357" s="8"/>
      <c r="B357" s="1"/>
      <c r="C357" s="1"/>
      <c r="D357" s="1"/>
      <c r="E357" s="1"/>
      <c r="F357" s="2"/>
    </row>
    <row r="358" spans="1:13" outlineLevel="1">
      <c r="A358" s="8"/>
      <c r="B358" s="1"/>
      <c r="C358" s="1"/>
      <c r="D358" s="1"/>
      <c r="E358" s="1"/>
      <c r="F358" s="2"/>
    </row>
    <row r="359" spans="1:13" ht="15.75" outlineLevel="1" thickBot="1">
      <c r="A359" s="9"/>
      <c r="B359" s="3"/>
      <c r="C359" s="3"/>
      <c r="D359" s="3"/>
      <c r="E359" s="3"/>
      <c r="F359" s="4"/>
    </row>
    <row r="360" spans="1:13" ht="16.5" thickTop="1" thickBot="1"/>
    <row r="361" spans="1:13" ht="15.75" thickTop="1">
      <c r="A361" s="3782" t="s">
        <v>0</v>
      </c>
      <c r="B361" s="3781" t="s">
        <v>1</v>
      </c>
      <c r="C361" s="3781" t="s">
        <v>2</v>
      </c>
      <c r="D361" s="3781" t="s">
        <v>3</v>
      </c>
      <c r="E361" s="3781" t="s">
        <v>4</v>
      </c>
      <c r="F361" s="3765" t="s">
        <v>5</v>
      </c>
    </row>
    <row r="362" spans="1:13" ht="24.75" customHeight="1" thickBot="1">
      <c r="A362" s="3783"/>
      <c r="B362" s="3767"/>
      <c r="C362" s="3767"/>
      <c r="D362" s="3767"/>
      <c r="E362" s="3767"/>
      <c r="F362" s="3766"/>
    </row>
    <row r="363" spans="1:13" ht="15.75" outlineLevel="1" thickTop="1">
      <c r="A363" s="7" t="s">
        <v>575</v>
      </c>
      <c r="B363" s="191" t="s">
        <v>120</v>
      </c>
      <c r="C363" s="5" t="s">
        <v>231</v>
      </c>
      <c r="D363" s="5" t="s">
        <v>237</v>
      </c>
      <c r="E363" s="11">
        <v>0.15</v>
      </c>
      <c r="F363" s="6">
        <v>7225</v>
      </c>
      <c r="G363">
        <v>300</v>
      </c>
      <c r="H363">
        <f>F363*G363</f>
        <v>2167500</v>
      </c>
      <c r="J363">
        <f>G363*I363</f>
        <v>0</v>
      </c>
      <c r="K363">
        <f>J363-H363</f>
        <v>-2167500</v>
      </c>
      <c r="L363">
        <f>K363*1.2</f>
        <v>-2601000</v>
      </c>
    </row>
    <row r="364" spans="1:13" outlineLevel="1">
      <c r="A364" s="8"/>
      <c r="B364" s="31" t="s">
        <v>121</v>
      </c>
      <c r="C364" s="1"/>
      <c r="D364" s="1"/>
      <c r="E364" s="1"/>
      <c r="F364" s="2"/>
      <c r="G364">
        <f>F363*1.2</f>
        <v>8670</v>
      </c>
    </row>
    <row r="365" spans="1:13" outlineLevel="1">
      <c r="A365" s="8"/>
      <c r="B365" s="31" t="s">
        <v>123</v>
      </c>
      <c r="C365" s="1"/>
      <c r="D365" s="1"/>
      <c r="E365" s="1"/>
      <c r="F365" s="2"/>
    </row>
    <row r="366" spans="1:13" outlineLevel="1">
      <c r="A366" s="8"/>
      <c r="B366" s="31" t="s">
        <v>122</v>
      </c>
      <c r="C366" s="1"/>
      <c r="D366" s="1"/>
      <c r="E366" s="1"/>
      <c r="F366" s="2"/>
    </row>
    <row r="367" spans="1:13" outlineLevel="1">
      <c r="A367" s="8"/>
      <c r="B367" s="1"/>
      <c r="C367" s="1"/>
      <c r="D367" s="1"/>
      <c r="E367" s="1"/>
      <c r="F367" s="2"/>
    </row>
    <row r="368" spans="1:13" outlineLevel="1">
      <c r="A368" s="8"/>
      <c r="B368" s="1"/>
      <c r="C368" s="1"/>
      <c r="D368" s="1"/>
      <c r="E368" s="1"/>
      <c r="F368" s="2"/>
    </row>
    <row r="369" spans="1:12" outlineLevel="1">
      <c r="A369" s="8"/>
      <c r="B369" s="1"/>
      <c r="C369" s="1"/>
      <c r="D369" s="1"/>
      <c r="E369" s="1"/>
      <c r="F369" s="2"/>
    </row>
    <row r="370" spans="1:12" outlineLevel="1">
      <c r="A370" s="8"/>
      <c r="B370" s="1"/>
      <c r="C370" s="1"/>
      <c r="D370" s="1"/>
      <c r="E370" s="1"/>
      <c r="F370" s="2"/>
    </row>
    <row r="371" spans="1:12" outlineLevel="1">
      <c r="A371" s="8"/>
      <c r="B371" s="1"/>
      <c r="C371" s="1"/>
      <c r="D371" s="1"/>
      <c r="E371" s="1"/>
      <c r="F371" s="2"/>
    </row>
    <row r="372" spans="1:12" outlineLevel="1">
      <c r="A372" s="8"/>
      <c r="B372" s="1"/>
      <c r="C372" s="1"/>
      <c r="D372" s="1"/>
      <c r="E372" s="1"/>
      <c r="F372" s="2"/>
    </row>
    <row r="373" spans="1:12" outlineLevel="1">
      <c r="A373" s="8"/>
      <c r="B373" s="1"/>
      <c r="C373" s="1"/>
      <c r="D373" s="1"/>
      <c r="E373" s="1"/>
      <c r="F373" s="2"/>
    </row>
    <row r="374" spans="1:12" ht="15.75" outlineLevel="1" thickBot="1">
      <c r="A374" s="9"/>
      <c r="B374" s="3"/>
      <c r="C374" s="3"/>
      <c r="D374" s="3"/>
      <c r="E374" s="3"/>
      <c r="F374" s="4"/>
    </row>
    <row r="375" spans="1:12" ht="16.5" thickTop="1" thickBot="1"/>
    <row r="376" spans="1:12" ht="15.75" thickTop="1">
      <c r="A376" s="3782" t="s">
        <v>0</v>
      </c>
      <c r="B376" s="3781" t="s">
        <v>1</v>
      </c>
      <c r="C376" s="3781" t="s">
        <v>2</v>
      </c>
      <c r="D376" s="3781" t="s">
        <v>3</v>
      </c>
      <c r="E376" s="3781" t="s">
        <v>4</v>
      </c>
      <c r="F376" s="3765" t="s">
        <v>5</v>
      </c>
    </row>
    <row r="377" spans="1:12" ht="24.75" customHeight="1" thickBot="1">
      <c r="A377" s="3783"/>
      <c r="B377" s="3767"/>
      <c r="C377" s="3767"/>
      <c r="D377" s="3767"/>
      <c r="E377" s="3767"/>
      <c r="F377" s="3766"/>
    </row>
    <row r="378" spans="1:12" ht="15.75" outlineLevel="1" thickTop="1">
      <c r="A378" s="7" t="s">
        <v>580</v>
      </c>
      <c r="B378" s="191" t="s">
        <v>265</v>
      </c>
      <c r="C378" s="5" t="s">
        <v>238</v>
      </c>
      <c r="D378" s="5" t="s">
        <v>262</v>
      </c>
      <c r="E378" s="11">
        <v>0.15</v>
      </c>
      <c r="F378" s="6">
        <v>45739</v>
      </c>
      <c r="G378">
        <v>2517</v>
      </c>
      <c r="H378">
        <f>F378*G378</f>
        <v>115125063</v>
      </c>
      <c r="J378">
        <f>G378*I378</f>
        <v>0</v>
      </c>
      <c r="K378">
        <f>J378-H378</f>
        <v>-115125063</v>
      </c>
      <c r="L378">
        <f>K378*1.1</f>
        <v>-126637569.30000001</v>
      </c>
    </row>
    <row r="379" spans="1:12" outlineLevel="1">
      <c r="A379" s="8"/>
      <c r="B379" s="31" t="s">
        <v>395</v>
      </c>
      <c r="C379" s="1" t="s">
        <v>239</v>
      </c>
      <c r="D379" s="5" t="s">
        <v>262</v>
      </c>
      <c r="E379" s="11">
        <v>0.15</v>
      </c>
      <c r="F379" s="6">
        <v>45739</v>
      </c>
    </row>
    <row r="380" spans="1:12" outlineLevel="1">
      <c r="A380" s="8"/>
      <c r="B380" s="31" t="s">
        <v>264</v>
      </c>
      <c r="C380" s="1"/>
      <c r="D380" s="1"/>
      <c r="E380" s="1"/>
      <c r="F380" s="2"/>
    </row>
    <row r="381" spans="1:12" outlineLevel="1">
      <c r="A381" s="8"/>
      <c r="B381" s="31" t="s">
        <v>266</v>
      </c>
      <c r="C381" s="1"/>
      <c r="D381" s="1"/>
      <c r="E381" s="1"/>
      <c r="F381" s="2"/>
    </row>
    <row r="382" spans="1:12" outlineLevel="1">
      <c r="A382" s="8"/>
      <c r="B382" s="81" t="s">
        <v>269</v>
      </c>
      <c r="C382" s="1"/>
      <c r="D382" s="1"/>
      <c r="E382" s="1"/>
      <c r="F382" s="2"/>
    </row>
    <row r="383" spans="1:12" outlineLevel="1">
      <c r="A383" s="8"/>
      <c r="B383" s="31" t="s">
        <v>267</v>
      </c>
      <c r="C383" s="1"/>
      <c r="D383" s="1"/>
      <c r="E383" s="1"/>
      <c r="F383" s="2"/>
    </row>
    <row r="384" spans="1:12" outlineLevel="1">
      <c r="A384" s="8"/>
      <c r="B384" s="31" t="s">
        <v>268</v>
      </c>
      <c r="C384" s="1"/>
      <c r="D384" s="1"/>
      <c r="E384" s="1"/>
      <c r="F384" s="2"/>
    </row>
    <row r="385" spans="1:11" outlineLevel="1">
      <c r="A385" s="8"/>
      <c r="B385" s="1"/>
      <c r="C385" s="1"/>
      <c r="D385" s="1"/>
      <c r="E385" s="1"/>
      <c r="F385" s="2"/>
    </row>
    <row r="386" spans="1:11" outlineLevel="1">
      <c r="A386" s="8"/>
      <c r="B386" s="1"/>
      <c r="C386" s="1"/>
      <c r="D386" s="1"/>
      <c r="E386" s="1"/>
      <c r="F386" s="2"/>
    </row>
    <row r="387" spans="1:11" outlineLevel="1">
      <c r="A387" s="8"/>
      <c r="B387" s="1"/>
      <c r="C387" s="1"/>
      <c r="D387" s="1"/>
      <c r="E387" s="1"/>
      <c r="F387" s="2"/>
    </row>
    <row r="388" spans="1:11" outlineLevel="1">
      <c r="A388" s="8"/>
      <c r="B388" s="1"/>
      <c r="C388" s="1"/>
      <c r="D388" s="1"/>
      <c r="E388" s="1"/>
      <c r="F388" s="2"/>
    </row>
    <row r="389" spans="1:11" ht="15.75" outlineLevel="1" thickBot="1">
      <c r="A389" s="9"/>
      <c r="B389" s="3"/>
      <c r="C389" s="3"/>
      <c r="D389" s="3"/>
      <c r="E389" s="3"/>
      <c r="F389" s="4"/>
    </row>
    <row r="390" spans="1:11" ht="16.5" thickTop="1" thickBot="1"/>
    <row r="391" spans="1:11" ht="15.75" thickTop="1">
      <c r="A391" s="3782" t="s">
        <v>0</v>
      </c>
      <c r="B391" s="3781" t="s">
        <v>1</v>
      </c>
      <c r="C391" s="3781" t="s">
        <v>2</v>
      </c>
      <c r="D391" s="3781" t="s">
        <v>3</v>
      </c>
      <c r="E391" s="3781" t="s">
        <v>4</v>
      </c>
      <c r="F391" s="3765" t="s">
        <v>5</v>
      </c>
    </row>
    <row r="392" spans="1:11" ht="24.75" customHeight="1" thickBot="1">
      <c r="A392" s="3783"/>
      <c r="B392" s="3767"/>
      <c r="C392" s="3767"/>
      <c r="D392" s="3767"/>
      <c r="E392" s="3767"/>
      <c r="F392" s="3766"/>
    </row>
    <row r="393" spans="1:11" ht="16.5" outlineLevel="1" thickTop="1">
      <c r="A393" s="10" t="s">
        <v>593</v>
      </c>
      <c r="B393" s="298" t="s">
        <v>409</v>
      </c>
      <c r="C393" s="299" t="s">
        <v>226</v>
      </c>
      <c r="D393" s="300" t="s">
        <v>343</v>
      </c>
      <c r="E393" s="304">
        <v>0.15</v>
      </c>
      <c r="F393" s="301">
        <v>4474</v>
      </c>
      <c r="G393">
        <v>2046</v>
      </c>
      <c r="H393">
        <f>F393*G393</f>
        <v>9153804</v>
      </c>
      <c r="J393">
        <f>G393*I393</f>
        <v>0</v>
      </c>
      <c r="K393">
        <f>J393*1.2</f>
        <v>0</v>
      </c>
    </row>
    <row r="394" spans="1:11" ht="15.75" outlineLevel="1">
      <c r="A394" s="302"/>
      <c r="B394" s="81" t="s">
        <v>392</v>
      </c>
      <c r="C394" s="299" t="s">
        <v>227</v>
      </c>
      <c r="D394" s="1" t="s">
        <v>343</v>
      </c>
      <c r="E394" s="14">
        <v>0.15</v>
      </c>
      <c r="F394" s="301">
        <v>4474</v>
      </c>
    </row>
    <row r="395" spans="1:11" ht="15.75" outlineLevel="1">
      <c r="A395" s="302"/>
      <c r="B395" s="81" t="s">
        <v>534</v>
      </c>
      <c r="C395" s="299" t="s">
        <v>228</v>
      </c>
      <c r="D395" s="5" t="s">
        <v>343</v>
      </c>
      <c r="E395" s="14">
        <v>0.15</v>
      </c>
      <c r="F395" s="301">
        <v>4474</v>
      </c>
    </row>
    <row r="396" spans="1:11" ht="15.75" outlineLevel="1">
      <c r="A396" s="302"/>
      <c r="B396" s="1" t="s">
        <v>535</v>
      </c>
      <c r="C396" s="299" t="s">
        <v>27</v>
      </c>
      <c r="D396" s="1" t="s">
        <v>343</v>
      </c>
      <c r="E396" s="14">
        <v>0.15</v>
      </c>
      <c r="F396" s="303">
        <v>7189</v>
      </c>
      <c r="G396">
        <v>2435</v>
      </c>
      <c r="H396">
        <f>F396*G396</f>
        <v>17505215</v>
      </c>
      <c r="J396">
        <f>G396*I396</f>
        <v>0</v>
      </c>
      <c r="K396">
        <f>J396*1.2</f>
        <v>0</v>
      </c>
    </row>
    <row r="397" spans="1:11" ht="15.75" outlineLevel="1">
      <c r="A397" s="302"/>
      <c r="B397" s="1"/>
      <c r="C397" s="299" t="s">
        <v>28</v>
      </c>
      <c r="D397" s="1" t="s">
        <v>343</v>
      </c>
      <c r="E397" s="14">
        <v>0.15</v>
      </c>
      <c r="F397" s="303">
        <v>7189</v>
      </c>
      <c r="K397">
        <f>K393+K396</f>
        <v>0</v>
      </c>
    </row>
    <row r="398" spans="1:11" ht="15.75" outlineLevel="1">
      <c r="A398" s="302"/>
      <c r="B398" s="1"/>
      <c r="C398" s="299" t="s">
        <v>29</v>
      </c>
      <c r="D398" s="1" t="s">
        <v>343</v>
      </c>
      <c r="E398" s="14">
        <v>0.15</v>
      </c>
      <c r="F398" s="303">
        <v>7189</v>
      </c>
    </row>
    <row r="399" spans="1:11" outlineLevel="1">
      <c r="A399" s="8"/>
      <c r="B399" s="1"/>
      <c r="C399" s="1"/>
      <c r="D399" s="1"/>
      <c r="E399" s="1"/>
      <c r="F399" s="2"/>
    </row>
    <row r="400" spans="1:11" outlineLevel="1">
      <c r="A400" s="8"/>
      <c r="B400" s="1"/>
      <c r="C400" s="1"/>
      <c r="D400" s="1"/>
      <c r="E400" s="1"/>
      <c r="F400" s="2"/>
    </row>
    <row r="401" spans="1:12" outlineLevel="1">
      <c r="A401" s="8"/>
      <c r="B401" s="1"/>
      <c r="C401" s="1"/>
      <c r="D401" s="1"/>
      <c r="E401" s="1"/>
      <c r="F401" s="2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ht="15.75" outlineLevel="1" thickBot="1">
      <c r="A404" s="9"/>
      <c r="B404" s="3"/>
      <c r="C404" s="3"/>
      <c r="D404" s="3"/>
      <c r="E404" s="3"/>
      <c r="F404" s="4"/>
    </row>
    <row r="405" spans="1:12" ht="16.5" thickTop="1" thickBot="1"/>
    <row r="406" spans="1:12" ht="15.75" thickTop="1">
      <c r="A406" s="3782" t="s">
        <v>0</v>
      </c>
      <c r="B406" s="3781" t="s">
        <v>1</v>
      </c>
      <c r="C406" s="3781" t="s">
        <v>2</v>
      </c>
      <c r="D406" s="3781" t="s">
        <v>3</v>
      </c>
      <c r="E406" s="3781" t="s">
        <v>4</v>
      </c>
      <c r="F406" s="3765" t="s">
        <v>5</v>
      </c>
    </row>
    <row r="407" spans="1:12" ht="24.75" customHeight="1" thickBot="1">
      <c r="A407" s="3783"/>
      <c r="B407" s="3767"/>
      <c r="C407" s="3767"/>
      <c r="D407" s="3767"/>
      <c r="E407" s="3767"/>
      <c r="F407" s="3766"/>
    </row>
    <row r="408" spans="1:12" ht="15.75" outlineLevel="1" thickTop="1">
      <c r="A408" s="7" t="s">
        <v>644</v>
      </c>
      <c r="B408" s="5" t="s">
        <v>202</v>
      </c>
      <c r="C408" s="5" t="s">
        <v>263</v>
      </c>
      <c r="D408" s="5" t="s">
        <v>360</v>
      </c>
      <c r="E408" s="5">
        <v>0.16</v>
      </c>
      <c r="F408" s="6">
        <v>6675</v>
      </c>
      <c r="G408">
        <v>3167</v>
      </c>
      <c r="H408">
        <f>F408*G408</f>
        <v>21139725</v>
      </c>
      <c r="J408">
        <f>G408*I408</f>
        <v>0</v>
      </c>
      <c r="K408">
        <f>J408-H408</f>
        <v>-21139725</v>
      </c>
      <c r="L408">
        <f>K408*1.2</f>
        <v>-25367670</v>
      </c>
    </row>
    <row r="409" spans="1:12" outlineLevel="1">
      <c r="A409" s="8"/>
      <c r="B409" s="1"/>
      <c r="C409" s="1"/>
      <c r="D409" s="1"/>
      <c r="E409" s="1"/>
      <c r="F409" s="2"/>
      <c r="G409">
        <f>F408*1.2</f>
        <v>8010</v>
      </c>
    </row>
    <row r="410" spans="1:12" outlineLevel="1">
      <c r="A410" s="8"/>
      <c r="B410" s="1"/>
      <c r="C410" s="1"/>
      <c r="D410" s="1"/>
      <c r="E410" s="1"/>
      <c r="F410" s="2"/>
    </row>
    <row r="411" spans="1:12" outlineLevel="1">
      <c r="A411" s="8"/>
      <c r="B411" s="1"/>
      <c r="C411" s="1"/>
      <c r="D411" s="1"/>
      <c r="E411" s="1"/>
      <c r="F411" s="2"/>
    </row>
    <row r="412" spans="1:12" outlineLevel="1">
      <c r="A412" s="8"/>
      <c r="B412" s="1"/>
      <c r="C412" s="1"/>
      <c r="D412" s="1"/>
      <c r="E412" s="1"/>
      <c r="F412" s="2"/>
    </row>
    <row r="413" spans="1:12" outlineLevel="1">
      <c r="A413" s="8"/>
      <c r="B413" s="1"/>
      <c r="C413" s="1"/>
      <c r="D413" s="1"/>
      <c r="E413" s="1"/>
      <c r="F413" s="2"/>
    </row>
    <row r="414" spans="1:12" outlineLevel="1">
      <c r="A414" s="8"/>
      <c r="B414" s="1"/>
      <c r="C414" s="1"/>
      <c r="D414" s="1"/>
      <c r="E414" s="1"/>
      <c r="F414" s="2"/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ht="15.75" outlineLevel="1" thickBot="1">
      <c r="A419" s="9"/>
      <c r="B419" s="3"/>
      <c r="C419" s="3"/>
      <c r="D419" s="3"/>
      <c r="E419" s="3"/>
      <c r="F419" s="4"/>
    </row>
    <row r="420" spans="1:12" ht="16.5" thickTop="1" thickBot="1"/>
    <row r="421" spans="1:12" ht="15.75" thickTop="1">
      <c r="A421" s="3782" t="s">
        <v>0</v>
      </c>
      <c r="B421" s="3781" t="s">
        <v>1</v>
      </c>
      <c r="C421" s="3781" t="s">
        <v>2</v>
      </c>
      <c r="D421" s="3781" t="s">
        <v>3</v>
      </c>
      <c r="E421" s="3781" t="s">
        <v>4</v>
      </c>
      <c r="F421" s="3765" t="s">
        <v>5</v>
      </c>
    </row>
    <row r="422" spans="1:12" ht="24.75" customHeight="1" thickBot="1">
      <c r="A422" s="3783"/>
      <c r="B422" s="3767"/>
      <c r="C422" s="3767"/>
      <c r="D422" s="3767"/>
      <c r="E422" s="3767"/>
      <c r="F422" s="3766"/>
    </row>
    <row r="423" spans="1:12" ht="15.75" outlineLevel="1" thickTop="1">
      <c r="A423" s="7" t="s">
        <v>625</v>
      </c>
      <c r="B423" s="298" t="s">
        <v>409</v>
      </c>
      <c r="C423" s="5" t="s">
        <v>626</v>
      </c>
      <c r="D423" s="5" t="s">
        <v>343</v>
      </c>
      <c r="E423" s="13">
        <v>0.2</v>
      </c>
      <c r="F423" s="6">
        <v>1415</v>
      </c>
      <c r="G423">
        <v>6930</v>
      </c>
      <c r="H423">
        <f>F423*G423</f>
        <v>9805950</v>
      </c>
      <c r="J423">
        <f>G423*I423</f>
        <v>0</v>
      </c>
      <c r="K423">
        <f>J423-H423</f>
        <v>-9805950</v>
      </c>
      <c r="L423">
        <f>K423*1.2</f>
        <v>-11767140</v>
      </c>
    </row>
    <row r="424" spans="1:12" outlineLevel="1">
      <c r="A424" s="8"/>
      <c r="B424" s="81" t="s">
        <v>392</v>
      </c>
      <c r="C424" s="1" t="s">
        <v>627</v>
      </c>
      <c r="D424" s="5" t="s">
        <v>343</v>
      </c>
      <c r="E424" s="14">
        <v>0.2</v>
      </c>
      <c r="F424" s="2">
        <v>1415</v>
      </c>
      <c r="G424">
        <f>F424*1.2</f>
        <v>1698</v>
      </c>
    </row>
    <row r="425" spans="1:12" outlineLevel="1">
      <c r="A425" s="8"/>
      <c r="B425" s="81" t="s">
        <v>534</v>
      </c>
      <c r="C425" s="1" t="s">
        <v>628</v>
      </c>
      <c r="D425" s="5" t="s">
        <v>343</v>
      </c>
      <c r="E425" s="14">
        <v>0.2</v>
      </c>
      <c r="F425" s="2">
        <v>1415</v>
      </c>
    </row>
    <row r="426" spans="1:12" outlineLevel="1">
      <c r="A426" s="8"/>
      <c r="B426" s="1" t="s">
        <v>535</v>
      </c>
      <c r="C426" s="1"/>
      <c r="D426" s="5"/>
      <c r="E426" s="1"/>
      <c r="F426" s="2"/>
    </row>
    <row r="427" spans="1:12" outlineLevel="1">
      <c r="A427" s="8"/>
      <c r="B427" s="1"/>
      <c r="C427" s="1"/>
      <c r="D427" s="1"/>
      <c r="E427" s="1"/>
      <c r="F427" s="2"/>
    </row>
    <row r="428" spans="1:12" outlineLevel="1">
      <c r="A428" s="8"/>
      <c r="B428" s="1"/>
      <c r="C428" s="1"/>
      <c r="D428" s="1"/>
      <c r="E428" s="1"/>
      <c r="F428" s="2"/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ht="15.75" outlineLevel="1" thickBot="1">
      <c r="A434" s="9"/>
      <c r="B434" s="3"/>
      <c r="C434" s="3"/>
      <c r="D434" s="3"/>
      <c r="E434" s="3"/>
      <c r="F434" s="4"/>
    </row>
    <row r="435" spans="1:12" ht="16.5" thickTop="1" thickBot="1"/>
    <row r="436" spans="1:12" ht="15.75" thickTop="1">
      <c r="A436" s="3782" t="s">
        <v>0</v>
      </c>
      <c r="B436" s="3781" t="s">
        <v>1</v>
      </c>
      <c r="C436" s="3781" t="s">
        <v>2</v>
      </c>
      <c r="D436" s="3781" t="s">
        <v>3</v>
      </c>
      <c r="E436" s="3781" t="s">
        <v>4</v>
      </c>
      <c r="F436" s="3765" t="s">
        <v>5</v>
      </c>
    </row>
    <row r="437" spans="1:12" ht="24.75" customHeight="1" thickBot="1">
      <c r="A437" s="3783"/>
      <c r="B437" s="3767"/>
      <c r="C437" s="3767"/>
      <c r="D437" s="3767"/>
      <c r="E437" s="3767"/>
      <c r="F437" s="3766"/>
    </row>
    <row r="438" spans="1:12" ht="15.75" outlineLevel="1" thickTop="1">
      <c r="A438" s="7" t="s">
        <v>634</v>
      </c>
      <c r="B438" s="298" t="s">
        <v>409</v>
      </c>
      <c r="C438" s="5" t="s">
        <v>635</v>
      </c>
      <c r="D438" s="5" t="s">
        <v>343</v>
      </c>
      <c r="E438" s="13">
        <v>0.15</v>
      </c>
      <c r="F438" s="6">
        <v>6316</v>
      </c>
      <c r="G438">
        <v>2124</v>
      </c>
      <c r="H438">
        <f>F438*G438</f>
        <v>13415184</v>
      </c>
      <c r="J438">
        <f>G438*I438</f>
        <v>0</v>
      </c>
      <c r="K438">
        <f>J438-H438</f>
        <v>-13415184</v>
      </c>
    </row>
    <row r="439" spans="1:12" outlineLevel="1">
      <c r="A439" s="8"/>
      <c r="B439" s="81" t="s">
        <v>392</v>
      </c>
      <c r="C439" s="1" t="s">
        <v>636</v>
      </c>
      <c r="D439" s="5" t="s">
        <v>343</v>
      </c>
      <c r="E439" s="13">
        <v>0.15</v>
      </c>
      <c r="F439" s="6">
        <v>6316</v>
      </c>
    </row>
    <row r="440" spans="1:12" outlineLevel="1">
      <c r="A440" s="8"/>
      <c r="B440" s="81" t="s">
        <v>534</v>
      </c>
      <c r="C440" s="1" t="s">
        <v>189</v>
      </c>
      <c r="D440" s="5" t="s">
        <v>343</v>
      </c>
      <c r="E440" s="14">
        <v>0.15</v>
      </c>
      <c r="F440" s="2">
        <v>3141</v>
      </c>
      <c r="G440">
        <v>2180</v>
      </c>
      <c r="H440">
        <f>F440*G440</f>
        <v>6847380</v>
      </c>
      <c r="J440">
        <f>G440*I440</f>
        <v>0</v>
      </c>
      <c r="K440">
        <f>J440-H440</f>
        <v>-6847380</v>
      </c>
    </row>
    <row r="441" spans="1:12" outlineLevel="1">
      <c r="A441" s="8"/>
      <c r="B441" s="1" t="s">
        <v>535</v>
      </c>
      <c r="C441" s="1"/>
      <c r="D441" s="5"/>
      <c r="E441" s="1"/>
      <c r="F441" s="2"/>
    </row>
    <row r="442" spans="1:12" outlineLevel="1">
      <c r="A442" s="8"/>
      <c r="B442" s="1"/>
      <c r="C442" s="1"/>
      <c r="D442" s="1"/>
      <c r="E442" s="1"/>
      <c r="F442" s="2"/>
      <c r="K442">
        <f>SUM(K438:K441)</f>
        <v>-20262564</v>
      </c>
      <c r="L442">
        <f>K442*1.2</f>
        <v>-24315076.800000001</v>
      </c>
    </row>
    <row r="443" spans="1:12" outlineLevel="1">
      <c r="A443" s="8"/>
      <c r="B443" s="1"/>
      <c r="C443" s="1"/>
      <c r="D443" s="1"/>
      <c r="E443" s="1"/>
      <c r="F443" s="2"/>
    </row>
    <row r="444" spans="1:12" outlineLevel="1">
      <c r="A444" s="8"/>
      <c r="B444" s="1"/>
      <c r="C444" s="1"/>
      <c r="D444" s="1"/>
      <c r="E444" s="1"/>
      <c r="F444" s="2"/>
    </row>
    <row r="445" spans="1:12" outlineLevel="1">
      <c r="A445" s="8"/>
      <c r="B445" s="1"/>
      <c r="C445" s="1"/>
      <c r="D445" s="1"/>
      <c r="E445" s="1"/>
      <c r="F445" s="2"/>
    </row>
    <row r="446" spans="1:12" outlineLevel="1">
      <c r="A446" s="8"/>
      <c r="B446" s="1"/>
      <c r="C446" s="1"/>
      <c r="D446" s="1"/>
      <c r="E446" s="1"/>
      <c r="F446" s="2"/>
    </row>
    <row r="447" spans="1:12" outlineLevel="1">
      <c r="A447" s="8"/>
      <c r="B447" s="1"/>
      <c r="C447" s="1"/>
      <c r="D447" s="1"/>
      <c r="E447" s="1"/>
      <c r="F447" s="2"/>
    </row>
    <row r="448" spans="1:12" outlineLevel="1">
      <c r="A448" s="8"/>
      <c r="B448" s="1"/>
      <c r="C448" s="1"/>
      <c r="D448" s="1"/>
      <c r="E448" s="1"/>
      <c r="F448" s="2"/>
    </row>
    <row r="449" spans="1:12" ht="15.75" outlineLevel="1" thickBot="1">
      <c r="A449" s="9"/>
      <c r="B449" s="3"/>
      <c r="C449" s="3"/>
      <c r="D449" s="3"/>
      <c r="E449" s="3"/>
      <c r="F449" s="4"/>
    </row>
    <row r="450" spans="1:12" ht="16.5" thickTop="1" thickBot="1"/>
    <row r="451" spans="1:12" ht="15.75" thickTop="1">
      <c r="A451" s="3782" t="s">
        <v>0</v>
      </c>
      <c r="B451" s="3781" t="s">
        <v>1</v>
      </c>
      <c r="C451" s="3781" t="s">
        <v>2</v>
      </c>
      <c r="D451" s="3781" t="s">
        <v>3</v>
      </c>
      <c r="E451" s="3781" t="s">
        <v>4</v>
      </c>
      <c r="F451" s="3765" t="s">
        <v>5</v>
      </c>
    </row>
    <row r="452" spans="1:12" ht="24.75" customHeight="1" thickBot="1">
      <c r="A452" s="3783"/>
      <c r="B452" s="3767"/>
      <c r="C452" s="3767"/>
      <c r="D452" s="3767"/>
      <c r="E452" s="3767"/>
      <c r="F452" s="3766"/>
    </row>
    <row r="453" spans="1:12" ht="15.75" outlineLevel="1" thickTop="1">
      <c r="A453" s="7" t="s">
        <v>638</v>
      </c>
      <c r="B453" s="5" t="s">
        <v>342</v>
      </c>
      <c r="C453" s="5" t="s">
        <v>635</v>
      </c>
      <c r="D453" s="5" t="s">
        <v>343</v>
      </c>
      <c r="E453" s="13">
        <v>0.16</v>
      </c>
      <c r="F453" s="6">
        <v>6242</v>
      </c>
      <c r="G453">
        <v>2345</v>
      </c>
      <c r="H453">
        <v>14637490</v>
      </c>
      <c r="J453">
        <v>17425695</v>
      </c>
      <c r="K453">
        <f>J453-H453</f>
        <v>2788205</v>
      </c>
      <c r="L453">
        <f>K453*1.2</f>
        <v>3345846</v>
      </c>
    </row>
    <row r="454" spans="1:12" outlineLevel="1">
      <c r="A454" s="8"/>
      <c r="B454" s="1"/>
      <c r="C454" s="1" t="s">
        <v>636</v>
      </c>
      <c r="D454" s="5" t="s">
        <v>343</v>
      </c>
      <c r="E454" s="13">
        <v>0.16</v>
      </c>
      <c r="F454" s="6">
        <v>6242</v>
      </c>
    </row>
    <row r="455" spans="1:12" outlineLevel="1">
      <c r="A455" s="8"/>
      <c r="B455" s="1"/>
      <c r="C455" s="1" t="s">
        <v>189</v>
      </c>
      <c r="D455" s="5" t="s">
        <v>343</v>
      </c>
      <c r="E455" s="14">
        <v>0.18</v>
      </c>
      <c r="F455" s="2">
        <v>3030</v>
      </c>
      <c r="G455">
        <v>2520</v>
      </c>
      <c r="H455">
        <f>F455*G455</f>
        <v>7635600</v>
      </c>
      <c r="J455">
        <f>G455*I455</f>
        <v>0</v>
      </c>
      <c r="K455">
        <f>J455-H455</f>
        <v>-7635600</v>
      </c>
      <c r="L455">
        <f>K455*1.2</f>
        <v>-9162720</v>
      </c>
    </row>
    <row r="456" spans="1:12" outlineLevel="1">
      <c r="A456" s="8"/>
      <c r="B456" s="1"/>
      <c r="C456" s="1" t="s">
        <v>226</v>
      </c>
      <c r="D456" s="5" t="s">
        <v>343</v>
      </c>
      <c r="E456" s="14">
        <v>0.15</v>
      </c>
      <c r="F456" s="2">
        <v>4922</v>
      </c>
      <c r="G456">
        <v>11088</v>
      </c>
      <c r="H456">
        <f>F456*G456</f>
        <v>54575136</v>
      </c>
      <c r="J456">
        <f>G456*I456</f>
        <v>0</v>
      </c>
      <c r="K456">
        <f>J456-H456</f>
        <v>-54575136</v>
      </c>
      <c r="L456">
        <f>K456*1.2</f>
        <v>-65490163.199999996</v>
      </c>
    </row>
    <row r="457" spans="1:12" outlineLevel="1">
      <c r="A457" s="8"/>
      <c r="B457" s="1"/>
      <c r="C457" s="1" t="s">
        <v>227</v>
      </c>
      <c r="D457" s="5" t="s">
        <v>343</v>
      </c>
      <c r="E457" s="14">
        <v>0.15</v>
      </c>
      <c r="F457" s="2">
        <v>4922</v>
      </c>
    </row>
    <row r="458" spans="1:12" outlineLevel="1">
      <c r="A458" s="8"/>
      <c r="B458" s="1"/>
      <c r="C458" s="1" t="s">
        <v>228</v>
      </c>
      <c r="D458" s="5" t="s">
        <v>343</v>
      </c>
      <c r="E458" s="14">
        <v>0.15</v>
      </c>
      <c r="F458" s="2">
        <v>4922</v>
      </c>
      <c r="L458">
        <f>SUM(L453:L457)</f>
        <v>-71307037.199999988</v>
      </c>
    </row>
    <row r="459" spans="1:12" outlineLevel="1">
      <c r="A459" s="8"/>
      <c r="B459" s="1"/>
      <c r="C459" s="1"/>
      <c r="D459" s="1"/>
      <c r="E459" s="1"/>
      <c r="F459" s="2"/>
    </row>
    <row r="460" spans="1:12" outlineLevel="1">
      <c r="A460" s="8"/>
      <c r="B460" s="1"/>
      <c r="C460" s="1"/>
      <c r="D460" s="1"/>
      <c r="E460" s="1"/>
      <c r="F460" s="2"/>
    </row>
    <row r="461" spans="1:12" outlineLevel="1">
      <c r="A461" s="8"/>
      <c r="B461" s="1"/>
      <c r="C461" s="1"/>
      <c r="D461" s="1"/>
      <c r="E461" s="1"/>
      <c r="F461" s="2"/>
    </row>
    <row r="462" spans="1:12" outlineLevel="1">
      <c r="A462" s="8"/>
      <c r="B462" s="1"/>
      <c r="C462" s="1"/>
      <c r="D462" s="1"/>
      <c r="E462" s="1"/>
      <c r="F462" s="2"/>
    </row>
    <row r="463" spans="1:12" outlineLevel="1">
      <c r="A463" s="8"/>
      <c r="B463" s="1"/>
      <c r="C463" s="1"/>
      <c r="D463" s="1"/>
      <c r="E463" s="1"/>
      <c r="F463" s="2"/>
    </row>
    <row r="464" spans="1:12" ht="15.75" outlineLevel="1" thickBot="1">
      <c r="A464" s="9"/>
      <c r="B464" s="3"/>
      <c r="C464" s="3"/>
      <c r="D464" s="3"/>
      <c r="E464" s="3"/>
      <c r="F464" s="4"/>
    </row>
    <row r="465" spans="1:12" ht="16.5" thickTop="1" thickBot="1"/>
    <row r="466" spans="1:12" ht="15.75" thickTop="1">
      <c r="A466" s="3782" t="s">
        <v>0</v>
      </c>
      <c r="B466" s="3781" t="s">
        <v>1</v>
      </c>
      <c r="C466" s="3781" t="s">
        <v>2</v>
      </c>
      <c r="D466" s="3781" t="s">
        <v>3</v>
      </c>
      <c r="E466" s="3781" t="s">
        <v>4</v>
      </c>
      <c r="F466" s="3765" t="s">
        <v>5</v>
      </c>
    </row>
    <row r="467" spans="1:12" ht="24.75" customHeight="1" thickBot="1">
      <c r="A467" s="3783"/>
      <c r="B467" s="3767"/>
      <c r="C467" s="3767"/>
      <c r="D467" s="3767"/>
      <c r="E467" s="3767"/>
      <c r="F467" s="3766"/>
    </row>
    <row r="468" spans="1:12" ht="15.75" outlineLevel="1" thickTop="1">
      <c r="A468" s="7" t="s">
        <v>645</v>
      </c>
      <c r="B468" s="5" t="s">
        <v>202</v>
      </c>
      <c r="C468" s="5" t="s">
        <v>231</v>
      </c>
      <c r="D468" s="5" t="s">
        <v>360</v>
      </c>
      <c r="E468" s="11">
        <v>0.16</v>
      </c>
      <c r="F468" s="6">
        <v>7564</v>
      </c>
      <c r="G468">
        <v>2472</v>
      </c>
      <c r="H468">
        <v>18698208</v>
      </c>
      <c r="J468">
        <f>G468*I468</f>
        <v>0</v>
      </c>
      <c r="K468">
        <f>J468-H468</f>
        <v>-18698208</v>
      </c>
      <c r="L468">
        <f>K468*1.2</f>
        <v>-22437849.599999998</v>
      </c>
    </row>
    <row r="469" spans="1:12" outlineLevel="1">
      <c r="A469" s="8"/>
      <c r="B469" s="1"/>
      <c r="C469" s="1"/>
      <c r="D469" s="1"/>
      <c r="E469" s="1"/>
      <c r="F469" s="2"/>
    </row>
    <row r="470" spans="1:12" outlineLevel="1">
      <c r="A470" s="8"/>
      <c r="B470" s="1"/>
      <c r="C470" s="1"/>
      <c r="D470" s="1"/>
      <c r="E470" s="1"/>
      <c r="F470" s="2"/>
    </row>
    <row r="471" spans="1:12" outlineLevel="1">
      <c r="A471" s="8"/>
      <c r="B471" s="1"/>
      <c r="C471" s="1"/>
      <c r="D471" s="1"/>
      <c r="E471" s="1"/>
      <c r="F471" s="2"/>
    </row>
    <row r="472" spans="1:12" outlineLevel="1">
      <c r="A472" s="8"/>
      <c r="B472" s="1"/>
      <c r="C472" s="1"/>
      <c r="D472" s="1"/>
      <c r="E472" s="1"/>
      <c r="F472" s="2"/>
    </row>
    <row r="473" spans="1:12" outlineLevel="1">
      <c r="A473" s="8"/>
      <c r="B473" s="1"/>
      <c r="C473" s="1"/>
      <c r="D473" s="1"/>
      <c r="E473" s="1"/>
      <c r="F473" s="2"/>
    </row>
    <row r="474" spans="1:12" outlineLevel="1">
      <c r="A474" s="8"/>
      <c r="B474" s="1"/>
      <c r="C474" s="1"/>
      <c r="D474" s="1"/>
      <c r="E474" s="1"/>
      <c r="F474" s="2"/>
    </row>
    <row r="475" spans="1:12" outlineLevel="1">
      <c r="A475" s="8"/>
      <c r="B475" s="1"/>
      <c r="C475" s="1"/>
      <c r="D475" s="1"/>
      <c r="E475" s="1"/>
      <c r="F475" s="2"/>
    </row>
    <row r="476" spans="1:12" outlineLevel="1">
      <c r="A476" s="8"/>
      <c r="B476" s="1"/>
      <c r="C476" s="1"/>
      <c r="D476" s="1"/>
      <c r="E476" s="1"/>
      <c r="F476" s="2"/>
    </row>
    <row r="477" spans="1:12" outlineLevel="1">
      <c r="A477" s="8"/>
      <c r="B477" s="1"/>
      <c r="C477" s="1"/>
      <c r="D477" s="1"/>
      <c r="E477" s="1"/>
      <c r="F477" s="2"/>
    </row>
    <row r="478" spans="1:12" outlineLevel="1">
      <c r="A478" s="8"/>
      <c r="B478" s="1"/>
      <c r="C478" s="1"/>
      <c r="D478" s="1"/>
      <c r="E478" s="1"/>
      <c r="F478" s="2"/>
    </row>
    <row r="479" spans="1:12" ht="15.75" outlineLevel="1" thickBot="1">
      <c r="A479" s="9"/>
      <c r="B479" s="3"/>
      <c r="C479" s="3"/>
      <c r="D479" s="3"/>
      <c r="E479" s="3"/>
      <c r="F479" s="4"/>
    </row>
    <row r="480" spans="1:12" ht="16.5" thickTop="1" thickBot="1"/>
    <row r="481" spans="1:11" ht="15.75" thickTop="1">
      <c r="A481" s="3782" t="s">
        <v>0</v>
      </c>
      <c r="B481" s="3781" t="s">
        <v>1</v>
      </c>
      <c r="C481" s="3781" t="s">
        <v>2</v>
      </c>
      <c r="D481" s="3781" t="s">
        <v>3</v>
      </c>
      <c r="E481" s="3781" t="s">
        <v>4</v>
      </c>
      <c r="F481" s="3765" t="s">
        <v>5</v>
      </c>
    </row>
    <row r="482" spans="1:11" ht="24.75" customHeight="1" thickBot="1">
      <c r="A482" s="3783"/>
      <c r="B482" s="3767"/>
      <c r="C482" s="3767"/>
      <c r="D482" s="3767"/>
      <c r="E482" s="3767"/>
      <c r="F482" s="3766"/>
    </row>
    <row r="483" spans="1:11" ht="15.75" outlineLevel="1" thickTop="1">
      <c r="A483" s="10" t="s">
        <v>649</v>
      </c>
      <c r="B483" s="5" t="s">
        <v>285</v>
      </c>
      <c r="C483" s="5" t="s">
        <v>327</v>
      </c>
      <c r="D483" s="5" t="s">
        <v>360</v>
      </c>
      <c r="E483" s="11">
        <v>7.0000000000000007E-2</v>
      </c>
      <c r="F483" s="6">
        <v>160467</v>
      </c>
      <c r="G483">
        <v>664</v>
      </c>
      <c r="H483">
        <f>F483*G483</f>
        <v>106550088</v>
      </c>
      <c r="J483">
        <f>G483*I483</f>
        <v>0</v>
      </c>
      <c r="K483">
        <f>J483-H483</f>
        <v>-106550088</v>
      </c>
    </row>
    <row r="484" spans="1:11" outlineLevel="1">
      <c r="A484" s="8"/>
      <c r="B484" s="1"/>
      <c r="C484" s="1" t="s">
        <v>326</v>
      </c>
      <c r="D484" s="1"/>
      <c r="E484" s="11">
        <v>7.0000000000000007E-2</v>
      </c>
      <c r="F484" s="2">
        <v>160467</v>
      </c>
      <c r="K484">
        <f>K483*1.1</f>
        <v>-117205096.80000001</v>
      </c>
    </row>
    <row r="485" spans="1:11" outlineLevel="1">
      <c r="A485" s="8"/>
      <c r="B485" s="1"/>
      <c r="C485" s="1" t="s">
        <v>328</v>
      </c>
      <c r="D485" s="1"/>
      <c r="E485" s="11">
        <v>7.0000000000000007E-2</v>
      </c>
      <c r="F485" s="2">
        <v>160467</v>
      </c>
    </row>
    <row r="486" spans="1:11" outlineLevel="1">
      <c r="A486" s="8"/>
      <c r="B486" s="1"/>
      <c r="C486" s="1"/>
      <c r="D486" s="1"/>
      <c r="E486" s="1"/>
      <c r="F486" s="2"/>
    </row>
    <row r="487" spans="1:11" outlineLevel="1">
      <c r="A487" s="8"/>
      <c r="B487" s="1"/>
      <c r="C487" s="1"/>
      <c r="D487" s="1"/>
      <c r="E487" s="1"/>
      <c r="F487" s="2"/>
    </row>
    <row r="488" spans="1:11" outlineLevel="1">
      <c r="A488" s="8"/>
      <c r="B488" s="1"/>
      <c r="C488" s="1"/>
      <c r="D488" s="1"/>
      <c r="E488" s="1"/>
      <c r="F488" s="2"/>
    </row>
    <row r="489" spans="1:11" outlineLevel="1">
      <c r="A489" s="8"/>
      <c r="B489" s="1"/>
      <c r="C489" s="1"/>
      <c r="D489" s="1"/>
      <c r="E489" s="1"/>
      <c r="F489" s="2"/>
    </row>
    <row r="490" spans="1:11" outlineLevel="1">
      <c r="A490" s="8"/>
      <c r="B490" s="1"/>
      <c r="C490" s="1"/>
      <c r="D490" s="1"/>
      <c r="E490" s="1"/>
      <c r="F490" s="2"/>
    </row>
    <row r="491" spans="1:11" outlineLevel="1">
      <c r="A491" s="8"/>
      <c r="B491" s="1"/>
      <c r="C491" s="1"/>
      <c r="D491" s="1"/>
      <c r="E491" s="1"/>
      <c r="F491" s="2"/>
    </row>
    <row r="492" spans="1:11" outlineLevel="1">
      <c r="A492" s="8"/>
      <c r="B492" s="1"/>
      <c r="C492" s="1"/>
      <c r="D492" s="1"/>
      <c r="E492" s="1"/>
      <c r="F492" s="2"/>
    </row>
    <row r="493" spans="1:11" outlineLevel="1">
      <c r="A493" s="8"/>
      <c r="B493" s="1"/>
      <c r="C493" s="1"/>
      <c r="D493" s="1"/>
      <c r="E493" s="1"/>
      <c r="F493" s="2"/>
    </row>
    <row r="494" spans="1:11" ht="15.75" outlineLevel="1" thickBot="1">
      <c r="A494" s="9"/>
      <c r="B494" s="3"/>
      <c r="C494" s="3"/>
      <c r="D494" s="3"/>
      <c r="E494" s="3"/>
      <c r="F494" s="4"/>
    </row>
    <row r="495" spans="1:11" ht="16.5" thickTop="1" thickBot="1"/>
    <row r="496" spans="1:11" ht="15.75" thickTop="1">
      <c r="A496" s="3782" t="s">
        <v>0</v>
      </c>
      <c r="B496" s="3781" t="s">
        <v>1</v>
      </c>
      <c r="C496" s="3781" t="s">
        <v>2</v>
      </c>
      <c r="D496" s="3781" t="s">
        <v>3</v>
      </c>
      <c r="E496" s="3781" t="s">
        <v>4</v>
      </c>
      <c r="F496" s="3765" t="s">
        <v>5</v>
      </c>
    </row>
    <row r="497" spans="1:12" ht="24.75" customHeight="1" thickBot="1">
      <c r="A497" s="3783"/>
      <c r="B497" s="3767"/>
      <c r="C497" s="3767"/>
      <c r="D497" s="3767"/>
      <c r="E497" s="3767"/>
      <c r="F497" s="3766"/>
    </row>
    <row r="498" spans="1:12" ht="15.75" outlineLevel="1" thickTop="1">
      <c r="A498" s="10" t="s">
        <v>676</v>
      </c>
      <c r="B498" s="5" t="s">
        <v>202</v>
      </c>
      <c r="C498" s="5" t="s">
        <v>51</v>
      </c>
      <c r="D498" s="5" t="s">
        <v>360</v>
      </c>
      <c r="E498" s="11">
        <v>0.17</v>
      </c>
      <c r="F498" s="6">
        <v>8591</v>
      </c>
      <c r="G498">
        <v>5010</v>
      </c>
      <c r="H498">
        <f>F498*G498</f>
        <v>43040910</v>
      </c>
      <c r="J498">
        <f>I498*G498</f>
        <v>0</v>
      </c>
      <c r="K498">
        <f>J498-H498</f>
        <v>-43040910</v>
      </c>
      <c r="L498">
        <f>K498*1.2</f>
        <v>-51649092</v>
      </c>
    </row>
    <row r="499" spans="1:12" outlineLevel="1">
      <c r="A499" s="8"/>
      <c r="B499" s="1"/>
      <c r="C499" s="1" t="s">
        <v>52</v>
      </c>
      <c r="D499" s="1"/>
      <c r="E499" s="11">
        <v>0.17</v>
      </c>
      <c r="F499" s="2">
        <v>8591</v>
      </c>
    </row>
    <row r="500" spans="1:12" outlineLevel="1">
      <c r="A500" s="8"/>
      <c r="B500" s="1"/>
      <c r="C500" s="1"/>
      <c r="D500" s="1"/>
      <c r="E500" s="1"/>
      <c r="F500" s="2"/>
    </row>
    <row r="501" spans="1:12" outlineLevel="1">
      <c r="A501" s="8"/>
      <c r="B501" s="1"/>
      <c r="C501" s="1"/>
      <c r="D501" s="1"/>
      <c r="E501" s="1"/>
      <c r="F501" s="2"/>
    </row>
    <row r="502" spans="1:12" outlineLevel="1">
      <c r="A502" s="8"/>
      <c r="B502" s="1"/>
      <c r="C502" s="1"/>
      <c r="D502" s="1"/>
      <c r="E502" s="1"/>
      <c r="F502" s="2"/>
    </row>
    <row r="503" spans="1:12" outlineLevel="1">
      <c r="A503" s="8"/>
      <c r="B503" s="1"/>
      <c r="C503" s="1"/>
      <c r="D503" s="1"/>
      <c r="E503" s="1"/>
      <c r="F503" s="2"/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ht="15.75" outlineLevel="1" thickBot="1">
      <c r="A509" s="9"/>
      <c r="B509" s="3"/>
      <c r="C509" s="3"/>
      <c r="D509" s="3"/>
      <c r="E509" s="3"/>
      <c r="F509" s="4"/>
    </row>
    <row r="510" spans="1:12" ht="16.5" thickTop="1" thickBot="1"/>
    <row r="511" spans="1:12" ht="15.75" thickTop="1">
      <c r="A511" s="3782" t="s">
        <v>0</v>
      </c>
      <c r="B511" s="3781" t="s">
        <v>1</v>
      </c>
      <c r="C511" s="3781" t="s">
        <v>2</v>
      </c>
      <c r="D511" s="3781" t="s">
        <v>3</v>
      </c>
      <c r="E511" s="3781" t="s">
        <v>4</v>
      </c>
      <c r="F511" s="3765" t="s">
        <v>5</v>
      </c>
    </row>
    <row r="512" spans="1:12" ht="24.75" customHeight="1" thickBot="1">
      <c r="A512" s="3783"/>
      <c r="B512" s="3767"/>
      <c r="C512" s="3767"/>
      <c r="D512" s="3767"/>
      <c r="E512" s="3767"/>
      <c r="F512" s="3766"/>
    </row>
    <row r="513" spans="1:12" ht="15.75" outlineLevel="1" thickTop="1">
      <c r="A513" s="7" t="s">
        <v>697</v>
      </c>
      <c r="B513" s="191" t="s">
        <v>265</v>
      </c>
      <c r="C513" s="5" t="s">
        <v>231</v>
      </c>
      <c r="D513" s="5" t="s">
        <v>262</v>
      </c>
      <c r="E513" s="11">
        <v>0.15</v>
      </c>
      <c r="F513" s="6">
        <v>8139</v>
      </c>
      <c r="G513">
        <v>16152</v>
      </c>
      <c r="H513">
        <f>F513*G513</f>
        <v>131461128</v>
      </c>
      <c r="J513">
        <f>G513*I513</f>
        <v>0</v>
      </c>
      <c r="K513">
        <f>J513-H513</f>
        <v>-131461128</v>
      </c>
      <c r="L513">
        <f>K513*1.2</f>
        <v>-157753353.59999999</v>
      </c>
    </row>
    <row r="514" spans="1:12" outlineLevel="1">
      <c r="A514" s="8"/>
      <c r="B514" s="1" t="s">
        <v>395</v>
      </c>
      <c r="C514" s="1"/>
      <c r="D514" s="1"/>
      <c r="E514" s="1"/>
      <c r="F514" s="2"/>
      <c r="H514">
        <f>F513*1.2</f>
        <v>9766.7999999999993</v>
      </c>
    </row>
    <row r="515" spans="1:12" outlineLevel="1">
      <c r="A515" s="8"/>
      <c r="B515" s="31" t="s">
        <v>264</v>
      </c>
      <c r="C515" s="1"/>
      <c r="D515" s="1"/>
      <c r="E515" s="1"/>
      <c r="F515" s="2"/>
    </row>
    <row r="516" spans="1:12" outlineLevel="1">
      <c r="A516" s="8"/>
      <c r="B516" s="31" t="s">
        <v>266</v>
      </c>
      <c r="C516" s="1"/>
      <c r="D516" s="1"/>
      <c r="E516" s="1"/>
      <c r="F516" s="2"/>
    </row>
    <row r="517" spans="1:12" outlineLevel="1">
      <c r="A517" s="8"/>
      <c r="B517" s="1" t="s">
        <v>269</v>
      </c>
      <c r="C517" s="1"/>
      <c r="D517" s="1"/>
      <c r="E517" s="1"/>
      <c r="F517" s="2"/>
    </row>
    <row r="518" spans="1:12" outlineLevel="1">
      <c r="A518" s="8"/>
      <c r="B518" s="1" t="s">
        <v>267</v>
      </c>
      <c r="C518" s="1"/>
      <c r="D518" s="1"/>
      <c r="E518" s="1"/>
      <c r="F518" s="2"/>
    </row>
    <row r="519" spans="1:12" outlineLevel="1">
      <c r="A519" s="8"/>
      <c r="B519" s="1" t="s">
        <v>268</v>
      </c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ht="15.75" outlineLevel="1" thickBot="1">
      <c r="A524" s="9"/>
      <c r="B524" s="3"/>
      <c r="C524" s="3"/>
      <c r="D524" s="3"/>
      <c r="E524" s="3"/>
      <c r="F524" s="4"/>
    </row>
    <row r="525" spans="1:12" ht="16.5" thickTop="1" thickBot="1"/>
    <row r="526" spans="1:12" ht="15.75" thickTop="1">
      <c r="A526" s="3782" t="s">
        <v>0</v>
      </c>
      <c r="B526" s="3781" t="s">
        <v>1</v>
      </c>
      <c r="C526" s="3781" t="s">
        <v>2</v>
      </c>
      <c r="D526" s="3781" t="s">
        <v>3</v>
      </c>
      <c r="E526" s="3781" t="s">
        <v>4</v>
      </c>
      <c r="F526" s="3765" t="s">
        <v>5</v>
      </c>
    </row>
    <row r="527" spans="1:12" ht="24.75" customHeight="1" thickBot="1">
      <c r="A527" s="3783"/>
      <c r="B527" s="3767"/>
      <c r="C527" s="3767"/>
      <c r="D527" s="3767"/>
      <c r="E527" s="3767"/>
      <c r="F527" s="3766"/>
    </row>
    <row r="528" spans="1:12" ht="15.75" outlineLevel="1" thickTop="1">
      <c r="A528" s="7" t="s">
        <v>702</v>
      </c>
      <c r="B528" s="5" t="s">
        <v>410</v>
      </c>
      <c r="C528" s="5" t="s">
        <v>703</v>
      </c>
      <c r="D528" s="5" t="s">
        <v>343</v>
      </c>
      <c r="E528" s="11">
        <v>0.1</v>
      </c>
      <c r="F528" s="6">
        <v>8640</v>
      </c>
      <c r="G528">
        <v>150</v>
      </c>
      <c r="H528">
        <f>F528*G528</f>
        <v>1296000</v>
      </c>
      <c r="J528">
        <f>G528*I528</f>
        <v>0</v>
      </c>
      <c r="K528">
        <f>J528-H528</f>
        <v>-1296000</v>
      </c>
      <c r="L528">
        <f>K528*1.2</f>
        <v>-1555200</v>
      </c>
    </row>
    <row r="529" spans="1:12" outlineLevel="1">
      <c r="A529" s="8"/>
      <c r="B529" s="32" t="s">
        <v>711</v>
      </c>
      <c r="C529" s="1"/>
      <c r="D529" s="1"/>
      <c r="E529" s="1"/>
      <c r="F529" s="2"/>
    </row>
    <row r="530" spans="1:12" outlineLevel="1">
      <c r="A530" s="8"/>
      <c r="B530" s="1"/>
      <c r="C530" s="1"/>
      <c r="D530" s="1"/>
      <c r="E530" s="1"/>
      <c r="F530" s="2"/>
    </row>
    <row r="531" spans="1:12" outlineLevel="1">
      <c r="A531" s="8"/>
      <c r="B531" s="1"/>
      <c r="C531" s="1"/>
      <c r="D531" s="1"/>
      <c r="E531" s="1"/>
      <c r="F531" s="2"/>
    </row>
    <row r="532" spans="1:12" outlineLevel="1">
      <c r="A532" s="8"/>
      <c r="B532" s="1"/>
      <c r="C532" s="1"/>
      <c r="D532" s="1"/>
      <c r="E532" s="1"/>
      <c r="F532" s="2"/>
    </row>
    <row r="533" spans="1:12" outlineLevel="1">
      <c r="A533" s="8"/>
      <c r="B533" s="1"/>
      <c r="C533" s="1"/>
      <c r="D533" s="1"/>
      <c r="E533" s="1"/>
      <c r="F533" s="2"/>
    </row>
    <row r="534" spans="1:12" outlineLevel="1">
      <c r="A534" s="8"/>
      <c r="B534" s="1"/>
      <c r="C534" s="1"/>
      <c r="D534" s="1"/>
      <c r="E534" s="1"/>
      <c r="F534" s="2"/>
    </row>
    <row r="535" spans="1:12" outlineLevel="1">
      <c r="A535" s="8"/>
      <c r="B535" s="1"/>
      <c r="C535" s="1"/>
      <c r="D535" s="1"/>
      <c r="E535" s="1"/>
      <c r="F535" s="2"/>
    </row>
    <row r="536" spans="1:12" outlineLevel="1">
      <c r="A536" s="8"/>
      <c r="B536" s="1"/>
      <c r="C536" s="1"/>
      <c r="D536" s="1"/>
      <c r="E536" s="1"/>
      <c r="F536" s="2"/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ht="15.75" outlineLevel="1" thickBot="1">
      <c r="A539" s="9"/>
      <c r="B539" s="3"/>
      <c r="C539" s="3"/>
      <c r="D539" s="3"/>
      <c r="E539" s="3"/>
      <c r="F539" s="4"/>
    </row>
    <row r="540" spans="1:12" ht="16.5" thickTop="1" thickBot="1"/>
    <row r="541" spans="1:12" ht="15.75" thickTop="1">
      <c r="A541" s="3782" t="s">
        <v>0</v>
      </c>
      <c r="B541" s="3781" t="s">
        <v>1</v>
      </c>
      <c r="C541" s="3781" t="s">
        <v>2</v>
      </c>
      <c r="D541" s="3781" t="s">
        <v>3</v>
      </c>
      <c r="E541" s="3781" t="s">
        <v>4</v>
      </c>
      <c r="F541" s="3765" t="s">
        <v>5</v>
      </c>
    </row>
    <row r="542" spans="1:12" ht="24.75" customHeight="1" thickBot="1">
      <c r="A542" s="3783"/>
      <c r="B542" s="3767"/>
      <c r="C542" s="3767"/>
      <c r="D542" s="3767"/>
      <c r="E542" s="3767"/>
      <c r="F542" s="3766"/>
    </row>
    <row r="543" spans="1:12" ht="15.75" outlineLevel="1" thickTop="1">
      <c r="A543" s="7" t="s">
        <v>704</v>
      </c>
      <c r="B543" s="191" t="s">
        <v>120</v>
      </c>
      <c r="C543" s="5" t="s">
        <v>626</v>
      </c>
      <c r="D543" s="5" t="s">
        <v>237</v>
      </c>
      <c r="E543" s="11">
        <v>0.1</v>
      </c>
      <c r="F543" s="6">
        <v>1622</v>
      </c>
      <c r="G543">
        <v>4450</v>
      </c>
      <c r="H543">
        <f>F543*G543</f>
        <v>7217900</v>
      </c>
      <c r="J543">
        <f>G543*I543</f>
        <v>0</v>
      </c>
      <c r="K543">
        <f>J543-H543</f>
        <v>-7217900</v>
      </c>
      <c r="L543">
        <f>K543*1.2</f>
        <v>-8661480</v>
      </c>
    </row>
    <row r="544" spans="1:12" outlineLevel="1">
      <c r="A544" s="8"/>
      <c r="B544" s="31" t="s">
        <v>121</v>
      </c>
      <c r="C544" s="1" t="s">
        <v>705</v>
      </c>
      <c r="D544" s="1"/>
      <c r="E544" s="11">
        <v>0.1</v>
      </c>
      <c r="F544" s="2">
        <v>1622</v>
      </c>
      <c r="G544">
        <f>F544*1.2</f>
        <v>1946.3999999999999</v>
      </c>
    </row>
    <row r="545" spans="1:12" outlineLevel="1">
      <c r="A545" s="8"/>
      <c r="B545" s="31" t="s">
        <v>123</v>
      </c>
      <c r="C545" s="1" t="s">
        <v>627</v>
      </c>
      <c r="D545" s="1"/>
      <c r="E545" s="11">
        <v>0.1</v>
      </c>
      <c r="F545" s="2">
        <v>1622</v>
      </c>
    </row>
    <row r="546" spans="1:12" outlineLevel="1">
      <c r="A546" s="8"/>
      <c r="B546" s="31" t="s">
        <v>122</v>
      </c>
      <c r="C546" s="1" t="s">
        <v>628</v>
      </c>
      <c r="D546" s="1"/>
      <c r="E546" s="11">
        <v>0.1</v>
      </c>
      <c r="F546" s="2">
        <v>1622</v>
      </c>
    </row>
    <row r="547" spans="1:12" outlineLevel="1">
      <c r="A547" s="8"/>
      <c r="B547" s="1"/>
      <c r="C547" s="1" t="s">
        <v>706</v>
      </c>
      <c r="D547" s="1"/>
      <c r="E547" s="11">
        <v>0.1</v>
      </c>
      <c r="F547" s="2">
        <v>1622</v>
      </c>
    </row>
    <row r="548" spans="1:12" outlineLevel="1">
      <c r="A548" s="8"/>
      <c r="B548" s="1"/>
      <c r="C548" s="1" t="s">
        <v>707</v>
      </c>
      <c r="D548" s="1"/>
      <c r="E548" s="11">
        <v>0.1</v>
      </c>
      <c r="F548" s="2">
        <v>1622</v>
      </c>
    </row>
    <row r="549" spans="1:12" outlineLevel="1">
      <c r="A549" s="8"/>
      <c r="B549" s="1"/>
      <c r="C549" s="1" t="s">
        <v>708</v>
      </c>
      <c r="D549" s="1"/>
      <c r="E549" s="11">
        <v>0.1</v>
      </c>
      <c r="F549" s="2">
        <v>1622</v>
      </c>
    </row>
    <row r="550" spans="1:12" outlineLevel="1">
      <c r="A550" s="8"/>
      <c r="B550" s="1"/>
      <c r="C550" s="1" t="s">
        <v>709</v>
      </c>
      <c r="D550" s="1"/>
      <c r="E550" s="11">
        <v>0.1</v>
      </c>
      <c r="F550" s="2">
        <v>1622</v>
      </c>
    </row>
    <row r="551" spans="1:12" outlineLevel="1">
      <c r="A551" s="8"/>
      <c r="B551" s="1"/>
      <c r="C551" s="1" t="s">
        <v>160</v>
      </c>
      <c r="D551" s="1"/>
      <c r="E551" s="11">
        <v>0.1</v>
      </c>
      <c r="F551" s="2">
        <v>135409</v>
      </c>
      <c r="G551">
        <v>151</v>
      </c>
      <c r="H551">
        <f>F551*G551</f>
        <v>20446759</v>
      </c>
      <c r="J551">
        <f>G551*I551</f>
        <v>0</v>
      </c>
      <c r="K551">
        <f>J551-H551</f>
        <v>-20446759</v>
      </c>
      <c r="L551">
        <f>K551*1.1</f>
        <v>-22491434.900000002</v>
      </c>
    </row>
    <row r="552" spans="1:12" outlineLevel="1">
      <c r="A552" s="8"/>
      <c r="B552" s="1"/>
      <c r="C552" s="1" t="s">
        <v>113</v>
      </c>
      <c r="D552" s="1"/>
      <c r="E552" s="11">
        <v>0.1</v>
      </c>
      <c r="F552" s="2">
        <v>135409</v>
      </c>
      <c r="H552">
        <f>H551*1.1</f>
        <v>22491434.900000002</v>
      </c>
      <c r="J552">
        <f>J551*1.1</f>
        <v>0</v>
      </c>
    </row>
    <row r="553" spans="1:12" outlineLevel="1">
      <c r="A553" s="8"/>
      <c r="B553" s="1"/>
      <c r="C553" s="1" t="s">
        <v>643</v>
      </c>
      <c r="D553" s="1"/>
      <c r="E553" s="11">
        <v>0.1</v>
      </c>
      <c r="F553" s="2">
        <v>135409</v>
      </c>
    </row>
    <row r="554" spans="1:12" ht="15.75" outlineLevel="1" thickBot="1">
      <c r="A554" s="9"/>
      <c r="B554" s="3"/>
      <c r="C554" s="3" t="s">
        <v>161</v>
      </c>
      <c r="D554" s="3"/>
      <c r="E554" s="11">
        <v>0.1</v>
      </c>
      <c r="F554" s="2">
        <v>135409</v>
      </c>
    </row>
    <row r="555" spans="1:12" ht="16.5" thickTop="1" thickBot="1"/>
    <row r="556" spans="1:12" ht="15.75" thickTop="1">
      <c r="A556" s="3782" t="s">
        <v>0</v>
      </c>
      <c r="B556" s="3781" t="s">
        <v>1</v>
      </c>
      <c r="C556" s="3781" t="s">
        <v>2</v>
      </c>
      <c r="D556" s="3781" t="s">
        <v>3</v>
      </c>
      <c r="E556" s="3781" t="s">
        <v>4</v>
      </c>
      <c r="F556" s="3765" t="s">
        <v>5</v>
      </c>
    </row>
    <row r="557" spans="1:12" ht="24.75" customHeight="1" thickBot="1">
      <c r="A557" s="3783"/>
      <c r="B557" s="3767"/>
      <c r="C557" s="3767"/>
      <c r="D557" s="3767"/>
      <c r="E557" s="3767"/>
      <c r="F557" s="3766"/>
    </row>
    <row r="558" spans="1:12" ht="15.75" outlineLevel="1" thickTop="1">
      <c r="A558" s="7" t="s">
        <v>710</v>
      </c>
      <c r="B558" s="298" t="s">
        <v>409</v>
      </c>
      <c r="C558" s="5" t="s">
        <v>51</v>
      </c>
      <c r="D558" s="5" t="s">
        <v>343</v>
      </c>
      <c r="E558" s="11">
        <v>0.15</v>
      </c>
      <c r="F558" s="6">
        <v>9013</v>
      </c>
      <c r="G558">
        <v>2025</v>
      </c>
      <c r="H558">
        <f>F558*G558</f>
        <v>18251325</v>
      </c>
      <c r="J558">
        <f>G558*I558</f>
        <v>0</v>
      </c>
      <c r="K558">
        <f>J558-H558</f>
        <v>-18251325</v>
      </c>
      <c r="L558">
        <f>K558*1.2</f>
        <v>-21901590</v>
      </c>
    </row>
    <row r="559" spans="1:12" outlineLevel="1">
      <c r="A559" s="8"/>
      <c r="B559" s="81" t="s">
        <v>392</v>
      </c>
      <c r="C559" s="1" t="s">
        <v>52</v>
      </c>
      <c r="D559" s="5"/>
      <c r="E559" s="11">
        <v>0.15</v>
      </c>
      <c r="F559" s="2">
        <v>9013</v>
      </c>
    </row>
    <row r="560" spans="1:12" outlineLevel="1">
      <c r="A560" s="8"/>
      <c r="B560" s="81" t="s">
        <v>534</v>
      </c>
      <c r="C560" s="1"/>
      <c r="D560" s="1"/>
      <c r="E560" s="1"/>
      <c r="F560" s="2"/>
    </row>
    <row r="561" spans="1:12" outlineLevel="1">
      <c r="A561" s="8"/>
      <c r="B561" s="1" t="s">
        <v>535</v>
      </c>
      <c r="C561" s="1"/>
      <c r="D561" s="1"/>
      <c r="E561" s="1"/>
      <c r="F561" s="2"/>
    </row>
    <row r="562" spans="1:12" outlineLevel="1">
      <c r="A562" s="8"/>
      <c r="B562" s="1"/>
      <c r="C562" s="1"/>
      <c r="D562" s="1"/>
      <c r="E562" s="1"/>
      <c r="F562" s="2"/>
    </row>
    <row r="563" spans="1:12" outlineLevel="1">
      <c r="A563" s="8"/>
      <c r="B563" s="1"/>
      <c r="C563" s="1"/>
      <c r="D563" s="1"/>
      <c r="E563" s="1"/>
      <c r="F563" s="2"/>
    </row>
    <row r="564" spans="1:12" outlineLevel="1">
      <c r="A564" s="8"/>
      <c r="B564" s="1"/>
      <c r="C564" s="1"/>
      <c r="D564" s="1"/>
      <c r="E564" s="1"/>
      <c r="F564" s="2"/>
    </row>
    <row r="565" spans="1:12" outlineLevel="1">
      <c r="A565" s="8"/>
      <c r="B565" s="1"/>
      <c r="C565" s="1"/>
      <c r="D565" s="1"/>
      <c r="E565" s="1"/>
      <c r="F565" s="2"/>
    </row>
    <row r="566" spans="1:12" outlineLevel="1">
      <c r="A566" s="8"/>
      <c r="B566" s="1"/>
      <c r="C566" s="1"/>
      <c r="D566" s="1"/>
      <c r="E566" s="1"/>
      <c r="F566" s="2"/>
    </row>
    <row r="567" spans="1:12" outlineLevel="1">
      <c r="A567" s="8"/>
      <c r="B567" s="1"/>
      <c r="C567" s="1"/>
      <c r="D567" s="1"/>
      <c r="E567" s="1"/>
      <c r="F567" s="2"/>
    </row>
    <row r="568" spans="1:12" outlineLevel="1">
      <c r="A568" s="8"/>
      <c r="B568" s="1"/>
      <c r="C568" s="1"/>
      <c r="D568" s="1"/>
      <c r="E568" s="1"/>
      <c r="F568" s="2"/>
    </row>
    <row r="569" spans="1:12" ht="15.75" outlineLevel="1" thickBot="1">
      <c r="A569" s="9"/>
      <c r="B569" s="3"/>
      <c r="C569" s="3"/>
      <c r="D569" s="3"/>
      <c r="E569" s="3"/>
      <c r="F569" s="4"/>
    </row>
    <row r="570" spans="1:12" ht="16.5" thickTop="1" thickBot="1"/>
    <row r="571" spans="1:12" ht="15.75" thickTop="1">
      <c r="A571" s="3782" t="s">
        <v>0</v>
      </c>
      <c r="B571" s="3781" t="s">
        <v>1</v>
      </c>
      <c r="C571" s="3781" t="s">
        <v>2</v>
      </c>
      <c r="D571" s="3781" t="s">
        <v>3</v>
      </c>
      <c r="E571" s="3781" t="s">
        <v>4</v>
      </c>
      <c r="F571" s="3765" t="s">
        <v>5</v>
      </c>
    </row>
    <row r="572" spans="1:12" ht="24.75" customHeight="1" thickBot="1">
      <c r="A572" s="3783"/>
      <c r="B572" s="3767"/>
      <c r="C572" s="3767"/>
      <c r="D572" s="3767"/>
      <c r="E572" s="3767"/>
      <c r="F572" s="3766"/>
    </row>
    <row r="573" spans="1:12" ht="15.75" outlineLevel="1" thickTop="1">
      <c r="A573" s="7" t="s">
        <v>729</v>
      </c>
      <c r="B573" s="5" t="s">
        <v>342</v>
      </c>
      <c r="C573" s="5" t="s">
        <v>160</v>
      </c>
      <c r="D573" s="5" t="s">
        <v>343</v>
      </c>
      <c r="E573" s="11">
        <v>0.1</v>
      </c>
      <c r="F573" s="6">
        <v>135409</v>
      </c>
      <c r="G573">
        <v>1500</v>
      </c>
      <c r="H573">
        <f>F573*G573</f>
        <v>203113500</v>
      </c>
      <c r="J573">
        <f>G573*I573</f>
        <v>0</v>
      </c>
      <c r="K573">
        <f>J573-H573</f>
        <v>-203113500</v>
      </c>
      <c r="L573">
        <f>K573*1.1</f>
        <v>-223424850.00000003</v>
      </c>
    </row>
    <row r="574" spans="1:12" outlineLevel="1">
      <c r="A574" s="8"/>
      <c r="B574" s="1"/>
      <c r="C574" s="1" t="s">
        <v>113</v>
      </c>
      <c r="D574" s="5" t="s">
        <v>343</v>
      </c>
      <c r="E574" s="11">
        <v>0.1</v>
      </c>
      <c r="F574" s="6">
        <v>135409</v>
      </c>
      <c r="H574">
        <f>H573*1.1</f>
        <v>223424850.00000003</v>
      </c>
      <c r="J574">
        <f>J573*1.1</f>
        <v>0</v>
      </c>
    </row>
    <row r="575" spans="1:12" outlineLevel="1">
      <c r="A575" s="8"/>
      <c r="B575" s="1"/>
      <c r="C575" s="1" t="s">
        <v>161</v>
      </c>
      <c r="D575" s="5" t="s">
        <v>343</v>
      </c>
      <c r="E575" s="11">
        <v>0.1</v>
      </c>
      <c r="F575" s="6">
        <v>135409</v>
      </c>
    </row>
    <row r="576" spans="1:12" outlineLevel="1">
      <c r="A576" s="8"/>
      <c r="B576" s="1"/>
      <c r="C576" s="1"/>
      <c r="D576" s="1"/>
      <c r="E576" s="1"/>
      <c r="F576" s="2"/>
    </row>
    <row r="577" spans="1:6" outlineLevel="1">
      <c r="A577" s="8"/>
      <c r="B577" s="1"/>
      <c r="C577" s="1"/>
      <c r="D577" s="1"/>
      <c r="E577" s="1"/>
      <c r="F577" s="2"/>
    </row>
    <row r="578" spans="1:6" outlineLevel="1">
      <c r="A578" s="8"/>
      <c r="B578" s="1"/>
      <c r="C578" s="1"/>
      <c r="D578" s="1"/>
      <c r="E578" s="1"/>
      <c r="F578" s="2"/>
    </row>
    <row r="579" spans="1:6" outlineLevel="1">
      <c r="A579" s="8"/>
      <c r="B579" s="1"/>
      <c r="C579" s="1"/>
      <c r="D579" s="1"/>
      <c r="E579" s="1"/>
      <c r="F579" s="2"/>
    </row>
    <row r="580" spans="1:6" outlineLevel="1">
      <c r="A580" s="8"/>
      <c r="B580" s="1"/>
      <c r="C580" s="1"/>
      <c r="D580" s="1"/>
      <c r="E580" s="1"/>
      <c r="F580" s="2"/>
    </row>
    <row r="581" spans="1:6" outlineLevel="1">
      <c r="A581" s="8"/>
      <c r="B581" s="1"/>
      <c r="C581" s="1"/>
      <c r="D581" s="1"/>
      <c r="E581" s="1"/>
      <c r="F581" s="2"/>
    </row>
    <row r="582" spans="1:6" outlineLevel="1">
      <c r="A582" s="8"/>
      <c r="B582" s="1"/>
      <c r="C582" s="1"/>
      <c r="D582" s="1"/>
      <c r="E582" s="1"/>
      <c r="F582" s="2"/>
    </row>
    <row r="583" spans="1:6" outlineLevel="1">
      <c r="A583" s="8"/>
      <c r="B583" s="1"/>
      <c r="C583" s="1"/>
      <c r="D583" s="1"/>
      <c r="E583" s="1"/>
      <c r="F583" s="2"/>
    </row>
    <row r="584" spans="1:6" ht="15.75" outlineLevel="1" thickBot="1">
      <c r="A584" s="9"/>
      <c r="B584" s="3"/>
      <c r="C584" s="3"/>
      <c r="D584" s="3"/>
      <c r="E584" s="3"/>
      <c r="F584" s="4"/>
    </row>
    <row r="585" spans="1:6" ht="16.5" thickTop="1" thickBot="1"/>
    <row r="586" spans="1:6" ht="15.75" thickTop="1">
      <c r="A586" s="3782" t="s">
        <v>0</v>
      </c>
      <c r="B586" s="3781" t="s">
        <v>1</v>
      </c>
      <c r="C586" s="3781" t="s">
        <v>2</v>
      </c>
      <c r="D586" s="3781" t="s">
        <v>3</v>
      </c>
      <c r="E586" s="3781" t="s">
        <v>4</v>
      </c>
      <c r="F586" s="3765" t="s">
        <v>5</v>
      </c>
    </row>
    <row r="587" spans="1:6" ht="24.75" customHeight="1" thickBot="1">
      <c r="A587" s="3783"/>
      <c r="B587" s="3767"/>
      <c r="C587" s="3767"/>
      <c r="D587" s="3767"/>
      <c r="E587" s="3767"/>
      <c r="F587" s="3766"/>
    </row>
    <row r="588" spans="1:6" ht="15.75" outlineLevel="1" thickTop="1">
      <c r="A588" s="7" t="s">
        <v>770</v>
      </c>
      <c r="B588" s="298" t="s">
        <v>409</v>
      </c>
      <c r="C588" s="5" t="s">
        <v>730</v>
      </c>
      <c r="D588" s="5" t="s">
        <v>343</v>
      </c>
      <c r="E588" s="11">
        <v>0.15</v>
      </c>
      <c r="F588" s="6">
        <v>5190</v>
      </c>
    </row>
    <row r="589" spans="1:6" outlineLevel="1">
      <c r="A589" s="8"/>
      <c r="B589" s="81" t="s">
        <v>392</v>
      </c>
      <c r="C589" s="1" t="s">
        <v>636</v>
      </c>
      <c r="D589" s="5" t="s">
        <v>343</v>
      </c>
      <c r="E589" s="11">
        <v>0.15</v>
      </c>
      <c r="F589" s="2">
        <v>6316</v>
      </c>
    </row>
    <row r="590" spans="1:6" outlineLevel="1">
      <c r="A590" s="8"/>
      <c r="B590" s="81" t="s">
        <v>534</v>
      </c>
      <c r="C590" s="1" t="s">
        <v>465</v>
      </c>
      <c r="D590" s="5" t="s">
        <v>343</v>
      </c>
      <c r="E590" s="11">
        <v>0.15</v>
      </c>
      <c r="F590" s="2">
        <v>8463</v>
      </c>
    </row>
    <row r="591" spans="1:6" outlineLevel="1">
      <c r="A591" s="8"/>
      <c r="B591" s="1" t="s">
        <v>535</v>
      </c>
      <c r="C591" s="1"/>
      <c r="D591" s="1"/>
      <c r="E591" s="1"/>
      <c r="F591" s="2"/>
    </row>
    <row r="592" spans="1:6" outlineLevel="1">
      <c r="A592" s="8"/>
      <c r="B592" s="1"/>
      <c r="C592" s="1"/>
      <c r="D592" s="1"/>
      <c r="E592" s="1"/>
      <c r="F592" s="2"/>
    </row>
    <row r="593" spans="1:6" outlineLevel="1">
      <c r="A593" s="8"/>
      <c r="B593" s="1"/>
      <c r="C593" s="1"/>
      <c r="D593" s="1"/>
      <c r="E593" s="1"/>
      <c r="F593" s="2"/>
    </row>
    <row r="594" spans="1:6" outlineLevel="1">
      <c r="A594" s="8"/>
      <c r="B594" s="1"/>
      <c r="C594" s="1"/>
      <c r="D594" s="1"/>
      <c r="E594" s="1"/>
      <c r="F594" s="2"/>
    </row>
    <row r="595" spans="1:6" outlineLevel="1">
      <c r="A595" s="8"/>
      <c r="B595" s="1"/>
      <c r="C595" s="1"/>
      <c r="D595" s="1"/>
      <c r="E595" s="1"/>
      <c r="F595" s="2"/>
    </row>
    <row r="596" spans="1:6" outlineLevel="1">
      <c r="A596" s="8"/>
      <c r="B596" s="1"/>
      <c r="C596" s="1"/>
      <c r="D596" s="1"/>
      <c r="E596" s="1"/>
      <c r="F596" s="2"/>
    </row>
    <row r="597" spans="1:6" outlineLevel="1">
      <c r="A597" s="8"/>
      <c r="B597" s="1"/>
      <c r="C597" s="1"/>
      <c r="D597" s="1"/>
      <c r="E597" s="1"/>
      <c r="F597" s="2"/>
    </row>
    <row r="598" spans="1:6" outlineLevel="1">
      <c r="A598" s="8"/>
      <c r="B598" s="1"/>
      <c r="C598" s="1"/>
      <c r="D598" s="1"/>
      <c r="E598" s="1"/>
      <c r="F598" s="2"/>
    </row>
    <row r="599" spans="1:6" ht="15.75" outlineLevel="1" thickBot="1">
      <c r="A599" s="9"/>
      <c r="B599" s="3"/>
      <c r="C599" s="3"/>
      <c r="D599" s="3"/>
      <c r="E599" s="3"/>
      <c r="F599" s="4"/>
    </row>
    <row r="600" spans="1:6" ht="16.5" thickTop="1" thickBot="1"/>
    <row r="601" spans="1:6" ht="15.75" thickTop="1">
      <c r="A601" s="3782" t="s">
        <v>0</v>
      </c>
      <c r="B601" s="3781" t="s">
        <v>1</v>
      </c>
      <c r="C601" s="3781" t="s">
        <v>2</v>
      </c>
      <c r="D601" s="3781" t="s">
        <v>3</v>
      </c>
      <c r="E601" s="3781" t="s">
        <v>4</v>
      </c>
      <c r="F601" s="3765" t="s">
        <v>5</v>
      </c>
    </row>
    <row r="602" spans="1:6" ht="24.75" customHeight="1" thickBot="1">
      <c r="A602" s="3783"/>
      <c r="B602" s="3767"/>
      <c r="C602" s="3767"/>
      <c r="D602" s="3767"/>
      <c r="E602" s="3767"/>
      <c r="F602" s="3766"/>
    </row>
    <row r="603" spans="1:6" ht="15.75" outlineLevel="1" thickTop="1">
      <c r="A603" s="7" t="s">
        <v>744</v>
      </c>
      <c r="B603" s="191" t="s">
        <v>265</v>
      </c>
      <c r="C603" s="5" t="s">
        <v>239</v>
      </c>
      <c r="D603" s="5" t="s">
        <v>262</v>
      </c>
      <c r="E603" s="11">
        <v>0.16</v>
      </c>
      <c r="F603" s="6">
        <v>48365</v>
      </c>
    </row>
    <row r="604" spans="1:6" outlineLevel="1">
      <c r="A604" s="8"/>
      <c r="B604" s="31" t="s">
        <v>395</v>
      </c>
      <c r="C604" s="1" t="s">
        <v>238</v>
      </c>
      <c r="D604" s="5" t="s">
        <v>262</v>
      </c>
      <c r="E604" s="11">
        <v>0.16</v>
      </c>
      <c r="F604" s="2">
        <v>48365</v>
      </c>
    </row>
    <row r="605" spans="1:6" outlineLevel="1">
      <c r="A605" s="8"/>
      <c r="B605" s="31" t="s">
        <v>264</v>
      </c>
      <c r="C605" s="1"/>
      <c r="D605" s="5"/>
      <c r="E605" s="11"/>
      <c r="F605" s="2"/>
    </row>
    <row r="606" spans="1:6" outlineLevel="1">
      <c r="A606" s="8"/>
      <c r="B606" s="31" t="s">
        <v>266</v>
      </c>
      <c r="C606" s="1"/>
      <c r="D606" s="1"/>
      <c r="E606" s="1"/>
      <c r="F606" s="2"/>
    </row>
    <row r="607" spans="1:6" outlineLevel="1">
      <c r="A607" s="8"/>
      <c r="B607" s="31" t="s">
        <v>269</v>
      </c>
      <c r="C607" s="1"/>
      <c r="D607" s="1"/>
      <c r="E607" s="1"/>
      <c r="F607" s="2"/>
    </row>
    <row r="608" spans="1:6" outlineLevel="1">
      <c r="A608" s="8"/>
      <c r="B608" s="31" t="s">
        <v>267</v>
      </c>
      <c r="C608" s="1"/>
      <c r="D608" s="1"/>
      <c r="E608" s="1"/>
      <c r="F608" s="2"/>
    </row>
    <row r="609" spans="1:12" outlineLevel="1">
      <c r="A609" s="8"/>
      <c r="B609" s="31" t="s">
        <v>268</v>
      </c>
      <c r="C609" s="1"/>
      <c r="D609" s="1"/>
      <c r="E609" s="1"/>
      <c r="F609" s="2"/>
    </row>
    <row r="610" spans="1:12" outlineLevel="1">
      <c r="A610" s="8"/>
      <c r="B610" s="81" t="s">
        <v>743</v>
      </c>
      <c r="C610" s="1"/>
      <c r="D610" s="1"/>
      <c r="E610" s="1"/>
      <c r="F610" s="2"/>
    </row>
    <row r="611" spans="1:12" outlineLevel="1">
      <c r="A611" s="8"/>
      <c r="B611" s="1"/>
      <c r="C611" s="1"/>
      <c r="D611" s="1"/>
      <c r="E611" s="1"/>
      <c r="F611" s="2"/>
    </row>
    <row r="612" spans="1:12" outlineLevel="1">
      <c r="A612" s="8"/>
      <c r="B612" s="1"/>
      <c r="C612" s="1"/>
      <c r="D612" s="1"/>
      <c r="E612" s="1"/>
      <c r="F612" s="2"/>
    </row>
    <row r="613" spans="1:12" outlineLevel="1">
      <c r="A613" s="8"/>
      <c r="B613" s="1"/>
      <c r="C613" s="1"/>
      <c r="D613" s="1"/>
      <c r="E613" s="1"/>
      <c r="F613" s="2"/>
    </row>
    <row r="614" spans="1:12" ht="15.75" outlineLevel="1" thickBot="1">
      <c r="A614" s="9"/>
      <c r="B614" s="3"/>
      <c r="C614" s="3"/>
      <c r="D614" s="3"/>
      <c r="E614" s="3"/>
      <c r="F614" s="4"/>
    </row>
    <row r="615" spans="1:12" ht="16.5" thickTop="1" thickBot="1"/>
    <row r="616" spans="1:12" ht="15.75" thickTop="1">
      <c r="A616" s="3782" t="s">
        <v>0</v>
      </c>
      <c r="B616" s="3781" t="s">
        <v>1</v>
      </c>
      <c r="C616" s="3781" t="s">
        <v>2</v>
      </c>
      <c r="D616" s="3781" t="s">
        <v>3</v>
      </c>
      <c r="E616" s="3781" t="s">
        <v>4</v>
      </c>
      <c r="F616" s="3765" t="s">
        <v>5</v>
      </c>
    </row>
    <row r="617" spans="1:12" ht="24.75" customHeight="1" thickBot="1">
      <c r="A617" s="3783"/>
      <c r="B617" s="3767"/>
      <c r="C617" s="3767"/>
      <c r="D617" s="3767"/>
      <c r="E617" s="3767"/>
      <c r="F617" s="3766"/>
    </row>
    <row r="618" spans="1:12" ht="15.75" outlineLevel="1" thickTop="1">
      <c r="A618" s="7" t="s">
        <v>745</v>
      </c>
      <c r="B618" s="191" t="s">
        <v>120</v>
      </c>
      <c r="C618" s="5" t="s">
        <v>386</v>
      </c>
      <c r="D618" s="5" t="s">
        <v>237</v>
      </c>
      <c r="E618" s="11">
        <v>0.1</v>
      </c>
      <c r="F618" s="6">
        <v>5658</v>
      </c>
    </row>
    <row r="619" spans="1:12" outlineLevel="1">
      <c r="A619" s="8"/>
      <c r="B619" s="31" t="s">
        <v>121</v>
      </c>
      <c r="C619" s="1" t="s">
        <v>746</v>
      </c>
      <c r="D619" s="5" t="s">
        <v>237</v>
      </c>
      <c r="E619" s="11">
        <v>0.1</v>
      </c>
      <c r="F619" s="2">
        <v>2706</v>
      </c>
      <c r="G619" s="336" t="s">
        <v>418</v>
      </c>
    </row>
    <row r="620" spans="1:12" outlineLevel="1">
      <c r="A620" s="8"/>
      <c r="B620" s="31" t="s">
        <v>123</v>
      </c>
      <c r="C620" s="1" t="s">
        <v>747</v>
      </c>
      <c r="D620" s="5" t="s">
        <v>237</v>
      </c>
      <c r="E620" s="11">
        <v>0.1</v>
      </c>
      <c r="F620" s="2">
        <v>2706</v>
      </c>
      <c r="G620" s="336" t="s">
        <v>418</v>
      </c>
    </row>
    <row r="621" spans="1:12" outlineLevel="1">
      <c r="A621" s="8"/>
      <c r="B621" s="31" t="s">
        <v>122</v>
      </c>
      <c r="C621" s="1" t="s">
        <v>748</v>
      </c>
      <c r="D621" s="5" t="s">
        <v>237</v>
      </c>
      <c r="E621" s="11">
        <v>0.1</v>
      </c>
      <c r="F621" s="2">
        <v>2706</v>
      </c>
      <c r="G621" s="336" t="s">
        <v>418</v>
      </c>
    </row>
    <row r="622" spans="1:12" outlineLevel="1">
      <c r="A622" s="8"/>
      <c r="B622" s="1"/>
      <c r="C622" s="1" t="s">
        <v>510</v>
      </c>
      <c r="D622" s="5" t="s">
        <v>237</v>
      </c>
      <c r="E622" s="11">
        <v>0.1</v>
      </c>
      <c r="F622" s="2">
        <v>31499</v>
      </c>
      <c r="G622" s="336">
        <v>408</v>
      </c>
      <c r="H622">
        <f>F622*G622</f>
        <v>12851592</v>
      </c>
      <c r="J622">
        <f>G622*I622</f>
        <v>0</v>
      </c>
      <c r="K622">
        <f>J622-H622</f>
        <v>-12851592</v>
      </c>
      <c r="L622">
        <f>K622*1.2</f>
        <v>-15421910.399999999</v>
      </c>
    </row>
    <row r="623" spans="1:12" outlineLevel="1">
      <c r="A623" s="8"/>
      <c r="B623" s="1"/>
      <c r="C623" s="1" t="s">
        <v>385</v>
      </c>
      <c r="D623" s="5" t="s">
        <v>237</v>
      </c>
      <c r="E623" s="11">
        <v>0.1</v>
      </c>
      <c r="F623" s="6">
        <v>5658</v>
      </c>
    </row>
    <row r="624" spans="1:12" outlineLevel="1">
      <c r="A624" s="8"/>
      <c r="B624" s="1"/>
      <c r="C624" s="1"/>
      <c r="D624" s="1"/>
      <c r="E624" s="1"/>
      <c r="F624" s="2"/>
      <c r="H624">
        <f>H622*1.2</f>
        <v>15421910.399999999</v>
      </c>
      <c r="J624">
        <f>J622*1.2</f>
        <v>0</v>
      </c>
    </row>
    <row r="625" spans="1:12" outlineLevel="1">
      <c r="A625" s="8"/>
      <c r="B625" s="1"/>
      <c r="C625" s="1"/>
      <c r="D625" s="1"/>
      <c r="E625" s="1"/>
      <c r="F625" s="2"/>
    </row>
    <row r="626" spans="1:12" outlineLevel="1">
      <c r="A626" s="8"/>
      <c r="B626" s="1"/>
      <c r="C626" s="1"/>
      <c r="D626" s="1"/>
      <c r="E626" s="1"/>
      <c r="F626" s="2"/>
    </row>
    <row r="627" spans="1:12" outlineLevel="1">
      <c r="A627" s="8"/>
      <c r="B627" s="1"/>
      <c r="C627" s="1"/>
      <c r="D627" s="1"/>
      <c r="E627" s="1"/>
      <c r="F627" s="2"/>
    </row>
    <row r="628" spans="1:12" outlineLevel="1">
      <c r="A628" s="8"/>
      <c r="B628" s="1"/>
      <c r="C628" s="1"/>
      <c r="D628" s="1"/>
      <c r="E628" s="1"/>
      <c r="F628" s="2"/>
    </row>
    <row r="629" spans="1:12" ht="15.75" outlineLevel="1" thickBot="1">
      <c r="A629" s="9"/>
      <c r="B629" s="3"/>
      <c r="C629" s="3"/>
      <c r="D629" s="3"/>
      <c r="E629" s="3"/>
      <c r="F629" s="4"/>
    </row>
    <row r="630" spans="1:12" ht="16.5" thickTop="1" thickBot="1"/>
    <row r="631" spans="1:12" ht="15.75" thickTop="1">
      <c r="A631" s="3782" t="s">
        <v>0</v>
      </c>
      <c r="B631" s="3781" t="s">
        <v>1</v>
      </c>
      <c r="C631" s="3781" t="s">
        <v>2</v>
      </c>
      <c r="D631" s="3781" t="s">
        <v>3</v>
      </c>
      <c r="E631" s="3781" t="s">
        <v>4</v>
      </c>
      <c r="F631" s="3765" t="s">
        <v>5</v>
      </c>
    </row>
    <row r="632" spans="1:12" ht="24.75" customHeight="1" thickBot="1">
      <c r="A632" s="3783"/>
      <c r="B632" s="3767"/>
      <c r="C632" s="3767"/>
      <c r="D632" s="3767"/>
      <c r="E632" s="3767"/>
      <c r="F632" s="3766"/>
    </row>
    <row r="633" spans="1:12" ht="15.75" outlineLevel="1" thickTop="1">
      <c r="A633" s="7" t="s">
        <v>785</v>
      </c>
      <c r="B633" s="191" t="s">
        <v>120</v>
      </c>
      <c r="C633" s="5" t="s">
        <v>29</v>
      </c>
      <c r="D633" s="5" t="s">
        <v>237</v>
      </c>
      <c r="E633" s="13">
        <v>0.2</v>
      </c>
      <c r="F633" s="6">
        <v>7586</v>
      </c>
      <c r="G633" s="336"/>
    </row>
    <row r="634" spans="1:12" outlineLevel="1">
      <c r="A634" s="8"/>
      <c r="B634" s="31" t="s">
        <v>121</v>
      </c>
      <c r="C634" s="1" t="s">
        <v>786</v>
      </c>
      <c r="D634" s="5" t="s">
        <v>237</v>
      </c>
      <c r="E634" s="13">
        <v>0.1</v>
      </c>
      <c r="F634" s="2">
        <v>35362</v>
      </c>
      <c r="G634" s="336"/>
    </row>
    <row r="635" spans="1:12" outlineLevel="1">
      <c r="A635" s="8"/>
      <c r="B635" s="31" t="s">
        <v>123</v>
      </c>
      <c r="C635" s="1" t="s">
        <v>71</v>
      </c>
      <c r="D635" s="5" t="s">
        <v>237</v>
      </c>
      <c r="E635" s="13">
        <v>0.05</v>
      </c>
      <c r="F635" s="2">
        <v>146097</v>
      </c>
      <c r="G635" s="336"/>
    </row>
    <row r="636" spans="1:12" outlineLevel="1">
      <c r="A636" s="8"/>
      <c r="B636" s="31" t="s">
        <v>122</v>
      </c>
      <c r="C636" s="1" t="s">
        <v>74</v>
      </c>
      <c r="D636" s="5" t="s">
        <v>237</v>
      </c>
      <c r="E636" s="13">
        <v>0.05</v>
      </c>
      <c r="F636" s="2">
        <v>146097</v>
      </c>
      <c r="G636" s="336"/>
    </row>
    <row r="637" spans="1:12" outlineLevel="1">
      <c r="A637" s="8"/>
      <c r="B637" s="1"/>
      <c r="C637" s="1" t="s">
        <v>73</v>
      </c>
      <c r="D637" s="5" t="s">
        <v>237</v>
      </c>
      <c r="E637" s="13">
        <v>0.05</v>
      </c>
      <c r="F637" s="2">
        <v>146097</v>
      </c>
      <c r="G637" s="336"/>
    </row>
    <row r="638" spans="1:12" outlineLevel="1">
      <c r="A638" s="8"/>
      <c r="B638" s="1"/>
      <c r="C638" s="1" t="s">
        <v>72</v>
      </c>
      <c r="D638" s="5" t="s">
        <v>237</v>
      </c>
      <c r="E638" s="13">
        <v>0.05</v>
      </c>
      <c r="F638" s="2">
        <v>146097</v>
      </c>
      <c r="G638" s="336"/>
    </row>
    <row r="639" spans="1:12" outlineLevel="1">
      <c r="A639" s="8"/>
      <c r="B639" s="1"/>
      <c r="C639" s="31" t="s">
        <v>485</v>
      </c>
      <c r="D639" s="5" t="s">
        <v>237</v>
      </c>
      <c r="E639" s="14">
        <v>0.1</v>
      </c>
      <c r="F639" s="2">
        <v>4328</v>
      </c>
      <c r="G639" s="336">
        <v>2255</v>
      </c>
      <c r="H639">
        <f>F639*G639</f>
        <v>9759640</v>
      </c>
      <c r="J639">
        <f>G639*I639</f>
        <v>0</v>
      </c>
      <c r="K639">
        <f>J639-H639</f>
        <v>-9759640</v>
      </c>
      <c r="L639">
        <f>K639*1.2</f>
        <v>-11711568</v>
      </c>
    </row>
    <row r="640" spans="1:12" outlineLevel="1">
      <c r="A640" s="8"/>
      <c r="B640" s="1"/>
      <c r="C640" s="31" t="s">
        <v>486</v>
      </c>
      <c r="D640" s="5" t="s">
        <v>237</v>
      </c>
      <c r="E640" s="14">
        <v>0.1</v>
      </c>
      <c r="F640" s="2">
        <v>4328</v>
      </c>
    </row>
    <row r="641" spans="1:12" outlineLevel="1">
      <c r="A641" s="8"/>
      <c r="B641" s="1"/>
      <c r="C641" s="1" t="s">
        <v>787</v>
      </c>
      <c r="D641" s="5" t="s">
        <v>237</v>
      </c>
      <c r="E641" s="14">
        <v>0.1</v>
      </c>
      <c r="F641" s="2">
        <v>3168</v>
      </c>
    </row>
    <row r="642" spans="1:12" outlineLevel="1">
      <c r="A642" s="8"/>
      <c r="B642" s="1"/>
      <c r="C642" s="1" t="s">
        <v>788</v>
      </c>
      <c r="D642" s="5" t="s">
        <v>237</v>
      </c>
      <c r="E642" s="14">
        <v>0.1</v>
      </c>
      <c r="F642" s="2">
        <v>3168</v>
      </c>
    </row>
    <row r="643" spans="1:12" outlineLevel="1">
      <c r="A643" s="8"/>
      <c r="B643" s="1"/>
      <c r="C643" s="31" t="s">
        <v>623</v>
      </c>
      <c r="D643" s="5" t="s">
        <v>237</v>
      </c>
      <c r="E643" s="14">
        <v>0.1</v>
      </c>
      <c r="F643" s="2">
        <v>13537</v>
      </c>
      <c r="G643">
        <v>2184</v>
      </c>
      <c r="H643">
        <f>F643*G643</f>
        <v>29564808</v>
      </c>
      <c r="J643">
        <f>G643*I643</f>
        <v>0</v>
      </c>
      <c r="K643">
        <f>J643-H643</f>
        <v>-29564808</v>
      </c>
      <c r="L643">
        <f>K643*1.2</f>
        <v>-35477769.600000001</v>
      </c>
    </row>
    <row r="644" spans="1:12" ht="15.75" outlineLevel="1" thickBot="1">
      <c r="A644" s="9"/>
      <c r="B644" s="3"/>
      <c r="C644" s="3"/>
      <c r="D644" s="3"/>
      <c r="E644" s="3"/>
      <c r="F644" s="4"/>
    </row>
    <row r="645" spans="1:12" ht="16.5" thickTop="1" thickBot="1"/>
    <row r="646" spans="1:12" ht="15.75" thickTop="1">
      <c r="A646" s="3782" t="s">
        <v>0</v>
      </c>
      <c r="B646" s="3781" t="s">
        <v>1</v>
      </c>
      <c r="C646" s="3781" t="s">
        <v>2</v>
      </c>
      <c r="D646" s="3781" t="s">
        <v>3</v>
      </c>
      <c r="E646" s="3781" t="s">
        <v>4</v>
      </c>
      <c r="F646" s="3765" t="s">
        <v>5</v>
      </c>
    </row>
    <row r="647" spans="1:12" ht="24.75" customHeight="1" thickBot="1">
      <c r="A647" s="3783"/>
      <c r="B647" s="3767"/>
      <c r="C647" s="3767"/>
      <c r="D647" s="3767"/>
      <c r="E647" s="3767"/>
      <c r="F647" s="3766"/>
    </row>
    <row r="648" spans="1:12" ht="15.75" outlineLevel="1" thickTop="1">
      <c r="A648" s="10" t="s">
        <v>801</v>
      </c>
      <c r="B648" s="5" t="s">
        <v>202</v>
      </c>
      <c r="C648" s="5" t="s">
        <v>394</v>
      </c>
      <c r="D648" s="5" t="s">
        <v>360</v>
      </c>
      <c r="E648" s="11">
        <v>0.17</v>
      </c>
      <c r="F648" s="6">
        <v>6313</v>
      </c>
    </row>
    <row r="649" spans="1:12" outlineLevel="1">
      <c r="A649" s="8"/>
      <c r="B649" s="1"/>
      <c r="C649" s="1"/>
      <c r="D649" s="5"/>
      <c r="E649" s="11"/>
      <c r="F649" s="2"/>
    </row>
    <row r="650" spans="1:12" outlineLevel="1">
      <c r="A650" s="8"/>
      <c r="B650" s="1"/>
      <c r="C650" s="1"/>
      <c r="D650" s="5"/>
      <c r="E650" s="11"/>
      <c r="F650" s="2"/>
    </row>
    <row r="651" spans="1:12" outlineLevel="1">
      <c r="A651" s="8"/>
      <c r="B651" s="1"/>
      <c r="C651" s="1"/>
      <c r="D651" s="1"/>
      <c r="E651" s="1"/>
      <c r="F651" s="2"/>
    </row>
    <row r="652" spans="1:12" outlineLevel="1">
      <c r="A652" s="8"/>
      <c r="B652" s="1"/>
      <c r="C652" s="1"/>
      <c r="D652" s="1"/>
      <c r="E652" s="1"/>
      <c r="F652" s="2"/>
    </row>
    <row r="653" spans="1:12" outlineLevel="1">
      <c r="A653" s="8"/>
      <c r="B653" s="1"/>
      <c r="C653" s="1"/>
      <c r="D653" s="1"/>
      <c r="E653" s="1"/>
      <c r="F653" s="2"/>
    </row>
    <row r="654" spans="1:12" outlineLevel="1">
      <c r="A654" s="8"/>
      <c r="B654" s="1"/>
      <c r="C654" s="1"/>
      <c r="D654" s="1"/>
      <c r="E654" s="1"/>
      <c r="F654" s="2"/>
    </row>
    <row r="655" spans="1:12" outlineLevel="1">
      <c r="A655" s="8"/>
      <c r="B655" s="1"/>
      <c r="C655" s="1"/>
      <c r="D655" s="1"/>
      <c r="E655" s="1"/>
      <c r="F655" s="2"/>
    </row>
    <row r="656" spans="1:12" outlineLevel="1">
      <c r="A656" s="8"/>
      <c r="B656" s="1"/>
      <c r="C656" s="1"/>
      <c r="D656" s="1"/>
      <c r="E656" s="1"/>
      <c r="F656" s="2"/>
    </row>
    <row r="657" spans="1:6" outlineLevel="1">
      <c r="A657" s="8"/>
      <c r="B657" s="1"/>
      <c r="C657" s="1"/>
      <c r="D657" s="1"/>
      <c r="E657" s="1"/>
      <c r="F657" s="2"/>
    </row>
    <row r="658" spans="1:6" outlineLevel="1">
      <c r="A658" s="8"/>
      <c r="B658" s="1"/>
      <c r="C658" s="1"/>
      <c r="D658" s="1"/>
      <c r="E658" s="1"/>
      <c r="F658" s="2"/>
    </row>
    <row r="659" spans="1:6" ht="15.75" outlineLevel="1" thickBot="1">
      <c r="A659" s="9"/>
      <c r="B659" s="3"/>
      <c r="C659" s="3"/>
      <c r="D659" s="3"/>
      <c r="E659" s="3"/>
      <c r="F659" s="4"/>
    </row>
    <row r="660" spans="1:6" ht="16.5" thickTop="1" thickBot="1"/>
    <row r="661" spans="1:6" ht="15.75" thickTop="1">
      <c r="A661" s="3782" t="s">
        <v>0</v>
      </c>
      <c r="B661" s="3781" t="s">
        <v>1</v>
      </c>
      <c r="C661" s="3781" t="s">
        <v>2</v>
      </c>
      <c r="D661" s="3781" t="s">
        <v>3</v>
      </c>
      <c r="E661" s="3781" t="s">
        <v>4</v>
      </c>
      <c r="F661" s="3765" t="s">
        <v>5</v>
      </c>
    </row>
    <row r="662" spans="1:6" ht="24.75" customHeight="1" thickBot="1">
      <c r="A662" s="3783"/>
      <c r="B662" s="3767"/>
      <c r="C662" s="3767"/>
      <c r="D662" s="3767"/>
      <c r="E662" s="3767"/>
      <c r="F662" s="3766"/>
    </row>
    <row r="663" spans="1:6" ht="15.75" outlineLevel="1" thickTop="1">
      <c r="A663" s="7" t="s">
        <v>803</v>
      </c>
      <c r="B663" s="298" t="s">
        <v>409</v>
      </c>
      <c r="C663" s="5" t="s">
        <v>27</v>
      </c>
      <c r="D663" s="5" t="s">
        <v>343</v>
      </c>
      <c r="E663" s="11">
        <v>0.25</v>
      </c>
      <c r="F663" s="6">
        <v>6978</v>
      </c>
    </row>
    <row r="664" spans="1:6" outlineLevel="1">
      <c r="A664" s="8"/>
      <c r="B664" s="81" t="s">
        <v>392</v>
      </c>
      <c r="C664" s="1"/>
      <c r="D664" s="5"/>
      <c r="E664" s="11"/>
      <c r="F664" s="2"/>
    </row>
    <row r="665" spans="1:6" outlineLevel="1">
      <c r="A665" s="8"/>
      <c r="B665" s="81" t="s">
        <v>534</v>
      </c>
      <c r="C665" s="1"/>
      <c r="D665" s="5"/>
      <c r="E665" s="11"/>
      <c r="F665" s="2"/>
    </row>
    <row r="666" spans="1:6" outlineLevel="1">
      <c r="A666" s="8"/>
      <c r="B666" s="1" t="s">
        <v>535</v>
      </c>
      <c r="C666" s="1"/>
      <c r="D666" s="1"/>
      <c r="E666" s="1"/>
      <c r="F666" s="2"/>
    </row>
    <row r="667" spans="1:6" outlineLevel="1">
      <c r="A667" s="8"/>
      <c r="B667" s="1"/>
      <c r="C667" s="1"/>
      <c r="D667" s="1"/>
      <c r="E667" s="1"/>
      <c r="F667" s="2"/>
    </row>
    <row r="668" spans="1:6" outlineLevel="1">
      <c r="A668" s="8"/>
      <c r="B668" s="1"/>
      <c r="C668" s="1"/>
      <c r="D668" s="1"/>
      <c r="E668" s="1"/>
      <c r="F668" s="2"/>
    </row>
    <row r="669" spans="1:6" outlineLevel="1">
      <c r="A669" s="8"/>
      <c r="B669" s="1"/>
      <c r="C669" s="1"/>
      <c r="D669" s="1"/>
      <c r="E669" s="1"/>
      <c r="F669" s="2"/>
    </row>
    <row r="670" spans="1:6" outlineLevel="1">
      <c r="A670" s="8"/>
      <c r="B670" s="1"/>
      <c r="C670" s="1"/>
      <c r="D670" s="1"/>
      <c r="E670" s="1"/>
      <c r="F670" s="2"/>
    </row>
    <row r="671" spans="1:6" outlineLevel="1">
      <c r="A671" s="8"/>
      <c r="B671" s="1"/>
      <c r="C671" s="1"/>
      <c r="D671" s="1"/>
      <c r="E671" s="1"/>
      <c r="F671" s="2"/>
    </row>
    <row r="672" spans="1:6" outlineLevel="1">
      <c r="A672" s="8"/>
      <c r="B672" s="1"/>
      <c r="C672" s="1"/>
      <c r="D672" s="1"/>
      <c r="E672" s="1"/>
      <c r="F672" s="2"/>
    </row>
    <row r="673" spans="1:11" outlineLevel="1">
      <c r="A673" s="8"/>
      <c r="B673" s="1"/>
      <c r="C673" s="1"/>
      <c r="D673" s="1"/>
      <c r="E673" s="1"/>
      <c r="F673" s="2"/>
    </row>
    <row r="674" spans="1:11" ht="15.75" outlineLevel="1" thickBot="1">
      <c r="A674" s="9"/>
      <c r="B674" s="3"/>
      <c r="C674" s="3"/>
      <c r="D674" s="3"/>
      <c r="E674" s="3"/>
      <c r="F674" s="4"/>
    </row>
    <row r="675" spans="1:11" ht="16.5" thickTop="1" thickBot="1"/>
    <row r="676" spans="1:11" ht="15.75" thickTop="1">
      <c r="A676" s="3782" t="s">
        <v>0</v>
      </c>
      <c r="B676" s="3781" t="s">
        <v>1</v>
      </c>
      <c r="C676" s="3781" t="s">
        <v>2</v>
      </c>
      <c r="D676" s="3781" t="s">
        <v>3</v>
      </c>
      <c r="E676" s="3781" t="s">
        <v>4</v>
      </c>
      <c r="F676" s="3765" t="s">
        <v>5</v>
      </c>
    </row>
    <row r="677" spans="1:11" ht="24.75" customHeight="1" thickBot="1">
      <c r="A677" s="3783"/>
      <c r="B677" s="3767"/>
      <c r="C677" s="3767"/>
      <c r="D677" s="3767"/>
      <c r="E677" s="3767"/>
      <c r="F677" s="3766"/>
    </row>
    <row r="678" spans="1:11" ht="15.75" outlineLevel="1" thickTop="1">
      <c r="A678" s="7" t="s">
        <v>807</v>
      </c>
      <c r="B678" s="191" t="s">
        <v>265</v>
      </c>
      <c r="C678" s="5" t="s">
        <v>623</v>
      </c>
      <c r="D678" s="5" t="s">
        <v>262</v>
      </c>
      <c r="E678" s="11">
        <v>0.15</v>
      </c>
      <c r="F678" s="6">
        <v>12668</v>
      </c>
      <c r="G678">
        <v>12801</v>
      </c>
      <c r="H678">
        <f>F678*G678</f>
        <v>162163068</v>
      </c>
      <c r="J678">
        <f>G678*I678</f>
        <v>0</v>
      </c>
      <c r="K678">
        <f>J678-H678</f>
        <v>-162163068</v>
      </c>
    </row>
    <row r="679" spans="1:11" outlineLevel="1">
      <c r="A679" s="8"/>
      <c r="B679" s="31" t="s">
        <v>395</v>
      </c>
      <c r="C679" s="1"/>
      <c r="D679" s="5"/>
      <c r="E679" s="11"/>
      <c r="F679" s="2"/>
      <c r="K679">
        <f>K678*1.2</f>
        <v>-194595681.59999999</v>
      </c>
    </row>
    <row r="680" spans="1:11" outlineLevel="1">
      <c r="A680" s="8"/>
      <c r="B680" s="31" t="s">
        <v>264</v>
      </c>
      <c r="C680" s="1"/>
      <c r="D680" s="5"/>
      <c r="E680" s="11"/>
      <c r="F680" s="2"/>
      <c r="G680">
        <f>F678*1.2</f>
        <v>15201.599999999999</v>
      </c>
    </row>
    <row r="681" spans="1:11" outlineLevel="1">
      <c r="A681" s="8"/>
      <c r="B681" s="31" t="s">
        <v>266</v>
      </c>
      <c r="C681" s="1"/>
      <c r="D681" s="1"/>
      <c r="E681" s="1"/>
      <c r="F681" s="2"/>
    </row>
    <row r="682" spans="1:11" outlineLevel="1">
      <c r="A682" s="8"/>
      <c r="B682" s="31" t="s">
        <v>269</v>
      </c>
      <c r="C682" s="1"/>
      <c r="D682" s="1"/>
      <c r="E682" s="1"/>
      <c r="F682" s="2"/>
    </row>
    <row r="683" spans="1:11" outlineLevel="1">
      <c r="A683" s="8"/>
      <c r="B683" s="31" t="s">
        <v>267</v>
      </c>
      <c r="C683" s="1"/>
      <c r="D683" s="1"/>
      <c r="E683" s="1"/>
      <c r="F683" s="2"/>
    </row>
    <row r="684" spans="1:11" outlineLevel="1">
      <c r="A684" s="8"/>
      <c r="B684" s="31" t="s">
        <v>268</v>
      </c>
      <c r="C684" s="1"/>
      <c r="D684" s="1"/>
      <c r="E684" s="1"/>
      <c r="F684" s="2"/>
    </row>
    <row r="685" spans="1:11" outlineLevel="1">
      <c r="A685" s="8"/>
      <c r="B685" s="31" t="s">
        <v>743</v>
      </c>
      <c r="C685" s="1"/>
      <c r="D685" s="1"/>
      <c r="E685" s="1"/>
      <c r="F685" s="2"/>
    </row>
    <row r="686" spans="1:11" outlineLevel="1">
      <c r="A686" s="8"/>
      <c r="B686" s="1"/>
      <c r="C686" s="1"/>
      <c r="D686" s="1"/>
      <c r="E686" s="1"/>
      <c r="F686" s="2"/>
    </row>
    <row r="687" spans="1:11" outlineLevel="1">
      <c r="A687" s="8"/>
      <c r="B687" s="1"/>
      <c r="C687" s="1"/>
      <c r="D687" s="1"/>
      <c r="E687" s="1"/>
      <c r="F687" s="2"/>
    </row>
    <row r="688" spans="1:11" outlineLevel="1">
      <c r="A688" s="8"/>
      <c r="B688" s="1"/>
      <c r="C688" s="1"/>
      <c r="D688" s="1"/>
      <c r="E688" s="1"/>
      <c r="F688" s="2"/>
    </row>
    <row r="689" spans="1:6" ht="15.75" outlineLevel="1" thickBot="1">
      <c r="A689" s="9"/>
      <c r="B689" s="3"/>
      <c r="C689" s="3"/>
      <c r="D689" s="3"/>
      <c r="E689" s="3"/>
      <c r="F689" s="4"/>
    </row>
    <row r="690" spans="1:6" ht="16.5" thickTop="1" thickBot="1"/>
    <row r="691" spans="1:6" ht="15.75" thickTop="1">
      <c r="A691" s="3782" t="s">
        <v>0</v>
      </c>
      <c r="B691" s="3781" t="s">
        <v>1</v>
      </c>
      <c r="C691" s="3781" t="s">
        <v>2</v>
      </c>
      <c r="D691" s="3781" t="s">
        <v>3</v>
      </c>
      <c r="E691" s="3781" t="s">
        <v>4</v>
      </c>
      <c r="F691" s="3765" t="s">
        <v>5</v>
      </c>
    </row>
    <row r="692" spans="1:6" ht="24.75" customHeight="1" thickBot="1">
      <c r="A692" s="3783"/>
      <c r="B692" s="3767"/>
      <c r="C692" s="3767"/>
      <c r="D692" s="3767"/>
      <c r="E692" s="3767"/>
      <c r="F692" s="3766"/>
    </row>
    <row r="693" spans="1:6" ht="15.75" outlineLevel="1" thickTop="1">
      <c r="A693" s="10" t="s">
        <v>834</v>
      </c>
      <c r="B693" s="5" t="s">
        <v>202</v>
      </c>
      <c r="C693" s="5" t="s">
        <v>520</v>
      </c>
      <c r="D693" s="5" t="s">
        <v>360</v>
      </c>
      <c r="E693" s="11">
        <v>2.3E-2</v>
      </c>
      <c r="F693" s="6">
        <v>5417</v>
      </c>
    </row>
    <row r="694" spans="1:6" outlineLevel="1">
      <c r="A694" s="8"/>
      <c r="B694" s="81"/>
      <c r="C694" s="1" t="s">
        <v>835</v>
      </c>
      <c r="D694" s="5" t="s">
        <v>360</v>
      </c>
      <c r="E694" s="11">
        <v>2.3E-2</v>
      </c>
      <c r="F694" s="6">
        <v>5417</v>
      </c>
    </row>
    <row r="695" spans="1:6" outlineLevel="1">
      <c r="A695" s="8"/>
      <c r="B695" s="81"/>
      <c r="C695" s="1" t="s">
        <v>521</v>
      </c>
      <c r="D695" s="5" t="s">
        <v>360</v>
      </c>
      <c r="E695" s="11">
        <v>2.3E-2</v>
      </c>
      <c r="F695" s="6">
        <v>5417</v>
      </c>
    </row>
    <row r="696" spans="1:6" outlineLevel="1">
      <c r="A696" s="8"/>
      <c r="B696" s="1"/>
      <c r="C696" s="1" t="s">
        <v>522</v>
      </c>
      <c r="D696" s="5" t="s">
        <v>360</v>
      </c>
      <c r="E696" s="11">
        <v>2.3E-2</v>
      </c>
      <c r="F696" s="6">
        <v>5417</v>
      </c>
    </row>
    <row r="697" spans="1:6" outlineLevel="1">
      <c r="A697" s="8"/>
      <c r="B697" s="1"/>
      <c r="C697" s="1" t="s">
        <v>836</v>
      </c>
      <c r="D697" s="5" t="s">
        <v>360</v>
      </c>
      <c r="E697" s="11">
        <v>2.3E-2</v>
      </c>
      <c r="F697" s="6">
        <v>5417</v>
      </c>
    </row>
    <row r="698" spans="1:6" outlineLevel="1">
      <c r="A698" s="8"/>
      <c r="B698" s="1"/>
      <c r="C698" s="1" t="s">
        <v>837</v>
      </c>
      <c r="D698" s="5" t="s">
        <v>360</v>
      </c>
      <c r="E698" s="177">
        <v>9.4E-2</v>
      </c>
      <c r="F698" s="2">
        <v>60333</v>
      </c>
    </row>
    <row r="699" spans="1:6" outlineLevel="1">
      <c r="A699" s="8"/>
      <c r="B699" s="1"/>
      <c r="C699" s="1" t="s">
        <v>838</v>
      </c>
      <c r="D699" s="5" t="s">
        <v>360</v>
      </c>
      <c r="E699" s="177">
        <v>9.4E-2</v>
      </c>
      <c r="F699" s="2">
        <v>60333</v>
      </c>
    </row>
    <row r="700" spans="1:6" outlineLevel="1">
      <c r="A700" s="8"/>
      <c r="B700" s="1"/>
      <c r="C700" s="1" t="s">
        <v>839</v>
      </c>
      <c r="D700" s="5" t="s">
        <v>360</v>
      </c>
      <c r="E700" s="177">
        <v>9.4E-2</v>
      </c>
      <c r="F700" s="2">
        <v>60333</v>
      </c>
    </row>
    <row r="701" spans="1:6" outlineLevel="1">
      <c r="A701" s="8"/>
      <c r="B701" s="1"/>
      <c r="C701" s="1" t="s">
        <v>840</v>
      </c>
      <c r="D701" s="5" t="s">
        <v>360</v>
      </c>
      <c r="E701" s="177">
        <v>8.5999999999999993E-2</v>
      </c>
      <c r="F701" s="2">
        <v>31988</v>
      </c>
    </row>
    <row r="702" spans="1:6" outlineLevel="1">
      <c r="A702" s="8"/>
      <c r="B702" s="1"/>
      <c r="C702" s="1" t="s">
        <v>510</v>
      </c>
      <c r="D702" s="5" t="s">
        <v>360</v>
      </c>
      <c r="E702" s="177">
        <v>8.5999999999999993E-2</v>
      </c>
      <c r="F702" s="2">
        <v>31988</v>
      </c>
    </row>
    <row r="703" spans="1:6" outlineLevel="1">
      <c r="A703" s="8"/>
      <c r="B703" s="1"/>
      <c r="C703" s="1" t="s">
        <v>511</v>
      </c>
      <c r="D703" s="5" t="s">
        <v>360</v>
      </c>
      <c r="E703" s="177">
        <v>8.5999999999999993E-2</v>
      </c>
      <c r="F703" s="2">
        <v>31988</v>
      </c>
    </row>
    <row r="704" spans="1:6" outlineLevel="1">
      <c r="A704" s="8"/>
      <c r="B704" s="1"/>
      <c r="C704" s="1" t="s">
        <v>760</v>
      </c>
      <c r="D704" s="5" t="s">
        <v>360</v>
      </c>
      <c r="E704" s="177">
        <v>8.5999999999999993E-2</v>
      </c>
      <c r="F704" s="2">
        <v>31988</v>
      </c>
    </row>
    <row r="705" spans="1:11" ht="15.75" outlineLevel="1" thickBot="1">
      <c r="A705" s="9"/>
      <c r="B705" s="3"/>
      <c r="C705" s="3" t="s">
        <v>389</v>
      </c>
      <c r="D705" s="5" t="s">
        <v>360</v>
      </c>
      <c r="E705" s="177">
        <v>8.5999999999999993E-2</v>
      </c>
      <c r="F705" s="2">
        <v>31988</v>
      </c>
    </row>
    <row r="706" spans="1:11" ht="16.5" thickTop="1" thickBot="1"/>
    <row r="707" spans="1:11" ht="15.75" thickTop="1">
      <c r="A707" s="3782" t="s">
        <v>0</v>
      </c>
      <c r="B707" s="3781" t="s">
        <v>1</v>
      </c>
      <c r="C707" s="3781" t="s">
        <v>2</v>
      </c>
      <c r="D707" s="3781" t="s">
        <v>3</v>
      </c>
      <c r="E707" s="3781" t="s">
        <v>4</v>
      </c>
      <c r="F707" s="3765" t="s">
        <v>5</v>
      </c>
    </row>
    <row r="708" spans="1:11" ht="24.75" customHeight="1" thickBot="1">
      <c r="A708" s="3783"/>
      <c r="B708" s="3767"/>
      <c r="C708" s="3767"/>
      <c r="D708" s="3767"/>
      <c r="E708" s="3767"/>
      <c r="F708" s="3766"/>
    </row>
    <row r="709" spans="1:11" ht="15.75" outlineLevel="1" thickTop="1">
      <c r="A709" s="7" t="s">
        <v>867</v>
      </c>
      <c r="B709" s="191" t="s">
        <v>120</v>
      </c>
      <c r="C709" s="5" t="s">
        <v>238</v>
      </c>
      <c r="D709" s="5" t="s">
        <v>237</v>
      </c>
      <c r="E709" s="11">
        <v>0.05</v>
      </c>
      <c r="F709" s="6">
        <v>57612</v>
      </c>
    </row>
    <row r="710" spans="1:11" outlineLevel="1">
      <c r="A710" s="8"/>
      <c r="B710" s="31" t="s">
        <v>121</v>
      </c>
      <c r="C710" s="1" t="s">
        <v>239</v>
      </c>
      <c r="D710" s="5" t="s">
        <v>237</v>
      </c>
      <c r="E710" s="11">
        <v>0.05</v>
      </c>
      <c r="F710" s="6">
        <v>57612</v>
      </c>
    </row>
    <row r="711" spans="1:11" outlineLevel="1">
      <c r="A711" s="8"/>
      <c r="B711" s="31" t="s">
        <v>123</v>
      </c>
      <c r="C711" s="1" t="s">
        <v>240</v>
      </c>
      <c r="D711" s="5" t="s">
        <v>237</v>
      </c>
      <c r="E711" s="11">
        <v>0.05</v>
      </c>
      <c r="F711" s="6">
        <v>57612</v>
      </c>
    </row>
    <row r="712" spans="1:11" outlineLevel="1">
      <c r="A712" s="8"/>
      <c r="B712" s="31" t="s">
        <v>122</v>
      </c>
      <c r="C712" s="1" t="s">
        <v>868</v>
      </c>
      <c r="D712" s="5" t="s">
        <v>237</v>
      </c>
      <c r="E712" s="11">
        <v>0.05</v>
      </c>
      <c r="F712" s="6">
        <v>57612</v>
      </c>
    </row>
    <row r="713" spans="1:11" outlineLevel="1">
      <c r="A713" s="8"/>
      <c r="B713" s="1"/>
      <c r="C713" s="1" t="s">
        <v>869</v>
      </c>
      <c r="D713" s="5" t="s">
        <v>237</v>
      </c>
      <c r="E713" s="11">
        <v>0.15</v>
      </c>
      <c r="F713" s="2">
        <v>6197</v>
      </c>
    </row>
    <row r="714" spans="1:11" outlineLevel="1">
      <c r="A714" s="8"/>
      <c r="B714" s="1"/>
      <c r="C714" s="1" t="s">
        <v>870</v>
      </c>
      <c r="D714" s="5" t="s">
        <v>237</v>
      </c>
      <c r="E714" s="11">
        <v>0.15</v>
      </c>
      <c r="F714" s="2">
        <v>6197</v>
      </c>
    </row>
    <row r="715" spans="1:11" outlineLevel="1">
      <c r="A715" s="8"/>
      <c r="B715" s="1"/>
      <c r="C715" s="1" t="s">
        <v>68</v>
      </c>
      <c r="D715" s="5" t="s">
        <v>237</v>
      </c>
      <c r="E715" s="11">
        <v>0.1</v>
      </c>
      <c r="F715" s="2">
        <v>9725</v>
      </c>
    </row>
    <row r="716" spans="1:11" outlineLevel="1">
      <c r="A716" s="8"/>
      <c r="B716" s="1"/>
      <c r="C716" s="1" t="s">
        <v>554</v>
      </c>
      <c r="D716" s="5" t="s">
        <v>237</v>
      </c>
      <c r="E716" s="11">
        <v>0.1</v>
      </c>
      <c r="F716" s="2">
        <v>8007</v>
      </c>
    </row>
    <row r="717" spans="1:11" outlineLevel="1">
      <c r="A717" s="8"/>
      <c r="B717" s="1"/>
      <c r="C717" s="1" t="s">
        <v>231</v>
      </c>
      <c r="D717" s="5" t="s">
        <v>237</v>
      </c>
      <c r="E717" s="11">
        <v>0.1</v>
      </c>
      <c r="F717" s="2">
        <v>8459</v>
      </c>
      <c r="G717">
        <v>156</v>
      </c>
      <c r="H717">
        <f>F717*G717</f>
        <v>1319604</v>
      </c>
      <c r="J717">
        <f>G717*I717</f>
        <v>0</v>
      </c>
      <c r="K717">
        <f>J717-H717</f>
        <v>-1319604</v>
      </c>
    </row>
    <row r="718" spans="1:11" outlineLevel="1">
      <c r="A718" s="8"/>
      <c r="B718" s="1"/>
      <c r="C718" s="1"/>
      <c r="D718" s="1"/>
      <c r="E718" s="1"/>
      <c r="F718" s="2"/>
      <c r="K718">
        <f>K717*1.2</f>
        <v>-1583524.8</v>
      </c>
    </row>
    <row r="719" spans="1:11" outlineLevel="1">
      <c r="A719" s="8"/>
      <c r="B719" s="1"/>
      <c r="C719" s="1"/>
      <c r="D719" s="1"/>
      <c r="E719" s="1"/>
      <c r="F719" s="2"/>
    </row>
    <row r="720" spans="1:11" ht="15.75" outlineLevel="1" thickBot="1">
      <c r="A720" s="9"/>
      <c r="B720" s="3"/>
      <c r="C720" s="3"/>
      <c r="D720" s="3"/>
      <c r="E720" s="3"/>
      <c r="F720" s="4"/>
    </row>
    <row r="721" spans="1:7" ht="16.5" thickTop="1" thickBot="1"/>
    <row r="722" spans="1:7" ht="15.75" thickTop="1">
      <c r="A722" s="3782" t="s">
        <v>0</v>
      </c>
      <c r="B722" s="3781" t="s">
        <v>1</v>
      </c>
      <c r="C722" s="3781" t="s">
        <v>2</v>
      </c>
      <c r="D722" s="3781" t="s">
        <v>3</v>
      </c>
      <c r="E722" s="3781" t="s">
        <v>4</v>
      </c>
      <c r="F722" s="3765" t="s">
        <v>5</v>
      </c>
    </row>
    <row r="723" spans="1:7" ht="24.75" customHeight="1" thickBot="1">
      <c r="A723" s="3783"/>
      <c r="B723" s="3767"/>
      <c r="C723" s="3767"/>
      <c r="D723" s="3767"/>
      <c r="E723" s="3767"/>
      <c r="F723" s="3766"/>
    </row>
    <row r="724" spans="1:7" ht="15.75" outlineLevel="1" thickTop="1">
      <c r="A724" s="10" t="s">
        <v>871</v>
      </c>
      <c r="B724" s="5" t="s">
        <v>202</v>
      </c>
      <c r="C724" s="1" t="s">
        <v>226</v>
      </c>
      <c r="D724" s="5" t="s">
        <v>360</v>
      </c>
      <c r="E724" s="11">
        <v>0.2</v>
      </c>
      <c r="F724" s="6">
        <v>4522</v>
      </c>
      <c r="G724">
        <f>F724/0.8</f>
        <v>5652.5</v>
      </c>
    </row>
    <row r="725" spans="1:7" outlineLevel="1">
      <c r="A725" s="8"/>
      <c r="B725" s="81"/>
      <c r="C725" s="1" t="s">
        <v>227</v>
      </c>
      <c r="D725" s="5" t="s">
        <v>360</v>
      </c>
      <c r="E725" s="11">
        <v>0.2</v>
      </c>
      <c r="F725" s="6">
        <v>4522</v>
      </c>
    </row>
    <row r="726" spans="1:7" outlineLevel="1">
      <c r="A726" s="8"/>
      <c r="B726" s="81"/>
      <c r="C726" s="1" t="s">
        <v>228</v>
      </c>
      <c r="D726" s="5" t="s">
        <v>360</v>
      </c>
      <c r="E726" s="11">
        <v>0.2</v>
      </c>
      <c r="F726" s="6">
        <v>4522</v>
      </c>
    </row>
    <row r="727" spans="1:7" outlineLevel="1">
      <c r="A727" s="8"/>
      <c r="B727" s="1"/>
      <c r="C727" s="1"/>
      <c r="D727" s="1"/>
      <c r="E727" s="1"/>
      <c r="F727" s="2"/>
    </row>
    <row r="728" spans="1:7" outlineLevel="1">
      <c r="A728" s="8"/>
      <c r="B728" s="1"/>
      <c r="C728" s="1"/>
      <c r="D728" s="1"/>
      <c r="E728" s="1"/>
      <c r="F728" s="2"/>
    </row>
    <row r="729" spans="1:7" outlineLevel="1">
      <c r="A729" s="8"/>
      <c r="B729" s="1"/>
      <c r="C729" s="1"/>
      <c r="D729" s="1"/>
      <c r="E729" s="1"/>
      <c r="F729" s="2"/>
    </row>
    <row r="730" spans="1:7" outlineLevel="1">
      <c r="A730" s="8"/>
      <c r="B730" s="1"/>
      <c r="C730" s="1"/>
      <c r="D730" s="1"/>
      <c r="E730" s="1"/>
      <c r="F730" s="2"/>
    </row>
    <row r="731" spans="1:7" outlineLevel="1">
      <c r="A731" s="8"/>
      <c r="B731" s="1"/>
      <c r="C731" s="1"/>
      <c r="D731" s="1"/>
      <c r="E731" s="1"/>
      <c r="F731" s="2"/>
    </row>
    <row r="732" spans="1:7" outlineLevel="1">
      <c r="A732" s="8"/>
      <c r="B732" s="1"/>
      <c r="C732" s="1"/>
      <c r="D732" s="1"/>
      <c r="E732" s="1"/>
      <c r="F732" s="2"/>
    </row>
    <row r="733" spans="1:7" outlineLevel="1">
      <c r="A733" s="8"/>
      <c r="B733" s="1"/>
      <c r="C733" s="1"/>
      <c r="D733" s="1"/>
      <c r="E733" s="1"/>
      <c r="F733" s="2"/>
    </row>
    <row r="734" spans="1:7" outlineLevel="1">
      <c r="A734" s="8"/>
      <c r="B734" s="1"/>
      <c r="C734" s="1"/>
      <c r="D734" s="1"/>
      <c r="E734" s="1"/>
      <c r="F734" s="2"/>
    </row>
    <row r="735" spans="1:7" ht="15.75" outlineLevel="1" thickBot="1">
      <c r="A735" s="8"/>
      <c r="B735" s="1"/>
      <c r="C735" s="3"/>
      <c r="D735" s="3"/>
      <c r="E735" s="3"/>
      <c r="F735" s="4"/>
    </row>
    <row r="736" spans="1:7" ht="16.5" thickTop="1" thickBot="1">
      <c r="A736" s="9"/>
      <c r="B736" s="3"/>
    </row>
    <row r="737" spans="1:7" ht="15.75" thickTop="1">
      <c r="A737" s="3782" t="s">
        <v>0</v>
      </c>
      <c r="B737" s="3781" t="s">
        <v>1</v>
      </c>
      <c r="C737" s="3781" t="s">
        <v>2</v>
      </c>
      <c r="D737" s="3781" t="s">
        <v>3</v>
      </c>
      <c r="E737" s="3781" t="s">
        <v>4</v>
      </c>
      <c r="F737" s="3765" t="s">
        <v>5</v>
      </c>
    </row>
    <row r="738" spans="1:7" ht="24.75" customHeight="1" thickBot="1">
      <c r="A738" s="3783"/>
      <c r="B738" s="3767"/>
      <c r="C738" s="3767"/>
      <c r="D738" s="3767"/>
      <c r="E738" s="3767"/>
      <c r="F738" s="3766"/>
    </row>
    <row r="739" spans="1:7" ht="15.75" outlineLevel="1" thickTop="1">
      <c r="A739" s="7" t="s">
        <v>872</v>
      </c>
      <c r="B739" s="340" t="s">
        <v>411</v>
      </c>
      <c r="C739" s="5" t="s">
        <v>328</v>
      </c>
      <c r="D739" s="5" t="s">
        <v>343</v>
      </c>
      <c r="E739" s="11">
        <v>0.15</v>
      </c>
      <c r="F739" s="6">
        <v>146663</v>
      </c>
      <c r="G739">
        <v>172545</v>
      </c>
    </row>
    <row r="740" spans="1:7" outlineLevel="1">
      <c r="A740" s="8"/>
      <c r="B740" s="81"/>
      <c r="C740" s="1" t="s">
        <v>326</v>
      </c>
      <c r="D740" s="5" t="s">
        <v>343</v>
      </c>
      <c r="E740" s="11">
        <v>0.15</v>
      </c>
      <c r="F740" s="6">
        <v>146663</v>
      </c>
    </row>
    <row r="741" spans="1:7" outlineLevel="1">
      <c r="A741" s="8"/>
      <c r="B741" s="81"/>
      <c r="C741" s="1" t="s">
        <v>327</v>
      </c>
      <c r="D741" s="5" t="s">
        <v>343</v>
      </c>
      <c r="E741" s="11">
        <v>0.15</v>
      </c>
      <c r="F741" s="6">
        <v>146663</v>
      </c>
    </row>
    <row r="742" spans="1:7" outlineLevel="1">
      <c r="A742" s="8"/>
      <c r="B742" s="1"/>
      <c r="C742" s="1"/>
      <c r="D742" s="1"/>
      <c r="E742" s="1"/>
      <c r="F742" s="2"/>
    </row>
    <row r="743" spans="1:7" outlineLevel="1">
      <c r="A743" s="8"/>
      <c r="B743" s="1"/>
      <c r="C743" s="1"/>
      <c r="D743" s="1"/>
      <c r="E743" s="1"/>
      <c r="F743" s="2"/>
    </row>
    <row r="744" spans="1:7" outlineLevel="1">
      <c r="A744" s="8"/>
      <c r="B744" s="1"/>
      <c r="C744" s="1"/>
      <c r="D744" s="1"/>
      <c r="E744" s="1"/>
      <c r="F744" s="2"/>
    </row>
    <row r="745" spans="1:7" outlineLevel="1">
      <c r="A745" s="8"/>
      <c r="B745" s="1"/>
      <c r="C745" s="1"/>
      <c r="D745" s="1"/>
      <c r="E745" s="1"/>
      <c r="F745" s="2"/>
    </row>
    <row r="746" spans="1:7" outlineLevel="1">
      <c r="A746" s="8"/>
      <c r="B746" s="1"/>
      <c r="C746" s="1"/>
      <c r="D746" s="1"/>
      <c r="E746" s="1"/>
      <c r="F746" s="2"/>
    </row>
    <row r="747" spans="1:7" outlineLevel="1">
      <c r="A747" s="8"/>
      <c r="B747" s="1"/>
      <c r="C747" s="1"/>
      <c r="D747" s="1"/>
      <c r="E747" s="1"/>
      <c r="F747" s="2"/>
    </row>
    <row r="748" spans="1:7" outlineLevel="1">
      <c r="A748" s="8"/>
      <c r="B748" s="1"/>
      <c r="C748" s="1"/>
      <c r="D748" s="1"/>
      <c r="E748" s="1"/>
      <c r="F748" s="2"/>
    </row>
    <row r="749" spans="1:7" outlineLevel="1">
      <c r="A749" s="8"/>
      <c r="B749" s="1"/>
      <c r="C749" s="1"/>
      <c r="D749" s="1"/>
      <c r="E749" s="1"/>
      <c r="F749" s="2"/>
    </row>
    <row r="750" spans="1:7" ht="15.75" outlineLevel="1" thickBot="1">
      <c r="A750" s="9"/>
      <c r="B750" s="3"/>
      <c r="C750" s="3"/>
      <c r="D750" s="3"/>
      <c r="E750" s="3"/>
      <c r="F750" s="4"/>
    </row>
    <row r="751" spans="1:7" ht="16.5" thickTop="1" thickBot="1"/>
    <row r="752" spans="1:7" ht="15.75" thickTop="1">
      <c r="A752" s="3782" t="s">
        <v>0</v>
      </c>
      <c r="B752" s="3781" t="s">
        <v>1</v>
      </c>
      <c r="C752" s="3781" t="s">
        <v>2</v>
      </c>
      <c r="D752" s="3781" t="s">
        <v>3</v>
      </c>
      <c r="E752" s="3781" t="s">
        <v>4</v>
      </c>
      <c r="F752" s="3765" t="s">
        <v>5</v>
      </c>
    </row>
    <row r="753" spans="1:11" ht="24.75" customHeight="1" thickBot="1">
      <c r="A753" s="3783"/>
      <c r="B753" s="3767"/>
      <c r="C753" s="3767"/>
      <c r="D753" s="3767"/>
      <c r="E753" s="3767"/>
      <c r="F753" s="3766"/>
    </row>
    <row r="754" spans="1:11" ht="15.75" outlineLevel="1" thickTop="1">
      <c r="A754" s="7" t="s">
        <v>873</v>
      </c>
      <c r="B754" s="191" t="s">
        <v>265</v>
      </c>
      <c r="C754" s="5" t="s">
        <v>626</v>
      </c>
      <c r="D754" s="5" t="s">
        <v>262</v>
      </c>
      <c r="E754" s="11">
        <v>0.15</v>
      </c>
      <c r="F754" s="6">
        <v>1518</v>
      </c>
      <c r="G754">
        <v>16860</v>
      </c>
      <c r="H754">
        <f>F754*G754</f>
        <v>25593480</v>
      </c>
      <c r="J754">
        <f>I754*G754</f>
        <v>0</v>
      </c>
      <c r="K754">
        <f>J754-H754</f>
        <v>-25593480</v>
      </c>
    </row>
    <row r="755" spans="1:11" outlineLevel="1">
      <c r="A755" s="8"/>
      <c r="B755" s="31" t="s">
        <v>395</v>
      </c>
      <c r="C755" s="1" t="s">
        <v>705</v>
      </c>
      <c r="D755" s="5" t="s">
        <v>262</v>
      </c>
      <c r="E755" s="11">
        <v>0.15</v>
      </c>
      <c r="F755" s="6">
        <v>1518</v>
      </c>
      <c r="K755">
        <f>K754*1.2</f>
        <v>-30712176</v>
      </c>
    </row>
    <row r="756" spans="1:11" outlineLevel="1">
      <c r="A756" s="8"/>
      <c r="B756" s="31" t="s">
        <v>264</v>
      </c>
      <c r="C756" s="1" t="s">
        <v>627</v>
      </c>
      <c r="D756" s="5" t="s">
        <v>262</v>
      </c>
      <c r="E756" s="11">
        <v>0.15</v>
      </c>
      <c r="F756" s="6">
        <v>1518</v>
      </c>
      <c r="G756">
        <f>F756*1.2</f>
        <v>1821.6</v>
      </c>
    </row>
    <row r="757" spans="1:11" outlineLevel="1">
      <c r="A757" s="8"/>
      <c r="B757" s="31" t="s">
        <v>266</v>
      </c>
      <c r="C757" s="1" t="s">
        <v>628</v>
      </c>
      <c r="D757" s="5" t="s">
        <v>262</v>
      </c>
      <c r="E757" s="11">
        <v>0.15</v>
      </c>
      <c r="F757" s="6">
        <v>1518</v>
      </c>
    </row>
    <row r="758" spans="1:11" outlineLevel="1">
      <c r="A758" s="8"/>
      <c r="B758" s="81" t="s">
        <v>269</v>
      </c>
      <c r="C758" s="1" t="s">
        <v>706</v>
      </c>
      <c r="D758" s="5" t="s">
        <v>262</v>
      </c>
      <c r="E758" s="11">
        <v>0.15</v>
      </c>
      <c r="F758" s="6">
        <v>1518</v>
      </c>
    </row>
    <row r="759" spans="1:11" outlineLevel="1">
      <c r="A759" s="8"/>
      <c r="B759" s="31" t="s">
        <v>267</v>
      </c>
      <c r="C759" s="1" t="s">
        <v>708</v>
      </c>
      <c r="D759" s="5" t="s">
        <v>262</v>
      </c>
      <c r="E759" s="11">
        <v>0.15</v>
      </c>
      <c r="F759" s="6">
        <v>1518</v>
      </c>
    </row>
    <row r="760" spans="1:11" outlineLevel="1">
      <c r="A760" s="8"/>
      <c r="B760" s="31" t="s">
        <v>268</v>
      </c>
      <c r="C760" s="1" t="s">
        <v>709</v>
      </c>
      <c r="D760" s="5" t="s">
        <v>262</v>
      </c>
      <c r="E760" s="11">
        <v>0.15</v>
      </c>
      <c r="F760" s="6">
        <v>1518</v>
      </c>
    </row>
    <row r="761" spans="1:11" outlineLevel="1">
      <c r="A761" s="8"/>
      <c r="B761" s="31" t="s">
        <v>743</v>
      </c>
      <c r="C761" s="1" t="s">
        <v>707</v>
      </c>
      <c r="D761" s="5" t="s">
        <v>262</v>
      </c>
      <c r="E761" s="11">
        <v>0.15</v>
      </c>
      <c r="F761" s="6">
        <v>1518</v>
      </c>
    </row>
    <row r="762" spans="1:11" outlineLevel="1">
      <c r="A762" s="8"/>
      <c r="B762" s="1"/>
      <c r="C762" s="1"/>
      <c r="D762" s="1"/>
      <c r="E762" s="1"/>
      <c r="F762" s="2"/>
    </row>
    <row r="763" spans="1:11" outlineLevel="1">
      <c r="A763" s="8"/>
      <c r="B763" s="1"/>
      <c r="C763" s="1"/>
      <c r="D763" s="1"/>
      <c r="E763" s="1"/>
      <c r="F763" s="2"/>
    </row>
    <row r="764" spans="1:11" outlineLevel="1">
      <c r="A764" s="8"/>
      <c r="B764" s="1"/>
      <c r="C764" s="1"/>
      <c r="D764" s="1"/>
      <c r="E764" s="1"/>
      <c r="F764" s="2"/>
    </row>
    <row r="765" spans="1:11" ht="15.75" outlineLevel="1" thickBot="1">
      <c r="A765" s="9"/>
      <c r="B765" s="3"/>
      <c r="C765" s="3"/>
      <c r="D765" s="3"/>
      <c r="E765" s="3"/>
      <c r="F765" s="4"/>
    </row>
    <row r="766" spans="1:11" ht="16.5" thickTop="1" thickBot="1"/>
    <row r="767" spans="1:11" ht="15.75" thickTop="1">
      <c r="A767" s="3782" t="s">
        <v>0</v>
      </c>
      <c r="B767" s="3781" t="s">
        <v>1</v>
      </c>
      <c r="C767" s="3781" t="s">
        <v>2</v>
      </c>
      <c r="D767" s="3781" t="s">
        <v>3</v>
      </c>
      <c r="E767" s="3781" t="s">
        <v>4</v>
      </c>
      <c r="F767" s="3765" t="s">
        <v>5</v>
      </c>
    </row>
    <row r="768" spans="1:11" ht="24.75" customHeight="1" thickBot="1">
      <c r="A768" s="3783"/>
      <c r="B768" s="3767"/>
      <c r="C768" s="3767"/>
      <c r="D768" s="3767"/>
      <c r="E768" s="3767"/>
      <c r="F768" s="3766"/>
    </row>
    <row r="769" spans="1:8" ht="15.75" outlineLevel="1" thickTop="1">
      <c r="A769" s="7" t="s">
        <v>918</v>
      </c>
      <c r="B769" s="298" t="s">
        <v>409</v>
      </c>
      <c r="C769" s="5" t="s">
        <v>51</v>
      </c>
      <c r="D769" s="5" t="s">
        <v>343</v>
      </c>
      <c r="E769" s="11">
        <v>0.15</v>
      </c>
      <c r="F769" s="6">
        <v>9013</v>
      </c>
      <c r="G769">
        <v>10920</v>
      </c>
      <c r="H769">
        <f>F769/G769</f>
        <v>0.82536630036630032</v>
      </c>
    </row>
    <row r="770" spans="1:8" outlineLevel="1">
      <c r="A770" s="8"/>
      <c r="B770" s="81" t="s">
        <v>392</v>
      </c>
      <c r="C770" s="1" t="s">
        <v>52</v>
      </c>
      <c r="D770" s="5" t="s">
        <v>343</v>
      </c>
      <c r="E770" s="11">
        <v>0.15</v>
      </c>
      <c r="F770" s="6">
        <v>9013</v>
      </c>
    </row>
    <row r="771" spans="1:8" outlineLevel="1">
      <c r="A771" s="8"/>
      <c r="B771" s="81" t="s">
        <v>534</v>
      </c>
      <c r="C771" s="1" t="s">
        <v>68</v>
      </c>
      <c r="D771" s="5" t="s">
        <v>343</v>
      </c>
      <c r="E771" s="11">
        <v>0.15</v>
      </c>
      <c r="F771" s="6">
        <v>9013</v>
      </c>
    </row>
    <row r="772" spans="1:8" outlineLevel="1">
      <c r="A772" s="8"/>
      <c r="B772" s="1" t="s">
        <v>535</v>
      </c>
      <c r="C772" s="1" t="s">
        <v>69</v>
      </c>
      <c r="D772" s="5" t="s">
        <v>343</v>
      </c>
      <c r="E772" s="11">
        <v>0.15</v>
      </c>
      <c r="F772" s="6">
        <v>9013</v>
      </c>
    </row>
    <row r="773" spans="1:8" outlineLevel="1">
      <c r="A773" s="8"/>
      <c r="B773" s="1" t="s">
        <v>921</v>
      </c>
      <c r="C773" s="1"/>
      <c r="D773" s="1"/>
      <c r="E773" s="1"/>
      <c r="F773" s="2"/>
    </row>
    <row r="774" spans="1:8" outlineLevel="1">
      <c r="A774" s="8"/>
      <c r="B774" s="1"/>
      <c r="C774" s="1"/>
      <c r="D774" s="1"/>
      <c r="E774" s="1"/>
      <c r="F774" s="2"/>
    </row>
    <row r="775" spans="1:8" outlineLevel="1">
      <c r="A775" s="8"/>
      <c r="B775" s="1"/>
      <c r="C775" s="1"/>
      <c r="D775" s="1"/>
      <c r="E775" s="1"/>
      <c r="F775" s="2"/>
    </row>
    <row r="776" spans="1:8" outlineLevel="1">
      <c r="A776" s="8"/>
      <c r="B776" s="1"/>
      <c r="C776" s="1"/>
      <c r="D776" s="1"/>
      <c r="E776" s="1"/>
      <c r="F776" s="2"/>
    </row>
    <row r="777" spans="1:8" outlineLevel="1">
      <c r="A777" s="8"/>
      <c r="B777" s="1"/>
      <c r="C777" s="1"/>
      <c r="D777" s="1"/>
      <c r="E777" s="1"/>
      <c r="F777" s="2"/>
    </row>
    <row r="778" spans="1:8" outlineLevel="1">
      <c r="A778" s="8"/>
      <c r="B778" s="1"/>
      <c r="C778" s="1"/>
      <c r="D778" s="1"/>
      <c r="E778" s="1"/>
      <c r="F778" s="2"/>
    </row>
    <row r="779" spans="1:8" outlineLevel="1">
      <c r="A779" s="8"/>
      <c r="B779" s="1"/>
      <c r="C779" s="1"/>
      <c r="D779" s="1"/>
      <c r="E779" s="1"/>
      <c r="F779" s="2"/>
    </row>
    <row r="780" spans="1:8" ht="15.75" outlineLevel="1" thickBot="1">
      <c r="A780" s="9"/>
      <c r="B780" s="3"/>
      <c r="C780" s="3"/>
      <c r="D780" s="3"/>
      <c r="E780" s="3"/>
      <c r="F780" s="4"/>
    </row>
    <row r="781" spans="1:8" ht="16.5" thickTop="1" thickBot="1"/>
    <row r="782" spans="1:8" ht="15.75" thickTop="1">
      <c r="A782" s="3782" t="s">
        <v>0</v>
      </c>
      <c r="B782" s="3781" t="s">
        <v>1</v>
      </c>
      <c r="C782" s="3781" t="s">
        <v>2</v>
      </c>
      <c r="D782" s="3781" t="s">
        <v>3</v>
      </c>
      <c r="E782" s="3781" t="s">
        <v>4</v>
      </c>
      <c r="F782" s="3765" t="s">
        <v>5</v>
      </c>
    </row>
    <row r="783" spans="1:8" ht="24.75" customHeight="1" thickBot="1">
      <c r="A783" s="3783"/>
      <c r="B783" s="3767"/>
      <c r="C783" s="3767"/>
      <c r="D783" s="3767"/>
      <c r="E783" s="3767"/>
      <c r="F783" s="3766"/>
    </row>
    <row r="784" spans="1:8" ht="15.75" outlineLevel="1" thickTop="1">
      <c r="A784" s="7" t="s">
        <v>904</v>
      </c>
      <c r="B784" s="191" t="s">
        <v>120</v>
      </c>
      <c r="C784" s="5" t="s">
        <v>385</v>
      </c>
      <c r="D784" s="5" t="s">
        <v>237</v>
      </c>
      <c r="E784" s="11">
        <v>0.1</v>
      </c>
      <c r="F784" s="6">
        <v>5658</v>
      </c>
    </row>
    <row r="785" spans="1:12" outlineLevel="1">
      <c r="A785" s="8"/>
      <c r="B785" s="31" t="s">
        <v>121</v>
      </c>
      <c r="C785" s="5" t="s">
        <v>906</v>
      </c>
      <c r="D785" s="5" t="s">
        <v>237</v>
      </c>
      <c r="E785" s="11">
        <v>0.1</v>
      </c>
      <c r="F785" s="2">
        <v>5229</v>
      </c>
      <c r="G785">
        <v>2160</v>
      </c>
      <c r="H785">
        <f>F785*G785</f>
        <v>11294640</v>
      </c>
      <c r="J785">
        <f>G785*I785</f>
        <v>0</v>
      </c>
      <c r="K785">
        <f>J785-H785</f>
        <v>-11294640</v>
      </c>
      <c r="L785">
        <f>K785*1.1</f>
        <v>-12424104.000000002</v>
      </c>
    </row>
    <row r="786" spans="1:12" outlineLevel="1">
      <c r="A786" s="8"/>
      <c r="B786" s="31" t="s">
        <v>123</v>
      </c>
      <c r="C786" s="5" t="s">
        <v>905</v>
      </c>
      <c r="D786" s="5" t="s">
        <v>237</v>
      </c>
      <c r="E786" s="11">
        <v>0.1</v>
      </c>
      <c r="F786" s="2">
        <v>5040</v>
      </c>
    </row>
    <row r="787" spans="1:12" outlineLevel="1">
      <c r="A787" s="8"/>
      <c r="B787" s="31" t="s">
        <v>122</v>
      </c>
      <c r="C787" s="5"/>
      <c r="D787" s="1"/>
      <c r="E787" s="1"/>
      <c r="F787" s="2"/>
    </row>
    <row r="788" spans="1:12" outlineLevel="1">
      <c r="A788" s="8"/>
      <c r="B788" s="1"/>
      <c r="C788" s="1"/>
      <c r="D788" s="1"/>
      <c r="E788" s="1"/>
      <c r="F788" s="2"/>
    </row>
    <row r="789" spans="1:12" outlineLevel="1">
      <c r="A789" s="8"/>
      <c r="B789" s="1"/>
      <c r="C789" s="1"/>
      <c r="D789" s="1"/>
      <c r="E789" s="1"/>
      <c r="F789" s="2"/>
    </row>
    <row r="790" spans="1:12" outlineLevel="1">
      <c r="A790" s="8"/>
      <c r="B790" s="1"/>
      <c r="C790" s="1"/>
      <c r="D790" s="1"/>
      <c r="E790" s="1"/>
      <c r="F790" s="2"/>
    </row>
    <row r="791" spans="1:12" outlineLevel="1">
      <c r="A791" s="8"/>
      <c r="B791" s="1"/>
      <c r="C791" s="1"/>
      <c r="D791" s="1"/>
      <c r="E791" s="1"/>
      <c r="F791" s="2"/>
    </row>
    <row r="792" spans="1:12" outlineLevel="1">
      <c r="A792" s="8"/>
      <c r="B792" s="1"/>
      <c r="C792" s="1"/>
      <c r="D792" s="1"/>
      <c r="E792" s="1"/>
      <c r="F792" s="2"/>
    </row>
    <row r="793" spans="1:12" outlineLevel="1">
      <c r="A793" s="8"/>
      <c r="B793" s="1"/>
      <c r="C793" s="1"/>
      <c r="D793" s="1"/>
      <c r="E793" s="1"/>
      <c r="F793" s="2"/>
    </row>
    <row r="794" spans="1:12" outlineLevel="1">
      <c r="A794" s="8"/>
      <c r="B794" s="1"/>
      <c r="C794" s="1"/>
      <c r="D794" s="1"/>
      <c r="E794" s="1"/>
      <c r="F794" s="2"/>
    </row>
    <row r="795" spans="1:12" ht="15.75" outlineLevel="1" thickBot="1">
      <c r="A795" s="9"/>
      <c r="B795" s="3"/>
      <c r="C795" s="3"/>
      <c r="D795" s="3"/>
      <c r="E795" s="3"/>
      <c r="F795" s="4"/>
    </row>
    <row r="796" spans="1:12" ht="16.5" thickTop="1" thickBot="1"/>
    <row r="797" spans="1:12" ht="15.75" thickTop="1">
      <c r="A797" s="3782" t="s">
        <v>0</v>
      </c>
      <c r="B797" s="3781" t="s">
        <v>1</v>
      </c>
      <c r="C797" s="3781" t="s">
        <v>2</v>
      </c>
      <c r="D797" s="3781" t="s">
        <v>3</v>
      </c>
      <c r="E797" s="3781" t="s">
        <v>4</v>
      </c>
      <c r="F797" s="3765" t="s">
        <v>5</v>
      </c>
    </row>
    <row r="798" spans="1:12" ht="24.75" customHeight="1" thickBot="1">
      <c r="A798" s="3783"/>
      <c r="B798" s="3767"/>
      <c r="C798" s="3767"/>
      <c r="D798" s="3767"/>
      <c r="E798" s="3767"/>
      <c r="F798" s="3766"/>
    </row>
    <row r="799" spans="1:12" ht="15.75" outlineLevel="1" thickTop="1">
      <c r="A799" s="7" t="s">
        <v>977</v>
      </c>
      <c r="B799" s="191" t="s">
        <v>120</v>
      </c>
      <c r="C799" s="5" t="s">
        <v>908</v>
      </c>
      <c r="D799" s="5" t="s">
        <v>237</v>
      </c>
      <c r="E799" s="11">
        <v>0.25</v>
      </c>
      <c r="F799" s="6">
        <v>4484</v>
      </c>
    </row>
    <row r="800" spans="1:12" outlineLevel="1">
      <c r="A800" s="8"/>
      <c r="B800" s="31" t="s">
        <v>121</v>
      </c>
      <c r="C800" s="1" t="s">
        <v>909</v>
      </c>
      <c r="D800" s="5" t="s">
        <v>237</v>
      </c>
      <c r="E800" s="11">
        <v>0.25</v>
      </c>
      <c r="F800" s="6">
        <v>4484</v>
      </c>
    </row>
    <row r="801" spans="1:7" outlineLevel="1">
      <c r="A801" s="8"/>
      <c r="B801" s="31" t="s">
        <v>123</v>
      </c>
      <c r="C801" s="1"/>
      <c r="D801" s="5"/>
      <c r="E801" s="11"/>
      <c r="F801" s="2"/>
    </row>
    <row r="802" spans="1:7" outlineLevel="1">
      <c r="A802" s="8"/>
      <c r="B802" s="31" t="s">
        <v>122</v>
      </c>
      <c r="C802" s="1"/>
      <c r="D802" s="1"/>
      <c r="E802" s="1"/>
      <c r="F802" s="2"/>
    </row>
    <row r="803" spans="1:7" outlineLevel="1">
      <c r="A803" s="8"/>
      <c r="B803" s="1"/>
      <c r="C803" s="1"/>
      <c r="D803" s="1"/>
      <c r="E803" s="1"/>
      <c r="F803" s="2"/>
    </row>
    <row r="804" spans="1:7" outlineLevel="1">
      <c r="A804" s="8"/>
      <c r="B804" s="1"/>
      <c r="C804" s="1"/>
      <c r="D804" s="1"/>
      <c r="E804" s="1"/>
      <c r="F804" s="2"/>
    </row>
    <row r="805" spans="1:7" outlineLevel="1">
      <c r="A805" s="8"/>
      <c r="B805" s="1"/>
      <c r="C805" s="1"/>
      <c r="D805" s="1"/>
      <c r="E805" s="1"/>
      <c r="F805" s="2"/>
    </row>
    <row r="806" spans="1:7" outlineLevel="1">
      <c r="A806" s="8"/>
      <c r="B806" s="1"/>
      <c r="C806" s="1"/>
      <c r="D806" s="1"/>
      <c r="E806" s="1"/>
      <c r="F806" s="2"/>
    </row>
    <row r="807" spans="1:7" outlineLevel="1">
      <c r="A807" s="8"/>
      <c r="B807" s="1"/>
      <c r="C807" s="1"/>
      <c r="D807" s="1"/>
      <c r="E807" s="1"/>
      <c r="F807" s="2"/>
    </row>
    <row r="808" spans="1:7" outlineLevel="1">
      <c r="A808" s="8"/>
      <c r="B808" s="1"/>
      <c r="C808" s="1"/>
      <c r="D808" s="1"/>
      <c r="E808" s="1"/>
      <c r="F808" s="2"/>
    </row>
    <row r="809" spans="1:7" outlineLevel="1">
      <c r="A809" s="8"/>
      <c r="B809" s="1"/>
      <c r="C809" s="1"/>
      <c r="D809" s="1"/>
      <c r="E809" s="1"/>
      <c r="F809" s="2"/>
    </row>
    <row r="810" spans="1:7" ht="15.75" outlineLevel="1" thickBot="1">
      <c r="A810" s="9"/>
      <c r="B810" s="3"/>
      <c r="C810" s="3"/>
      <c r="D810" s="3"/>
      <c r="E810" s="3"/>
      <c r="F810" s="4"/>
    </row>
    <row r="811" spans="1:7" ht="16.5" thickTop="1" thickBot="1"/>
    <row r="812" spans="1:7" ht="15.75" thickTop="1">
      <c r="A812" s="3782" t="s">
        <v>0</v>
      </c>
      <c r="B812" s="3781" t="s">
        <v>1</v>
      </c>
      <c r="C812" s="3781" t="s">
        <v>2</v>
      </c>
      <c r="D812" s="3781" t="s">
        <v>3</v>
      </c>
      <c r="E812" s="3781" t="s">
        <v>4</v>
      </c>
      <c r="F812" s="3765" t="s">
        <v>5</v>
      </c>
    </row>
    <row r="813" spans="1:7" ht="24.75" customHeight="1" thickBot="1">
      <c r="A813" s="3783"/>
      <c r="B813" s="3767"/>
      <c r="C813" s="3767"/>
      <c r="D813" s="3767"/>
      <c r="E813" s="3767"/>
      <c r="F813" s="3766"/>
    </row>
    <row r="814" spans="1:7" ht="15.75" outlineLevel="1" thickTop="1">
      <c r="A814" s="7" t="s">
        <v>919</v>
      </c>
      <c r="B814" s="298" t="s">
        <v>409</v>
      </c>
      <c r="C814" s="5" t="s">
        <v>465</v>
      </c>
      <c r="D814" s="5" t="s">
        <v>343</v>
      </c>
      <c r="E814" s="11">
        <v>0.17499999999999999</v>
      </c>
      <c r="F814" s="6">
        <v>8463</v>
      </c>
      <c r="G814">
        <v>10255</v>
      </c>
    </row>
    <row r="815" spans="1:7" outlineLevel="1">
      <c r="A815" s="8"/>
      <c r="B815" s="81" t="s">
        <v>392</v>
      </c>
      <c r="C815" s="1" t="s">
        <v>920</v>
      </c>
      <c r="D815" s="5" t="s">
        <v>343</v>
      </c>
      <c r="E815" s="11">
        <v>0.17499999999999999</v>
      </c>
      <c r="F815" s="6">
        <v>4724</v>
      </c>
      <c r="G815">
        <v>5725</v>
      </c>
    </row>
    <row r="816" spans="1:7" outlineLevel="1">
      <c r="A816" s="8"/>
      <c r="B816" s="81" t="s">
        <v>534</v>
      </c>
      <c r="C816" s="1"/>
      <c r="D816" s="5"/>
      <c r="E816" s="11"/>
      <c r="F816" s="6"/>
    </row>
    <row r="817" spans="1:6" outlineLevel="1">
      <c r="A817" s="8"/>
      <c r="B817" s="1" t="s">
        <v>535</v>
      </c>
      <c r="C817" s="1"/>
      <c r="D817" s="5"/>
      <c r="E817" s="11"/>
      <c r="F817" s="6"/>
    </row>
    <row r="818" spans="1:6" outlineLevel="1">
      <c r="A818" s="8"/>
      <c r="B818" s="1" t="s">
        <v>921</v>
      </c>
      <c r="C818" s="1"/>
      <c r="D818" s="1"/>
      <c r="E818" s="1"/>
      <c r="F818" s="2"/>
    </row>
    <row r="819" spans="1:6" outlineLevel="1">
      <c r="A819" s="8"/>
      <c r="B819" s="1"/>
      <c r="C819" s="1"/>
      <c r="D819" s="1"/>
      <c r="E819" s="1"/>
      <c r="F819" s="2"/>
    </row>
    <row r="820" spans="1:6" outlineLevel="1">
      <c r="A820" s="8"/>
      <c r="B820" s="1"/>
      <c r="C820" s="1"/>
      <c r="D820" s="1"/>
      <c r="E820" s="1"/>
      <c r="F820" s="2"/>
    </row>
    <row r="821" spans="1:6" outlineLevel="1">
      <c r="A821" s="8"/>
      <c r="B821" s="1"/>
      <c r="C821" s="1"/>
      <c r="D821" s="1"/>
      <c r="E821" s="1"/>
      <c r="F821" s="2"/>
    </row>
    <row r="822" spans="1:6" outlineLevel="1">
      <c r="A822" s="8"/>
      <c r="B822" s="1"/>
      <c r="C822" s="1"/>
      <c r="D822" s="1"/>
      <c r="E822" s="1"/>
      <c r="F822" s="2"/>
    </row>
    <row r="823" spans="1:6" outlineLevel="1">
      <c r="A823" s="8"/>
      <c r="B823" s="1"/>
      <c r="C823" s="1"/>
      <c r="D823" s="1"/>
      <c r="E823" s="1"/>
      <c r="F823" s="2"/>
    </row>
    <row r="824" spans="1:6" outlineLevel="1">
      <c r="A824" s="8"/>
      <c r="B824" s="1"/>
      <c r="C824" s="1"/>
      <c r="D824" s="1"/>
      <c r="E824" s="1"/>
      <c r="F824" s="2"/>
    </row>
    <row r="825" spans="1:6" ht="15.75" outlineLevel="1" thickBot="1">
      <c r="A825" s="9"/>
      <c r="B825" s="3"/>
      <c r="C825" s="3"/>
      <c r="D825" s="3"/>
      <c r="E825" s="3"/>
      <c r="F825" s="4"/>
    </row>
    <row r="826" spans="1:6" ht="16.5" thickTop="1" thickBot="1"/>
    <row r="827" spans="1:6" ht="15.75" thickTop="1">
      <c r="A827" s="3782" t="s">
        <v>0</v>
      </c>
      <c r="B827" s="3781" t="s">
        <v>1</v>
      </c>
      <c r="C827" s="3781" t="s">
        <v>2</v>
      </c>
      <c r="D827" s="3781" t="s">
        <v>3</v>
      </c>
      <c r="E827" s="3781" t="s">
        <v>4</v>
      </c>
      <c r="F827" s="3765" t="s">
        <v>5</v>
      </c>
    </row>
    <row r="828" spans="1:6" ht="24.75" customHeight="1" thickBot="1">
      <c r="A828" s="3783"/>
      <c r="B828" s="3767"/>
      <c r="C828" s="3767"/>
      <c r="D828" s="3767"/>
      <c r="E828" s="3767"/>
      <c r="F828" s="3766"/>
    </row>
    <row r="829" spans="1:6" ht="15.75" outlineLevel="1" thickTop="1">
      <c r="A829" s="7" t="s">
        <v>924</v>
      </c>
      <c r="B829" s="191" t="s">
        <v>265</v>
      </c>
      <c r="C829" s="5" t="s">
        <v>239</v>
      </c>
      <c r="D829" s="5" t="s">
        <v>262</v>
      </c>
      <c r="E829" s="11">
        <v>0.16</v>
      </c>
      <c r="F829" s="6">
        <v>48365</v>
      </c>
    </row>
    <row r="830" spans="1:6" outlineLevel="1">
      <c r="A830" s="8"/>
      <c r="B830" s="31" t="s">
        <v>395</v>
      </c>
      <c r="C830" s="1" t="s">
        <v>238</v>
      </c>
      <c r="D830" s="5" t="s">
        <v>262</v>
      </c>
      <c r="E830" s="11">
        <v>0.16</v>
      </c>
      <c r="F830" s="2">
        <v>48365</v>
      </c>
    </row>
    <row r="831" spans="1:6" outlineLevel="1">
      <c r="A831" s="8"/>
      <c r="B831" s="31" t="s">
        <v>264</v>
      </c>
      <c r="C831" s="1"/>
      <c r="D831" s="5"/>
      <c r="E831" s="11"/>
      <c r="F831" s="2"/>
    </row>
    <row r="832" spans="1:6" outlineLevel="1">
      <c r="A832" s="8"/>
      <c r="B832" s="31" t="s">
        <v>266</v>
      </c>
      <c r="C832" s="1"/>
      <c r="D832" s="1"/>
      <c r="E832" s="1"/>
      <c r="F832" s="2"/>
    </row>
    <row r="833" spans="1:6" outlineLevel="1">
      <c r="A833" s="8"/>
      <c r="B833" s="81" t="s">
        <v>269</v>
      </c>
      <c r="C833" s="1"/>
      <c r="D833" s="1"/>
      <c r="E833" s="1"/>
      <c r="F833" s="2"/>
    </row>
    <row r="834" spans="1:6" outlineLevel="1">
      <c r="A834" s="8"/>
      <c r="B834" s="31" t="s">
        <v>267</v>
      </c>
      <c r="C834" s="1"/>
      <c r="D834" s="1"/>
      <c r="E834" s="1"/>
      <c r="F834" s="2"/>
    </row>
    <row r="835" spans="1:6" outlineLevel="1">
      <c r="A835" s="8"/>
      <c r="B835" s="31" t="s">
        <v>268</v>
      </c>
      <c r="C835" s="1"/>
      <c r="D835" s="1"/>
      <c r="E835" s="1"/>
      <c r="F835" s="2"/>
    </row>
    <row r="836" spans="1:6" outlineLevel="1">
      <c r="A836" s="8"/>
      <c r="B836" s="31" t="s">
        <v>743</v>
      </c>
      <c r="C836" s="1"/>
      <c r="D836" s="1"/>
      <c r="E836" s="1"/>
      <c r="F836" s="2"/>
    </row>
    <row r="837" spans="1:6" outlineLevel="1">
      <c r="A837" s="8"/>
      <c r="B837" s="1"/>
      <c r="C837" s="1"/>
      <c r="D837" s="1"/>
      <c r="E837" s="1"/>
      <c r="F837" s="2"/>
    </row>
    <row r="838" spans="1:6" outlineLevel="1">
      <c r="A838" s="8"/>
      <c r="B838" s="1"/>
      <c r="C838" s="1"/>
      <c r="D838" s="1"/>
      <c r="E838" s="1"/>
      <c r="F838" s="2"/>
    </row>
    <row r="839" spans="1:6" outlineLevel="1">
      <c r="A839" s="8"/>
      <c r="B839" s="1"/>
      <c r="C839" s="1"/>
      <c r="D839" s="1"/>
      <c r="E839" s="1"/>
      <c r="F839" s="2"/>
    </row>
    <row r="840" spans="1:6" ht="15.75" outlineLevel="1" thickBot="1">
      <c r="A840" s="9"/>
      <c r="B840" s="3"/>
      <c r="C840" s="3"/>
      <c r="D840" s="3"/>
      <c r="E840" s="3"/>
      <c r="F840" s="4"/>
    </row>
    <row r="841" spans="1:6" ht="16.5" thickTop="1" thickBot="1"/>
    <row r="842" spans="1:6" ht="15.75" thickTop="1">
      <c r="A842" s="3782" t="s">
        <v>0</v>
      </c>
      <c r="B842" s="3781" t="s">
        <v>1</v>
      </c>
      <c r="C842" s="3781" t="s">
        <v>2</v>
      </c>
      <c r="D842" s="3781" t="s">
        <v>3</v>
      </c>
      <c r="E842" s="3781" t="s">
        <v>4</v>
      </c>
      <c r="F842" s="3765" t="s">
        <v>5</v>
      </c>
    </row>
    <row r="843" spans="1:6" ht="24.75" customHeight="1" thickBot="1">
      <c r="A843" s="3783"/>
      <c r="B843" s="3767"/>
      <c r="C843" s="3767"/>
      <c r="D843" s="3767"/>
      <c r="E843" s="3767"/>
      <c r="F843" s="3766"/>
    </row>
    <row r="844" spans="1:6" ht="15.75" outlineLevel="1" thickTop="1">
      <c r="A844" s="7" t="s">
        <v>986</v>
      </c>
      <c r="B844" s="298" t="s">
        <v>409</v>
      </c>
      <c r="C844" s="5" t="s">
        <v>950</v>
      </c>
      <c r="D844" s="5" t="s">
        <v>343</v>
      </c>
      <c r="E844" s="11">
        <v>0.15</v>
      </c>
      <c r="F844" s="6">
        <v>9923</v>
      </c>
    </row>
    <row r="845" spans="1:6" outlineLevel="1">
      <c r="A845" s="8"/>
      <c r="B845" s="81" t="s">
        <v>392</v>
      </c>
      <c r="C845" s="1" t="s">
        <v>118</v>
      </c>
      <c r="D845" s="5" t="s">
        <v>343</v>
      </c>
      <c r="E845" s="11">
        <v>0.15</v>
      </c>
      <c r="F845" s="6">
        <v>9923</v>
      </c>
    </row>
    <row r="846" spans="1:6" outlineLevel="1">
      <c r="A846" s="8"/>
      <c r="B846" s="81" t="s">
        <v>534</v>
      </c>
      <c r="C846" s="1"/>
      <c r="D846" s="5"/>
      <c r="E846" s="11"/>
      <c r="F846" s="2"/>
    </row>
    <row r="847" spans="1:6" outlineLevel="1">
      <c r="A847" s="8"/>
      <c r="B847" s="1" t="s">
        <v>535</v>
      </c>
      <c r="C847" s="1"/>
      <c r="D847" s="1"/>
      <c r="E847" s="1"/>
      <c r="F847" s="2"/>
    </row>
    <row r="848" spans="1:6" outlineLevel="1">
      <c r="A848" s="8"/>
      <c r="B848" s="1" t="s">
        <v>921</v>
      </c>
      <c r="C848" s="1"/>
      <c r="D848" s="1"/>
      <c r="E848" s="1"/>
      <c r="F848" s="2"/>
    </row>
    <row r="849" spans="1:6" outlineLevel="1">
      <c r="A849" s="8"/>
      <c r="B849" s="1"/>
      <c r="C849" s="1"/>
      <c r="D849" s="1"/>
      <c r="E849" s="1"/>
      <c r="F849" s="2"/>
    </row>
    <row r="850" spans="1:6" outlineLevel="1">
      <c r="A850" s="8"/>
      <c r="B850" s="1"/>
      <c r="C850" s="1"/>
      <c r="D850" s="1"/>
      <c r="E850" s="1"/>
      <c r="F850" s="2"/>
    </row>
    <row r="851" spans="1:6" outlineLevel="1">
      <c r="A851" s="8"/>
      <c r="B851" s="1"/>
      <c r="C851" s="1"/>
      <c r="D851" s="1"/>
      <c r="E851" s="1"/>
      <c r="F851" s="2"/>
    </row>
    <row r="852" spans="1:6" outlineLevel="1">
      <c r="A852" s="8"/>
      <c r="B852" s="1"/>
      <c r="C852" s="1"/>
      <c r="D852" s="1"/>
      <c r="E852" s="1"/>
      <c r="F852" s="2"/>
    </row>
    <row r="853" spans="1:6" outlineLevel="1">
      <c r="A853" s="8"/>
      <c r="B853" s="1"/>
      <c r="C853" s="1"/>
      <c r="D853" s="1"/>
      <c r="E853" s="1"/>
      <c r="F853" s="2"/>
    </row>
    <row r="854" spans="1:6" outlineLevel="1">
      <c r="A854" s="8"/>
      <c r="B854" s="1"/>
      <c r="C854" s="1"/>
      <c r="D854" s="1"/>
      <c r="E854" s="1"/>
      <c r="F854" s="2"/>
    </row>
    <row r="855" spans="1:6" ht="15.75" outlineLevel="1" thickBot="1">
      <c r="A855" s="9"/>
      <c r="B855" s="3"/>
      <c r="C855" s="3"/>
      <c r="D855" s="3"/>
      <c r="E855" s="3"/>
      <c r="F855" s="4"/>
    </row>
    <row r="856" spans="1:6" ht="16.5" thickTop="1" thickBot="1"/>
    <row r="857" spans="1:6" ht="15.75" thickTop="1">
      <c r="A857" s="3782" t="s">
        <v>0</v>
      </c>
      <c r="B857" s="3781" t="s">
        <v>1</v>
      </c>
      <c r="C857" s="3781" t="s">
        <v>2</v>
      </c>
      <c r="D857" s="3781" t="s">
        <v>3</v>
      </c>
      <c r="E857" s="3781" t="s">
        <v>4</v>
      </c>
      <c r="F857" s="3765" t="s">
        <v>5</v>
      </c>
    </row>
    <row r="858" spans="1:6" ht="24.75" customHeight="1" thickBot="1">
      <c r="A858" s="3783"/>
      <c r="B858" s="3767"/>
      <c r="C858" s="3767"/>
      <c r="D858" s="3767"/>
      <c r="E858" s="3767"/>
      <c r="F858" s="3766"/>
    </row>
    <row r="859" spans="1:6" ht="15.75" outlineLevel="1" thickTop="1">
      <c r="A859" s="10" t="s">
        <v>978</v>
      </c>
      <c r="B859" s="5" t="s">
        <v>202</v>
      </c>
      <c r="C859" s="1" t="s">
        <v>897</v>
      </c>
      <c r="D859" s="5" t="s">
        <v>360</v>
      </c>
      <c r="E859" s="11">
        <v>0.16</v>
      </c>
      <c r="F859" s="6">
        <v>7859</v>
      </c>
    </row>
    <row r="860" spans="1:6" outlineLevel="1">
      <c r="A860" s="8"/>
      <c r="B860" s="81"/>
      <c r="C860" s="1" t="s">
        <v>898</v>
      </c>
      <c r="D860" s="5" t="s">
        <v>360</v>
      </c>
      <c r="E860" s="11">
        <v>0.16</v>
      </c>
      <c r="F860" s="2">
        <v>7859</v>
      </c>
    </row>
    <row r="861" spans="1:6" outlineLevel="1">
      <c r="A861" s="8"/>
      <c r="B861" s="81"/>
      <c r="C861" s="1" t="s">
        <v>899</v>
      </c>
      <c r="D861" s="5" t="s">
        <v>360</v>
      </c>
      <c r="E861" s="11">
        <v>0.16</v>
      </c>
      <c r="F861" s="2">
        <v>7859</v>
      </c>
    </row>
    <row r="862" spans="1:6" outlineLevel="1">
      <c r="A862" s="8"/>
      <c r="B862" s="1"/>
      <c r="C862" s="1"/>
      <c r="D862" s="5"/>
      <c r="E862" s="1"/>
      <c r="F862" s="2"/>
    </row>
    <row r="863" spans="1:6" outlineLevel="1">
      <c r="A863" s="8"/>
      <c r="B863" s="1"/>
      <c r="C863" s="1"/>
      <c r="D863" s="1"/>
      <c r="E863" s="1"/>
      <c r="F863" s="2"/>
    </row>
    <row r="864" spans="1:6" outlineLevel="1">
      <c r="A864" s="8"/>
      <c r="B864" s="1"/>
      <c r="C864" s="1"/>
      <c r="D864" s="1"/>
      <c r="E864" s="1"/>
      <c r="F864" s="2"/>
    </row>
    <row r="865" spans="1:7" outlineLevel="1">
      <c r="A865" s="8"/>
      <c r="B865" s="1"/>
      <c r="C865" s="1"/>
      <c r="D865" s="1"/>
      <c r="E865" s="1"/>
      <c r="F865" s="2"/>
    </row>
    <row r="866" spans="1:7" outlineLevel="1">
      <c r="A866" s="8"/>
      <c r="B866" s="1"/>
      <c r="C866" s="1"/>
      <c r="D866" s="1"/>
      <c r="E866" s="1"/>
      <c r="F866" s="2"/>
    </row>
    <row r="867" spans="1:7" outlineLevel="1">
      <c r="A867" s="8"/>
      <c r="B867" s="1"/>
      <c r="C867" s="1"/>
      <c r="D867" s="1"/>
      <c r="E867" s="1"/>
      <c r="F867" s="2"/>
    </row>
    <row r="868" spans="1:7" outlineLevel="1">
      <c r="A868" s="8"/>
      <c r="B868" s="1"/>
      <c r="C868" s="1"/>
      <c r="D868" s="1"/>
      <c r="E868" s="1"/>
      <c r="F868" s="2"/>
    </row>
    <row r="869" spans="1:7" outlineLevel="1">
      <c r="A869" s="8"/>
      <c r="B869" s="1"/>
      <c r="C869" s="1"/>
      <c r="D869" s="1"/>
      <c r="E869" s="1"/>
      <c r="F869" s="2"/>
    </row>
    <row r="870" spans="1:7" ht="15.75" outlineLevel="1" thickBot="1">
      <c r="A870" s="9"/>
      <c r="B870" s="3"/>
      <c r="C870" s="3"/>
      <c r="D870" s="3"/>
      <c r="E870" s="3"/>
      <c r="F870" s="4"/>
    </row>
    <row r="871" spans="1:7" ht="16.5" thickTop="1" thickBot="1"/>
    <row r="872" spans="1:7" ht="15.75" thickTop="1">
      <c r="A872" s="3782" t="s">
        <v>0</v>
      </c>
      <c r="B872" s="3781" t="s">
        <v>1</v>
      </c>
      <c r="C872" s="3781" t="s">
        <v>2</v>
      </c>
      <c r="D872" s="3781" t="s">
        <v>3</v>
      </c>
      <c r="E872" s="3781" t="s">
        <v>4</v>
      </c>
      <c r="F872" s="3765" t="s">
        <v>5</v>
      </c>
    </row>
    <row r="873" spans="1:7" ht="15.75" thickBot="1">
      <c r="A873" s="3783"/>
      <c r="B873" s="3767"/>
      <c r="C873" s="3767"/>
      <c r="D873" s="3767"/>
      <c r="E873" s="3767"/>
      <c r="F873" s="3766"/>
    </row>
    <row r="874" spans="1:7" ht="15.75" thickTop="1">
      <c r="A874" s="7" t="s">
        <v>984</v>
      </c>
      <c r="B874" s="191" t="s">
        <v>120</v>
      </c>
      <c r="C874" s="5" t="s">
        <v>71</v>
      </c>
      <c r="D874" s="5" t="s">
        <v>237</v>
      </c>
      <c r="E874" s="11">
        <v>0.05</v>
      </c>
      <c r="F874" s="6">
        <v>146097</v>
      </c>
      <c r="G874" s="336" t="s">
        <v>418</v>
      </c>
    </row>
    <row r="875" spans="1:7">
      <c r="A875" s="8"/>
      <c r="B875" s="31" t="s">
        <v>121</v>
      </c>
      <c r="C875" s="1" t="s">
        <v>74</v>
      </c>
      <c r="D875" s="5" t="s">
        <v>237</v>
      </c>
      <c r="E875" s="11">
        <v>0.05</v>
      </c>
      <c r="F875" s="6">
        <v>146097</v>
      </c>
      <c r="G875" s="336" t="s">
        <v>418</v>
      </c>
    </row>
    <row r="876" spans="1:7">
      <c r="A876" s="8"/>
      <c r="B876" s="31" t="s">
        <v>123</v>
      </c>
      <c r="C876" s="1" t="s">
        <v>72</v>
      </c>
      <c r="D876" s="5" t="s">
        <v>237</v>
      </c>
      <c r="E876" s="11">
        <v>0.05</v>
      </c>
      <c r="F876" s="6">
        <v>146097</v>
      </c>
      <c r="G876" s="336" t="s">
        <v>418</v>
      </c>
    </row>
    <row r="877" spans="1:7">
      <c r="A877" s="8"/>
      <c r="B877" s="31" t="s">
        <v>122</v>
      </c>
      <c r="C877" s="1" t="s">
        <v>73</v>
      </c>
      <c r="D877" s="5" t="s">
        <v>237</v>
      </c>
      <c r="E877" s="11">
        <v>0.05</v>
      </c>
      <c r="F877" s="6">
        <v>146097</v>
      </c>
      <c r="G877" s="336" t="s">
        <v>418</v>
      </c>
    </row>
    <row r="878" spans="1:7">
      <c r="A878" s="8"/>
      <c r="B878" s="1"/>
      <c r="C878" s="1" t="s">
        <v>231</v>
      </c>
      <c r="D878" s="5" t="s">
        <v>237</v>
      </c>
      <c r="E878" s="12">
        <v>0.1</v>
      </c>
      <c r="F878" s="2">
        <v>9136</v>
      </c>
      <c r="G878">
        <f>F878/0.9</f>
        <v>10151.111111111111</v>
      </c>
    </row>
    <row r="879" spans="1:7">
      <c r="A879" s="8"/>
      <c r="B879" s="1"/>
      <c r="C879" s="1" t="s">
        <v>623</v>
      </c>
      <c r="D879" s="5" t="s">
        <v>237</v>
      </c>
      <c r="E879" s="12">
        <v>0.1</v>
      </c>
      <c r="F879" s="2">
        <v>14620</v>
      </c>
      <c r="G879">
        <f>F879/0.9</f>
        <v>16244.444444444443</v>
      </c>
    </row>
    <row r="880" spans="1:7">
      <c r="A880" s="8"/>
      <c r="B880" s="1"/>
      <c r="C880" s="1" t="s">
        <v>684</v>
      </c>
      <c r="D880" s="5" t="s">
        <v>237</v>
      </c>
      <c r="E880" s="12">
        <v>0.1</v>
      </c>
      <c r="F880" s="2">
        <v>6267</v>
      </c>
      <c r="G880" t="s">
        <v>418</v>
      </c>
    </row>
    <row r="881" spans="1:7">
      <c r="A881" s="8"/>
      <c r="B881" s="1"/>
      <c r="C881" s="1" t="s">
        <v>471</v>
      </c>
      <c r="D881" s="5" t="s">
        <v>237</v>
      </c>
      <c r="E881" s="12">
        <v>0.1</v>
      </c>
      <c r="F881" s="2">
        <v>5177</v>
      </c>
      <c r="G881" t="s">
        <v>418</v>
      </c>
    </row>
    <row r="882" spans="1:7">
      <c r="A882" s="8"/>
      <c r="B882" s="1"/>
      <c r="C882" s="1" t="s">
        <v>985</v>
      </c>
      <c r="D882" s="5" t="s">
        <v>237</v>
      </c>
      <c r="E882" s="12">
        <v>0.1</v>
      </c>
      <c r="F882" s="2">
        <v>7459</v>
      </c>
      <c r="G882" t="s">
        <v>418</v>
      </c>
    </row>
    <row r="883" spans="1:7">
      <c r="A883" s="8"/>
      <c r="B883" s="1"/>
      <c r="C883" s="1"/>
      <c r="D883" s="1"/>
      <c r="E883" s="1"/>
      <c r="F883" s="2"/>
    </row>
    <row r="884" spans="1:7">
      <c r="A884" s="8"/>
      <c r="B884" s="1"/>
      <c r="C884" s="1"/>
      <c r="D884" s="1"/>
      <c r="E884" s="1"/>
      <c r="F884" s="2"/>
    </row>
    <row r="885" spans="1:7" ht="15.75" thickBot="1">
      <c r="A885" s="9"/>
      <c r="B885" s="3"/>
      <c r="C885" s="3"/>
      <c r="D885" s="3"/>
      <c r="E885" s="3"/>
      <c r="F885" s="4"/>
    </row>
    <row r="886" spans="1:7" ht="16.5" thickTop="1" thickBot="1"/>
    <row r="887" spans="1:7" ht="15.75" thickTop="1">
      <c r="A887" s="3782" t="s">
        <v>0</v>
      </c>
      <c r="B887" s="3781" t="s">
        <v>1</v>
      </c>
      <c r="C887" s="3781" t="s">
        <v>2</v>
      </c>
      <c r="D887" s="3781" t="s">
        <v>3</v>
      </c>
      <c r="E887" s="3781" t="s">
        <v>4</v>
      </c>
      <c r="F887" s="3765" t="s">
        <v>5</v>
      </c>
    </row>
    <row r="888" spans="1:7" ht="15.75" thickBot="1">
      <c r="A888" s="3783"/>
      <c r="B888" s="3767"/>
      <c r="C888" s="3767"/>
      <c r="D888" s="3767"/>
      <c r="E888" s="3767"/>
      <c r="F888" s="3766"/>
    </row>
    <row r="889" spans="1:7" ht="15.75" thickTop="1">
      <c r="A889" s="7" t="s">
        <v>987</v>
      </c>
      <c r="B889" s="5" t="s">
        <v>285</v>
      </c>
      <c r="C889" s="288" t="s">
        <v>328</v>
      </c>
      <c r="D889" s="288" t="s">
        <v>325</v>
      </c>
      <c r="E889" s="290">
        <v>0.15</v>
      </c>
      <c r="F889" s="291">
        <v>154468</v>
      </c>
    </row>
    <row r="890" spans="1:7">
      <c r="A890" s="8"/>
      <c r="B890" s="81"/>
      <c r="C890" s="81" t="s">
        <v>326</v>
      </c>
      <c r="D890" s="288" t="s">
        <v>325</v>
      </c>
      <c r="E890" s="290">
        <v>0.15</v>
      </c>
      <c r="F890" s="291">
        <v>154468</v>
      </c>
    </row>
    <row r="891" spans="1:7">
      <c r="A891" s="8"/>
      <c r="B891" s="81"/>
      <c r="C891" s="81" t="s">
        <v>327</v>
      </c>
      <c r="D891" s="288" t="s">
        <v>325</v>
      </c>
      <c r="E891" s="290">
        <v>0.15</v>
      </c>
      <c r="F891" s="291">
        <v>154468</v>
      </c>
    </row>
    <row r="892" spans="1:7">
      <c r="A892" s="8"/>
      <c r="B892" s="81"/>
      <c r="C892" s="81"/>
      <c r="D892" s="288"/>
      <c r="E892" s="290"/>
      <c r="F892" s="291"/>
    </row>
    <row r="893" spans="1:7">
      <c r="A893" s="8"/>
      <c r="B893" s="81"/>
      <c r="C893" s="81"/>
      <c r="D893" s="288"/>
      <c r="E893" s="343"/>
      <c r="F893" s="293"/>
    </row>
    <row r="894" spans="1:7">
      <c r="A894" s="8"/>
      <c r="B894" s="81"/>
      <c r="C894" s="81"/>
      <c r="D894" s="288"/>
      <c r="E894" s="343"/>
      <c r="F894" s="293"/>
    </row>
    <row r="895" spans="1:7">
      <c r="A895" s="8"/>
      <c r="B895" s="81"/>
      <c r="C895" s="81"/>
      <c r="D895" s="288"/>
      <c r="E895" s="343"/>
      <c r="F895" s="293"/>
    </row>
    <row r="896" spans="1:7">
      <c r="A896" s="8"/>
      <c r="B896" s="81"/>
      <c r="C896" s="81"/>
      <c r="D896" s="288"/>
      <c r="E896" s="343"/>
      <c r="F896" s="293"/>
    </row>
    <row r="897" spans="1:7">
      <c r="A897" s="8"/>
      <c r="B897" s="81"/>
      <c r="C897" s="81"/>
      <c r="D897" s="288"/>
      <c r="E897" s="343"/>
      <c r="F897" s="293"/>
    </row>
    <row r="898" spans="1:7">
      <c r="A898" s="8"/>
      <c r="B898" s="1"/>
      <c r="C898" s="1"/>
      <c r="D898" s="1"/>
      <c r="E898" s="1"/>
      <c r="F898" s="2"/>
    </row>
    <row r="899" spans="1:7">
      <c r="A899" s="8"/>
      <c r="B899" s="1"/>
      <c r="C899" s="1"/>
      <c r="D899" s="1"/>
      <c r="E899" s="1"/>
      <c r="F899" s="2"/>
    </row>
    <row r="900" spans="1:7" ht="15.75" thickBot="1">
      <c r="A900" s="9"/>
      <c r="B900" s="3"/>
      <c r="C900" s="3"/>
      <c r="D900" s="3"/>
      <c r="E900" s="3"/>
      <c r="F900" s="4"/>
    </row>
    <row r="901" spans="1:7" ht="16.5" thickTop="1" thickBot="1"/>
    <row r="902" spans="1:7" ht="15.75" thickTop="1">
      <c r="A902" s="3782" t="s">
        <v>0</v>
      </c>
      <c r="B902" s="3781" t="s">
        <v>1</v>
      </c>
      <c r="C902" s="3781" t="s">
        <v>2</v>
      </c>
      <c r="D902" s="3781" t="s">
        <v>3</v>
      </c>
      <c r="E902" s="3781" t="s">
        <v>4</v>
      </c>
      <c r="F902" s="3765" t="s">
        <v>5</v>
      </c>
    </row>
    <row r="903" spans="1:7" ht="15.75" thickBot="1">
      <c r="A903" s="3783"/>
      <c r="B903" s="3767"/>
      <c r="C903" s="3767"/>
      <c r="D903" s="3767"/>
      <c r="E903" s="3767"/>
      <c r="F903" s="3766"/>
    </row>
    <row r="904" spans="1:7" ht="15.75" thickTop="1">
      <c r="A904" s="7" t="s">
        <v>1009</v>
      </c>
      <c r="B904" s="191" t="s">
        <v>120</v>
      </c>
      <c r="C904" s="191" t="s">
        <v>1010</v>
      </c>
      <c r="D904" s="191" t="s">
        <v>237</v>
      </c>
      <c r="E904" s="286">
        <v>0.05</v>
      </c>
      <c r="F904" s="279">
        <v>50523</v>
      </c>
      <c r="G904" s="336" t="s">
        <v>418</v>
      </c>
    </row>
    <row r="905" spans="1:7">
      <c r="A905" s="8"/>
      <c r="B905" s="31" t="s">
        <v>121</v>
      </c>
      <c r="C905" s="31" t="s">
        <v>1011</v>
      </c>
      <c r="D905" s="191" t="s">
        <v>237</v>
      </c>
      <c r="E905" s="286">
        <v>0.05</v>
      </c>
      <c r="F905" s="279">
        <v>50523</v>
      </c>
      <c r="G905" s="336" t="s">
        <v>418</v>
      </c>
    </row>
    <row r="906" spans="1:7">
      <c r="A906" s="8"/>
      <c r="B906" s="31" t="s">
        <v>123</v>
      </c>
      <c r="C906" s="31" t="s">
        <v>1012</v>
      </c>
      <c r="D906" s="191" t="s">
        <v>237</v>
      </c>
      <c r="E906" s="286">
        <v>0.05</v>
      </c>
      <c r="F906" s="279">
        <v>50523</v>
      </c>
      <c r="G906" s="336" t="s">
        <v>418</v>
      </c>
    </row>
    <row r="907" spans="1:7">
      <c r="A907" s="8"/>
      <c r="B907" s="31" t="s">
        <v>122</v>
      </c>
      <c r="C907" s="31" t="s">
        <v>1013</v>
      </c>
      <c r="D907" s="191" t="s">
        <v>237</v>
      </c>
      <c r="E907" s="286">
        <v>0.05</v>
      </c>
      <c r="F907" s="279">
        <v>50523</v>
      </c>
      <c r="G907" s="336" t="s">
        <v>418</v>
      </c>
    </row>
    <row r="908" spans="1:7">
      <c r="A908" s="8"/>
      <c r="B908" s="81"/>
      <c r="C908" s="31" t="s">
        <v>1014</v>
      </c>
      <c r="D908" s="191" t="s">
        <v>237</v>
      </c>
      <c r="E908" s="287">
        <v>0.05</v>
      </c>
      <c r="F908" s="281">
        <v>151568</v>
      </c>
      <c r="G908" t="s">
        <v>418</v>
      </c>
    </row>
    <row r="909" spans="1:7">
      <c r="A909" s="8"/>
      <c r="B909" s="81"/>
      <c r="C909" s="31" t="s">
        <v>161</v>
      </c>
      <c r="D909" s="191" t="s">
        <v>237</v>
      </c>
      <c r="E909" s="287">
        <v>0.05</v>
      </c>
      <c r="F909" s="281">
        <v>151568</v>
      </c>
      <c r="G909" t="s">
        <v>418</v>
      </c>
    </row>
    <row r="910" spans="1:7">
      <c r="A910" s="8"/>
      <c r="B910" s="81"/>
      <c r="C910" s="31" t="s">
        <v>113</v>
      </c>
      <c r="D910" s="191" t="s">
        <v>237</v>
      </c>
      <c r="E910" s="287">
        <v>0.05</v>
      </c>
      <c r="F910" s="281">
        <v>151568</v>
      </c>
      <c r="G910" t="s">
        <v>418</v>
      </c>
    </row>
    <row r="911" spans="1:7">
      <c r="A911" s="8"/>
      <c r="B911" s="81"/>
      <c r="C911" s="31" t="s">
        <v>160</v>
      </c>
      <c r="D911" s="191" t="s">
        <v>237</v>
      </c>
      <c r="E911" s="287">
        <v>0.05</v>
      </c>
      <c r="F911" s="281">
        <v>151568</v>
      </c>
      <c r="G911" t="s">
        <v>418</v>
      </c>
    </row>
    <row r="912" spans="1:7">
      <c r="A912" s="8"/>
      <c r="B912" s="81"/>
      <c r="C912" s="81" t="s">
        <v>485</v>
      </c>
      <c r="D912" s="288" t="s">
        <v>237</v>
      </c>
      <c r="E912" s="359">
        <v>0.1</v>
      </c>
      <c r="F912" s="293">
        <v>4545</v>
      </c>
      <c r="G912" t="s">
        <v>418</v>
      </c>
    </row>
    <row r="913" spans="1:7">
      <c r="A913" s="8"/>
      <c r="B913" s="81"/>
      <c r="C913" s="81" t="s">
        <v>486</v>
      </c>
      <c r="D913" s="288" t="s">
        <v>237</v>
      </c>
      <c r="E913" s="359">
        <v>0.1</v>
      </c>
      <c r="F913" s="293">
        <v>4545</v>
      </c>
      <c r="G913" t="s">
        <v>418</v>
      </c>
    </row>
    <row r="914" spans="1:7">
      <c r="A914" s="8"/>
      <c r="B914" s="81"/>
      <c r="C914" s="81" t="s">
        <v>153</v>
      </c>
      <c r="D914" s="288" t="s">
        <v>237</v>
      </c>
      <c r="E914" s="359">
        <v>0.1</v>
      </c>
      <c r="F914" s="293">
        <v>5585</v>
      </c>
      <c r="G914">
        <f>F914/0.9</f>
        <v>6205.5555555555557</v>
      </c>
    </row>
    <row r="915" spans="1:7">
      <c r="A915" s="8"/>
      <c r="B915" s="81"/>
      <c r="C915" s="81" t="s">
        <v>155</v>
      </c>
      <c r="D915" s="288" t="s">
        <v>237</v>
      </c>
      <c r="E915" s="359">
        <v>0.1</v>
      </c>
      <c r="F915" s="293">
        <v>6873</v>
      </c>
      <c r="G915">
        <f>F915/0.9</f>
        <v>7636.6666666666661</v>
      </c>
    </row>
    <row r="916" spans="1:7">
      <c r="A916" s="8"/>
      <c r="B916" s="1"/>
      <c r="C916" s="31" t="s">
        <v>385</v>
      </c>
      <c r="D916" s="191" t="s">
        <v>237</v>
      </c>
      <c r="E916" s="287">
        <v>0.1</v>
      </c>
      <c r="F916" s="281">
        <v>5942</v>
      </c>
      <c r="G916" t="s">
        <v>418</v>
      </c>
    </row>
    <row r="917" spans="1:7">
      <c r="A917" s="8"/>
      <c r="B917" s="1"/>
      <c r="C917" s="31" t="s">
        <v>760</v>
      </c>
      <c r="D917" s="191" t="s">
        <v>237</v>
      </c>
      <c r="E917" s="287">
        <v>0.05</v>
      </c>
      <c r="F917" s="281">
        <v>35546</v>
      </c>
      <c r="G917" t="s">
        <v>418</v>
      </c>
    </row>
    <row r="918" spans="1:7" ht="15.75" thickBot="1">
      <c r="A918" s="9"/>
      <c r="B918" s="3"/>
      <c r="C918" s="283" t="s">
        <v>899</v>
      </c>
      <c r="D918" s="191" t="s">
        <v>237</v>
      </c>
      <c r="E918" s="357">
        <v>0.1</v>
      </c>
      <c r="F918" s="284">
        <v>8789</v>
      </c>
      <c r="G918" t="s">
        <v>418</v>
      </c>
    </row>
    <row r="919" spans="1:7" ht="16.5" thickTop="1" thickBot="1">
      <c r="C919" s="358"/>
    </row>
    <row r="920" spans="1:7" ht="15.75" thickTop="1">
      <c r="A920" s="3782" t="s">
        <v>0</v>
      </c>
      <c r="B920" s="3781" t="s">
        <v>1</v>
      </c>
      <c r="C920" s="3781" t="s">
        <v>2</v>
      </c>
      <c r="D920" s="3781" t="s">
        <v>3</v>
      </c>
      <c r="E920" s="3781" t="s">
        <v>4</v>
      </c>
      <c r="F920" s="3765" t="s">
        <v>5</v>
      </c>
    </row>
    <row r="921" spans="1:7" ht="15.75" thickBot="1">
      <c r="A921" s="3783"/>
      <c r="B921" s="3767"/>
      <c r="C921" s="3767"/>
      <c r="D921" s="3767"/>
      <c r="E921" s="3767"/>
      <c r="F921" s="3766"/>
    </row>
    <row r="922" spans="1:7" ht="15.75" thickTop="1">
      <c r="A922" s="10" t="s">
        <v>1019</v>
      </c>
      <c r="B922" s="5" t="s">
        <v>202</v>
      </c>
      <c r="C922" s="1" t="s">
        <v>226</v>
      </c>
      <c r="D922" s="5" t="s">
        <v>360</v>
      </c>
      <c r="E922" s="11">
        <v>0.16</v>
      </c>
      <c r="F922" s="6">
        <v>4891</v>
      </c>
    </row>
    <row r="923" spans="1:7">
      <c r="A923" s="8"/>
      <c r="B923" s="81"/>
      <c r="C923" s="1" t="s">
        <v>227</v>
      </c>
      <c r="D923" s="5" t="s">
        <v>360</v>
      </c>
      <c r="E923" s="11">
        <v>0.16</v>
      </c>
      <c r="F923" s="2">
        <v>4891</v>
      </c>
    </row>
    <row r="924" spans="1:7">
      <c r="A924" s="8"/>
      <c r="B924" s="81"/>
      <c r="C924" s="1" t="s">
        <v>228</v>
      </c>
      <c r="D924" s="5" t="s">
        <v>360</v>
      </c>
      <c r="E924" s="11">
        <v>0.16</v>
      </c>
      <c r="F924" s="2">
        <v>4891</v>
      </c>
    </row>
    <row r="925" spans="1:7">
      <c r="A925" s="8"/>
      <c r="B925" s="81"/>
      <c r="C925" s="81"/>
      <c r="D925" s="288"/>
      <c r="E925" s="290"/>
      <c r="F925" s="291"/>
    </row>
    <row r="926" spans="1:7">
      <c r="A926" s="8"/>
      <c r="B926" s="81"/>
      <c r="C926" s="81"/>
      <c r="D926" s="288"/>
      <c r="E926" s="343"/>
      <c r="F926" s="293"/>
    </row>
    <row r="927" spans="1:7">
      <c r="A927" s="8"/>
      <c r="B927" s="81"/>
      <c r="C927" s="81"/>
      <c r="D927" s="288"/>
      <c r="E927" s="343"/>
      <c r="F927" s="293"/>
    </row>
    <row r="928" spans="1:7">
      <c r="A928" s="8"/>
      <c r="B928" s="81"/>
      <c r="C928" s="81"/>
      <c r="D928" s="288"/>
      <c r="E928" s="343"/>
      <c r="F928" s="293"/>
    </row>
    <row r="929" spans="1:6">
      <c r="A929" s="8"/>
      <c r="B929" s="81"/>
      <c r="C929" s="81"/>
      <c r="D929" s="288"/>
      <c r="E929" s="343"/>
      <c r="F929" s="293"/>
    </row>
    <row r="930" spans="1:6">
      <c r="A930" s="8"/>
      <c r="B930" s="81"/>
      <c r="C930" s="81"/>
      <c r="D930" s="288"/>
      <c r="E930" s="343"/>
      <c r="F930" s="293"/>
    </row>
    <row r="931" spans="1:6">
      <c r="A931" s="8"/>
      <c r="B931" s="1"/>
      <c r="C931" s="1"/>
      <c r="D931" s="1"/>
      <c r="E931" s="1"/>
      <c r="F931" s="2"/>
    </row>
    <row r="932" spans="1:6">
      <c r="A932" s="8"/>
      <c r="B932" s="1"/>
      <c r="C932" s="1"/>
      <c r="D932" s="1"/>
      <c r="E932" s="1"/>
      <c r="F932" s="2"/>
    </row>
    <row r="933" spans="1:6" ht="15.75" thickBot="1">
      <c r="A933" s="9"/>
      <c r="B933" s="3"/>
      <c r="C933" s="3"/>
      <c r="D933" s="3"/>
      <c r="E933" s="3"/>
      <c r="F933" s="4"/>
    </row>
    <row r="934" spans="1:6" ht="16.5" thickTop="1" thickBot="1"/>
    <row r="935" spans="1:6" ht="15.75" thickTop="1">
      <c r="A935" s="3782" t="s">
        <v>0</v>
      </c>
      <c r="B935" s="3781" t="s">
        <v>1</v>
      </c>
      <c r="C935" s="3781" t="s">
        <v>2</v>
      </c>
      <c r="D935" s="3781" t="s">
        <v>3</v>
      </c>
      <c r="E935" s="3781" t="s">
        <v>4</v>
      </c>
      <c r="F935" s="3765" t="s">
        <v>5</v>
      </c>
    </row>
    <row r="936" spans="1:6" ht="15.75" thickBot="1">
      <c r="A936" s="3783"/>
      <c r="B936" s="3767"/>
      <c r="C936" s="3767"/>
      <c r="D936" s="3767"/>
      <c r="E936" s="3767"/>
      <c r="F936" s="3766"/>
    </row>
    <row r="937" spans="1:6" ht="15.75" thickTop="1">
      <c r="A937" s="7" t="s">
        <v>1020</v>
      </c>
      <c r="B937" s="298" t="s">
        <v>409</v>
      </c>
      <c r="C937" s="5" t="s">
        <v>950</v>
      </c>
      <c r="D937" s="5" t="s">
        <v>343</v>
      </c>
      <c r="E937" s="11">
        <v>0.15</v>
      </c>
      <c r="F937" s="6">
        <v>9923</v>
      </c>
    </row>
    <row r="938" spans="1:6">
      <c r="A938" s="8"/>
      <c r="B938" s="81" t="s">
        <v>392</v>
      </c>
      <c r="C938" s="1" t="s">
        <v>118</v>
      </c>
      <c r="D938" s="5" t="s">
        <v>343</v>
      </c>
      <c r="E938" s="11">
        <v>0.15</v>
      </c>
      <c r="F938" s="6">
        <v>9923</v>
      </c>
    </row>
    <row r="939" spans="1:6">
      <c r="A939" s="8"/>
      <c r="B939" s="81" t="s">
        <v>534</v>
      </c>
      <c r="C939" s="81" t="s">
        <v>635</v>
      </c>
      <c r="D939" s="5" t="s">
        <v>343</v>
      </c>
      <c r="E939" s="11">
        <v>0.15</v>
      </c>
      <c r="F939" s="291">
        <v>6506</v>
      </c>
    </row>
    <row r="940" spans="1:6">
      <c r="A940" s="8"/>
      <c r="B940" s="1" t="s">
        <v>535</v>
      </c>
      <c r="C940" s="81" t="s">
        <v>636</v>
      </c>
      <c r="D940" s="5" t="s">
        <v>343</v>
      </c>
      <c r="E940" s="11">
        <v>0.15</v>
      </c>
      <c r="F940" s="291">
        <v>6506</v>
      </c>
    </row>
    <row r="941" spans="1:6">
      <c r="A941" s="8"/>
      <c r="B941" s="1" t="s">
        <v>921</v>
      </c>
      <c r="C941" s="81"/>
      <c r="D941" s="288"/>
      <c r="E941" s="343"/>
      <c r="F941" s="293"/>
    </row>
    <row r="942" spans="1:6">
      <c r="A942" s="8"/>
      <c r="B942" s="81"/>
      <c r="C942" s="81"/>
      <c r="D942" s="288"/>
      <c r="E942" s="343"/>
      <c r="F942" s="293"/>
    </row>
    <row r="943" spans="1:6">
      <c r="A943" s="8"/>
      <c r="B943" s="81"/>
      <c r="C943" s="81"/>
      <c r="D943" s="288"/>
      <c r="E943" s="343"/>
      <c r="F943" s="293"/>
    </row>
    <row r="944" spans="1:6">
      <c r="A944" s="8"/>
      <c r="B944" s="81"/>
      <c r="C944" s="81"/>
      <c r="D944" s="288"/>
      <c r="E944" s="343"/>
      <c r="F944" s="293"/>
    </row>
    <row r="945" spans="1:6">
      <c r="A945" s="8"/>
      <c r="B945" s="81"/>
      <c r="C945" s="81"/>
      <c r="D945" s="288"/>
      <c r="E945" s="343"/>
      <c r="F945" s="293"/>
    </row>
    <row r="946" spans="1:6">
      <c r="A946" s="8"/>
      <c r="B946" s="1"/>
      <c r="C946" s="1"/>
      <c r="D946" s="1"/>
      <c r="E946" s="1"/>
      <c r="F946" s="2"/>
    </row>
    <row r="947" spans="1:6">
      <c r="A947" s="8"/>
      <c r="B947" s="1"/>
      <c r="C947" s="1"/>
      <c r="D947" s="1"/>
      <c r="E947" s="1"/>
      <c r="F947" s="2"/>
    </row>
    <row r="948" spans="1:6" ht="15.75" thickBot="1">
      <c r="A948" s="9"/>
      <c r="B948" s="3"/>
      <c r="C948" s="3"/>
      <c r="D948" s="3"/>
      <c r="E948" s="3"/>
      <c r="F948" s="4"/>
    </row>
    <row r="949" spans="1:6" ht="16.5" thickTop="1" thickBot="1"/>
    <row r="950" spans="1:6" ht="15.75" thickTop="1">
      <c r="A950" s="3782" t="s">
        <v>0</v>
      </c>
      <c r="B950" s="3781" t="s">
        <v>1</v>
      </c>
      <c r="C950" s="3781" t="s">
        <v>2</v>
      </c>
      <c r="D950" s="3781" t="s">
        <v>3</v>
      </c>
      <c r="E950" s="3781" t="s">
        <v>4</v>
      </c>
      <c r="F950" s="3765" t="s">
        <v>5</v>
      </c>
    </row>
    <row r="951" spans="1:6" ht="15.75" thickBot="1">
      <c r="A951" s="3783"/>
      <c r="B951" s="3767"/>
      <c r="C951" s="3767"/>
      <c r="D951" s="3767"/>
      <c r="E951" s="3767"/>
      <c r="F951" s="3766"/>
    </row>
    <row r="952" spans="1:6" ht="15.75" thickTop="1">
      <c r="A952" s="7" t="s">
        <v>1063</v>
      </c>
      <c r="B952" s="191" t="s">
        <v>120</v>
      </c>
      <c r="C952" s="288" t="s">
        <v>906</v>
      </c>
      <c r="D952" s="288" t="s">
        <v>237</v>
      </c>
      <c r="E952" s="290">
        <v>0.1</v>
      </c>
      <c r="F952" s="291">
        <v>5491</v>
      </c>
    </row>
    <row r="953" spans="1:6">
      <c r="A953" s="8"/>
      <c r="B953" s="31" t="s">
        <v>121</v>
      </c>
      <c r="C953" s="81" t="s">
        <v>231</v>
      </c>
      <c r="D953" s="288" t="s">
        <v>237</v>
      </c>
      <c r="E953" s="290">
        <v>0.1</v>
      </c>
      <c r="F953" s="291">
        <v>9136</v>
      </c>
    </row>
    <row r="954" spans="1:6">
      <c r="A954" s="8"/>
      <c r="B954" s="31" t="s">
        <v>123</v>
      </c>
      <c r="C954" s="81" t="s">
        <v>1064</v>
      </c>
      <c r="D954" s="288" t="s">
        <v>237</v>
      </c>
      <c r="E954" s="290">
        <v>0.1</v>
      </c>
      <c r="F954" s="291">
        <v>11007</v>
      </c>
    </row>
    <row r="955" spans="1:6">
      <c r="A955" s="8"/>
      <c r="B955" s="31" t="s">
        <v>122</v>
      </c>
      <c r="C955" s="81" t="s">
        <v>1065</v>
      </c>
      <c r="D955" s="288" t="s">
        <v>237</v>
      </c>
      <c r="E955" s="290">
        <v>0.1</v>
      </c>
      <c r="F955" s="291">
        <v>11007</v>
      </c>
    </row>
    <row r="956" spans="1:6">
      <c r="A956" s="8"/>
      <c r="B956" s="81"/>
      <c r="C956" s="81" t="s">
        <v>1066</v>
      </c>
      <c r="D956" s="288" t="s">
        <v>237</v>
      </c>
      <c r="E956" s="290">
        <v>0.1</v>
      </c>
      <c r="F956" s="291">
        <v>11007</v>
      </c>
    </row>
    <row r="957" spans="1:6">
      <c r="A957" s="8"/>
      <c r="B957" s="81"/>
      <c r="C957" s="81" t="s">
        <v>1067</v>
      </c>
      <c r="D957" s="288" t="s">
        <v>237</v>
      </c>
      <c r="E957" s="290">
        <v>0.1</v>
      </c>
      <c r="F957" s="293">
        <v>9101</v>
      </c>
    </row>
    <row r="958" spans="1:6">
      <c r="A958" s="8"/>
      <c r="B958" s="81"/>
      <c r="C958" s="81" t="s">
        <v>1068</v>
      </c>
      <c r="D958" s="288" t="s">
        <v>237</v>
      </c>
      <c r="E958" s="290">
        <v>0.1</v>
      </c>
      <c r="F958" s="293">
        <v>15271</v>
      </c>
    </row>
    <row r="959" spans="1:6">
      <c r="A959" s="8"/>
      <c r="B959" s="81"/>
      <c r="C959" s="81" t="s">
        <v>1085</v>
      </c>
      <c r="D959" s="288" t="s">
        <v>237</v>
      </c>
      <c r="E959" s="290">
        <v>0.1</v>
      </c>
      <c r="F959" s="291">
        <v>11007</v>
      </c>
    </row>
    <row r="960" spans="1:6">
      <c r="A960" s="8"/>
      <c r="B960" s="81"/>
      <c r="C960" s="81" t="s">
        <v>675</v>
      </c>
      <c r="D960" s="288" t="s">
        <v>237</v>
      </c>
      <c r="E960" s="290">
        <v>0.1</v>
      </c>
      <c r="F960" s="293">
        <v>9101</v>
      </c>
    </row>
    <row r="961" spans="1:6">
      <c r="A961" s="8"/>
      <c r="B961" s="1"/>
      <c r="C961" s="1"/>
      <c r="D961" s="1"/>
      <c r="E961" s="1"/>
      <c r="F961" s="2"/>
    </row>
    <row r="962" spans="1:6">
      <c r="A962" s="8"/>
      <c r="B962" s="1"/>
      <c r="C962" s="1"/>
      <c r="D962" s="1"/>
      <c r="E962" s="1"/>
      <c r="F962" s="2"/>
    </row>
    <row r="963" spans="1:6" ht="15.75" thickBot="1">
      <c r="A963" s="9"/>
      <c r="B963" s="3"/>
      <c r="C963" s="3"/>
      <c r="D963" s="3"/>
      <c r="E963" s="3"/>
      <c r="F963" s="4"/>
    </row>
    <row r="964" spans="1:6" ht="16.5" thickTop="1" thickBot="1"/>
    <row r="965" spans="1:6" ht="15.75" thickTop="1">
      <c r="A965" s="3782" t="s">
        <v>0</v>
      </c>
      <c r="B965" s="3781" t="s">
        <v>1</v>
      </c>
      <c r="C965" s="3781" t="s">
        <v>2</v>
      </c>
      <c r="D965" s="3781" t="s">
        <v>3</v>
      </c>
      <c r="E965" s="3781" t="s">
        <v>4</v>
      </c>
      <c r="F965" s="3765" t="s">
        <v>5</v>
      </c>
    </row>
    <row r="966" spans="1:6" ht="15.75" thickBot="1">
      <c r="A966" s="3783"/>
      <c r="B966" s="3767"/>
      <c r="C966" s="3767"/>
      <c r="D966" s="3767"/>
      <c r="E966" s="3767"/>
      <c r="F966" s="3766"/>
    </row>
    <row r="967" spans="1:6" ht="15.75" thickTop="1">
      <c r="A967" s="7" t="s">
        <v>1076</v>
      </c>
      <c r="B967" s="298" t="s">
        <v>409</v>
      </c>
      <c r="C967" s="5" t="s">
        <v>1077</v>
      </c>
      <c r="D967" s="5" t="s">
        <v>343</v>
      </c>
      <c r="E967" s="11">
        <v>0.15</v>
      </c>
      <c r="F967" s="6">
        <v>10689</v>
      </c>
    </row>
    <row r="968" spans="1:6">
      <c r="A968" s="8"/>
      <c r="B968" s="81" t="s">
        <v>392</v>
      </c>
      <c r="C968" s="1" t="s">
        <v>1078</v>
      </c>
      <c r="D968" s="5" t="s">
        <v>343</v>
      </c>
      <c r="E968" s="11">
        <v>0.15</v>
      </c>
      <c r="F968" s="6">
        <v>10689</v>
      </c>
    </row>
    <row r="969" spans="1:6">
      <c r="A969" s="8"/>
      <c r="B969" s="81" t="s">
        <v>534</v>
      </c>
      <c r="C969" s="81" t="s">
        <v>465</v>
      </c>
      <c r="D969" s="5" t="s">
        <v>343</v>
      </c>
      <c r="E969" s="11">
        <v>0.15</v>
      </c>
      <c r="F969" s="291">
        <v>8717</v>
      </c>
    </row>
    <row r="970" spans="1:6">
      <c r="A970" s="8"/>
      <c r="B970" s="1" t="s">
        <v>535</v>
      </c>
      <c r="C970" s="81"/>
      <c r="D970" s="5"/>
      <c r="E970" s="11"/>
      <c r="F970" s="291"/>
    </row>
    <row r="971" spans="1:6">
      <c r="A971" s="8"/>
      <c r="B971" s="1" t="s">
        <v>921</v>
      </c>
      <c r="C971" s="81"/>
      <c r="D971" s="288"/>
      <c r="E971" s="343"/>
      <c r="F971" s="293"/>
    </row>
    <row r="972" spans="1:6">
      <c r="A972" s="8"/>
      <c r="B972" s="81"/>
      <c r="C972" s="81"/>
      <c r="D972" s="288"/>
      <c r="E972" s="343"/>
      <c r="F972" s="293"/>
    </row>
    <row r="973" spans="1:6">
      <c r="A973" s="8"/>
      <c r="B973" s="81"/>
      <c r="C973" s="81"/>
      <c r="D973" s="288"/>
      <c r="E973" s="343"/>
      <c r="F973" s="293"/>
    </row>
    <row r="974" spans="1:6">
      <c r="A974" s="8"/>
      <c r="B974" s="81"/>
      <c r="C974" s="81"/>
      <c r="D974" s="288"/>
      <c r="E974" s="343"/>
      <c r="F974" s="293"/>
    </row>
    <row r="975" spans="1:6">
      <c r="A975" s="8"/>
      <c r="B975" s="81"/>
      <c r="C975" s="81"/>
      <c r="D975" s="288"/>
      <c r="E975" s="343"/>
      <c r="F975" s="293"/>
    </row>
    <row r="976" spans="1:6">
      <c r="A976" s="8"/>
      <c r="B976" s="1"/>
      <c r="C976" s="1"/>
      <c r="D976" s="1"/>
      <c r="E976" s="1"/>
      <c r="F976" s="2"/>
    </row>
    <row r="977" spans="1:6">
      <c r="A977" s="8"/>
      <c r="B977" s="1"/>
      <c r="C977" s="1"/>
      <c r="D977" s="1"/>
      <c r="E977" s="1"/>
      <c r="F977" s="2"/>
    </row>
    <row r="978" spans="1:6" ht="15.75" thickBot="1">
      <c r="A978" s="9"/>
      <c r="B978" s="3"/>
      <c r="C978" s="3"/>
      <c r="D978" s="3"/>
      <c r="E978" s="3"/>
      <c r="F978" s="4"/>
    </row>
    <row r="979" spans="1:6" ht="16.5" thickTop="1" thickBot="1"/>
    <row r="980" spans="1:6" ht="15.75" thickTop="1">
      <c r="A980" s="3782" t="s">
        <v>0</v>
      </c>
      <c r="B980" s="3781" t="s">
        <v>1</v>
      </c>
      <c r="C980" s="3781" t="s">
        <v>2</v>
      </c>
      <c r="D980" s="3781" t="s">
        <v>3</v>
      </c>
      <c r="E980" s="3781" t="s">
        <v>4</v>
      </c>
      <c r="F980" s="3765" t="s">
        <v>5</v>
      </c>
    </row>
    <row r="981" spans="1:6" ht="15.75" thickBot="1">
      <c r="A981" s="3783"/>
      <c r="B981" s="3767"/>
      <c r="C981" s="3767"/>
      <c r="D981" s="3767"/>
      <c r="E981" s="3767"/>
      <c r="F981" s="3766"/>
    </row>
    <row r="982" spans="1:6" ht="15.75" thickTop="1">
      <c r="A982" s="7" t="s">
        <v>1115</v>
      </c>
      <c r="B982" s="288" t="s">
        <v>202</v>
      </c>
      <c r="C982" s="1" t="s">
        <v>226</v>
      </c>
      <c r="D982" s="5" t="s">
        <v>360</v>
      </c>
      <c r="E982" s="290">
        <v>0.1</v>
      </c>
      <c r="F982" s="291">
        <v>7075</v>
      </c>
    </row>
    <row r="983" spans="1:6">
      <c r="A983" s="8"/>
      <c r="B983" s="81"/>
      <c r="C983" s="1" t="s">
        <v>227</v>
      </c>
      <c r="D983" s="5" t="s">
        <v>360</v>
      </c>
      <c r="E983" s="290">
        <v>0.1</v>
      </c>
      <c r="F983" s="291">
        <v>7075</v>
      </c>
    </row>
    <row r="984" spans="1:6">
      <c r="A984" s="8"/>
      <c r="B984" s="81"/>
      <c r="C984" s="1" t="s">
        <v>228</v>
      </c>
      <c r="D984" s="5" t="s">
        <v>360</v>
      </c>
      <c r="E984" s="290">
        <v>0.1</v>
      </c>
      <c r="F984" s="291">
        <v>7075</v>
      </c>
    </row>
    <row r="985" spans="1:6">
      <c r="A985" s="8"/>
      <c r="B985" s="81"/>
      <c r="C985" s="81"/>
      <c r="D985" s="288"/>
      <c r="E985" s="290"/>
      <c r="F985" s="291"/>
    </row>
    <row r="986" spans="1:6">
      <c r="A986" s="8"/>
      <c r="B986" s="81"/>
      <c r="C986" s="81"/>
      <c r="D986" s="288"/>
      <c r="E986" s="343"/>
      <c r="F986" s="293"/>
    </row>
    <row r="987" spans="1:6">
      <c r="A987" s="8"/>
      <c r="B987" s="81"/>
      <c r="C987" s="81"/>
      <c r="D987" s="288"/>
      <c r="E987" s="343"/>
      <c r="F987" s="293"/>
    </row>
    <row r="988" spans="1:6">
      <c r="A988" s="8"/>
      <c r="B988" s="81"/>
      <c r="C988" s="81"/>
      <c r="D988" s="288"/>
      <c r="E988" s="343"/>
      <c r="F988" s="293"/>
    </row>
    <row r="989" spans="1:6">
      <c r="A989" s="8"/>
      <c r="B989" s="81"/>
      <c r="C989" s="81"/>
      <c r="D989" s="288"/>
      <c r="E989" s="343"/>
      <c r="F989" s="293"/>
    </row>
    <row r="990" spans="1:6">
      <c r="A990" s="8"/>
      <c r="B990" s="81"/>
      <c r="C990" s="81"/>
      <c r="D990" s="288"/>
      <c r="E990" s="343"/>
      <c r="F990" s="293"/>
    </row>
    <row r="991" spans="1:6">
      <c r="A991" s="8"/>
      <c r="B991" s="1"/>
      <c r="C991" s="1"/>
      <c r="D991" s="1"/>
      <c r="E991" s="1"/>
      <c r="F991" s="2"/>
    </row>
    <row r="992" spans="1:6">
      <c r="A992" s="8"/>
      <c r="B992" s="1"/>
      <c r="C992" s="1"/>
      <c r="D992" s="1"/>
      <c r="E992" s="1"/>
      <c r="F992" s="2"/>
    </row>
    <row r="993" spans="1:7" ht="15.75" thickBot="1">
      <c r="A993" s="9"/>
      <c r="B993" s="3"/>
      <c r="C993" s="3"/>
      <c r="D993" s="3"/>
      <c r="E993" s="3"/>
      <c r="F993" s="4"/>
    </row>
    <row r="994" spans="1:7" ht="16.5" thickTop="1" thickBot="1"/>
    <row r="995" spans="1:7" ht="15.75" thickTop="1">
      <c r="A995" s="3782" t="s">
        <v>0</v>
      </c>
      <c r="B995" s="3781" t="s">
        <v>1</v>
      </c>
      <c r="C995" s="3781" t="s">
        <v>2</v>
      </c>
      <c r="D995" s="3781" t="s">
        <v>3</v>
      </c>
      <c r="E995" s="3781" t="s">
        <v>4</v>
      </c>
      <c r="F995" s="3765" t="s">
        <v>5</v>
      </c>
    </row>
    <row r="996" spans="1:7" ht="15.75" thickBot="1">
      <c r="A996" s="3783"/>
      <c r="B996" s="3767"/>
      <c r="C996" s="3767"/>
      <c r="D996" s="3767"/>
      <c r="E996" s="3767"/>
      <c r="F996" s="3766"/>
    </row>
    <row r="997" spans="1:7" ht="15.75" thickTop="1">
      <c r="A997" s="7" t="s">
        <v>1139</v>
      </c>
      <c r="B997" s="191" t="s">
        <v>120</v>
      </c>
      <c r="C997" s="288" t="s">
        <v>1141</v>
      </c>
      <c r="D997" s="288" t="s">
        <v>237</v>
      </c>
      <c r="E997" s="290">
        <v>0.1</v>
      </c>
      <c r="F997" s="291">
        <v>2519</v>
      </c>
      <c r="G997">
        <f>F997/0.9</f>
        <v>2798.8888888888887</v>
      </c>
    </row>
    <row r="998" spans="1:7">
      <c r="A998" s="8"/>
      <c r="B998" s="31" t="s">
        <v>121</v>
      </c>
      <c r="C998" s="81" t="s">
        <v>860</v>
      </c>
      <c r="D998" s="288" t="s">
        <v>237</v>
      </c>
      <c r="E998" s="290">
        <v>0.1</v>
      </c>
      <c r="F998" s="291">
        <v>10011</v>
      </c>
      <c r="G998" s="336" t="s">
        <v>418</v>
      </c>
    </row>
    <row r="999" spans="1:7">
      <c r="A999" s="8"/>
      <c r="B999" s="31" t="s">
        <v>123</v>
      </c>
      <c r="C999" s="81" t="s">
        <v>1140</v>
      </c>
      <c r="D999" s="288" t="s">
        <v>237</v>
      </c>
      <c r="E999" s="290">
        <v>0.1</v>
      </c>
      <c r="F999" s="291">
        <v>9561</v>
      </c>
      <c r="G999" t="s">
        <v>418</v>
      </c>
    </row>
    <row r="1000" spans="1:7">
      <c r="A1000" s="8"/>
      <c r="B1000" s="31" t="s">
        <v>122</v>
      </c>
      <c r="C1000" s="81" t="s">
        <v>29</v>
      </c>
      <c r="D1000" s="288" t="s">
        <v>237</v>
      </c>
      <c r="E1000" s="290">
        <v>0.1</v>
      </c>
      <c r="F1000" s="291">
        <v>13536</v>
      </c>
      <c r="G1000" s="336" t="s">
        <v>418</v>
      </c>
    </row>
    <row r="1001" spans="1:7">
      <c r="A1001" s="8"/>
      <c r="B1001" s="81"/>
      <c r="C1001" s="81" t="s">
        <v>899</v>
      </c>
      <c r="D1001" s="288" t="s">
        <v>237</v>
      </c>
      <c r="E1001" s="290">
        <v>0.1</v>
      </c>
      <c r="F1001" s="291">
        <v>13536</v>
      </c>
      <c r="G1001" t="s">
        <v>418</v>
      </c>
    </row>
    <row r="1002" spans="1:7">
      <c r="A1002" s="8"/>
      <c r="B1002" s="81"/>
      <c r="C1002" s="81" t="s">
        <v>228</v>
      </c>
      <c r="D1002" s="288" t="s">
        <v>237</v>
      </c>
      <c r="E1002" s="290">
        <v>0.1</v>
      </c>
      <c r="F1002" s="291">
        <v>7659</v>
      </c>
      <c r="G1002" t="s">
        <v>418</v>
      </c>
    </row>
    <row r="1003" spans="1:7">
      <c r="A1003" s="8"/>
      <c r="B1003" s="81"/>
      <c r="C1003" s="81"/>
      <c r="D1003" s="288"/>
      <c r="E1003" s="290"/>
      <c r="F1003" s="293"/>
    </row>
    <row r="1004" spans="1:7">
      <c r="A1004" s="8"/>
      <c r="B1004" s="81"/>
      <c r="C1004" s="81"/>
      <c r="D1004" s="288"/>
      <c r="E1004" s="290"/>
      <c r="F1004" s="291"/>
    </row>
    <row r="1005" spans="1:7">
      <c r="A1005" s="8"/>
      <c r="B1005" s="81"/>
      <c r="C1005" s="81"/>
      <c r="D1005" s="288"/>
      <c r="E1005" s="290"/>
      <c r="F1005" s="293"/>
    </row>
    <row r="1006" spans="1:7">
      <c r="A1006" s="8"/>
      <c r="B1006" s="1"/>
      <c r="C1006" s="1"/>
      <c r="D1006" s="1"/>
      <c r="E1006" s="1"/>
      <c r="F1006" s="2"/>
    </row>
    <row r="1007" spans="1:7">
      <c r="A1007" s="8"/>
      <c r="B1007" s="1"/>
      <c r="C1007" s="1"/>
      <c r="D1007" s="1"/>
      <c r="E1007" s="1"/>
      <c r="F1007" s="2"/>
    </row>
    <row r="1008" spans="1:7" ht="15.75" thickBot="1">
      <c r="A1008" s="9"/>
      <c r="B1008" s="3"/>
      <c r="C1008" s="3"/>
      <c r="D1008" s="3"/>
      <c r="E1008" s="3"/>
      <c r="F1008" s="4"/>
    </row>
    <row r="1009" spans="1:6" ht="16.5" thickTop="1" thickBot="1"/>
    <row r="1010" spans="1:6" ht="15.75" thickTop="1">
      <c r="A1010" s="3782" t="s">
        <v>0</v>
      </c>
      <c r="B1010" s="3781" t="s">
        <v>1</v>
      </c>
      <c r="C1010" s="3781" t="s">
        <v>2</v>
      </c>
      <c r="D1010" s="3781" t="s">
        <v>3</v>
      </c>
      <c r="E1010" s="3781" t="s">
        <v>4</v>
      </c>
      <c r="F1010" s="3765" t="s">
        <v>5</v>
      </c>
    </row>
    <row r="1011" spans="1:6" ht="15.75" thickBot="1">
      <c r="A1011" s="3783"/>
      <c r="B1011" s="3767"/>
      <c r="C1011" s="3767"/>
      <c r="D1011" s="3767"/>
      <c r="E1011" s="3767"/>
      <c r="F1011" s="3766"/>
    </row>
    <row r="1012" spans="1:6" ht="15.75" thickTop="1">
      <c r="A1012" s="7" t="s">
        <v>1143</v>
      </c>
      <c r="B1012" s="288" t="s">
        <v>202</v>
      </c>
      <c r="C1012" s="1" t="s">
        <v>1058</v>
      </c>
      <c r="D1012" s="5" t="s">
        <v>360</v>
      </c>
      <c r="E1012" s="290">
        <v>0.15</v>
      </c>
      <c r="F1012" s="291">
        <v>16592</v>
      </c>
    </row>
    <row r="1013" spans="1:6">
      <c r="A1013" s="8"/>
      <c r="B1013" s="81"/>
      <c r="C1013" s="1" t="s">
        <v>507</v>
      </c>
      <c r="D1013" s="5" t="s">
        <v>360</v>
      </c>
      <c r="E1013" s="290">
        <v>0.15</v>
      </c>
      <c r="F1013" s="291">
        <v>16592</v>
      </c>
    </row>
    <row r="1014" spans="1:6">
      <c r="A1014" s="8"/>
      <c r="B1014" s="81"/>
      <c r="C1014" s="1"/>
      <c r="D1014" s="5"/>
      <c r="E1014" s="290"/>
      <c r="F1014" s="291"/>
    </row>
    <row r="1015" spans="1:6">
      <c r="A1015" s="8"/>
      <c r="B1015" s="81"/>
      <c r="C1015" s="81"/>
      <c r="D1015" s="288"/>
      <c r="E1015" s="290"/>
      <c r="F1015" s="291"/>
    </row>
    <row r="1016" spans="1:6">
      <c r="A1016" s="8"/>
      <c r="B1016" s="81"/>
      <c r="C1016" s="81"/>
      <c r="D1016" s="288"/>
      <c r="E1016" s="343"/>
      <c r="F1016" s="293"/>
    </row>
    <row r="1017" spans="1:6">
      <c r="A1017" s="8"/>
      <c r="B1017" s="81"/>
      <c r="C1017" s="81"/>
      <c r="D1017" s="288"/>
      <c r="E1017" s="343"/>
      <c r="F1017" s="293"/>
    </row>
    <row r="1018" spans="1:6">
      <c r="A1018" s="8"/>
      <c r="B1018" s="81"/>
      <c r="C1018" s="81"/>
      <c r="D1018" s="288"/>
      <c r="E1018" s="343"/>
      <c r="F1018" s="293"/>
    </row>
    <row r="1019" spans="1:6">
      <c r="A1019" s="8"/>
      <c r="B1019" s="81"/>
      <c r="C1019" s="81"/>
      <c r="D1019" s="288"/>
      <c r="E1019" s="343"/>
      <c r="F1019" s="293"/>
    </row>
    <row r="1020" spans="1:6">
      <c r="A1020" s="8"/>
      <c r="B1020" s="81"/>
      <c r="C1020" s="81"/>
      <c r="D1020" s="288"/>
      <c r="E1020" s="343"/>
      <c r="F1020" s="293"/>
    </row>
    <row r="1021" spans="1:6">
      <c r="A1021" s="8"/>
      <c r="B1021" s="1"/>
      <c r="C1021" s="1"/>
      <c r="D1021" s="1"/>
      <c r="E1021" s="1"/>
      <c r="F1021" s="2"/>
    </row>
    <row r="1022" spans="1:6">
      <c r="A1022" s="8"/>
      <c r="B1022" s="1"/>
      <c r="C1022" s="1"/>
      <c r="D1022" s="1"/>
      <c r="E1022" s="1"/>
      <c r="F1022" s="2"/>
    </row>
    <row r="1023" spans="1:6" ht="15.75" thickBot="1">
      <c r="A1023" s="9"/>
      <c r="B1023" s="3"/>
      <c r="C1023" s="3"/>
      <c r="D1023" s="3"/>
      <c r="E1023" s="3"/>
      <c r="F1023" s="4"/>
    </row>
    <row r="1024" spans="1:6" ht="16.5" thickTop="1" thickBot="1"/>
    <row r="1025" spans="1:6" ht="15.75" thickTop="1">
      <c r="A1025" s="3782" t="s">
        <v>0</v>
      </c>
      <c r="B1025" s="3781" t="s">
        <v>1</v>
      </c>
      <c r="C1025" s="3781" t="s">
        <v>2</v>
      </c>
      <c r="D1025" s="3781" t="s">
        <v>3</v>
      </c>
      <c r="E1025" s="3781" t="s">
        <v>4</v>
      </c>
      <c r="F1025" s="3765" t="s">
        <v>5</v>
      </c>
    </row>
    <row r="1026" spans="1:6" ht="15.75" thickBot="1">
      <c r="A1026" s="3783"/>
      <c r="B1026" s="3767"/>
      <c r="C1026" s="3767"/>
      <c r="D1026" s="3767"/>
      <c r="E1026" s="3767"/>
      <c r="F1026" s="3766"/>
    </row>
    <row r="1027" spans="1:6" ht="15.75" thickTop="1">
      <c r="A1027" s="7" t="s">
        <v>1145</v>
      </c>
      <c r="B1027" s="298" t="s">
        <v>409</v>
      </c>
      <c r="C1027" s="1" t="s">
        <v>897</v>
      </c>
      <c r="D1027" s="5" t="s">
        <v>343</v>
      </c>
      <c r="E1027" s="11">
        <v>0.2</v>
      </c>
      <c r="F1027" s="6">
        <v>11386</v>
      </c>
    </row>
    <row r="1028" spans="1:6">
      <c r="A1028" s="8"/>
      <c r="B1028" s="81" t="s">
        <v>392</v>
      </c>
      <c r="C1028" s="1" t="s">
        <v>898</v>
      </c>
      <c r="D1028" s="5" t="s">
        <v>343</v>
      </c>
      <c r="E1028" s="11">
        <v>0.2</v>
      </c>
      <c r="F1028" s="6">
        <v>11386</v>
      </c>
    </row>
    <row r="1029" spans="1:6">
      <c r="A1029" s="8"/>
      <c r="B1029" s="81" t="s">
        <v>534</v>
      </c>
      <c r="C1029" s="1" t="s">
        <v>899</v>
      </c>
      <c r="D1029" s="5" t="s">
        <v>343</v>
      </c>
      <c r="E1029" s="11">
        <v>0.2</v>
      </c>
      <c r="F1029" s="6">
        <v>11386</v>
      </c>
    </row>
    <row r="1030" spans="1:6">
      <c r="A1030" s="8"/>
      <c r="B1030" s="1" t="s">
        <v>535</v>
      </c>
      <c r="C1030" s="81"/>
      <c r="D1030" s="5"/>
      <c r="E1030" s="11"/>
      <c r="F1030" s="291"/>
    </row>
    <row r="1031" spans="1:6">
      <c r="A1031" s="8"/>
      <c r="B1031" s="1" t="s">
        <v>921</v>
      </c>
      <c r="C1031" s="81"/>
      <c r="D1031" s="288"/>
      <c r="E1031" s="343"/>
      <c r="F1031" s="293"/>
    </row>
    <row r="1032" spans="1:6">
      <c r="A1032" s="8"/>
      <c r="B1032" s="81"/>
      <c r="C1032" s="81"/>
      <c r="D1032" s="288"/>
      <c r="E1032" s="343"/>
      <c r="F1032" s="293"/>
    </row>
    <row r="1033" spans="1:6">
      <c r="A1033" s="8"/>
      <c r="B1033" s="81"/>
      <c r="C1033" s="81"/>
      <c r="D1033" s="288"/>
      <c r="E1033" s="343"/>
      <c r="F1033" s="293"/>
    </row>
    <row r="1034" spans="1:6">
      <c r="A1034" s="8"/>
      <c r="B1034" s="81"/>
      <c r="C1034" s="81"/>
      <c r="D1034" s="288"/>
      <c r="E1034" s="343"/>
      <c r="F1034" s="293"/>
    </row>
    <row r="1035" spans="1:6">
      <c r="A1035" s="8"/>
      <c r="B1035" s="81"/>
      <c r="C1035" s="81"/>
      <c r="D1035" s="288"/>
      <c r="E1035" s="343"/>
      <c r="F1035" s="293"/>
    </row>
    <row r="1036" spans="1:6">
      <c r="A1036" s="8"/>
      <c r="B1036" s="1"/>
      <c r="C1036" s="1"/>
      <c r="D1036" s="1"/>
      <c r="E1036" s="1"/>
      <c r="F1036" s="2"/>
    </row>
    <row r="1037" spans="1:6">
      <c r="A1037" s="8"/>
      <c r="B1037" s="1"/>
      <c r="C1037" s="1"/>
      <c r="D1037" s="1"/>
      <c r="E1037" s="1"/>
      <c r="F1037" s="2"/>
    </row>
    <row r="1038" spans="1:6" ht="15.75" thickBot="1">
      <c r="A1038" s="9"/>
      <c r="B1038" s="3"/>
      <c r="C1038" s="3"/>
      <c r="D1038" s="3"/>
      <c r="E1038" s="3"/>
      <c r="F1038" s="4"/>
    </row>
    <row r="1039" spans="1:6" ht="16.5" thickTop="1" thickBot="1"/>
    <row r="1040" spans="1:6" ht="15.75" thickTop="1">
      <c r="A1040" s="3782" t="s">
        <v>0</v>
      </c>
      <c r="B1040" s="3781" t="s">
        <v>1</v>
      </c>
      <c r="C1040" s="3781" t="s">
        <v>2</v>
      </c>
      <c r="D1040" s="3781" t="s">
        <v>3</v>
      </c>
      <c r="E1040" s="3781" t="s">
        <v>4</v>
      </c>
      <c r="F1040" s="3765" t="s">
        <v>5</v>
      </c>
    </row>
    <row r="1041" spans="1:8" ht="15.75" thickBot="1">
      <c r="A1041" s="3783"/>
      <c r="B1041" s="3767"/>
      <c r="C1041" s="3767"/>
      <c r="D1041" s="3767"/>
      <c r="E1041" s="3767"/>
      <c r="F1041" s="3766"/>
    </row>
    <row r="1042" spans="1:8" ht="15.75" thickTop="1">
      <c r="A1042" s="7" t="s">
        <v>1153</v>
      </c>
      <c r="B1042" s="5" t="s">
        <v>285</v>
      </c>
      <c r="C1042" s="288" t="s">
        <v>113</v>
      </c>
      <c r="D1042" s="288" t="s">
        <v>325</v>
      </c>
      <c r="E1042" s="290">
        <v>0.08</v>
      </c>
      <c r="F1042" s="291">
        <v>208318</v>
      </c>
    </row>
    <row r="1043" spans="1:8">
      <c r="A1043" s="8"/>
      <c r="B1043" s="81"/>
      <c r="C1043" s="81" t="s">
        <v>160</v>
      </c>
      <c r="D1043" s="288" t="s">
        <v>325</v>
      </c>
      <c r="E1043" s="290">
        <v>0.08</v>
      </c>
      <c r="F1043" s="291">
        <v>208318</v>
      </c>
    </row>
    <row r="1044" spans="1:8">
      <c r="A1044" s="8"/>
      <c r="B1044" s="81"/>
      <c r="C1044" s="81" t="s">
        <v>328</v>
      </c>
      <c r="D1044" s="288" t="s">
        <v>325</v>
      </c>
      <c r="E1044" s="290">
        <v>0.1</v>
      </c>
      <c r="F1044" s="291">
        <v>231045</v>
      </c>
      <c r="G1044">
        <v>184836</v>
      </c>
      <c r="H1044">
        <f>G1044/F1044</f>
        <v>0.8</v>
      </c>
    </row>
    <row r="1045" spans="1:8">
      <c r="A1045" s="8"/>
      <c r="B1045" s="81"/>
      <c r="C1045" s="81" t="s">
        <v>326</v>
      </c>
      <c r="D1045" s="288" t="s">
        <v>325</v>
      </c>
      <c r="E1045" s="290">
        <v>0.1</v>
      </c>
      <c r="F1045" s="291">
        <v>231045</v>
      </c>
    </row>
    <row r="1046" spans="1:8">
      <c r="A1046" s="8"/>
      <c r="B1046" s="81"/>
      <c r="C1046" s="81" t="s">
        <v>327</v>
      </c>
      <c r="D1046" s="288" t="s">
        <v>325</v>
      </c>
      <c r="E1046" s="343">
        <v>0.1</v>
      </c>
      <c r="F1046" s="293">
        <v>231045</v>
      </c>
    </row>
    <row r="1047" spans="1:8">
      <c r="A1047" s="8"/>
      <c r="B1047" s="81"/>
      <c r="C1047" s="81"/>
      <c r="D1047" s="288"/>
      <c r="E1047" s="343"/>
      <c r="F1047" s="293"/>
    </row>
    <row r="1048" spans="1:8">
      <c r="A1048" s="8"/>
      <c r="B1048" s="81"/>
      <c r="C1048" s="81"/>
      <c r="D1048" s="288"/>
      <c r="E1048" s="343"/>
      <c r="F1048" s="293"/>
    </row>
    <row r="1049" spans="1:8">
      <c r="A1049" s="8"/>
      <c r="B1049" s="81"/>
      <c r="C1049" s="81"/>
      <c r="D1049" s="288"/>
      <c r="E1049" s="343"/>
      <c r="F1049" s="293"/>
    </row>
    <row r="1050" spans="1:8">
      <c r="A1050" s="8"/>
      <c r="B1050" s="81"/>
      <c r="C1050" s="81"/>
      <c r="D1050" s="288"/>
      <c r="E1050" s="343"/>
      <c r="F1050" s="293"/>
    </row>
    <row r="1051" spans="1:8">
      <c r="A1051" s="8"/>
      <c r="B1051" s="1"/>
      <c r="C1051" s="1"/>
      <c r="D1051" s="1"/>
      <c r="E1051" s="1"/>
      <c r="F1051" s="2"/>
    </row>
    <row r="1052" spans="1:8">
      <c r="A1052" s="8"/>
      <c r="B1052" s="1"/>
      <c r="C1052" s="1"/>
      <c r="D1052" s="1"/>
      <c r="E1052" s="1"/>
      <c r="F1052" s="2"/>
    </row>
    <row r="1053" spans="1:8" ht="15.75" thickBot="1">
      <c r="A1053" s="9"/>
      <c r="B1053" s="3"/>
      <c r="C1053" s="3"/>
      <c r="D1053" s="3"/>
      <c r="E1053" s="3"/>
      <c r="F1053" s="4"/>
    </row>
    <row r="1054" spans="1:8" ht="16.5" thickTop="1" thickBot="1"/>
    <row r="1055" spans="1:8" ht="15.75" thickTop="1">
      <c r="A1055" s="3782" t="s">
        <v>0</v>
      </c>
      <c r="B1055" s="3781" t="s">
        <v>1</v>
      </c>
      <c r="C1055" s="3781" t="s">
        <v>2</v>
      </c>
      <c r="D1055" s="3781" t="s">
        <v>3</v>
      </c>
      <c r="E1055" s="3781" t="s">
        <v>4</v>
      </c>
      <c r="F1055" s="3765" t="s">
        <v>5</v>
      </c>
    </row>
    <row r="1056" spans="1:8" ht="15.75" thickBot="1">
      <c r="A1056" s="3783"/>
      <c r="B1056" s="3767"/>
      <c r="C1056" s="3767"/>
      <c r="D1056" s="3767"/>
      <c r="E1056" s="3767"/>
      <c r="F1056" s="3766"/>
    </row>
    <row r="1057" spans="1:8" ht="15.75" thickTop="1">
      <c r="A1057" s="7" t="s">
        <v>1162</v>
      </c>
      <c r="B1057" s="288" t="s">
        <v>202</v>
      </c>
      <c r="C1057" s="288" t="s">
        <v>68</v>
      </c>
      <c r="D1057" s="5" t="s">
        <v>360</v>
      </c>
      <c r="E1057" s="290">
        <v>0.15</v>
      </c>
      <c r="F1057" s="291">
        <v>13456</v>
      </c>
    </row>
    <row r="1058" spans="1:8">
      <c r="A1058" s="8"/>
      <c r="B1058" s="81"/>
      <c r="C1058" s="81" t="s">
        <v>69</v>
      </c>
      <c r="D1058" s="5" t="s">
        <v>360</v>
      </c>
      <c r="E1058" s="290">
        <v>0.15</v>
      </c>
      <c r="F1058" s="291">
        <v>13456</v>
      </c>
    </row>
    <row r="1059" spans="1:8">
      <c r="A1059" s="8"/>
      <c r="B1059" s="81"/>
      <c r="C1059" s="81" t="s">
        <v>51</v>
      </c>
      <c r="D1059" s="5" t="s">
        <v>360</v>
      </c>
      <c r="E1059" s="290">
        <v>0.15</v>
      </c>
      <c r="F1059" s="291">
        <v>13456</v>
      </c>
    </row>
    <row r="1060" spans="1:8">
      <c r="A1060" s="8"/>
      <c r="B1060" s="81"/>
      <c r="C1060" s="81" t="s">
        <v>52</v>
      </c>
      <c r="D1060" s="5" t="s">
        <v>360</v>
      </c>
      <c r="E1060" s="290">
        <v>0.15</v>
      </c>
      <c r="F1060" s="291">
        <v>13456</v>
      </c>
    </row>
    <row r="1061" spans="1:8">
      <c r="A1061" s="8"/>
      <c r="B1061" s="81"/>
      <c r="C1061" s="81"/>
      <c r="D1061" s="288"/>
      <c r="E1061" s="343"/>
      <c r="F1061" s="293"/>
    </row>
    <row r="1062" spans="1:8">
      <c r="A1062" s="8"/>
      <c r="B1062" s="81"/>
      <c r="C1062" s="81"/>
      <c r="D1062" s="288"/>
      <c r="E1062" s="343"/>
      <c r="F1062" s="293"/>
    </row>
    <row r="1063" spans="1:8">
      <c r="A1063" s="8"/>
      <c r="B1063" s="81"/>
      <c r="C1063" s="81"/>
      <c r="D1063" s="288"/>
      <c r="E1063" s="343"/>
      <c r="F1063" s="293"/>
    </row>
    <row r="1064" spans="1:8">
      <c r="A1064" s="8"/>
      <c r="B1064" s="81"/>
      <c r="C1064" s="81"/>
      <c r="D1064" s="288"/>
      <c r="E1064" s="343"/>
      <c r="F1064" s="293"/>
    </row>
    <row r="1065" spans="1:8">
      <c r="A1065" s="8"/>
      <c r="B1065" s="81"/>
      <c r="C1065" s="81"/>
      <c r="D1065" s="288"/>
      <c r="E1065" s="343"/>
      <c r="F1065" s="293"/>
    </row>
    <row r="1066" spans="1:8">
      <c r="A1066" s="8"/>
      <c r="B1066" s="1"/>
      <c r="C1066" s="1"/>
      <c r="D1066" s="1"/>
      <c r="E1066" s="1"/>
      <c r="F1066" s="2"/>
    </row>
    <row r="1067" spans="1:8">
      <c r="A1067" s="8"/>
      <c r="B1067" s="1"/>
      <c r="C1067" s="1"/>
      <c r="D1067" s="1"/>
      <c r="E1067" s="1"/>
      <c r="F1067" s="2"/>
    </row>
    <row r="1068" spans="1:8" ht="15.75" thickBot="1">
      <c r="A1068" s="9"/>
      <c r="B1068" s="3"/>
      <c r="C1068" s="3"/>
      <c r="D1068" s="3"/>
      <c r="E1068" s="3"/>
      <c r="F1068" s="4"/>
    </row>
    <row r="1069" spans="1:8" ht="16.5" thickTop="1" thickBot="1"/>
    <row r="1070" spans="1:8" ht="15.75" thickTop="1">
      <c r="A1070" s="3782" t="s">
        <v>0</v>
      </c>
      <c r="B1070" s="3781" t="s">
        <v>1</v>
      </c>
      <c r="C1070" s="3781" t="s">
        <v>2</v>
      </c>
      <c r="D1070" s="3781" t="s">
        <v>3</v>
      </c>
      <c r="E1070" s="3781" t="s">
        <v>4</v>
      </c>
      <c r="F1070" s="3765" t="s">
        <v>5</v>
      </c>
    </row>
    <row r="1071" spans="1:8" ht="15.75" thickBot="1">
      <c r="A1071" s="3783"/>
      <c r="B1071" s="3767"/>
      <c r="C1071" s="3767"/>
      <c r="D1071" s="3767"/>
      <c r="E1071" s="3767"/>
      <c r="F1071" s="3766"/>
    </row>
    <row r="1072" spans="1:8" ht="15.75" thickTop="1">
      <c r="A1072" s="7" t="s">
        <v>1202</v>
      </c>
      <c r="B1072" s="191" t="s">
        <v>120</v>
      </c>
      <c r="C1072" s="288" t="s">
        <v>149</v>
      </c>
      <c r="D1072" s="5" t="s">
        <v>237</v>
      </c>
      <c r="E1072" s="290">
        <v>0.1</v>
      </c>
      <c r="F1072" s="291">
        <v>5637</v>
      </c>
      <c r="G1072">
        <f t="shared" ref="G1072:G1077" si="0">F1072/0.9</f>
        <v>6263.333333333333</v>
      </c>
      <c r="H1072" t="s">
        <v>418</v>
      </c>
    </row>
    <row r="1073" spans="1:8">
      <c r="A1073" s="8"/>
      <c r="B1073" s="31" t="s">
        <v>121</v>
      </c>
      <c r="C1073" s="81" t="s">
        <v>906</v>
      </c>
      <c r="D1073" s="5" t="s">
        <v>237</v>
      </c>
      <c r="E1073" s="290">
        <v>0.1</v>
      </c>
      <c r="F1073" s="291">
        <v>8072</v>
      </c>
      <c r="G1073">
        <f t="shared" si="0"/>
        <v>8968.8888888888887</v>
      </c>
      <c r="H1073" t="s">
        <v>418</v>
      </c>
    </row>
    <row r="1074" spans="1:8">
      <c r="A1074" s="8"/>
      <c r="B1074" s="31" t="s">
        <v>123</v>
      </c>
      <c r="C1074" s="81" t="s">
        <v>685</v>
      </c>
      <c r="D1074" s="5" t="s">
        <v>237</v>
      </c>
      <c r="E1074" s="290">
        <v>0.1</v>
      </c>
      <c r="F1074" s="291">
        <v>8774</v>
      </c>
      <c r="G1074">
        <f t="shared" si="0"/>
        <v>9748.8888888888887</v>
      </c>
    </row>
    <row r="1075" spans="1:8">
      <c r="A1075" s="8"/>
      <c r="B1075" s="31" t="s">
        <v>122</v>
      </c>
      <c r="C1075" s="81" t="s">
        <v>231</v>
      </c>
      <c r="D1075" s="5" t="s">
        <v>237</v>
      </c>
      <c r="E1075" s="290">
        <v>0.1</v>
      </c>
      <c r="F1075" s="291">
        <v>13430</v>
      </c>
      <c r="G1075">
        <f t="shared" si="0"/>
        <v>14922.222222222223</v>
      </c>
      <c r="H1075" t="s">
        <v>418</v>
      </c>
    </row>
    <row r="1076" spans="1:8">
      <c r="A1076" s="8"/>
      <c r="B1076" s="81"/>
      <c r="C1076" s="81" t="s">
        <v>485</v>
      </c>
      <c r="D1076" s="5" t="s">
        <v>237</v>
      </c>
      <c r="E1076" s="290">
        <v>0.1</v>
      </c>
      <c r="F1076" s="293">
        <v>6681</v>
      </c>
      <c r="G1076">
        <f t="shared" si="0"/>
        <v>7423.333333333333</v>
      </c>
      <c r="H1076" t="s">
        <v>418</v>
      </c>
    </row>
    <row r="1077" spans="1:8">
      <c r="A1077" s="8"/>
      <c r="B1077" s="81"/>
      <c r="C1077" s="81" t="s">
        <v>486</v>
      </c>
      <c r="D1077" s="5" t="s">
        <v>237</v>
      </c>
      <c r="E1077" s="290">
        <v>0.1</v>
      </c>
      <c r="F1077" s="293">
        <v>6681</v>
      </c>
      <c r="G1077">
        <f t="shared" si="0"/>
        <v>7423.333333333333</v>
      </c>
      <c r="H1077" t="s">
        <v>418</v>
      </c>
    </row>
    <row r="1078" spans="1:8">
      <c r="A1078" s="8"/>
      <c r="B1078" s="81"/>
      <c r="C1078" s="81"/>
      <c r="D1078" s="288"/>
      <c r="E1078" s="343"/>
      <c r="F1078" s="293"/>
    </row>
    <row r="1079" spans="1:8">
      <c r="A1079" s="8"/>
      <c r="B1079" s="81"/>
      <c r="C1079" s="81"/>
      <c r="D1079" s="288"/>
      <c r="E1079" s="343"/>
      <c r="F1079" s="293"/>
    </row>
    <row r="1080" spans="1:8">
      <c r="A1080" s="8"/>
      <c r="B1080" s="81"/>
      <c r="C1080" s="81"/>
      <c r="D1080" s="288"/>
      <c r="E1080" s="343"/>
      <c r="F1080" s="293"/>
    </row>
    <row r="1081" spans="1:8">
      <c r="A1081" s="8"/>
      <c r="B1081" s="1"/>
      <c r="C1081" s="1"/>
      <c r="D1081" s="1"/>
      <c r="E1081" s="1"/>
      <c r="F1081" s="2"/>
    </row>
    <row r="1082" spans="1:8">
      <c r="A1082" s="8"/>
      <c r="B1082" s="1"/>
      <c r="C1082" s="1"/>
      <c r="D1082" s="1"/>
      <c r="E1082" s="1"/>
      <c r="F1082" s="2"/>
    </row>
    <row r="1083" spans="1:8" ht="15.75" thickBot="1">
      <c r="A1083" s="9"/>
      <c r="B1083" s="3"/>
      <c r="C1083" s="3"/>
      <c r="D1083" s="3"/>
      <c r="E1083" s="3"/>
      <c r="F1083" s="4"/>
    </row>
    <row r="1084" spans="1:8" ht="16.5" thickTop="1" thickBot="1"/>
    <row r="1085" spans="1:8" ht="15.75" thickTop="1">
      <c r="A1085" s="3782" t="s">
        <v>0</v>
      </c>
      <c r="B1085" s="3781" t="s">
        <v>1</v>
      </c>
      <c r="C1085" s="3781" t="s">
        <v>2</v>
      </c>
      <c r="D1085" s="3781" t="s">
        <v>3</v>
      </c>
      <c r="E1085" s="3781" t="s">
        <v>4</v>
      </c>
      <c r="F1085" s="3765" t="s">
        <v>5</v>
      </c>
    </row>
    <row r="1086" spans="1:8" ht="15.75" thickBot="1">
      <c r="A1086" s="3783"/>
      <c r="B1086" s="3767"/>
      <c r="C1086" s="3767"/>
      <c r="D1086" s="3767"/>
      <c r="E1086" s="3767"/>
      <c r="F1086" s="3766"/>
    </row>
    <row r="1087" spans="1:8" ht="15.75" thickTop="1">
      <c r="A1087" s="7" t="s">
        <v>1181</v>
      </c>
      <c r="B1087" s="5" t="s">
        <v>285</v>
      </c>
      <c r="C1087" s="81" t="s">
        <v>328</v>
      </c>
      <c r="D1087" s="288" t="s">
        <v>325</v>
      </c>
      <c r="E1087" s="290">
        <v>0.28000000000000003</v>
      </c>
      <c r="F1087" s="291">
        <v>184836</v>
      </c>
      <c r="G1087">
        <v>256718</v>
      </c>
    </row>
    <row r="1088" spans="1:8">
      <c r="A1088" s="8"/>
      <c r="B1088" s="81"/>
      <c r="C1088" s="81" t="s">
        <v>326</v>
      </c>
      <c r="D1088" s="288" t="s">
        <v>325</v>
      </c>
      <c r="E1088" s="290">
        <v>0.28000000000000003</v>
      </c>
      <c r="F1088" s="291">
        <v>184836</v>
      </c>
    </row>
    <row r="1089" spans="1:6">
      <c r="A1089" s="8"/>
      <c r="B1089" s="81"/>
      <c r="C1089" s="81" t="s">
        <v>327</v>
      </c>
      <c r="D1089" s="288" t="s">
        <v>325</v>
      </c>
      <c r="E1089" s="290">
        <v>0.28000000000000003</v>
      </c>
      <c r="F1089" s="291">
        <v>184836</v>
      </c>
    </row>
    <row r="1090" spans="1:6">
      <c r="A1090" s="8"/>
      <c r="B1090" s="81"/>
      <c r="C1090" s="81"/>
      <c r="D1090" s="288"/>
      <c r="E1090" s="290"/>
      <c r="F1090" s="291"/>
    </row>
    <row r="1091" spans="1:6">
      <c r="A1091" s="8"/>
      <c r="B1091" s="81"/>
      <c r="C1091" s="81"/>
      <c r="D1091" s="288"/>
      <c r="E1091" s="343"/>
      <c r="F1091" s="293"/>
    </row>
    <row r="1092" spans="1:6">
      <c r="A1092" s="8"/>
      <c r="B1092" s="81"/>
      <c r="C1092" s="81"/>
      <c r="D1092" s="288"/>
      <c r="E1092" s="343"/>
      <c r="F1092" s="293"/>
    </row>
    <row r="1093" spans="1:6">
      <c r="A1093" s="8"/>
      <c r="B1093" s="81"/>
      <c r="C1093" s="81"/>
      <c r="D1093" s="288"/>
      <c r="E1093" s="343"/>
      <c r="F1093" s="293"/>
    </row>
    <row r="1094" spans="1:6">
      <c r="A1094" s="8"/>
      <c r="B1094" s="81"/>
      <c r="C1094" s="81"/>
      <c r="D1094" s="288"/>
      <c r="E1094" s="343"/>
      <c r="F1094" s="293"/>
    </row>
    <row r="1095" spans="1:6">
      <c r="A1095" s="8"/>
      <c r="B1095" s="81"/>
      <c r="C1095" s="81"/>
      <c r="D1095" s="288"/>
      <c r="E1095" s="343"/>
      <c r="F1095" s="293"/>
    </row>
    <row r="1096" spans="1:6">
      <c r="A1096" s="8"/>
      <c r="B1096" s="1"/>
      <c r="C1096" s="1"/>
      <c r="D1096" s="1"/>
      <c r="E1096" s="1"/>
      <c r="F1096" s="2"/>
    </row>
    <row r="1097" spans="1:6">
      <c r="A1097" s="8"/>
      <c r="B1097" s="1"/>
      <c r="C1097" s="1"/>
      <c r="D1097" s="1"/>
      <c r="E1097" s="1"/>
      <c r="F1097" s="2"/>
    </row>
    <row r="1098" spans="1:6" ht="15.75" thickBot="1">
      <c r="A1098" s="9"/>
      <c r="B1098" s="3"/>
      <c r="C1098" s="3"/>
      <c r="D1098" s="3"/>
      <c r="E1098" s="3"/>
      <c r="F1098" s="4"/>
    </row>
    <row r="1099" spans="1:6" ht="16.5" thickTop="1" thickBot="1"/>
    <row r="1100" spans="1:6" ht="15.75" thickTop="1">
      <c r="A1100" s="3782" t="s">
        <v>0</v>
      </c>
      <c r="B1100" s="3781" t="s">
        <v>1</v>
      </c>
      <c r="C1100" s="3781" t="s">
        <v>2</v>
      </c>
      <c r="D1100" s="3781" t="s">
        <v>3</v>
      </c>
      <c r="E1100" s="3781" t="s">
        <v>4</v>
      </c>
      <c r="F1100" s="3765" t="s">
        <v>5</v>
      </c>
    </row>
    <row r="1101" spans="1:6" ht="15.75" thickBot="1">
      <c r="A1101" s="3783"/>
      <c r="B1101" s="3767"/>
      <c r="C1101" s="3767"/>
      <c r="D1101" s="3767"/>
      <c r="E1101" s="3767"/>
      <c r="F1101" s="3766"/>
    </row>
    <row r="1102" spans="1:6" ht="15.75" thickTop="1">
      <c r="A1102" s="7" t="s">
        <v>1182</v>
      </c>
      <c r="B1102" s="191" t="s">
        <v>120</v>
      </c>
      <c r="C1102" s="191" t="s">
        <v>328</v>
      </c>
      <c r="D1102" s="191" t="s">
        <v>237</v>
      </c>
      <c r="E1102" s="278">
        <v>0.1</v>
      </c>
      <c r="F1102" s="279">
        <v>207941</v>
      </c>
    </row>
    <row r="1103" spans="1:6">
      <c r="A1103" s="8"/>
      <c r="B1103" s="31" t="s">
        <v>121</v>
      </c>
      <c r="C1103" s="31" t="s">
        <v>74</v>
      </c>
      <c r="D1103" s="191" t="s">
        <v>237</v>
      </c>
      <c r="E1103" s="278">
        <v>0.1</v>
      </c>
      <c r="F1103" s="279">
        <v>193771</v>
      </c>
    </row>
    <row r="1104" spans="1:6">
      <c r="A1104" s="8"/>
      <c r="B1104" s="31" t="s">
        <v>123</v>
      </c>
      <c r="C1104" s="31" t="s">
        <v>73</v>
      </c>
      <c r="D1104" s="191" t="s">
        <v>237</v>
      </c>
      <c r="E1104" s="278">
        <v>0.1</v>
      </c>
      <c r="F1104" s="279">
        <v>193771</v>
      </c>
    </row>
    <row r="1105" spans="1:7">
      <c r="A1105" s="8"/>
      <c r="B1105" s="31" t="s">
        <v>122</v>
      </c>
      <c r="C1105" s="31" t="s">
        <v>1183</v>
      </c>
      <c r="D1105" s="191" t="s">
        <v>237</v>
      </c>
      <c r="E1105" s="278">
        <v>0.1</v>
      </c>
      <c r="F1105" s="281">
        <v>153966</v>
      </c>
      <c r="G1105">
        <f>F1105/0.9</f>
        <v>171073.33333333334</v>
      </c>
    </row>
    <row r="1106" spans="1:7">
      <c r="A1106" s="8"/>
      <c r="B1106" s="81"/>
      <c r="C1106" s="31" t="s">
        <v>263</v>
      </c>
      <c r="D1106" s="191" t="s">
        <v>237</v>
      </c>
      <c r="E1106" s="278">
        <v>0.1</v>
      </c>
      <c r="F1106" s="281">
        <v>11852</v>
      </c>
      <c r="G1106">
        <f>F1106/0.9</f>
        <v>13168.888888888889</v>
      </c>
    </row>
    <row r="1107" spans="1:7">
      <c r="A1107" s="8"/>
      <c r="B1107" s="31"/>
      <c r="C1107" s="31" t="s">
        <v>1184</v>
      </c>
      <c r="D1107" s="191" t="s">
        <v>237</v>
      </c>
      <c r="E1107" s="278">
        <v>0.1</v>
      </c>
      <c r="F1107" s="281">
        <v>47212</v>
      </c>
    </row>
    <row r="1108" spans="1:7">
      <c r="A1108" s="8"/>
      <c r="B1108" s="81"/>
      <c r="C1108" s="81" t="s">
        <v>985</v>
      </c>
      <c r="D1108" s="5" t="s">
        <v>237</v>
      </c>
      <c r="E1108" s="290">
        <v>0.1</v>
      </c>
      <c r="F1108" s="293">
        <v>8205</v>
      </c>
      <c r="G1108">
        <f>F1108/0.9</f>
        <v>9116.6666666666661</v>
      </c>
    </row>
    <row r="1109" spans="1:7">
      <c r="A1109" s="8"/>
      <c r="B1109" s="31"/>
      <c r="C1109" s="31" t="s">
        <v>68</v>
      </c>
      <c r="D1109" s="191" t="s">
        <v>237</v>
      </c>
      <c r="E1109" s="278">
        <v>0.1</v>
      </c>
      <c r="F1109" s="281">
        <v>15424</v>
      </c>
    </row>
    <row r="1110" spans="1:7">
      <c r="A1110" s="8"/>
      <c r="B1110" s="81"/>
      <c r="C1110" s="81"/>
      <c r="D1110" s="288"/>
      <c r="E1110" s="343"/>
      <c r="F1110" s="293"/>
    </row>
    <row r="1111" spans="1:7">
      <c r="A1111" s="8"/>
      <c r="B1111" s="1"/>
      <c r="C1111" s="1"/>
      <c r="D1111" s="1"/>
      <c r="E1111" s="1"/>
      <c r="F1111" s="2"/>
    </row>
    <row r="1112" spans="1:7">
      <c r="A1112" s="8"/>
      <c r="B1112" s="1"/>
      <c r="C1112" s="1"/>
      <c r="D1112" s="1"/>
      <c r="E1112" s="1"/>
      <c r="F1112" s="2"/>
    </row>
    <row r="1113" spans="1:7" ht="15.75" thickBot="1">
      <c r="A1113" s="9"/>
      <c r="B1113" s="3"/>
      <c r="C1113" s="3"/>
      <c r="D1113" s="3"/>
      <c r="E1113" s="3"/>
      <c r="F1113" s="4"/>
    </row>
    <row r="1114" spans="1:7" ht="16.5" thickTop="1" thickBot="1"/>
    <row r="1115" spans="1:7" ht="15.75" thickTop="1">
      <c r="A1115" s="3782" t="s">
        <v>0</v>
      </c>
      <c r="B1115" s="3781" t="s">
        <v>1</v>
      </c>
      <c r="C1115" s="3781" t="s">
        <v>2</v>
      </c>
      <c r="D1115" s="3781" t="s">
        <v>3</v>
      </c>
      <c r="E1115" s="3781" t="s">
        <v>4</v>
      </c>
      <c r="F1115" s="3765" t="s">
        <v>5</v>
      </c>
    </row>
    <row r="1116" spans="1:7" ht="15.75" thickBot="1">
      <c r="A1116" s="3783"/>
      <c r="B1116" s="3767"/>
      <c r="C1116" s="3767"/>
      <c r="D1116" s="3767"/>
      <c r="E1116" s="3767"/>
      <c r="F1116" s="3766"/>
    </row>
    <row r="1117" spans="1:7" ht="15.75" thickTop="1">
      <c r="A1117" s="7" t="s">
        <v>1207</v>
      </c>
      <c r="B1117" s="288" t="s">
        <v>202</v>
      </c>
      <c r="C1117" s="1" t="s">
        <v>226</v>
      </c>
      <c r="D1117" s="5" t="s">
        <v>360</v>
      </c>
      <c r="E1117" s="290">
        <v>0.2</v>
      </c>
      <c r="F1117" s="291">
        <v>6289</v>
      </c>
      <c r="G1117">
        <f>F1117/0.8</f>
        <v>7861.25</v>
      </c>
    </row>
    <row r="1118" spans="1:7">
      <c r="A1118" s="8"/>
      <c r="B1118" s="81"/>
      <c r="C1118" s="1" t="s">
        <v>227</v>
      </c>
      <c r="D1118" s="5" t="s">
        <v>360</v>
      </c>
      <c r="E1118" s="290">
        <v>0.2</v>
      </c>
      <c r="F1118" s="291">
        <v>6289</v>
      </c>
    </row>
    <row r="1119" spans="1:7">
      <c r="A1119" s="8"/>
      <c r="B1119" s="81"/>
      <c r="C1119" s="1" t="s">
        <v>228</v>
      </c>
      <c r="D1119" s="5" t="s">
        <v>360</v>
      </c>
      <c r="E1119" s="290">
        <v>0.2</v>
      </c>
      <c r="F1119" s="291">
        <v>6289</v>
      </c>
    </row>
    <row r="1120" spans="1:7">
      <c r="A1120" s="8"/>
      <c r="B1120" s="81"/>
      <c r="C1120" s="81"/>
      <c r="D1120" s="5"/>
      <c r="E1120" s="290"/>
      <c r="F1120" s="291"/>
    </row>
    <row r="1121" spans="1:7">
      <c r="A1121" s="8"/>
      <c r="B1121" s="81"/>
      <c r="C1121" s="81"/>
      <c r="D1121" s="288"/>
      <c r="E1121" s="343"/>
      <c r="F1121" s="293"/>
    </row>
    <row r="1122" spans="1:7">
      <c r="A1122" s="8"/>
      <c r="B1122" s="81"/>
      <c r="C1122" s="81"/>
      <c r="D1122" s="288"/>
      <c r="E1122" s="343"/>
      <c r="F1122" s="293"/>
    </row>
    <row r="1123" spans="1:7">
      <c r="A1123" s="8"/>
      <c r="B1123" s="81"/>
      <c r="C1123" s="81"/>
      <c r="D1123" s="288"/>
      <c r="E1123" s="343"/>
      <c r="F1123" s="293"/>
    </row>
    <row r="1124" spans="1:7">
      <c r="A1124" s="8"/>
      <c r="B1124" s="81"/>
      <c r="C1124" s="81"/>
      <c r="D1124" s="288"/>
      <c r="E1124" s="343"/>
      <c r="F1124" s="293"/>
    </row>
    <row r="1125" spans="1:7">
      <c r="A1125" s="8"/>
      <c r="B1125" s="81"/>
      <c r="C1125" s="81"/>
      <c r="D1125" s="288"/>
      <c r="E1125" s="343"/>
      <c r="F1125" s="293"/>
    </row>
    <row r="1126" spans="1:7">
      <c r="A1126" s="8"/>
      <c r="B1126" s="1"/>
      <c r="C1126" s="1"/>
      <c r="D1126" s="1"/>
      <c r="E1126" s="1"/>
      <c r="F1126" s="2"/>
    </row>
    <row r="1127" spans="1:7">
      <c r="A1127" s="8"/>
      <c r="B1127" s="1"/>
      <c r="C1127" s="1"/>
      <c r="D1127" s="1"/>
      <c r="E1127" s="1"/>
      <c r="F1127" s="2"/>
    </row>
    <row r="1128" spans="1:7" ht="15.75" thickBot="1">
      <c r="A1128" s="9"/>
      <c r="B1128" s="3"/>
      <c r="C1128" s="3"/>
      <c r="D1128" s="3"/>
      <c r="E1128" s="3"/>
      <c r="F1128" s="4"/>
    </row>
    <row r="1129" spans="1:7" ht="16.5" thickTop="1" thickBot="1"/>
    <row r="1130" spans="1:7" ht="15.75" thickTop="1">
      <c r="A1130" s="3782" t="s">
        <v>0</v>
      </c>
      <c r="B1130" s="3781" t="s">
        <v>1</v>
      </c>
      <c r="C1130" s="3781" t="s">
        <v>2</v>
      </c>
      <c r="D1130" s="3781" t="s">
        <v>3</v>
      </c>
      <c r="E1130" s="3781" t="s">
        <v>4</v>
      </c>
      <c r="F1130" s="3765" t="s">
        <v>5</v>
      </c>
    </row>
    <row r="1131" spans="1:7" ht="15.75" thickBot="1">
      <c r="A1131" s="3783"/>
      <c r="B1131" s="3767"/>
      <c r="C1131" s="3767"/>
      <c r="D1131" s="3767"/>
      <c r="E1131" s="3767"/>
      <c r="F1131" s="3766"/>
    </row>
    <row r="1132" spans="1:7" ht="15.75" thickTop="1">
      <c r="A1132" s="7" t="s">
        <v>1213</v>
      </c>
      <c r="B1132" s="5" t="s">
        <v>181</v>
      </c>
      <c r="C1132" s="288" t="s">
        <v>897</v>
      </c>
      <c r="D1132" s="5" t="s">
        <v>343</v>
      </c>
      <c r="E1132" s="290">
        <v>0.2</v>
      </c>
      <c r="F1132" s="291">
        <v>11386</v>
      </c>
      <c r="G1132">
        <v>14232</v>
      </c>
    </row>
    <row r="1133" spans="1:7">
      <c r="A1133" s="8"/>
      <c r="B1133" s="1" t="s">
        <v>366</v>
      </c>
      <c r="C1133" s="81" t="s">
        <v>898</v>
      </c>
      <c r="D1133" s="5" t="s">
        <v>343</v>
      </c>
      <c r="E1133" s="290">
        <v>0.2</v>
      </c>
      <c r="F1133" s="291">
        <v>11386</v>
      </c>
    </row>
    <row r="1134" spans="1:7">
      <c r="A1134" s="8"/>
      <c r="B1134" s="1" t="s">
        <v>180</v>
      </c>
      <c r="C1134" s="81" t="s">
        <v>899</v>
      </c>
      <c r="D1134" s="5" t="s">
        <v>343</v>
      </c>
      <c r="E1134" s="290">
        <v>0.2</v>
      </c>
      <c r="F1134" s="291">
        <v>11386</v>
      </c>
    </row>
    <row r="1135" spans="1:7">
      <c r="A1135" s="8"/>
      <c r="B1135" s="1" t="s">
        <v>135</v>
      </c>
      <c r="C1135" s="81"/>
      <c r="D1135" s="288"/>
      <c r="E1135" s="290"/>
      <c r="F1135" s="291"/>
    </row>
    <row r="1136" spans="1:7">
      <c r="A1136" s="8"/>
      <c r="B1136" s="1" t="s">
        <v>805</v>
      </c>
      <c r="C1136" s="81"/>
      <c r="D1136" s="288"/>
      <c r="E1136" s="343"/>
      <c r="F1136" s="293"/>
    </row>
    <row r="1137" spans="1:7">
      <c r="A1137" s="8"/>
      <c r="B1137" s="81"/>
      <c r="C1137" s="81"/>
      <c r="D1137" s="288"/>
      <c r="E1137" s="343"/>
      <c r="F1137" s="293"/>
    </row>
    <row r="1138" spans="1:7">
      <c r="A1138" s="8"/>
      <c r="B1138" s="81"/>
      <c r="C1138" s="81"/>
      <c r="D1138" s="288"/>
      <c r="E1138" s="343"/>
      <c r="F1138" s="293"/>
    </row>
    <row r="1139" spans="1:7">
      <c r="A1139" s="8"/>
      <c r="B1139" s="81"/>
      <c r="C1139" s="81"/>
      <c r="D1139" s="288"/>
      <c r="E1139" s="343"/>
      <c r="F1139" s="293"/>
    </row>
    <row r="1140" spans="1:7">
      <c r="A1140" s="8"/>
      <c r="B1140" s="81"/>
      <c r="C1140" s="81"/>
      <c r="D1140" s="288"/>
      <c r="E1140" s="343"/>
      <c r="F1140" s="293"/>
    </row>
    <row r="1141" spans="1:7">
      <c r="A1141" s="8"/>
      <c r="B1141" s="1"/>
      <c r="C1141" s="1"/>
      <c r="D1141" s="1"/>
      <c r="E1141" s="1"/>
      <c r="F1141" s="2"/>
    </row>
    <row r="1142" spans="1:7">
      <c r="A1142" s="8"/>
      <c r="B1142" s="1"/>
      <c r="C1142" s="1"/>
      <c r="D1142" s="1"/>
      <c r="E1142" s="1"/>
      <c r="F1142" s="2"/>
    </row>
    <row r="1143" spans="1:7" ht="15.75" thickBot="1">
      <c r="A1143" s="9"/>
      <c r="B1143" s="3"/>
      <c r="C1143" s="3"/>
      <c r="D1143" s="3"/>
      <c r="E1143" s="3"/>
      <c r="F1143" s="4"/>
    </row>
    <row r="1144" spans="1:7" ht="16.5" thickTop="1" thickBot="1"/>
    <row r="1145" spans="1:7" ht="15.75" thickTop="1">
      <c r="A1145" s="3782" t="s">
        <v>0</v>
      </c>
      <c r="B1145" s="3781" t="s">
        <v>1</v>
      </c>
      <c r="C1145" s="3781" t="s">
        <v>2</v>
      </c>
      <c r="D1145" s="3781" t="s">
        <v>3</v>
      </c>
      <c r="E1145" s="3781" t="s">
        <v>4</v>
      </c>
      <c r="F1145" s="3765" t="s">
        <v>5</v>
      </c>
    </row>
    <row r="1146" spans="1:7" ht="15.75" thickBot="1">
      <c r="A1146" s="3783"/>
      <c r="B1146" s="3767"/>
      <c r="C1146" s="3767"/>
      <c r="D1146" s="3767"/>
      <c r="E1146" s="3767"/>
      <c r="F1146" s="3766"/>
    </row>
    <row r="1147" spans="1:7" ht="15.75" thickTop="1">
      <c r="A1147" s="7" t="s">
        <v>1215</v>
      </c>
      <c r="B1147" s="191" t="s">
        <v>120</v>
      </c>
      <c r="C1147" s="288" t="s">
        <v>326</v>
      </c>
      <c r="D1147" s="5" t="s">
        <v>237</v>
      </c>
      <c r="E1147" s="290">
        <v>0.1</v>
      </c>
      <c r="F1147" s="291">
        <v>207941</v>
      </c>
      <c r="G1147" s="336"/>
    </row>
    <row r="1148" spans="1:7">
      <c r="A1148" s="8"/>
      <c r="B1148" s="31" t="s">
        <v>121</v>
      </c>
      <c r="C1148" s="81" t="s">
        <v>358</v>
      </c>
      <c r="D1148" s="5" t="s">
        <v>237</v>
      </c>
      <c r="E1148" s="290">
        <v>0.1</v>
      </c>
      <c r="F1148" s="291">
        <v>207941</v>
      </c>
      <c r="G1148" s="336"/>
    </row>
    <row r="1149" spans="1:7">
      <c r="A1149" s="8"/>
      <c r="B1149" s="31" t="s">
        <v>123</v>
      </c>
      <c r="C1149" s="81" t="s">
        <v>385</v>
      </c>
      <c r="D1149" s="5" t="s">
        <v>237</v>
      </c>
      <c r="E1149" s="290">
        <v>0.1</v>
      </c>
      <c r="F1149" s="291">
        <v>6536</v>
      </c>
      <c r="G1149" s="336">
        <f>F1149/0.9</f>
        <v>7262.2222222222217</v>
      </c>
    </row>
    <row r="1150" spans="1:7">
      <c r="A1150" s="8"/>
      <c r="B1150" s="31" t="s">
        <v>122</v>
      </c>
      <c r="C1150" s="81" t="s">
        <v>471</v>
      </c>
      <c r="D1150" s="5" t="s">
        <v>237</v>
      </c>
      <c r="E1150" s="290">
        <v>0.1</v>
      </c>
      <c r="F1150" s="293">
        <v>5694</v>
      </c>
      <c r="G1150" s="336">
        <f>F1150/0.9</f>
        <v>6326.6666666666661</v>
      </c>
    </row>
    <row r="1151" spans="1:7">
      <c r="A1151" s="8"/>
      <c r="B1151" s="81"/>
      <c r="C1151" s="81" t="s">
        <v>985</v>
      </c>
      <c r="D1151" s="5" t="s">
        <v>237</v>
      </c>
      <c r="E1151" s="290">
        <v>0.1</v>
      </c>
      <c r="F1151" s="293">
        <v>8205</v>
      </c>
      <c r="G1151" s="336">
        <f>F1151/0.9</f>
        <v>9116.6666666666661</v>
      </c>
    </row>
    <row r="1152" spans="1:7">
      <c r="A1152" s="8"/>
      <c r="B1152" s="81"/>
      <c r="C1152" s="81"/>
      <c r="D1152" s="5"/>
      <c r="E1152" s="290"/>
      <c r="F1152" s="293"/>
    </row>
    <row r="1153" spans="1:6">
      <c r="A1153" s="8"/>
      <c r="B1153" s="81"/>
      <c r="C1153" s="81"/>
      <c r="D1153" s="5"/>
      <c r="E1153" s="290"/>
      <c r="F1153" s="293"/>
    </row>
    <row r="1154" spans="1:6">
      <c r="A1154" s="8"/>
      <c r="B1154" s="81"/>
      <c r="C1154" s="81"/>
      <c r="D1154" s="5"/>
      <c r="E1154" s="290"/>
      <c r="F1154" s="293"/>
    </row>
    <row r="1155" spans="1:6">
      <c r="A1155" s="8"/>
      <c r="B1155" s="81"/>
      <c r="C1155" s="81"/>
      <c r="D1155" s="288"/>
      <c r="E1155" s="343"/>
      <c r="F1155" s="293"/>
    </row>
    <row r="1156" spans="1:6">
      <c r="A1156" s="8"/>
      <c r="B1156" s="1"/>
      <c r="C1156" s="1"/>
      <c r="D1156" s="1"/>
      <c r="E1156" s="1"/>
      <c r="F1156" s="2"/>
    </row>
    <row r="1157" spans="1:6">
      <c r="A1157" s="8"/>
      <c r="B1157" s="1"/>
      <c r="C1157" s="1"/>
      <c r="D1157" s="1"/>
      <c r="E1157" s="1"/>
      <c r="F1157" s="2"/>
    </row>
    <row r="1158" spans="1:6" ht="15.75" thickBot="1">
      <c r="A1158" s="9"/>
      <c r="B1158" s="3"/>
      <c r="C1158" s="3"/>
      <c r="D1158" s="3"/>
      <c r="E1158" s="3"/>
      <c r="F1158" s="4"/>
    </row>
    <row r="1159" spans="1:6" ht="16.5" thickTop="1" thickBot="1"/>
    <row r="1160" spans="1:6" ht="15.75" thickTop="1">
      <c r="A1160" s="3782" t="s">
        <v>0</v>
      </c>
      <c r="B1160" s="3781" t="s">
        <v>1</v>
      </c>
      <c r="C1160" s="3781" t="s">
        <v>2</v>
      </c>
      <c r="D1160" s="3781" t="s">
        <v>3</v>
      </c>
      <c r="E1160" s="3781" t="s">
        <v>4</v>
      </c>
      <c r="F1160" s="3765" t="s">
        <v>5</v>
      </c>
    </row>
    <row r="1161" spans="1:6" ht="15.75" thickBot="1">
      <c r="A1161" s="3783"/>
      <c r="B1161" s="3767"/>
      <c r="C1161" s="3767"/>
      <c r="D1161" s="3767"/>
      <c r="E1161" s="3767"/>
      <c r="F1161" s="3766"/>
    </row>
    <row r="1162" spans="1:6" ht="15.75" thickTop="1">
      <c r="A1162" s="7" t="s">
        <v>1227</v>
      </c>
      <c r="B1162" s="5" t="s">
        <v>181</v>
      </c>
      <c r="C1162" s="1" t="s">
        <v>226</v>
      </c>
      <c r="D1162" s="288" t="s">
        <v>343</v>
      </c>
      <c r="E1162" s="290">
        <v>0.2</v>
      </c>
      <c r="F1162" s="291">
        <v>6442</v>
      </c>
    </row>
    <row r="1163" spans="1:6">
      <c r="A1163" s="8"/>
      <c r="B1163" s="1" t="s">
        <v>366</v>
      </c>
      <c r="C1163" s="1" t="s">
        <v>227</v>
      </c>
      <c r="D1163" s="288" t="s">
        <v>343</v>
      </c>
      <c r="E1163" s="290">
        <v>0.2</v>
      </c>
      <c r="F1163" s="291">
        <v>6442</v>
      </c>
    </row>
    <row r="1164" spans="1:6">
      <c r="A1164" s="8"/>
      <c r="B1164" s="1" t="s">
        <v>180</v>
      </c>
      <c r="C1164" s="1" t="s">
        <v>228</v>
      </c>
      <c r="D1164" s="288" t="s">
        <v>343</v>
      </c>
      <c r="E1164" s="290">
        <v>0.2</v>
      </c>
      <c r="F1164" s="291">
        <v>6442</v>
      </c>
    </row>
    <row r="1165" spans="1:6">
      <c r="A1165" s="8"/>
      <c r="B1165" s="1" t="s">
        <v>135</v>
      </c>
      <c r="C1165" s="81"/>
      <c r="D1165" s="288"/>
      <c r="E1165" s="290"/>
      <c r="F1165" s="291"/>
    </row>
    <row r="1166" spans="1:6">
      <c r="A1166" s="8"/>
      <c r="B1166" s="1" t="s">
        <v>805</v>
      </c>
      <c r="C1166" s="81"/>
      <c r="D1166" s="288"/>
      <c r="E1166" s="343"/>
      <c r="F1166" s="293"/>
    </row>
    <row r="1167" spans="1:6">
      <c r="A1167" s="8"/>
      <c r="B1167" s="81"/>
      <c r="C1167" s="81"/>
      <c r="D1167" s="288"/>
      <c r="E1167" s="343"/>
      <c r="F1167" s="293"/>
    </row>
    <row r="1168" spans="1:6">
      <c r="A1168" s="8"/>
      <c r="B1168" s="81"/>
      <c r="C1168" s="81"/>
      <c r="D1168" s="288"/>
      <c r="E1168" s="343"/>
      <c r="F1168" s="293"/>
    </row>
    <row r="1169" spans="1:6">
      <c r="A1169" s="8"/>
      <c r="B1169" s="81"/>
      <c r="C1169" s="81"/>
      <c r="D1169" s="288"/>
      <c r="E1169" s="343"/>
      <c r="F1169" s="293"/>
    </row>
    <row r="1170" spans="1:6">
      <c r="A1170" s="8"/>
      <c r="B1170" s="81"/>
      <c r="C1170" s="81"/>
      <c r="D1170" s="288"/>
      <c r="E1170" s="343"/>
      <c r="F1170" s="293"/>
    </row>
    <row r="1171" spans="1:6">
      <c r="A1171" s="8"/>
      <c r="B1171" s="1"/>
      <c r="C1171" s="1"/>
      <c r="D1171" s="1"/>
      <c r="E1171" s="1"/>
      <c r="F1171" s="2"/>
    </row>
    <row r="1172" spans="1:6">
      <c r="A1172" s="8"/>
      <c r="B1172" s="1"/>
      <c r="C1172" s="1"/>
      <c r="D1172" s="1"/>
      <c r="E1172" s="1"/>
      <c r="F1172" s="2"/>
    </row>
    <row r="1173" spans="1:6" ht="15.75" thickBot="1">
      <c r="A1173" s="9"/>
      <c r="B1173" s="3"/>
      <c r="C1173" s="3"/>
      <c r="D1173" s="3"/>
      <c r="E1173" s="3"/>
      <c r="F1173" s="4"/>
    </row>
    <row r="1174" spans="1:6" ht="16.5" thickTop="1" thickBot="1"/>
    <row r="1175" spans="1:6" ht="15.75" thickTop="1">
      <c r="A1175" s="3782" t="s">
        <v>0</v>
      </c>
      <c r="B1175" s="3781" t="s">
        <v>1</v>
      </c>
      <c r="C1175" s="3781" t="s">
        <v>2</v>
      </c>
      <c r="D1175" s="3781" t="s">
        <v>3</v>
      </c>
      <c r="E1175" s="3781" t="s">
        <v>4</v>
      </c>
      <c r="F1175" s="3765" t="s">
        <v>5</v>
      </c>
    </row>
    <row r="1176" spans="1:6" ht="15.75" thickBot="1">
      <c r="A1176" s="3783"/>
      <c r="B1176" s="3767"/>
      <c r="C1176" s="3767"/>
      <c r="D1176" s="3767"/>
      <c r="E1176" s="3767"/>
      <c r="F1176" s="3766"/>
    </row>
    <row r="1177" spans="1:6" ht="15.75" thickTop="1">
      <c r="A1177" s="7" t="s">
        <v>1234</v>
      </c>
      <c r="B1177" s="288" t="s">
        <v>120</v>
      </c>
      <c r="C1177" s="288" t="s">
        <v>231</v>
      </c>
      <c r="D1177" s="288" t="s">
        <v>237</v>
      </c>
      <c r="E1177" s="290">
        <v>0.1</v>
      </c>
      <c r="F1177" s="366">
        <v>13430</v>
      </c>
    </row>
    <row r="1178" spans="1:6">
      <c r="A1178" s="8"/>
      <c r="B1178" s="81" t="s">
        <v>121</v>
      </c>
      <c r="C1178" s="31" t="s">
        <v>554</v>
      </c>
      <c r="D1178" s="191" t="s">
        <v>237</v>
      </c>
      <c r="E1178" s="278">
        <v>0.2</v>
      </c>
      <c r="F1178" s="367">
        <v>10264</v>
      </c>
    </row>
    <row r="1179" spans="1:6">
      <c r="A1179" s="8"/>
      <c r="B1179" s="81" t="s">
        <v>123</v>
      </c>
      <c r="C1179" s="31" t="s">
        <v>1119</v>
      </c>
      <c r="D1179" s="191" t="s">
        <v>237</v>
      </c>
      <c r="E1179" s="278">
        <v>0.2</v>
      </c>
      <c r="F1179" s="367">
        <v>10264</v>
      </c>
    </row>
    <row r="1180" spans="1:6">
      <c r="A1180" s="8"/>
      <c r="B1180" s="81" t="s">
        <v>122</v>
      </c>
      <c r="C1180" s="81" t="s">
        <v>898</v>
      </c>
      <c r="D1180" s="288" t="s">
        <v>237</v>
      </c>
      <c r="E1180" s="290">
        <v>0.2</v>
      </c>
      <c r="F1180" s="366">
        <v>12032</v>
      </c>
    </row>
    <row r="1181" spans="1:6">
      <c r="A1181" s="8"/>
      <c r="B1181" s="81"/>
      <c r="C1181" s="31" t="s">
        <v>920</v>
      </c>
      <c r="D1181" s="191" t="s">
        <v>237</v>
      </c>
      <c r="E1181" s="278">
        <v>0.2</v>
      </c>
      <c r="F1181" s="367">
        <v>6534</v>
      </c>
    </row>
    <row r="1182" spans="1:6">
      <c r="A1182" s="8"/>
      <c r="B1182" s="81"/>
      <c r="C1182" s="31" t="s">
        <v>1235</v>
      </c>
      <c r="D1182" s="191" t="s">
        <v>237</v>
      </c>
      <c r="E1182" s="285">
        <v>0.2</v>
      </c>
      <c r="F1182" s="367">
        <v>6534</v>
      </c>
    </row>
    <row r="1183" spans="1:6">
      <c r="A1183" s="8"/>
      <c r="B1183" s="81"/>
      <c r="C1183" s="81" t="s">
        <v>399</v>
      </c>
      <c r="D1183" s="288" t="s">
        <v>237</v>
      </c>
      <c r="E1183" s="343">
        <v>0.1</v>
      </c>
      <c r="F1183" s="370">
        <v>187486</v>
      </c>
    </row>
    <row r="1184" spans="1:6">
      <c r="A1184" s="8"/>
      <c r="B1184" s="81"/>
      <c r="C1184" s="81" t="s">
        <v>398</v>
      </c>
      <c r="D1184" s="288" t="s">
        <v>237</v>
      </c>
      <c r="E1184" s="343">
        <v>0.1</v>
      </c>
      <c r="F1184" s="370">
        <v>187486</v>
      </c>
    </row>
    <row r="1185" spans="1:6">
      <c r="A1185" s="8"/>
      <c r="B1185" s="81"/>
      <c r="C1185" s="81" t="s">
        <v>760</v>
      </c>
      <c r="D1185" s="288" t="s">
        <v>237</v>
      </c>
      <c r="E1185" s="343">
        <v>0.2</v>
      </c>
      <c r="F1185" s="370">
        <v>41469</v>
      </c>
    </row>
    <row r="1186" spans="1:6">
      <c r="A1186" s="8"/>
      <c r="B1186" s="1"/>
      <c r="C1186" s="1"/>
      <c r="D1186" s="1"/>
      <c r="E1186" s="1"/>
      <c r="F1186" s="2"/>
    </row>
    <row r="1187" spans="1:6">
      <c r="A1187" s="8"/>
      <c r="B1187" s="1"/>
      <c r="C1187" s="1"/>
      <c r="D1187" s="1"/>
      <c r="E1187" s="1"/>
      <c r="F1187" s="2"/>
    </row>
    <row r="1188" spans="1:6" ht="15.75" thickBot="1">
      <c r="A1188" s="9"/>
      <c r="B1188" s="3"/>
      <c r="C1188" s="3"/>
      <c r="D1188" s="3"/>
      <c r="E1188" s="3"/>
      <c r="F1188" s="4"/>
    </row>
    <row r="1189" spans="1:6" ht="16.5" thickTop="1" thickBot="1"/>
    <row r="1190" spans="1:6" ht="15.75" thickTop="1">
      <c r="A1190" s="3782" t="s">
        <v>0</v>
      </c>
      <c r="B1190" s="3781" t="s">
        <v>1</v>
      </c>
      <c r="C1190" s="3781" t="s">
        <v>2</v>
      </c>
      <c r="D1190" s="3781" t="s">
        <v>3</v>
      </c>
      <c r="E1190" s="3781" t="s">
        <v>4</v>
      </c>
      <c r="F1190" s="3765" t="s">
        <v>5</v>
      </c>
    </row>
    <row r="1191" spans="1:6" ht="15.75" thickBot="1">
      <c r="A1191" s="3783"/>
      <c r="B1191" s="3767"/>
      <c r="C1191" s="3767"/>
      <c r="D1191" s="3767"/>
      <c r="E1191" s="3767"/>
      <c r="F1191" s="3766"/>
    </row>
    <row r="1192" spans="1:6" ht="15.75" thickTop="1">
      <c r="A1192" s="7" t="s">
        <v>1248</v>
      </c>
      <c r="B1192" s="288" t="s">
        <v>1249</v>
      </c>
      <c r="C1192" s="288" t="s">
        <v>624</v>
      </c>
      <c r="D1192" s="288" t="s">
        <v>325</v>
      </c>
      <c r="E1192" s="290">
        <v>0.1</v>
      </c>
      <c r="F1192" s="291">
        <v>2124</v>
      </c>
    </row>
    <row r="1193" spans="1:6">
      <c r="A1193" s="8"/>
      <c r="B1193" s="81"/>
      <c r="C1193" s="81" t="s">
        <v>1250</v>
      </c>
      <c r="D1193" s="288" t="s">
        <v>325</v>
      </c>
      <c r="E1193" s="290">
        <v>0.1</v>
      </c>
      <c r="F1193" s="291">
        <v>2124</v>
      </c>
    </row>
    <row r="1194" spans="1:6">
      <c r="A1194" s="8"/>
      <c r="B1194" s="81"/>
      <c r="C1194" s="81" t="s">
        <v>623</v>
      </c>
      <c r="D1194" s="288" t="s">
        <v>325</v>
      </c>
      <c r="E1194" s="290">
        <v>0.1</v>
      </c>
      <c r="F1194" s="291">
        <v>21089</v>
      </c>
    </row>
    <row r="1195" spans="1:6">
      <c r="A1195" s="8"/>
      <c r="B1195" s="81"/>
      <c r="C1195" s="81"/>
      <c r="D1195" s="288"/>
      <c r="E1195" s="290"/>
      <c r="F1195" s="291"/>
    </row>
    <row r="1196" spans="1:6">
      <c r="A1196" s="8"/>
      <c r="B1196" s="81"/>
      <c r="C1196" s="81"/>
      <c r="D1196" s="288"/>
      <c r="E1196" s="343"/>
      <c r="F1196" s="293"/>
    </row>
    <row r="1197" spans="1:6">
      <c r="A1197" s="8"/>
      <c r="B1197" s="81"/>
      <c r="C1197" s="81"/>
      <c r="D1197" s="288"/>
      <c r="E1197" s="343"/>
      <c r="F1197" s="293"/>
    </row>
    <row r="1198" spans="1:6">
      <c r="A1198" s="8"/>
      <c r="B1198" s="81"/>
      <c r="C1198" s="81"/>
      <c r="D1198" s="288"/>
      <c r="E1198" s="343"/>
      <c r="F1198" s="293"/>
    </row>
    <row r="1199" spans="1:6">
      <c r="A1199" s="8"/>
      <c r="B1199" s="81"/>
      <c r="C1199" s="81"/>
      <c r="D1199" s="288"/>
      <c r="E1199" s="343"/>
      <c r="F1199" s="293"/>
    </row>
    <row r="1200" spans="1:6">
      <c r="A1200" s="8"/>
      <c r="B1200" s="81"/>
      <c r="C1200" s="81"/>
      <c r="D1200" s="288"/>
      <c r="E1200" s="343"/>
      <c r="F1200" s="293"/>
    </row>
    <row r="1201" spans="1:6">
      <c r="A1201" s="8"/>
      <c r="B1201" s="1"/>
      <c r="C1201" s="1"/>
      <c r="D1201" s="1"/>
      <c r="E1201" s="1"/>
      <c r="F1201" s="2"/>
    </row>
    <row r="1202" spans="1:6">
      <c r="A1202" s="8"/>
      <c r="B1202" s="1"/>
      <c r="C1202" s="1"/>
      <c r="D1202" s="1"/>
      <c r="E1202" s="1"/>
      <c r="F1202" s="2"/>
    </row>
    <row r="1203" spans="1:6" ht="15.75" thickBot="1">
      <c r="A1203" s="9"/>
      <c r="B1203" s="3"/>
      <c r="C1203" s="3"/>
      <c r="D1203" s="3"/>
      <c r="E1203" s="3"/>
      <c r="F1203" s="4"/>
    </row>
    <row r="1204" spans="1:6" ht="16.5" thickTop="1" thickBot="1"/>
    <row r="1205" spans="1:6" ht="15.75" thickTop="1">
      <c r="A1205" s="3782" t="s">
        <v>0</v>
      </c>
      <c r="B1205" s="3781" t="s">
        <v>1</v>
      </c>
      <c r="C1205" s="3781" t="s">
        <v>2</v>
      </c>
      <c r="D1205" s="3781" t="s">
        <v>3</v>
      </c>
      <c r="E1205" s="3781" t="s">
        <v>4</v>
      </c>
      <c r="F1205" s="3765" t="s">
        <v>5</v>
      </c>
    </row>
    <row r="1206" spans="1:6" ht="15.75" thickBot="1">
      <c r="A1206" s="3783"/>
      <c r="B1206" s="3767"/>
      <c r="C1206" s="3767"/>
      <c r="D1206" s="3767"/>
      <c r="E1206" s="3767"/>
      <c r="F1206" s="3766"/>
    </row>
    <row r="1207" spans="1:6" ht="15.75" thickTop="1">
      <c r="A1207" s="7"/>
      <c r="B1207" s="5" t="s">
        <v>181</v>
      </c>
      <c r="C1207" s="288" t="s">
        <v>1251</v>
      </c>
      <c r="D1207" s="288" t="s">
        <v>343</v>
      </c>
      <c r="E1207" s="290">
        <v>0.1</v>
      </c>
      <c r="F1207" s="291">
        <v>99906</v>
      </c>
    </row>
    <row r="1208" spans="1:6">
      <c r="A1208" s="8"/>
      <c r="B1208" s="1" t="s">
        <v>366</v>
      </c>
      <c r="C1208" s="81" t="s">
        <v>1252</v>
      </c>
      <c r="D1208" s="288" t="s">
        <v>343</v>
      </c>
      <c r="E1208" s="290">
        <v>0.1</v>
      </c>
      <c r="F1208" s="291">
        <v>99906</v>
      </c>
    </row>
    <row r="1209" spans="1:6">
      <c r="A1209" s="8"/>
      <c r="B1209" s="1" t="s">
        <v>180</v>
      </c>
      <c r="C1209" s="81" t="s">
        <v>1253</v>
      </c>
      <c r="D1209" s="288" t="s">
        <v>343</v>
      </c>
      <c r="E1209" s="290">
        <v>0.1</v>
      </c>
      <c r="F1209" s="291">
        <v>92820</v>
      </c>
    </row>
    <row r="1210" spans="1:6">
      <c r="A1210" s="8"/>
      <c r="B1210" s="1" t="s">
        <v>135</v>
      </c>
      <c r="C1210" s="81" t="s">
        <v>1254</v>
      </c>
      <c r="D1210" s="288" t="s">
        <v>343</v>
      </c>
      <c r="E1210" s="290">
        <v>0.1</v>
      </c>
      <c r="F1210" s="291">
        <v>92820</v>
      </c>
    </row>
    <row r="1211" spans="1:6">
      <c r="A1211" s="8"/>
      <c r="B1211" s="1" t="s">
        <v>805</v>
      </c>
      <c r="C1211" s="81" t="s">
        <v>1255</v>
      </c>
      <c r="D1211" s="288" t="s">
        <v>343</v>
      </c>
      <c r="E1211" s="290">
        <v>0.1</v>
      </c>
      <c r="F1211" s="293">
        <v>77650</v>
      </c>
    </row>
    <row r="1212" spans="1:6">
      <c r="A1212" s="8"/>
      <c r="B1212" s="81"/>
      <c r="C1212" s="81" t="s">
        <v>1256</v>
      </c>
      <c r="D1212" s="288" t="s">
        <v>343</v>
      </c>
      <c r="E1212" s="290">
        <v>0.1</v>
      </c>
      <c r="F1212" s="293">
        <v>77650</v>
      </c>
    </row>
    <row r="1213" spans="1:6">
      <c r="A1213" s="8"/>
      <c r="B1213" s="81"/>
      <c r="C1213" s="81" t="s">
        <v>1257</v>
      </c>
      <c r="D1213" s="288" t="s">
        <v>343</v>
      </c>
      <c r="E1213" s="290">
        <v>0.1</v>
      </c>
      <c r="F1213" s="293">
        <v>62453</v>
      </c>
    </row>
    <row r="1214" spans="1:6">
      <c r="A1214" s="8"/>
      <c r="B1214" s="81"/>
      <c r="C1214" s="81" t="s">
        <v>549</v>
      </c>
      <c r="D1214" s="288" t="s">
        <v>343</v>
      </c>
      <c r="E1214" s="290">
        <v>0.1</v>
      </c>
      <c r="F1214" s="293">
        <v>263233</v>
      </c>
    </row>
    <row r="1215" spans="1:6">
      <c r="A1215" s="8"/>
      <c r="B1215" s="81"/>
      <c r="C1215" s="81" t="s">
        <v>1258</v>
      </c>
      <c r="D1215" s="288" t="s">
        <v>343</v>
      </c>
      <c r="E1215" s="290">
        <v>0.1</v>
      </c>
      <c r="F1215" s="293">
        <v>263233</v>
      </c>
    </row>
    <row r="1216" spans="1:6">
      <c r="A1216" s="8"/>
      <c r="B1216" s="81"/>
      <c r="C1216" s="81" t="s">
        <v>550</v>
      </c>
      <c r="D1216" s="288" t="s">
        <v>343</v>
      </c>
      <c r="E1216" s="290">
        <v>0.1</v>
      </c>
      <c r="F1216" s="293">
        <v>225221</v>
      </c>
    </row>
    <row r="1217" spans="1:6">
      <c r="A1217" s="8"/>
      <c r="B1217" s="81"/>
      <c r="C1217" s="81" t="s">
        <v>1259</v>
      </c>
      <c r="D1217" s="288" t="s">
        <v>343</v>
      </c>
      <c r="E1217" s="290">
        <v>0.1</v>
      </c>
      <c r="F1217" s="293">
        <v>225221</v>
      </c>
    </row>
    <row r="1218" spans="1:6">
      <c r="A1218" s="8"/>
      <c r="B1218" s="81"/>
      <c r="C1218" s="81" t="s">
        <v>1260</v>
      </c>
      <c r="D1218" s="288" t="s">
        <v>343</v>
      </c>
      <c r="E1218" s="290">
        <v>0.1</v>
      </c>
      <c r="F1218" s="293">
        <v>29471</v>
      </c>
    </row>
    <row r="1219" spans="1:6">
      <c r="A1219" s="8"/>
      <c r="B1219" s="81"/>
      <c r="C1219" s="81" t="s">
        <v>1261</v>
      </c>
      <c r="D1219" s="288" t="s">
        <v>343</v>
      </c>
      <c r="E1219" s="290">
        <v>0.1</v>
      </c>
      <c r="F1219" s="293">
        <v>29471</v>
      </c>
    </row>
    <row r="1220" spans="1:6">
      <c r="A1220" s="8"/>
      <c r="B1220" s="81"/>
      <c r="C1220" s="81" t="s">
        <v>1177</v>
      </c>
      <c r="D1220" s="288" t="s">
        <v>343</v>
      </c>
      <c r="E1220" s="290">
        <v>0.1</v>
      </c>
      <c r="F1220" s="293">
        <v>151463</v>
      </c>
    </row>
    <row r="1221" spans="1:6">
      <c r="A1221" s="8"/>
      <c r="B1221" s="81"/>
      <c r="C1221" s="81" t="s">
        <v>1178</v>
      </c>
      <c r="D1221" s="288" t="s">
        <v>343</v>
      </c>
      <c r="E1221" s="290">
        <v>0.1</v>
      </c>
      <c r="F1221" s="293">
        <v>151463</v>
      </c>
    </row>
    <row r="1222" spans="1:6">
      <c r="A1222" s="8"/>
      <c r="B1222" s="81"/>
      <c r="C1222" s="81" t="s">
        <v>1262</v>
      </c>
      <c r="D1222" s="288" t="s">
        <v>343</v>
      </c>
      <c r="E1222" s="290">
        <v>0.1</v>
      </c>
      <c r="F1222" s="293">
        <v>21874</v>
      </c>
    </row>
    <row r="1223" spans="1:6">
      <c r="A1223" s="8"/>
      <c r="B1223" s="81"/>
      <c r="C1223" s="81" t="s">
        <v>1263</v>
      </c>
      <c r="D1223" s="288" t="s">
        <v>343</v>
      </c>
      <c r="E1223" s="290">
        <v>0.1</v>
      </c>
      <c r="F1223" s="293">
        <v>21874</v>
      </c>
    </row>
    <row r="1224" spans="1:6">
      <c r="A1224" s="8"/>
      <c r="B1224" s="81"/>
      <c r="C1224" s="81" t="s">
        <v>1027</v>
      </c>
      <c r="D1224" s="288" t="s">
        <v>343</v>
      </c>
      <c r="E1224" s="290">
        <v>0.1</v>
      </c>
      <c r="F1224" s="293">
        <v>111988</v>
      </c>
    </row>
    <row r="1225" spans="1:6">
      <c r="A1225" s="8"/>
      <c r="B1225" s="1"/>
      <c r="C1225" s="1" t="s">
        <v>1176</v>
      </c>
      <c r="D1225" s="1" t="s">
        <v>343</v>
      </c>
      <c r="E1225" s="290">
        <v>0.1</v>
      </c>
      <c r="F1225" s="2">
        <v>111988</v>
      </c>
    </row>
    <row r="1226" spans="1:6">
      <c r="A1226" s="8"/>
      <c r="B1226" s="1"/>
      <c r="C1226" s="1" t="s">
        <v>1264</v>
      </c>
      <c r="D1226" s="1" t="s">
        <v>343</v>
      </c>
      <c r="E1226" s="290">
        <v>0.1</v>
      </c>
      <c r="F1226" s="2">
        <v>16401</v>
      </c>
    </row>
    <row r="1227" spans="1:6" ht="15.75" thickBot="1">
      <c r="A1227" s="9"/>
      <c r="B1227" s="3"/>
      <c r="C1227" s="3" t="s">
        <v>1026</v>
      </c>
      <c r="D1227" s="3" t="s">
        <v>343</v>
      </c>
      <c r="E1227" s="290">
        <v>0.1</v>
      </c>
      <c r="F1227" s="4">
        <v>86110</v>
      </c>
    </row>
    <row r="1228" spans="1:6" ht="16.5" thickTop="1" thickBot="1"/>
    <row r="1229" spans="1:6" ht="15.75" thickTop="1">
      <c r="A1229" s="3782" t="s">
        <v>0</v>
      </c>
      <c r="B1229" s="3781" t="s">
        <v>1</v>
      </c>
      <c r="C1229" s="3781" t="s">
        <v>2</v>
      </c>
      <c r="D1229" s="3781" t="s">
        <v>3</v>
      </c>
      <c r="E1229" s="3781" t="s">
        <v>4</v>
      </c>
      <c r="F1229" s="3765" t="s">
        <v>5</v>
      </c>
    </row>
    <row r="1230" spans="1:6" ht="15.75" thickBot="1">
      <c r="A1230" s="3783"/>
      <c r="B1230" s="3767"/>
      <c r="C1230" s="3767"/>
      <c r="D1230" s="3767"/>
      <c r="E1230" s="3767"/>
      <c r="F1230" s="3766"/>
    </row>
    <row r="1231" spans="1:6" ht="15.75" thickTop="1">
      <c r="A1231" s="7" t="s">
        <v>1265</v>
      </c>
      <c r="B1231" s="288" t="s">
        <v>202</v>
      </c>
      <c r="C1231" s="288" t="s">
        <v>68</v>
      </c>
      <c r="D1231" s="5" t="s">
        <v>360</v>
      </c>
      <c r="E1231" s="290">
        <v>0.25</v>
      </c>
      <c r="F1231" s="291">
        <v>10686</v>
      </c>
    </row>
    <row r="1232" spans="1:6">
      <c r="A1232" s="8"/>
      <c r="B1232" s="81"/>
      <c r="C1232" s="81" t="s">
        <v>69</v>
      </c>
      <c r="D1232" s="5" t="s">
        <v>360</v>
      </c>
      <c r="E1232" s="290">
        <v>0.25</v>
      </c>
      <c r="F1232" s="291">
        <v>10686</v>
      </c>
    </row>
    <row r="1233" spans="1:6">
      <c r="A1233" s="8"/>
      <c r="B1233" s="81"/>
      <c r="C1233" s="81"/>
      <c r="D1233" s="288"/>
      <c r="E1233" s="290"/>
      <c r="F1233" s="291"/>
    </row>
    <row r="1234" spans="1:6">
      <c r="A1234" s="8"/>
      <c r="B1234" s="81"/>
      <c r="C1234" s="81"/>
      <c r="D1234" s="288"/>
      <c r="E1234" s="290"/>
      <c r="F1234" s="291"/>
    </row>
    <row r="1235" spans="1:6">
      <c r="A1235" s="8"/>
      <c r="B1235" s="81"/>
      <c r="C1235" s="81"/>
      <c r="D1235" s="288"/>
      <c r="E1235" s="343"/>
      <c r="F1235" s="293"/>
    </row>
    <row r="1236" spans="1:6">
      <c r="A1236" s="8"/>
      <c r="B1236" s="81"/>
      <c r="C1236" s="81"/>
      <c r="D1236" s="288"/>
      <c r="E1236" s="343"/>
      <c r="F1236" s="293"/>
    </row>
    <row r="1237" spans="1:6">
      <c r="A1237" s="8"/>
      <c r="B1237" s="81"/>
      <c r="C1237" s="81"/>
      <c r="D1237" s="288"/>
      <c r="E1237" s="343"/>
      <c r="F1237" s="293"/>
    </row>
    <row r="1238" spans="1:6">
      <c r="A1238" s="8"/>
      <c r="B1238" s="81"/>
      <c r="C1238" s="81"/>
      <c r="D1238" s="288"/>
      <c r="E1238" s="343"/>
      <c r="F1238" s="293"/>
    </row>
    <row r="1239" spans="1:6">
      <c r="A1239" s="8"/>
      <c r="B1239" s="81"/>
      <c r="C1239" s="81"/>
      <c r="D1239" s="288"/>
      <c r="E1239" s="343"/>
      <c r="F1239" s="293"/>
    </row>
    <row r="1240" spans="1:6">
      <c r="A1240" s="8"/>
      <c r="B1240" s="1"/>
      <c r="C1240" s="1"/>
      <c r="D1240" s="1"/>
      <c r="E1240" s="1"/>
      <c r="F1240" s="2"/>
    </row>
    <row r="1241" spans="1:6">
      <c r="A1241" s="8"/>
      <c r="B1241" s="1"/>
      <c r="C1241" s="1"/>
      <c r="D1241" s="1"/>
      <c r="E1241" s="1"/>
      <c r="F1241" s="2"/>
    </row>
    <row r="1242" spans="1:6" ht="15.75" thickBot="1">
      <c r="A1242" s="9"/>
      <c r="B1242" s="3"/>
      <c r="C1242" s="3"/>
      <c r="D1242" s="3"/>
      <c r="E1242" s="3"/>
      <c r="F1242" s="4"/>
    </row>
    <row r="1243" spans="1:6" ht="16.5" thickTop="1" thickBot="1"/>
    <row r="1244" spans="1:6" ht="15.75" thickTop="1">
      <c r="A1244" s="3782" t="s">
        <v>0</v>
      </c>
      <c r="B1244" s="3781" t="s">
        <v>1</v>
      </c>
      <c r="C1244" s="3781" t="s">
        <v>2</v>
      </c>
      <c r="D1244" s="3781" t="s">
        <v>3</v>
      </c>
      <c r="E1244" s="3781" t="s">
        <v>4</v>
      </c>
      <c r="F1244" s="3765" t="s">
        <v>5</v>
      </c>
    </row>
    <row r="1245" spans="1:6" ht="15.75" thickBot="1">
      <c r="A1245" s="3783"/>
      <c r="B1245" s="3767"/>
      <c r="C1245" s="3767"/>
      <c r="D1245" s="3767"/>
      <c r="E1245" s="3767"/>
      <c r="F1245" s="3766"/>
    </row>
    <row r="1246" spans="1:6" ht="15.75" thickTop="1">
      <c r="A1246" s="7" t="s">
        <v>1279</v>
      </c>
      <c r="B1246" s="5" t="s">
        <v>285</v>
      </c>
      <c r="C1246" s="81" t="s">
        <v>328</v>
      </c>
      <c r="D1246" s="288" t="s">
        <v>325</v>
      </c>
      <c r="E1246" s="290">
        <v>0.1</v>
      </c>
      <c r="F1246" s="291">
        <v>197710</v>
      </c>
    </row>
    <row r="1247" spans="1:6">
      <c r="A1247" s="8"/>
      <c r="B1247" s="81"/>
      <c r="C1247" s="81" t="s">
        <v>326</v>
      </c>
      <c r="D1247" s="288" t="s">
        <v>325</v>
      </c>
      <c r="E1247" s="290">
        <v>0.1</v>
      </c>
      <c r="F1247" s="291">
        <v>197710</v>
      </c>
    </row>
    <row r="1248" spans="1:6">
      <c r="A1248" s="8"/>
      <c r="B1248" s="81"/>
      <c r="C1248" s="81" t="s">
        <v>327</v>
      </c>
      <c r="D1248" s="288" t="s">
        <v>325</v>
      </c>
      <c r="E1248" s="290">
        <v>0.1</v>
      </c>
      <c r="F1248" s="291">
        <v>197710</v>
      </c>
    </row>
    <row r="1249" spans="1:7">
      <c r="A1249" s="8"/>
      <c r="B1249" s="81"/>
      <c r="C1249" s="288" t="s">
        <v>113</v>
      </c>
      <c r="D1249" s="288" t="s">
        <v>325</v>
      </c>
      <c r="E1249" s="290">
        <v>0.2</v>
      </c>
      <c r="F1249" s="291">
        <v>156409</v>
      </c>
    </row>
    <row r="1250" spans="1:7">
      <c r="A1250" s="8"/>
      <c r="B1250" s="81"/>
      <c r="C1250" s="81" t="s">
        <v>160</v>
      </c>
      <c r="D1250" s="288" t="s">
        <v>325</v>
      </c>
      <c r="E1250" s="343">
        <v>0.2</v>
      </c>
      <c r="F1250" s="293">
        <v>156409</v>
      </c>
    </row>
    <row r="1251" spans="1:7">
      <c r="A1251" s="8"/>
      <c r="B1251" s="81"/>
      <c r="C1251" s="81"/>
      <c r="D1251" s="288"/>
      <c r="E1251" s="343"/>
      <c r="F1251" s="293"/>
    </row>
    <row r="1252" spans="1:7">
      <c r="A1252" s="8"/>
      <c r="B1252" s="81"/>
      <c r="C1252" s="81"/>
      <c r="D1252" s="288"/>
      <c r="E1252" s="343"/>
      <c r="F1252" s="293"/>
    </row>
    <row r="1253" spans="1:7">
      <c r="A1253" s="8"/>
      <c r="B1253" s="81"/>
      <c r="C1253" s="81"/>
      <c r="D1253" s="288"/>
      <c r="E1253" s="343"/>
      <c r="F1253" s="293"/>
    </row>
    <row r="1254" spans="1:7">
      <c r="A1254" s="8"/>
      <c r="B1254" s="81"/>
      <c r="C1254" s="81"/>
      <c r="D1254" s="288"/>
      <c r="E1254" s="343"/>
      <c r="F1254" s="293"/>
    </row>
    <row r="1255" spans="1:7">
      <c r="A1255" s="8"/>
      <c r="B1255" s="1"/>
      <c r="C1255" s="1"/>
      <c r="D1255" s="1"/>
      <c r="E1255" s="1"/>
      <c r="F1255" s="2"/>
    </row>
    <row r="1256" spans="1:7">
      <c r="A1256" s="8"/>
      <c r="B1256" s="1"/>
      <c r="C1256" s="1"/>
      <c r="D1256" s="1"/>
      <c r="E1256" s="1"/>
      <c r="F1256" s="2"/>
    </row>
    <row r="1257" spans="1:7" ht="15.75" thickBot="1">
      <c r="A1257" s="9"/>
      <c r="B1257" s="3"/>
      <c r="C1257" s="3"/>
      <c r="D1257" s="3"/>
      <c r="E1257" s="3"/>
      <c r="F1257" s="4"/>
    </row>
    <row r="1258" spans="1:7" ht="16.5" thickTop="1" thickBot="1"/>
    <row r="1259" spans="1:7" ht="15.75" thickTop="1">
      <c r="A1259" s="3782" t="s">
        <v>0</v>
      </c>
      <c r="B1259" s="3781" t="s">
        <v>1</v>
      </c>
      <c r="C1259" s="3781" t="s">
        <v>2</v>
      </c>
      <c r="D1259" s="3781" t="s">
        <v>3</v>
      </c>
      <c r="E1259" s="3781" t="s">
        <v>4</v>
      </c>
      <c r="F1259" s="3765" t="s">
        <v>5</v>
      </c>
    </row>
    <row r="1260" spans="1:7" ht="15.75" thickBot="1">
      <c r="A1260" s="3783"/>
      <c r="B1260" s="3767"/>
      <c r="C1260" s="3767"/>
      <c r="D1260" s="3767"/>
      <c r="E1260" s="3767"/>
      <c r="F1260" s="3766"/>
    </row>
    <row r="1261" spans="1:7" ht="15.75" thickTop="1">
      <c r="A1261" s="7" t="s">
        <v>1280</v>
      </c>
      <c r="B1261" s="191" t="s">
        <v>120</v>
      </c>
      <c r="C1261" s="1" t="s">
        <v>1281</v>
      </c>
      <c r="D1261" s="5"/>
      <c r="E1261" s="290">
        <v>0.1</v>
      </c>
      <c r="F1261" s="291">
        <v>37322</v>
      </c>
      <c r="G1261" t="s">
        <v>418</v>
      </c>
    </row>
    <row r="1262" spans="1:7">
      <c r="A1262" s="8"/>
      <c r="B1262" s="31" t="s">
        <v>121</v>
      </c>
      <c r="C1262" s="1" t="s">
        <v>906</v>
      </c>
      <c r="D1262" s="5"/>
      <c r="E1262" s="290">
        <v>0.2</v>
      </c>
      <c r="F1262" s="291">
        <v>7175</v>
      </c>
      <c r="G1262" t="s">
        <v>418</v>
      </c>
    </row>
    <row r="1263" spans="1:7">
      <c r="A1263" s="8"/>
      <c r="B1263" s="31" t="s">
        <v>123</v>
      </c>
      <c r="C1263" s="1" t="s">
        <v>436</v>
      </c>
      <c r="D1263" s="5"/>
      <c r="E1263" s="290">
        <v>0.2</v>
      </c>
      <c r="F1263" s="291">
        <v>10742</v>
      </c>
      <c r="G1263" t="s">
        <v>418</v>
      </c>
    </row>
    <row r="1264" spans="1:7">
      <c r="A1264" s="8"/>
      <c r="B1264" s="31" t="s">
        <v>122</v>
      </c>
      <c r="C1264" s="81" t="s">
        <v>51</v>
      </c>
      <c r="D1264" s="5"/>
      <c r="E1264" s="290">
        <v>0.3</v>
      </c>
      <c r="F1264" s="291">
        <v>11997</v>
      </c>
    </row>
    <row r="1265" spans="1:7">
      <c r="A1265" s="8"/>
      <c r="B1265" s="81"/>
      <c r="C1265" s="81" t="s">
        <v>385</v>
      </c>
      <c r="D1265" s="288"/>
      <c r="E1265" s="343">
        <v>0.1</v>
      </c>
      <c r="F1265" s="293">
        <v>6536</v>
      </c>
    </row>
    <row r="1266" spans="1:7">
      <c r="A1266" s="8"/>
      <c r="B1266" s="81"/>
      <c r="C1266" s="81" t="s">
        <v>149</v>
      </c>
      <c r="D1266" s="288"/>
      <c r="E1266" s="343">
        <v>0.2</v>
      </c>
      <c r="F1266" s="293">
        <v>5010</v>
      </c>
    </row>
    <row r="1267" spans="1:7">
      <c r="A1267" s="8"/>
      <c r="B1267" s="81"/>
      <c r="C1267" s="81"/>
      <c r="D1267" s="288"/>
      <c r="E1267" s="343"/>
      <c r="F1267" s="293"/>
    </row>
    <row r="1268" spans="1:7">
      <c r="A1268" s="8"/>
      <c r="B1268" s="81"/>
      <c r="C1268" s="81"/>
      <c r="D1268" s="288"/>
      <c r="E1268" s="343"/>
      <c r="F1268" s="293"/>
    </row>
    <row r="1269" spans="1:7">
      <c r="A1269" s="8"/>
      <c r="B1269" s="81"/>
      <c r="C1269" s="81"/>
      <c r="D1269" s="288"/>
      <c r="E1269" s="343"/>
      <c r="F1269" s="293"/>
    </row>
    <row r="1270" spans="1:7">
      <c r="A1270" s="8"/>
      <c r="B1270" s="1"/>
      <c r="C1270" s="1"/>
      <c r="D1270" s="1"/>
      <c r="E1270" s="1"/>
      <c r="F1270" s="2"/>
    </row>
    <row r="1271" spans="1:7">
      <c r="A1271" s="8"/>
      <c r="B1271" s="1"/>
      <c r="C1271" s="1"/>
      <c r="D1271" s="1"/>
      <c r="E1271" s="1"/>
      <c r="F1271" s="2"/>
    </row>
    <row r="1272" spans="1:7" ht="15.75" thickBot="1">
      <c r="A1272" s="9"/>
      <c r="B1272" s="3"/>
      <c r="C1272" s="3"/>
      <c r="D1272" s="3"/>
      <c r="E1272" s="3"/>
      <c r="F1272" s="4"/>
    </row>
    <row r="1273" spans="1:7" ht="16.5" thickTop="1" thickBot="1"/>
    <row r="1274" spans="1:7" ht="15.75" thickTop="1">
      <c r="A1274" s="3782" t="s">
        <v>0</v>
      </c>
      <c r="B1274" s="3781" t="s">
        <v>1</v>
      </c>
      <c r="C1274" s="3781" t="s">
        <v>2</v>
      </c>
      <c r="D1274" s="3781" t="s">
        <v>3</v>
      </c>
      <c r="E1274" s="3781" t="s">
        <v>4</v>
      </c>
      <c r="F1274" s="3765" t="s">
        <v>5</v>
      </c>
    </row>
    <row r="1275" spans="1:7" ht="15.75" thickBot="1">
      <c r="A1275" s="3783"/>
      <c r="B1275" s="3767"/>
      <c r="C1275" s="3767"/>
      <c r="D1275" s="3767"/>
      <c r="E1275" s="3767"/>
      <c r="F1275" s="3766"/>
    </row>
    <row r="1276" spans="1:7" ht="15.75" thickTop="1">
      <c r="A1276" s="7" t="s">
        <v>1282</v>
      </c>
      <c r="B1276" s="5" t="s">
        <v>181</v>
      </c>
      <c r="C1276" s="1" t="s">
        <v>950</v>
      </c>
      <c r="D1276" s="5" t="s">
        <v>343</v>
      </c>
      <c r="E1276" s="290">
        <v>0.3</v>
      </c>
      <c r="F1276" s="291">
        <v>11032</v>
      </c>
      <c r="G1276">
        <v>15760</v>
      </c>
    </row>
    <row r="1277" spans="1:7">
      <c r="A1277" s="8"/>
      <c r="B1277" s="1" t="s">
        <v>366</v>
      </c>
      <c r="C1277" s="1" t="s">
        <v>118</v>
      </c>
      <c r="D1277" s="5" t="s">
        <v>343</v>
      </c>
      <c r="E1277" s="290">
        <v>0.3</v>
      </c>
      <c r="F1277" s="291">
        <v>11032</v>
      </c>
    </row>
    <row r="1278" spans="1:7">
      <c r="A1278" s="8"/>
      <c r="B1278" s="1" t="s">
        <v>180</v>
      </c>
      <c r="C1278" s="1" t="s">
        <v>1283</v>
      </c>
      <c r="D1278" s="5" t="s">
        <v>343</v>
      </c>
      <c r="E1278" s="290">
        <v>0.3</v>
      </c>
      <c r="F1278" s="291">
        <v>11032</v>
      </c>
    </row>
    <row r="1279" spans="1:7">
      <c r="A1279" s="8"/>
      <c r="B1279" s="1" t="s">
        <v>135</v>
      </c>
      <c r="C1279" s="81" t="s">
        <v>507</v>
      </c>
      <c r="D1279" s="5" t="s">
        <v>343</v>
      </c>
      <c r="E1279" s="290">
        <v>0.3</v>
      </c>
      <c r="F1279" s="291">
        <v>13997</v>
      </c>
      <c r="G1279">
        <v>19995</v>
      </c>
    </row>
    <row r="1280" spans="1:7">
      <c r="A1280" s="8"/>
      <c r="B1280" s="1" t="s">
        <v>805</v>
      </c>
      <c r="C1280" s="81" t="s">
        <v>1058</v>
      </c>
      <c r="D1280" s="5" t="s">
        <v>343</v>
      </c>
      <c r="E1280" s="290">
        <v>0.3</v>
      </c>
      <c r="F1280" s="291">
        <v>13997</v>
      </c>
    </row>
    <row r="1281" spans="1:7">
      <c r="A1281" s="8"/>
      <c r="B1281" s="81"/>
      <c r="C1281" s="81" t="s">
        <v>1120</v>
      </c>
      <c r="D1281" s="5" t="s">
        <v>343</v>
      </c>
      <c r="E1281" s="290">
        <v>0.3</v>
      </c>
      <c r="F1281" s="293">
        <v>3597</v>
      </c>
    </row>
    <row r="1282" spans="1:7">
      <c r="A1282" s="8"/>
      <c r="B1282" s="81"/>
      <c r="C1282" s="81"/>
      <c r="D1282" s="288"/>
      <c r="E1282" s="343"/>
      <c r="F1282" s="293"/>
    </row>
    <row r="1283" spans="1:7">
      <c r="A1283" s="8"/>
      <c r="B1283" s="81"/>
      <c r="C1283" s="81"/>
      <c r="D1283" s="288"/>
      <c r="E1283" s="343"/>
      <c r="F1283" s="293"/>
    </row>
    <row r="1284" spans="1:7">
      <c r="A1284" s="8"/>
      <c r="B1284" s="81"/>
      <c r="C1284" s="81"/>
      <c r="D1284" s="288"/>
      <c r="E1284" s="343"/>
      <c r="F1284" s="293"/>
    </row>
    <row r="1285" spans="1:7">
      <c r="A1285" s="8"/>
      <c r="B1285" s="1"/>
      <c r="C1285" s="1"/>
      <c r="D1285" s="1"/>
      <c r="E1285" s="1"/>
      <c r="F1285" s="2"/>
    </row>
    <row r="1286" spans="1:7">
      <c r="A1286" s="8"/>
      <c r="B1286" s="1"/>
      <c r="C1286" s="1"/>
      <c r="D1286" s="1"/>
      <c r="E1286" s="1"/>
      <c r="F1286" s="2"/>
    </row>
    <row r="1287" spans="1:7" ht="15.75" thickBot="1">
      <c r="A1287" s="9"/>
      <c r="B1287" s="3"/>
      <c r="C1287" s="3"/>
      <c r="D1287" s="3"/>
      <c r="E1287" s="3"/>
      <c r="F1287" s="4"/>
    </row>
    <row r="1288" spans="1:7" ht="16.5" thickTop="1" thickBot="1"/>
    <row r="1289" spans="1:7" ht="15.75" thickTop="1">
      <c r="A1289" s="3782" t="s">
        <v>0</v>
      </c>
      <c r="B1289" s="3781" t="s">
        <v>1</v>
      </c>
      <c r="C1289" s="3781" t="s">
        <v>2</v>
      </c>
      <c r="D1289" s="3781" t="s">
        <v>3</v>
      </c>
      <c r="E1289" s="3781" t="s">
        <v>4</v>
      </c>
      <c r="F1289" s="3765" t="s">
        <v>5</v>
      </c>
    </row>
    <row r="1290" spans="1:7" ht="15.75" thickBot="1">
      <c r="A1290" s="3783"/>
      <c r="B1290" s="3767"/>
      <c r="C1290" s="3767"/>
      <c r="D1290" s="3767"/>
      <c r="E1290" s="3767"/>
      <c r="F1290" s="3766"/>
    </row>
    <row r="1291" spans="1:7" ht="15.75" thickTop="1">
      <c r="A1291" s="7" t="s">
        <v>1298</v>
      </c>
      <c r="B1291" s="288" t="s">
        <v>202</v>
      </c>
      <c r="C1291" s="1" t="s">
        <v>394</v>
      </c>
      <c r="D1291" s="5" t="s">
        <v>360</v>
      </c>
      <c r="E1291" s="290">
        <v>0.17</v>
      </c>
      <c r="F1291" s="291">
        <v>7900</v>
      </c>
    </row>
    <row r="1292" spans="1:7">
      <c r="A1292" s="8"/>
      <c r="B1292" s="81" t="s">
        <v>1319</v>
      </c>
      <c r="C1292" s="1" t="s">
        <v>636</v>
      </c>
      <c r="D1292" s="5" t="s">
        <v>360</v>
      </c>
      <c r="E1292" s="290">
        <v>0.17</v>
      </c>
      <c r="F1292" s="291">
        <v>7535</v>
      </c>
      <c r="G1292">
        <v>9078</v>
      </c>
    </row>
    <row r="1293" spans="1:7">
      <c r="A1293" s="8"/>
      <c r="B1293" s="81"/>
      <c r="C1293" s="1"/>
      <c r="D1293" s="5"/>
      <c r="E1293" s="290"/>
      <c r="F1293" s="291"/>
    </row>
    <row r="1294" spans="1:7">
      <c r="A1294" s="8"/>
      <c r="B1294" s="81"/>
      <c r="C1294" s="81"/>
      <c r="D1294" s="5"/>
      <c r="E1294" s="290"/>
      <c r="F1294" s="291"/>
    </row>
    <row r="1295" spans="1:7">
      <c r="A1295" s="8"/>
      <c r="B1295" s="81"/>
      <c r="C1295" s="81"/>
      <c r="D1295" s="288"/>
      <c r="E1295" s="343"/>
      <c r="F1295" s="293"/>
    </row>
    <row r="1296" spans="1:7">
      <c r="A1296" s="8"/>
      <c r="B1296" s="81"/>
      <c r="C1296" s="81"/>
      <c r="D1296" s="288"/>
      <c r="E1296" s="343"/>
      <c r="F1296" s="293"/>
    </row>
    <row r="1297" spans="1:6">
      <c r="A1297" s="8"/>
      <c r="B1297" s="81"/>
      <c r="C1297" s="81"/>
      <c r="D1297" s="288"/>
      <c r="E1297" s="343"/>
      <c r="F1297" s="293"/>
    </row>
    <row r="1298" spans="1:6">
      <c r="A1298" s="8"/>
      <c r="B1298" s="81"/>
      <c r="C1298" s="81"/>
      <c r="D1298" s="288"/>
      <c r="E1298" s="343"/>
      <c r="F1298" s="293"/>
    </row>
    <row r="1299" spans="1:6">
      <c r="A1299" s="8"/>
      <c r="B1299" s="81"/>
      <c r="C1299" s="81"/>
      <c r="D1299" s="288"/>
      <c r="E1299" s="343"/>
      <c r="F1299" s="293"/>
    </row>
    <row r="1300" spans="1:6">
      <c r="A1300" s="8"/>
      <c r="B1300" s="1"/>
      <c r="C1300" s="1"/>
      <c r="D1300" s="1"/>
      <c r="E1300" s="1"/>
      <c r="F1300" s="2"/>
    </row>
    <row r="1301" spans="1:6">
      <c r="A1301" s="8"/>
      <c r="B1301" s="1"/>
      <c r="C1301" s="1"/>
      <c r="D1301" s="1"/>
      <c r="E1301" s="1"/>
      <c r="F1301" s="2"/>
    </row>
    <row r="1302" spans="1:6" ht="15.75" thickBot="1">
      <c r="A1302" s="9"/>
      <c r="B1302" s="3"/>
      <c r="C1302" s="3"/>
      <c r="D1302" s="3"/>
      <c r="E1302" s="3"/>
      <c r="F1302" s="4"/>
    </row>
    <row r="1303" spans="1:6" ht="16.5" thickTop="1" thickBot="1"/>
    <row r="1304" spans="1:6" ht="15.75" thickTop="1">
      <c r="A1304" s="3782" t="s">
        <v>0</v>
      </c>
      <c r="B1304" s="3781" t="s">
        <v>1</v>
      </c>
      <c r="C1304" s="3781" t="s">
        <v>2</v>
      </c>
      <c r="D1304" s="3781" t="s">
        <v>3</v>
      </c>
      <c r="E1304" s="3781" t="s">
        <v>4</v>
      </c>
      <c r="F1304" s="3765" t="s">
        <v>5</v>
      </c>
    </row>
    <row r="1305" spans="1:6" ht="15.75" thickBot="1">
      <c r="A1305" s="3783"/>
      <c r="B1305" s="3767"/>
      <c r="C1305" s="3767"/>
      <c r="D1305" s="3767"/>
      <c r="E1305" s="3767"/>
      <c r="F1305" s="3766"/>
    </row>
    <row r="1306" spans="1:6" ht="15.75" thickTop="1">
      <c r="A1306" s="7" t="s">
        <v>1299</v>
      </c>
      <c r="B1306" s="191" t="s">
        <v>120</v>
      </c>
      <c r="C1306" s="1" t="s">
        <v>231</v>
      </c>
      <c r="D1306" s="191" t="s">
        <v>237</v>
      </c>
      <c r="E1306" s="290">
        <v>0.21</v>
      </c>
      <c r="F1306" s="291">
        <v>11818</v>
      </c>
    </row>
    <row r="1307" spans="1:6">
      <c r="A1307" s="8"/>
      <c r="B1307" s="31" t="s">
        <v>121</v>
      </c>
      <c r="C1307" s="1" t="s">
        <v>228</v>
      </c>
      <c r="D1307" s="191" t="s">
        <v>237</v>
      </c>
      <c r="E1307" s="290">
        <v>0.25</v>
      </c>
      <c r="F1307" s="291">
        <v>6383</v>
      </c>
    </row>
    <row r="1308" spans="1:6">
      <c r="A1308" s="8"/>
      <c r="B1308" s="31" t="s">
        <v>123</v>
      </c>
      <c r="C1308" s="1" t="s">
        <v>899</v>
      </c>
      <c r="D1308" s="191" t="s">
        <v>237</v>
      </c>
      <c r="E1308" s="290">
        <v>0.25</v>
      </c>
      <c r="F1308" s="291">
        <v>11280</v>
      </c>
    </row>
    <row r="1309" spans="1:6">
      <c r="A1309" s="8"/>
      <c r="B1309" s="31" t="s">
        <v>122</v>
      </c>
      <c r="C1309" s="81" t="s">
        <v>485</v>
      </c>
      <c r="D1309" s="191" t="s">
        <v>237</v>
      </c>
      <c r="E1309" s="290">
        <v>0.05</v>
      </c>
      <c r="F1309" s="291">
        <v>7052</v>
      </c>
    </row>
    <row r="1310" spans="1:6">
      <c r="A1310" s="8"/>
      <c r="B1310" s="81"/>
      <c r="C1310" s="81" t="s">
        <v>486</v>
      </c>
      <c r="D1310" s="191" t="s">
        <v>237</v>
      </c>
      <c r="E1310" s="343">
        <v>0.05</v>
      </c>
      <c r="F1310" s="293">
        <v>7052</v>
      </c>
    </row>
    <row r="1311" spans="1:6">
      <c r="A1311" s="8"/>
      <c r="B1311" s="81"/>
      <c r="C1311" s="81" t="s">
        <v>1300</v>
      </c>
      <c r="D1311" s="191" t="s">
        <v>237</v>
      </c>
      <c r="E1311" s="343">
        <v>0.1</v>
      </c>
      <c r="F1311" s="293">
        <v>7265</v>
      </c>
    </row>
    <row r="1312" spans="1:6">
      <c r="A1312" s="8"/>
      <c r="B1312" s="81"/>
      <c r="C1312" s="81" t="s">
        <v>1301</v>
      </c>
      <c r="D1312" s="191" t="s">
        <v>237</v>
      </c>
      <c r="E1312" s="343">
        <v>0.1</v>
      </c>
      <c r="F1312" s="293">
        <v>7650</v>
      </c>
    </row>
    <row r="1313" spans="1:7">
      <c r="A1313" s="8"/>
      <c r="B1313" s="81"/>
      <c r="C1313" s="81"/>
      <c r="D1313" s="288"/>
      <c r="E1313" s="343"/>
      <c r="F1313" s="293"/>
    </row>
    <row r="1314" spans="1:7">
      <c r="A1314" s="8"/>
      <c r="B1314" s="81"/>
      <c r="C1314" s="81"/>
      <c r="D1314" s="288"/>
      <c r="E1314" s="343"/>
      <c r="F1314" s="293"/>
    </row>
    <row r="1315" spans="1:7">
      <c r="A1315" s="8"/>
      <c r="B1315" s="1"/>
      <c r="C1315" s="1"/>
      <c r="D1315" s="1"/>
      <c r="E1315" s="1"/>
      <c r="F1315" s="2"/>
    </row>
    <row r="1316" spans="1:7">
      <c r="A1316" s="8"/>
      <c r="B1316" s="1"/>
      <c r="C1316" s="1"/>
      <c r="D1316" s="1"/>
      <c r="E1316" s="1"/>
      <c r="F1316" s="2"/>
    </row>
    <row r="1317" spans="1:7" ht="15.75" thickBot="1">
      <c r="A1317" s="9"/>
      <c r="B1317" s="3"/>
      <c r="C1317" s="3"/>
      <c r="D1317" s="3"/>
      <c r="E1317" s="3"/>
      <c r="F1317" s="4"/>
    </row>
    <row r="1318" spans="1:7" ht="16.5" thickTop="1" thickBot="1"/>
    <row r="1319" spans="1:7" ht="15.75" thickTop="1">
      <c r="A1319" s="3782" t="s">
        <v>0</v>
      </c>
      <c r="B1319" s="3781" t="s">
        <v>1</v>
      </c>
      <c r="C1319" s="3781" t="s">
        <v>2</v>
      </c>
      <c r="D1319" s="3781" t="s">
        <v>3</v>
      </c>
      <c r="E1319" s="3781" t="s">
        <v>4</v>
      </c>
      <c r="F1319" s="3765" t="s">
        <v>5</v>
      </c>
    </row>
    <row r="1320" spans="1:7" ht="15.75" thickBot="1">
      <c r="A1320" s="3783"/>
      <c r="B1320" s="3767"/>
      <c r="C1320" s="3767"/>
      <c r="D1320" s="3767"/>
      <c r="E1320" s="3767"/>
      <c r="F1320" s="3766"/>
    </row>
    <row r="1321" spans="1:7" ht="15.75" thickTop="1">
      <c r="A1321" s="7" t="s">
        <v>1314</v>
      </c>
      <c r="B1321" s="5" t="s">
        <v>181</v>
      </c>
      <c r="C1321" s="1" t="s">
        <v>897</v>
      </c>
      <c r="D1321" s="5" t="s">
        <v>343</v>
      </c>
      <c r="E1321" s="290">
        <v>0.3</v>
      </c>
      <c r="F1321" s="291">
        <v>9962</v>
      </c>
      <c r="G1321">
        <v>14232</v>
      </c>
    </row>
    <row r="1322" spans="1:7">
      <c r="A1322" s="8"/>
      <c r="B1322" s="1" t="s">
        <v>366</v>
      </c>
      <c r="C1322" s="1" t="s">
        <v>1315</v>
      </c>
      <c r="D1322" s="5" t="s">
        <v>343</v>
      </c>
      <c r="E1322" s="290">
        <v>0.3</v>
      </c>
      <c r="F1322" s="291">
        <v>9962</v>
      </c>
    </row>
    <row r="1323" spans="1:7">
      <c r="A1323" s="8"/>
      <c r="B1323" s="1" t="s">
        <v>180</v>
      </c>
      <c r="C1323" s="1" t="s">
        <v>898</v>
      </c>
      <c r="D1323" s="5" t="s">
        <v>343</v>
      </c>
      <c r="E1323" s="290">
        <v>0.3</v>
      </c>
      <c r="F1323" s="291">
        <v>9962</v>
      </c>
    </row>
    <row r="1324" spans="1:7">
      <c r="A1324" s="8"/>
      <c r="B1324" s="1" t="s">
        <v>135</v>
      </c>
      <c r="C1324" s="81" t="s">
        <v>1316</v>
      </c>
      <c r="D1324" s="5" t="s">
        <v>343</v>
      </c>
      <c r="E1324" s="290">
        <v>0.3</v>
      </c>
      <c r="F1324" s="291">
        <v>9962</v>
      </c>
    </row>
    <row r="1325" spans="1:7">
      <c r="A1325" s="8"/>
      <c r="B1325" s="1" t="s">
        <v>805</v>
      </c>
      <c r="C1325" s="81" t="s">
        <v>899</v>
      </c>
      <c r="D1325" s="5" t="s">
        <v>343</v>
      </c>
      <c r="E1325" s="290">
        <v>0.3</v>
      </c>
      <c r="F1325" s="291">
        <v>9962</v>
      </c>
    </row>
    <row r="1326" spans="1:7">
      <c r="A1326" s="8"/>
      <c r="B1326" s="81"/>
      <c r="C1326" s="81" t="s">
        <v>1317</v>
      </c>
      <c r="D1326" s="5" t="s">
        <v>343</v>
      </c>
      <c r="E1326" s="290">
        <v>0.3</v>
      </c>
      <c r="F1326" s="291">
        <v>9962</v>
      </c>
    </row>
    <row r="1327" spans="1:7">
      <c r="A1327" s="8"/>
      <c r="B1327" s="81"/>
      <c r="C1327" s="81"/>
      <c r="D1327" s="288"/>
      <c r="E1327" s="343"/>
      <c r="F1327" s="293"/>
    </row>
    <row r="1328" spans="1:7">
      <c r="A1328" s="8"/>
      <c r="B1328" s="81"/>
      <c r="C1328" s="81"/>
      <c r="D1328" s="288"/>
      <c r="E1328" s="343"/>
      <c r="F1328" s="293"/>
    </row>
    <row r="1329" spans="1:7">
      <c r="A1329" s="8"/>
      <c r="B1329" s="81"/>
      <c r="C1329" s="81"/>
      <c r="D1329" s="288"/>
      <c r="E1329" s="343"/>
      <c r="F1329" s="293"/>
    </row>
    <row r="1330" spans="1:7">
      <c r="A1330" s="8"/>
      <c r="B1330" s="1"/>
      <c r="C1330" s="1"/>
      <c r="D1330" s="1"/>
      <c r="E1330" s="1"/>
      <c r="F1330" s="2"/>
    </row>
    <row r="1331" spans="1:7">
      <c r="A1331" s="8"/>
      <c r="B1331" s="1"/>
      <c r="C1331" s="1"/>
      <c r="D1331" s="1"/>
      <c r="E1331" s="1"/>
      <c r="F1331" s="2"/>
    </row>
    <row r="1332" spans="1:7" ht="15.75" thickBot="1">
      <c r="A1332" s="9"/>
      <c r="B1332" s="3"/>
      <c r="C1332" s="3"/>
      <c r="D1332" s="3"/>
      <c r="E1332" s="3"/>
      <c r="F1332" s="4"/>
    </row>
    <row r="1333" spans="1:7" ht="16.5" thickTop="1" thickBot="1"/>
    <row r="1334" spans="1:7" ht="15.75" thickTop="1">
      <c r="A1334" s="3782" t="s">
        <v>0</v>
      </c>
      <c r="B1334" s="3781" t="s">
        <v>1</v>
      </c>
      <c r="C1334" s="3781" t="s">
        <v>2</v>
      </c>
      <c r="D1334" s="3781" t="s">
        <v>3</v>
      </c>
      <c r="E1334" s="3781" t="s">
        <v>4</v>
      </c>
      <c r="F1334" s="3765" t="s">
        <v>5</v>
      </c>
    </row>
    <row r="1335" spans="1:7" ht="15.75" thickBot="1">
      <c r="A1335" s="3783"/>
      <c r="B1335" s="3767"/>
      <c r="C1335" s="3767"/>
      <c r="D1335" s="3767"/>
      <c r="E1335" s="3767"/>
      <c r="F1335" s="3766"/>
    </row>
    <row r="1336" spans="1:7" ht="15.75" thickTop="1">
      <c r="A1336" s="7" t="s">
        <v>1328</v>
      </c>
      <c r="B1336" s="288" t="s">
        <v>202</v>
      </c>
      <c r="C1336" s="1" t="s">
        <v>226</v>
      </c>
      <c r="D1336" s="5" t="s">
        <v>360</v>
      </c>
      <c r="E1336" s="290">
        <v>0.15</v>
      </c>
      <c r="F1336" s="291">
        <v>6014</v>
      </c>
      <c r="G1336">
        <v>7075</v>
      </c>
    </row>
    <row r="1337" spans="1:7">
      <c r="A1337" s="8"/>
      <c r="B1337" s="81" t="s">
        <v>1319</v>
      </c>
      <c r="C1337" s="1" t="s">
        <v>227</v>
      </c>
      <c r="D1337" s="5" t="s">
        <v>360</v>
      </c>
      <c r="E1337" s="290">
        <v>0.15</v>
      </c>
      <c r="F1337" s="291">
        <v>6014</v>
      </c>
    </row>
    <row r="1338" spans="1:7">
      <c r="A1338" s="8"/>
      <c r="B1338" s="81"/>
      <c r="C1338" s="1" t="s">
        <v>228</v>
      </c>
      <c r="D1338" s="5" t="s">
        <v>360</v>
      </c>
      <c r="E1338" s="290">
        <v>0.15</v>
      </c>
      <c r="F1338" s="291">
        <v>6014</v>
      </c>
    </row>
    <row r="1339" spans="1:7">
      <c r="A1339" s="8"/>
      <c r="B1339" s="81"/>
      <c r="C1339" s="81"/>
      <c r="D1339" s="5"/>
      <c r="E1339" s="290"/>
      <c r="F1339" s="291"/>
    </row>
    <row r="1340" spans="1:7">
      <c r="A1340" s="8"/>
      <c r="B1340" s="81"/>
      <c r="C1340" s="81"/>
      <c r="D1340" s="288"/>
      <c r="E1340" s="343"/>
      <c r="F1340" s="293"/>
    </row>
    <row r="1341" spans="1:7">
      <c r="A1341" s="8"/>
      <c r="B1341" s="81"/>
      <c r="C1341" s="81"/>
      <c r="D1341" s="288"/>
      <c r="E1341" s="343"/>
      <c r="F1341" s="293"/>
    </row>
    <row r="1342" spans="1:7">
      <c r="A1342" s="8"/>
      <c r="B1342" s="81"/>
      <c r="C1342" s="81"/>
      <c r="D1342" s="288"/>
      <c r="E1342" s="343"/>
      <c r="F1342" s="293"/>
    </row>
    <row r="1343" spans="1:7">
      <c r="A1343" s="8"/>
      <c r="B1343" s="81"/>
      <c r="C1343" s="81"/>
      <c r="D1343" s="288"/>
      <c r="E1343" s="343"/>
      <c r="F1343" s="293"/>
    </row>
    <row r="1344" spans="1:7">
      <c r="A1344" s="8"/>
      <c r="B1344" s="81"/>
      <c r="C1344" s="81"/>
      <c r="D1344" s="288"/>
      <c r="E1344" s="343"/>
      <c r="F1344" s="293"/>
    </row>
    <row r="1345" spans="1:7">
      <c r="A1345" s="8"/>
      <c r="B1345" s="1"/>
      <c r="C1345" s="1"/>
      <c r="D1345" s="1"/>
      <c r="E1345" s="1"/>
      <c r="F1345" s="2"/>
    </row>
    <row r="1346" spans="1:7">
      <c r="A1346" s="8"/>
      <c r="B1346" s="1"/>
      <c r="C1346" s="1"/>
      <c r="D1346" s="1"/>
      <c r="E1346" s="1"/>
      <c r="F1346" s="2"/>
    </row>
    <row r="1347" spans="1:7" ht="15.75" thickBot="1">
      <c r="A1347" s="9"/>
      <c r="B1347" s="3"/>
      <c r="C1347" s="3"/>
      <c r="D1347" s="3"/>
      <c r="E1347" s="3"/>
      <c r="F1347" s="4"/>
    </row>
    <row r="1348" spans="1:7" ht="16.5" thickTop="1" thickBot="1"/>
    <row r="1349" spans="1:7" ht="15.75" thickTop="1">
      <c r="A1349" s="3782" t="s">
        <v>0</v>
      </c>
      <c r="B1349" s="3781" t="s">
        <v>1</v>
      </c>
      <c r="C1349" s="3781" t="s">
        <v>2</v>
      </c>
      <c r="D1349" s="3781" t="s">
        <v>3</v>
      </c>
      <c r="E1349" s="3781" t="s">
        <v>4</v>
      </c>
      <c r="F1349" s="3765" t="s">
        <v>5</v>
      </c>
    </row>
    <row r="1350" spans="1:7" ht="15.75" thickBot="1">
      <c r="A1350" s="3783"/>
      <c r="B1350" s="3767"/>
      <c r="C1350" s="3767"/>
      <c r="D1350" s="3767"/>
      <c r="E1350" s="3767"/>
      <c r="F1350" s="3766"/>
    </row>
    <row r="1351" spans="1:7" ht="15.75" thickTop="1">
      <c r="A1351" s="7" t="s">
        <v>1329</v>
      </c>
      <c r="B1351" s="5" t="s">
        <v>181</v>
      </c>
      <c r="C1351" s="1" t="s">
        <v>730</v>
      </c>
      <c r="D1351" s="5" t="s">
        <v>343</v>
      </c>
      <c r="E1351" s="290">
        <v>0.2</v>
      </c>
      <c r="F1351" s="291">
        <v>6792</v>
      </c>
      <c r="G1351">
        <v>8490</v>
      </c>
    </row>
    <row r="1352" spans="1:7">
      <c r="A1352" s="8"/>
      <c r="B1352" s="1" t="s">
        <v>366</v>
      </c>
      <c r="C1352" s="1" t="s">
        <v>1119</v>
      </c>
      <c r="D1352" s="5" t="s">
        <v>343</v>
      </c>
      <c r="E1352" s="290">
        <v>0.2</v>
      </c>
      <c r="F1352" s="291">
        <v>9711</v>
      </c>
      <c r="G1352">
        <v>12139</v>
      </c>
    </row>
    <row r="1353" spans="1:7">
      <c r="A1353" s="8"/>
      <c r="B1353" s="1" t="s">
        <v>180</v>
      </c>
      <c r="C1353" s="1" t="s">
        <v>554</v>
      </c>
      <c r="D1353" s="5" t="s">
        <v>343</v>
      </c>
      <c r="E1353" s="290">
        <v>0.2</v>
      </c>
      <c r="F1353" s="291">
        <v>9711</v>
      </c>
    </row>
    <row r="1354" spans="1:7">
      <c r="A1354" s="8"/>
      <c r="B1354" s="1" t="s">
        <v>135</v>
      </c>
      <c r="C1354" s="81"/>
      <c r="D1354" s="5"/>
      <c r="E1354" s="290"/>
      <c r="F1354" s="291"/>
    </row>
    <row r="1355" spans="1:7">
      <c r="A1355" s="8"/>
      <c r="B1355" s="1" t="s">
        <v>805</v>
      </c>
      <c r="C1355" s="81"/>
      <c r="D1355" s="288"/>
      <c r="E1355" s="343"/>
      <c r="F1355" s="293"/>
    </row>
    <row r="1356" spans="1:7">
      <c r="A1356" s="8"/>
      <c r="B1356" s="81"/>
      <c r="C1356" s="81"/>
      <c r="D1356" s="288"/>
      <c r="E1356" s="343"/>
      <c r="F1356" s="293"/>
    </row>
    <row r="1357" spans="1:7">
      <c r="A1357" s="8"/>
      <c r="B1357" s="81"/>
      <c r="C1357" s="81"/>
      <c r="D1357" s="288"/>
      <c r="E1357" s="343"/>
      <c r="F1357" s="293"/>
    </row>
    <row r="1358" spans="1:7">
      <c r="A1358" s="8"/>
      <c r="B1358" s="81"/>
      <c r="C1358" s="81"/>
      <c r="D1358" s="288"/>
      <c r="E1358" s="343"/>
      <c r="F1358" s="293"/>
    </row>
    <row r="1359" spans="1:7">
      <c r="A1359" s="8"/>
      <c r="B1359" s="81"/>
      <c r="C1359" s="81"/>
      <c r="D1359" s="288"/>
      <c r="E1359" s="343"/>
      <c r="F1359" s="293"/>
    </row>
    <row r="1360" spans="1:7">
      <c r="A1360" s="8"/>
      <c r="B1360" s="1"/>
      <c r="C1360" s="1"/>
      <c r="D1360" s="1"/>
      <c r="E1360" s="1"/>
      <c r="F1360" s="2"/>
    </row>
    <row r="1361" spans="1:7">
      <c r="A1361" s="8"/>
      <c r="B1361" s="1"/>
      <c r="C1361" s="1"/>
      <c r="D1361" s="1"/>
      <c r="E1361" s="1"/>
      <c r="F1361" s="2"/>
    </row>
    <row r="1362" spans="1:7" ht="15.75" thickBot="1">
      <c r="A1362" s="9"/>
      <c r="B1362" s="3"/>
      <c r="C1362" s="3"/>
      <c r="D1362" s="3"/>
      <c r="E1362" s="3"/>
      <c r="F1362" s="4"/>
    </row>
    <row r="1363" spans="1:7" ht="16.5" thickTop="1" thickBot="1"/>
    <row r="1364" spans="1:7" ht="15.75" thickTop="1">
      <c r="A1364" s="3782" t="s">
        <v>0</v>
      </c>
      <c r="B1364" s="3781" t="s">
        <v>1</v>
      </c>
      <c r="C1364" s="3781" t="s">
        <v>2</v>
      </c>
      <c r="D1364" s="3781" t="s">
        <v>3</v>
      </c>
      <c r="E1364" s="3781" t="s">
        <v>4</v>
      </c>
      <c r="F1364" s="3765" t="s">
        <v>5</v>
      </c>
    </row>
    <row r="1365" spans="1:7" ht="15.75" thickBot="1">
      <c r="A1365" s="3783"/>
      <c r="B1365" s="3767"/>
      <c r="C1365" s="3767"/>
      <c r="D1365" s="3767"/>
      <c r="E1365" s="3767"/>
      <c r="F1365" s="3766"/>
    </row>
    <row r="1366" spans="1:7" ht="15.75" thickTop="1">
      <c r="A1366" s="7" t="s">
        <v>1344</v>
      </c>
      <c r="B1366" s="288" t="s">
        <v>120</v>
      </c>
      <c r="C1366" s="31" t="s">
        <v>154</v>
      </c>
      <c r="D1366" s="191" t="s">
        <v>237</v>
      </c>
      <c r="E1366" s="278">
        <v>0.1</v>
      </c>
      <c r="F1366" s="279">
        <v>7497</v>
      </c>
      <c r="G1366" s="339" t="s">
        <v>1348</v>
      </c>
    </row>
    <row r="1367" spans="1:7">
      <c r="A1367" s="8"/>
      <c r="B1367" s="81" t="s">
        <v>121</v>
      </c>
      <c r="C1367" s="31" t="s">
        <v>906</v>
      </c>
      <c r="D1367" s="191" t="s">
        <v>237</v>
      </c>
      <c r="E1367" s="278">
        <v>0.1</v>
      </c>
      <c r="F1367" s="279">
        <v>8475</v>
      </c>
      <c r="G1367" s="339" t="s">
        <v>1349</v>
      </c>
    </row>
    <row r="1368" spans="1:7">
      <c r="A1368" s="8"/>
      <c r="B1368" s="81" t="s">
        <v>123</v>
      </c>
      <c r="C1368" s="31" t="s">
        <v>1120</v>
      </c>
      <c r="D1368" s="191" t="s">
        <v>237</v>
      </c>
      <c r="E1368" s="278">
        <v>0.35</v>
      </c>
      <c r="F1368" s="279">
        <v>3237</v>
      </c>
      <c r="G1368" s="339" t="s">
        <v>1350</v>
      </c>
    </row>
    <row r="1369" spans="1:7">
      <c r="A1369" s="8"/>
      <c r="B1369" s="81" t="s">
        <v>122</v>
      </c>
      <c r="C1369" s="31" t="s">
        <v>1235</v>
      </c>
      <c r="D1369" s="191" t="s">
        <v>237</v>
      </c>
      <c r="E1369" s="278">
        <v>0.25</v>
      </c>
      <c r="F1369" s="279">
        <v>5558</v>
      </c>
      <c r="G1369" s="339" t="s">
        <v>1351</v>
      </c>
    </row>
    <row r="1370" spans="1:7">
      <c r="A1370" s="8"/>
      <c r="B1370" s="81"/>
      <c r="C1370" s="31" t="s">
        <v>920</v>
      </c>
      <c r="D1370" s="191" t="s">
        <v>237</v>
      </c>
      <c r="E1370" s="285">
        <v>0.25</v>
      </c>
      <c r="F1370" s="281">
        <v>5558</v>
      </c>
      <c r="G1370" s="339" t="s">
        <v>1351</v>
      </c>
    </row>
    <row r="1371" spans="1:7">
      <c r="A1371" s="8"/>
      <c r="B1371" s="81"/>
      <c r="C1371" s="81" t="s">
        <v>554</v>
      </c>
      <c r="D1371" s="288" t="s">
        <v>237</v>
      </c>
      <c r="E1371" s="343">
        <v>0.25</v>
      </c>
      <c r="F1371" s="293">
        <v>8819</v>
      </c>
      <c r="G1371" s="32">
        <v>12830</v>
      </c>
    </row>
    <row r="1372" spans="1:7">
      <c r="A1372" s="8"/>
      <c r="B1372" s="81"/>
      <c r="C1372" s="81" t="s">
        <v>1119</v>
      </c>
      <c r="D1372" s="288" t="s">
        <v>237</v>
      </c>
      <c r="E1372" s="343">
        <v>0.25</v>
      </c>
      <c r="F1372" s="293">
        <v>8819</v>
      </c>
      <c r="G1372" s="32">
        <v>12830</v>
      </c>
    </row>
    <row r="1373" spans="1:7">
      <c r="A1373" s="8"/>
      <c r="B1373" s="81"/>
      <c r="C1373" s="31" t="s">
        <v>68</v>
      </c>
      <c r="D1373" s="191" t="s">
        <v>237</v>
      </c>
      <c r="E1373" s="285">
        <v>0.15</v>
      </c>
      <c r="F1373" s="281">
        <v>11195</v>
      </c>
      <c r="G1373" s="176">
        <v>17138</v>
      </c>
    </row>
    <row r="1374" spans="1:7">
      <c r="A1374" s="8"/>
      <c r="B1374" s="81"/>
      <c r="C1374" s="31" t="s">
        <v>1345</v>
      </c>
      <c r="D1374" s="191" t="s">
        <v>237</v>
      </c>
      <c r="E1374" s="285">
        <v>0.15</v>
      </c>
      <c r="F1374" s="281">
        <v>11195</v>
      </c>
      <c r="G1374" s="176">
        <v>17138</v>
      </c>
    </row>
    <row r="1375" spans="1:7">
      <c r="A1375" s="8"/>
      <c r="B1375" s="81"/>
      <c r="C1375" s="31" t="s">
        <v>626</v>
      </c>
      <c r="D1375" s="191" t="s">
        <v>237</v>
      </c>
      <c r="E1375" s="285">
        <v>0.2</v>
      </c>
      <c r="F1375" s="281">
        <v>2043</v>
      </c>
      <c r="G1375" s="176">
        <v>2784</v>
      </c>
    </row>
    <row r="1376" spans="1:7">
      <c r="A1376" s="8"/>
      <c r="B1376" s="81"/>
      <c r="C1376" s="31" t="s">
        <v>1346</v>
      </c>
      <c r="D1376" s="191" t="s">
        <v>237</v>
      </c>
      <c r="E1376" s="285">
        <v>0.2</v>
      </c>
      <c r="F1376" s="281">
        <v>2043</v>
      </c>
      <c r="G1376" s="176">
        <v>2784</v>
      </c>
    </row>
    <row r="1377" spans="1:7">
      <c r="A1377" s="8"/>
      <c r="B1377" s="81"/>
      <c r="C1377" s="31" t="s">
        <v>1347</v>
      </c>
      <c r="D1377" s="191" t="s">
        <v>237</v>
      </c>
      <c r="E1377" s="285">
        <v>0.2</v>
      </c>
      <c r="F1377" s="281">
        <v>2043</v>
      </c>
      <c r="G1377" s="176">
        <v>2784</v>
      </c>
    </row>
    <row r="1378" spans="1:7">
      <c r="A1378" s="8"/>
      <c r="B1378" s="81"/>
      <c r="C1378" s="31" t="s">
        <v>1326</v>
      </c>
      <c r="D1378" s="191" t="s">
        <v>237</v>
      </c>
      <c r="E1378" s="285">
        <v>0.2</v>
      </c>
      <c r="F1378" s="281">
        <v>2043</v>
      </c>
      <c r="G1378" s="176">
        <v>2784</v>
      </c>
    </row>
    <row r="1379" spans="1:7">
      <c r="A1379" s="8"/>
      <c r="B1379" s="81"/>
      <c r="C1379" s="31" t="s">
        <v>1327</v>
      </c>
      <c r="D1379" s="191" t="s">
        <v>237</v>
      </c>
      <c r="E1379" s="285">
        <v>0.2</v>
      </c>
      <c r="F1379" s="281">
        <v>2043</v>
      </c>
      <c r="G1379" s="176">
        <v>2784</v>
      </c>
    </row>
    <row r="1380" spans="1:7">
      <c r="A1380" s="8"/>
      <c r="B1380" s="81"/>
      <c r="C1380" s="31" t="s">
        <v>707</v>
      </c>
      <c r="D1380" s="191" t="s">
        <v>237</v>
      </c>
      <c r="E1380" s="285">
        <v>0.2</v>
      </c>
      <c r="F1380" s="281">
        <v>2043</v>
      </c>
      <c r="G1380" s="176">
        <v>2784</v>
      </c>
    </row>
    <row r="1381" spans="1:7">
      <c r="A1381" s="8"/>
      <c r="B1381" s="81"/>
      <c r="C1381" s="31" t="s">
        <v>1325</v>
      </c>
      <c r="D1381" s="191" t="s">
        <v>237</v>
      </c>
      <c r="E1381" s="285">
        <v>0.2</v>
      </c>
      <c r="F1381" s="281">
        <v>2043</v>
      </c>
      <c r="G1381" s="176">
        <v>2784</v>
      </c>
    </row>
    <row r="1382" spans="1:7" ht="15.75" thickBot="1">
      <c r="A1382" s="9"/>
      <c r="B1382" s="3"/>
      <c r="C1382" s="3"/>
      <c r="D1382" s="3"/>
      <c r="E1382" s="3"/>
      <c r="F1382" s="4"/>
    </row>
    <row r="1383" spans="1:7" ht="16.5" thickTop="1" thickBot="1"/>
    <row r="1384" spans="1:7" ht="15.75" thickTop="1">
      <c r="A1384" s="3782" t="s">
        <v>0</v>
      </c>
      <c r="B1384" s="3781" t="s">
        <v>1</v>
      </c>
      <c r="C1384" s="3781" t="s">
        <v>2</v>
      </c>
      <c r="D1384" s="3781" t="s">
        <v>3</v>
      </c>
      <c r="E1384" s="3781" t="s">
        <v>4</v>
      </c>
      <c r="F1384" s="3765" t="s">
        <v>5</v>
      </c>
    </row>
    <row r="1385" spans="1:7" ht="15.75" thickBot="1">
      <c r="A1385" s="3783"/>
      <c r="B1385" s="3767"/>
      <c r="C1385" s="3767"/>
      <c r="D1385" s="3767"/>
      <c r="E1385" s="3767"/>
      <c r="F1385" s="3766"/>
    </row>
    <row r="1386" spans="1:7" ht="15.75" thickTop="1">
      <c r="A1386" s="7" t="s">
        <v>1353</v>
      </c>
      <c r="B1386" s="288" t="s">
        <v>202</v>
      </c>
      <c r="C1386" s="1" t="s">
        <v>623</v>
      </c>
      <c r="D1386" s="5" t="s">
        <v>360</v>
      </c>
      <c r="E1386" s="290">
        <v>0.15</v>
      </c>
      <c r="F1386" s="291">
        <v>15176</v>
      </c>
      <c r="G1386">
        <v>17854</v>
      </c>
    </row>
    <row r="1387" spans="1:7">
      <c r="A1387" s="8"/>
      <c r="B1387" s="81" t="s">
        <v>1319</v>
      </c>
      <c r="C1387" s="1"/>
      <c r="D1387" s="5"/>
      <c r="E1387" s="290"/>
      <c r="F1387" s="291"/>
    </row>
    <row r="1388" spans="1:7">
      <c r="A1388" s="8"/>
      <c r="B1388" s="81"/>
      <c r="C1388" s="1"/>
      <c r="D1388" s="5"/>
      <c r="E1388" s="290"/>
      <c r="F1388" s="291"/>
    </row>
    <row r="1389" spans="1:7">
      <c r="A1389" s="8"/>
      <c r="B1389" s="81"/>
      <c r="C1389" s="81"/>
      <c r="D1389" s="5"/>
      <c r="E1389" s="290"/>
      <c r="F1389" s="291"/>
    </row>
    <row r="1390" spans="1:7">
      <c r="A1390" s="8"/>
      <c r="B1390" s="81"/>
      <c r="C1390" s="81"/>
      <c r="D1390" s="288"/>
      <c r="E1390" s="343"/>
      <c r="F1390" s="293"/>
    </row>
    <row r="1391" spans="1:7">
      <c r="A1391" s="8"/>
      <c r="B1391" s="81"/>
      <c r="C1391" s="81"/>
      <c r="D1391" s="288"/>
      <c r="E1391" s="343"/>
      <c r="F1391" s="293"/>
    </row>
    <row r="1392" spans="1:7">
      <c r="A1392" s="8"/>
      <c r="B1392" s="81"/>
      <c r="C1392" s="81"/>
      <c r="D1392" s="288"/>
      <c r="E1392" s="343"/>
      <c r="F1392" s="293"/>
    </row>
    <row r="1393" spans="1:7">
      <c r="A1393" s="8"/>
      <c r="B1393" s="81"/>
      <c r="C1393" s="81"/>
      <c r="D1393" s="288"/>
      <c r="E1393" s="343"/>
      <c r="F1393" s="293"/>
    </row>
    <row r="1394" spans="1:7">
      <c r="A1394" s="8"/>
      <c r="B1394" s="81"/>
      <c r="C1394" s="81"/>
      <c r="D1394" s="288"/>
      <c r="E1394" s="343"/>
      <c r="F1394" s="293"/>
    </row>
    <row r="1395" spans="1:7">
      <c r="A1395" s="8"/>
      <c r="B1395" s="1"/>
      <c r="C1395" s="1"/>
      <c r="D1395" s="1"/>
      <c r="E1395" s="1"/>
      <c r="F1395" s="2"/>
    </row>
    <row r="1396" spans="1:7">
      <c r="A1396" s="8"/>
      <c r="B1396" s="1"/>
      <c r="C1396" s="1"/>
      <c r="D1396" s="1"/>
      <c r="E1396" s="1"/>
      <c r="F1396" s="2"/>
    </row>
    <row r="1397" spans="1:7" ht="15.75" thickBot="1">
      <c r="A1397" s="9"/>
      <c r="B1397" s="3"/>
      <c r="C1397" s="3"/>
      <c r="D1397" s="3"/>
      <c r="E1397" s="3"/>
      <c r="F1397" s="4"/>
    </row>
    <row r="1398" spans="1:7" ht="16.5" thickTop="1" thickBot="1"/>
    <row r="1399" spans="1:7" ht="15.75" thickTop="1">
      <c r="A1399" s="3782" t="s">
        <v>0</v>
      </c>
      <c r="B1399" s="3781" t="s">
        <v>1</v>
      </c>
      <c r="C1399" s="3781" t="s">
        <v>2</v>
      </c>
      <c r="D1399" s="3781" t="s">
        <v>3</v>
      </c>
      <c r="E1399" s="3781" t="s">
        <v>4</v>
      </c>
      <c r="F1399" s="3765" t="s">
        <v>5</v>
      </c>
    </row>
    <row r="1400" spans="1:7" ht="15.75" thickBot="1">
      <c r="A1400" s="3783"/>
      <c r="B1400" s="3767"/>
      <c r="C1400" s="3767"/>
      <c r="D1400" s="3767"/>
      <c r="E1400" s="3767"/>
      <c r="F1400" s="3766"/>
    </row>
    <row r="1401" spans="1:7" ht="15.75" thickTop="1">
      <c r="A1401" s="7" t="s">
        <v>1354</v>
      </c>
      <c r="B1401" s="5" t="s">
        <v>181</v>
      </c>
      <c r="C1401" s="1" t="s">
        <v>68</v>
      </c>
      <c r="D1401" s="5" t="s">
        <v>343</v>
      </c>
      <c r="E1401" s="290">
        <v>0.2</v>
      </c>
      <c r="F1401" s="291">
        <v>12974</v>
      </c>
      <c r="G1401">
        <v>16218</v>
      </c>
    </row>
    <row r="1402" spans="1:7">
      <c r="A1402" s="8"/>
      <c r="B1402" s="1" t="s">
        <v>366</v>
      </c>
      <c r="C1402" s="1" t="s">
        <v>1345</v>
      </c>
      <c r="D1402" s="5" t="s">
        <v>343</v>
      </c>
      <c r="E1402" s="290">
        <v>0.2</v>
      </c>
      <c r="F1402" s="291">
        <v>12974</v>
      </c>
    </row>
    <row r="1403" spans="1:7">
      <c r="A1403" s="8"/>
      <c r="B1403" s="1" t="s">
        <v>180</v>
      </c>
      <c r="C1403" s="1" t="s">
        <v>69</v>
      </c>
      <c r="D1403" s="5" t="s">
        <v>343</v>
      </c>
      <c r="E1403" s="290">
        <v>0.2</v>
      </c>
      <c r="F1403" s="291">
        <v>12974</v>
      </c>
    </row>
    <row r="1404" spans="1:7">
      <c r="A1404" s="8"/>
      <c r="B1404" s="1" t="s">
        <v>135</v>
      </c>
      <c r="C1404" s="81" t="s">
        <v>1355</v>
      </c>
      <c r="D1404" s="5" t="s">
        <v>343</v>
      </c>
      <c r="E1404" s="290">
        <v>0.2</v>
      </c>
      <c r="F1404" s="291">
        <v>12974</v>
      </c>
    </row>
    <row r="1405" spans="1:7">
      <c r="A1405" s="8"/>
      <c r="B1405" s="1" t="s">
        <v>805</v>
      </c>
      <c r="C1405" s="81"/>
      <c r="D1405" s="288"/>
      <c r="E1405" s="343"/>
      <c r="F1405" s="293"/>
    </row>
    <row r="1406" spans="1:7">
      <c r="A1406" s="8"/>
      <c r="B1406" s="81"/>
      <c r="C1406" s="81"/>
      <c r="D1406" s="288"/>
      <c r="E1406" s="343"/>
      <c r="F1406" s="293"/>
    </row>
    <row r="1407" spans="1:7">
      <c r="A1407" s="8"/>
      <c r="B1407" s="81"/>
      <c r="C1407" s="81"/>
      <c r="D1407" s="288"/>
      <c r="E1407" s="343"/>
      <c r="F1407" s="293"/>
    </row>
    <row r="1408" spans="1:7">
      <c r="A1408" s="8"/>
      <c r="B1408" s="81"/>
      <c r="C1408" s="81"/>
      <c r="D1408" s="288"/>
      <c r="E1408" s="343"/>
      <c r="F1408" s="293"/>
    </row>
    <row r="1409" spans="1:7">
      <c r="A1409" s="8"/>
      <c r="B1409" s="81"/>
      <c r="C1409" s="81"/>
      <c r="D1409" s="288"/>
      <c r="E1409" s="343"/>
      <c r="F1409" s="293"/>
    </row>
    <row r="1410" spans="1:7">
      <c r="A1410" s="8"/>
      <c r="B1410" s="1"/>
      <c r="C1410" s="1"/>
      <c r="D1410" s="1"/>
      <c r="E1410" s="1"/>
      <c r="F1410" s="2"/>
    </row>
    <row r="1411" spans="1:7">
      <c r="A1411" s="8"/>
      <c r="B1411" s="1"/>
      <c r="C1411" s="1"/>
      <c r="D1411" s="1"/>
      <c r="E1411" s="1"/>
      <c r="F1411" s="2"/>
    </row>
    <row r="1412" spans="1:7" ht="15.75" thickBot="1">
      <c r="A1412" s="9"/>
      <c r="B1412" s="3"/>
      <c r="C1412" s="3"/>
      <c r="D1412" s="3"/>
      <c r="E1412" s="3"/>
      <c r="F1412" s="4"/>
    </row>
    <row r="1413" spans="1:7" ht="16.5" thickTop="1" thickBot="1"/>
    <row r="1414" spans="1:7" ht="15.75" thickTop="1">
      <c r="A1414" s="3782" t="s">
        <v>0</v>
      </c>
      <c r="B1414" s="3781" t="s">
        <v>1</v>
      </c>
      <c r="C1414" s="3781" t="s">
        <v>2</v>
      </c>
      <c r="D1414" s="3781" t="s">
        <v>3</v>
      </c>
      <c r="E1414" s="3781" t="s">
        <v>4</v>
      </c>
      <c r="F1414" s="3765" t="s">
        <v>5</v>
      </c>
    </row>
    <row r="1415" spans="1:7" ht="15.75" thickBot="1">
      <c r="A1415" s="3783"/>
      <c r="B1415" s="3767"/>
      <c r="C1415" s="3767"/>
      <c r="D1415" s="3767"/>
      <c r="E1415" s="3767"/>
      <c r="F1415" s="3766"/>
    </row>
    <row r="1416" spans="1:7" ht="15.75" thickTop="1">
      <c r="A1416" s="7" t="s">
        <v>1372</v>
      </c>
      <c r="B1416" s="298" t="s">
        <v>409</v>
      </c>
      <c r="C1416" s="1" t="s">
        <v>1373</v>
      </c>
      <c r="D1416" s="5" t="s">
        <v>490</v>
      </c>
      <c r="E1416" s="290">
        <v>0.1</v>
      </c>
      <c r="F1416" s="291">
        <v>7212</v>
      </c>
      <c r="G1416">
        <v>8013</v>
      </c>
    </row>
    <row r="1417" spans="1:7">
      <c r="A1417" s="8"/>
      <c r="B1417" s="81" t="s">
        <v>392</v>
      </c>
      <c r="C1417" s="1" t="s">
        <v>1374</v>
      </c>
      <c r="D1417" s="5" t="s">
        <v>490</v>
      </c>
      <c r="E1417" s="290">
        <v>0.1</v>
      </c>
      <c r="F1417" s="291">
        <v>7212</v>
      </c>
    </row>
    <row r="1418" spans="1:7">
      <c r="A1418" s="8"/>
      <c r="B1418" s="81" t="s">
        <v>534</v>
      </c>
      <c r="C1418" s="1" t="s">
        <v>1301</v>
      </c>
      <c r="D1418" s="5" t="s">
        <v>490</v>
      </c>
      <c r="E1418" s="290">
        <v>0.1</v>
      </c>
      <c r="F1418" s="291">
        <v>7212</v>
      </c>
    </row>
    <row r="1419" spans="1:7">
      <c r="A1419" s="8"/>
      <c r="B1419" s="1" t="s">
        <v>535</v>
      </c>
      <c r="C1419" s="81" t="s">
        <v>1375</v>
      </c>
      <c r="D1419" s="5" t="s">
        <v>490</v>
      </c>
      <c r="E1419" s="290">
        <v>0.1</v>
      </c>
      <c r="F1419" s="291">
        <v>43212</v>
      </c>
      <c r="G1419">
        <v>48013</v>
      </c>
    </row>
    <row r="1420" spans="1:7">
      <c r="A1420" s="8"/>
      <c r="B1420" s="1" t="s">
        <v>921</v>
      </c>
      <c r="C1420" s="81" t="s">
        <v>1362</v>
      </c>
      <c r="D1420" s="5" t="s">
        <v>490</v>
      </c>
      <c r="E1420" s="290">
        <v>0.1</v>
      </c>
      <c r="F1420" s="293">
        <v>43212</v>
      </c>
    </row>
    <row r="1421" spans="1:7">
      <c r="A1421" s="8"/>
      <c r="B1421" s="81"/>
      <c r="C1421" s="81" t="s">
        <v>1376</v>
      </c>
      <c r="D1421" s="5" t="s">
        <v>490</v>
      </c>
      <c r="E1421" s="290">
        <v>0.1</v>
      </c>
      <c r="F1421" s="293">
        <v>43212</v>
      </c>
    </row>
    <row r="1422" spans="1:7">
      <c r="A1422" s="8"/>
      <c r="B1422" s="81"/>
      <c r="C1422" s="81" t="s">
        <v>1357</v>
      </c>
      <c r="D1422" s="5" t="s">
        <v>490</v>
      </c>
      <c r="E1422" s="290">
        <v>0.1</v>
      </c>
      <c r="F1422" s="293">
        <v>42237</v>
      </c>
      <c r="G1422">
        <v>46930</v>
      </c>
    </row>
    <row r="1423" spans="1:7">
      <c r="A1423" s="8"/>
      <c r="B1423" s="81"/>
      <c r="C1423" s="81" t="s">
        <v>1281</v>
      </c>
      <c r="D1423" s="5" t="s">
        <v>490</v>
      </c>
      <c r="E1423" s="290">
        <v>0.1</v>
      </c>
      <c r="F1423" s="293">
        <v>42237</v>
      </c>
    </row>
    <row r="1424" spans="1:7">
      <c r="A1424" s="8"/>
      <c r="B1424" s="81"/>
      <c r="C1424" s="81"/>
      <c r="D1424" s="288"/>
      <c r="E1424" s="343"/>
      <c r="F1424" s="293"/>
    </row>
    <row r="1425" spans="1:6">
      <c r="A1425" s="8"/>
      <c r="B1425" s="1"/>
      <c r="C1425" s="1"/>
      <c r="D1425" s="1"/>
      <c r="E1425" s="1"/>
      <c r="F1425" s="2"/>
    </row>
    <row r="1426" spans="1:6">
      <c r="A1426" s="8"/>
      <c r="B1426" s="1"/>
      <c r="C1426" s="1"/>
      <c r="D1426" s="1"/>
      <c r="E1426" s="1"/>
      <c r="F1426" s="2"/>
    </row>
    <row r="1427" spans="1:6" ht="15.75" thickBot="1">
      <c r="A1427" s="9"/>
      <c r="B1427" s="3"/>
      <c r="C1427" s="3"/>
      <c r="D1427" s="3"/>
      <c r="E1427" s="3"/>
      <c r="F1427" s="4"/>
    </row>
    <row r="1428" spans="1:6" ht="16.5" thickTop="1" thickBot="1"/>
    <row r="1429" spans="1:6" ht="15.75" thickTop="1">
      <c r="A1429" s="3782" t="s">
        <v>0</v>
      </c>
      <c r="B1429" s="3781" t="s">
        <v>1</v>
      </c>
      <c r="C1429" s="3781" t="s">
        <v>2</v>
      </c>
      <c r="D1429" s="3781" t="s">
        <v>3</v>
      </c>
      <c r="E1429" s="3781" t="s">
        <v>4</v>
      </c>
      <c r="F1429" s="3765" t="s">
        <v>5</v>
      </c>
    </row>
    <row r="1430" spans="1:6" ht="15.75" thickBot="1">
      <c r="A1430" s="3783"/>
      <c r="B1430" s="3767"/>
      <c r="C1430" s="3767"/>
      <c r="D1430" s="3767"/>
      <c r="E1430" s="3767"/>
      <c r="F1430" s="3766"/>
    </row>
    <row r="1431" spans="1:6" ht="15.75" thickTop="1">
      <c r="A1431" s="7" t="s">
        <v>1372</v>
      </c>
      <c r="B1431" s="191" t="s">
        <v>120</v>
      </c>
      <c r="C1431" s="1" t="s">
        <v>436</v>
      </c>
      <c r="D1431" s="5" t="s">
        <v>237</v>
      </c>
      <c r="E1431" s="290">
        <v>0.2</v>
      </c>
      <c r="F1431" s="291">
        <v>10742</v>
      </c>
    </row>
    <row r="1432" spans="1:6">
      <c r="A1432" s="8"/>
      <c r="B1432" s="31" t="s">
        <v>121</v>
      </c>
      <c r="C1432" s="1" t="s">
        <v>328</v>
      </c>
      <c r="D1432" s="5" t="s">
        <v>237</v>
      </c>
      <c r="E1432" s="290">
        <v>0.15</v>
      </c>
      <c r="F1432" s="291">
        <v>196388</v>
      </c>
    </row>
    <row r="1433" spans="1:6">
      <c r="A1433" s="8"/>
      <c r="B1433" s="31" t="s">
        <v>123</v>
      </c>
      <c r="C1433" s="1" t="s">
        <v>326</v>
      </c>
      <c r="D1433" s="5" t="s">
        <v>237</v>
      </c>
      <c r="E1433" s="290">
        <v>0.15</v>
      </c>
      <c r="F1433" s="291">
        <v>196388</v>
      </c>
    </row>
    <row r="1434" spans="1:6">
      <c r="A1434" s="8"/>
      <c r="B1434" s="31" t="s">
        <v>122</v>
      </c>
      <c r="C1434" s="81" t="s">
        <v>1377</v>
      </c>
      <c r="D1434" s="5" t="s">
        <v>237</v>
      </c>
      <c r="E1434" s="290">
        <v>0.3</v>
      </c>
      <c r="F1434" s="291">
        <v>5653</v>
      </c>
    </row>
    <row r="1435" spans="1:6">
      <c r="A1435" s="8"/>
      <c r="B1435" s="81"/>
      <c r="C1435" s="81" t="s">
        <v>905</v>
      </c>
      <c r="D1435" s="5" t="s">
        <v>237</v>
      </c>
      <c r="E1435" s="343">
        <v>0.3</v>
      </c>
      <c r="F1435" s="293">
        <v>5653</v>
      </c>
    </row>
    <row r="1436" spans="1:6">
      <c r="A1436" s="8"/>
      <c r="B1436" s="81"/>
      <c r="C1436" s="81" t="s">
        <v>1378</v>
      </c>
      <c r="D1436" s="5" t="s">
        <v>237</v>
      </c>
      <c r="E1436" s="343">
        <v>0.1</v>
      </c>
      <c r="F1436" s="293">
        <v>7526</v>
      </c>
    </row>
    <row r="1437" spans="1:6">
      <c r="A1437" s="8"/>
      <c r="B1437" s="81"/>
      <c r="C1437" s="81" t="s">
        <v>1379</v>
      </c>
      <c r="D1437" s="5" t="s">
        <v>237</v>
      </c>
      <c r="E1437" s="343">
        <v>0.1</v>
      </c>
      <c r="F1437" s="293">
        <v>7889</v>
      </c>
    </row>
    <row r="1438" spans="1:6">
      <c r="A1438" s="8"/>
      <c r="B1438" s="81"/>
      <c r="C1438" s="81" t="s">
        <v>1380</v>
      </c>
      <c r="D1438" s="5" t="s">
        <v>237</v>
      </c>
      <c r="E1438" s="343">
        <v>0.1</v>
      </c>
      <c r="F1438" s="293">
        <v>6944</v>
      </c>
    </row>
    <row r="1439" spans="1:6">
      <c r="A1439" s="8"/>
      <c r="B1439" s="81"/>
      <c r="C1439" s="81"/>
      <c r="D1439" s="288"/>
      <c r="E1439" s="343"/>
      <c r="F1439" s="293"/>
    </row>
    <row r="1440" spans="1:6">
      <c r="A1440" s="8"/>
      <c r="B1440" s="1"/>
      <c r="C1440" s="1"/>
      <c r="D1440" s="1"/>
      <c r="E1440" s="1"/>
      <c r="F1440" s="2"/>
    </row>
    <row r="1441" spans="1:7">
      <c r="A1441" s="8"/>
      <c r="B1441" s="1"/>
      <c r="C1441" s="1"/>
      <c r="D1441" s="1"/>
      <c r="E1441" s="1"/>
      <c r="F1441" s="2"/>
    </row>
    <row r="1442" spans="1:7" ht="15.75" thickBot="1">
      <c r="A1442" s="9"/>
      <c r="B1442" s="3"/>
      <c r="C1442" s="3"/>
      <c r="D1442" s="3"/>
      <c r="E1442" s="3"/>
      <c r="F1442" s="4"/>
    </row>
    <row r="1443" spans="1:7" ht="16.5" thickTop="1" thickBot="1"/>
    <row r="1444" spans="1:7" ht="15.75" thickTop="1">
      <c r="A1444" s="3782" t="s">
        <v>0</v>
      </c>
      <c r="B1444" s="3781" t="s">
        <v>1</v>
      </c>
      <c r="C1444" s="3781" t="s">
        <v>2</v>
      </c>
      <c r="D1444" s="3781" t="s">
        <v>3</v>
      </c>
      <c r="E1444" s="3781" t="s">
        <v>4</v>
      </c>
      <c r="F1444" s="3765" t="s">
        <v>5</v>
      </c>
    </row>
    <row r="1445" spans="1:7" ht="15.75" thickBot="1">
      <c r="A1445" s="3783"/>
      <c r="B1445" s="3767"/>
      <c r="C1445" s="3767"/>
      <c r="D1445" s="3767"/>
      <c r="E1445" s="3767"/>
      <c r="F1445" s="3766"/>
    </row>
    <row r="1446" spans="1:7" ht="15.75" thickTop="1">
      <c r="A1446" s="7" t="s">
        <v>1381</v>
      </c>
      <c r="B1446" s="5" t="s">
        <v>181</v>
      </c>
      <c r="C1446" s="1" t="s">
        <v>507</v>
      </c>
      <c r="D1446" s="5" t="s">
        <v>343</v>
      </c>
      <c r="E1446" s="290">
        <v>0.2</v>
      </c>
      <c r="F1446" s="291">
        <v>15996</v>
      </c>
      <c r="G1446">
        <f>F1446/0.8</f>
        <v>19995</v>
      </c>
    </row>
    <row r="1447" spans="1:7">
      <c r="A1447" s="8"/>
      <c r="B1447" s="1" t="s">
        <v>366</v>
      </c>
      <c r="C1447" s="1" t="s">
        <v>1058</v>
      </c>
      <c r="D1447" s="5" t="s">
        <v>343</v>
      </c>
      <c r="E1447" s="290">
        <v>0.2</v>
      </c>
      <c r="F1447" s="291">
        <v>15996</v>
      </c>
    </row>
    <row r="1448" spans="1:7">
      <c r="A1448" s="8"/>
      <c r="B1448" s="1" t="s">
        <v>180</v>
      </c>
      <c r="C1448" s="1"/>
      <c r="D1448" s="5"/>
      <c r="E1448" s="290"/>
      <c r="F1448" s="291"/>
    </row>
    <row r="1449" spans="1:7">
      <c r="A1449" s="8"/>
      <c r="B1449" s="1" t="s">
        <v>135</v>
      </c>
      <c r="C1449" s="81"/>
      <c r="D1449" s="5"/>
      <c r="E1449" s="290"/>
      <c r="F1449" s="291"/>
    </row>
    <row r="1450" spans="1:7">
      <c r="A1450" s="8"/>
      <c r="B1450" s="1" t="s">
        <v>805</v>
      </c>
      <c r="C1450" s="81"/>
      <c r="D1450" s="288"/>
      <c r="E1450" s="343"/>
      <c r="F1450" s="293"/>
    </row>
    <row r="1451" spans="1:7">
      <c r="A1451" s="8"/>
      <c r="B1451" s="81"/>
      <c r="C1451" s="81"/>
      <c r="D1451" s="288"/>
      <c r="E1451" s="343"/>
      <c r="F1451" s="293"/>
    </row>
    <row r="1452" spans="1:7">
      <c r="A1452" s="8"/>
      <c r="B1452" s="81"/>
      <c r="C1452" s="81"/>
      <c r="D1452" s="288"/>
      <c r="E1452" s="343"/>
      <c r="F1452" s="293"/>
    </row>
    <row r="1453" spans="1:7">
      <c r="A1453" s="8"/>
      <c r="B1453" s="81"/>
      <c r="C1453" s="81"/>
      <c r="D1453" s="288"/>
      <c r="E1453" s="343"/>
      <c r="F1453" s="293"/>
    </row>
    <row r="1454" spans="1:7">
      <c r="A1454" s="8"/>
      <c r="B1454" s="81"/>
      <c r="C1454" s="81"/>
      <c r="D1454" s="288"/>
      <c r="E1454" s="343"/>
      <c r="F1454" s="293"/>
    </row>
    <row r="1455" spans="1:7">
      <c r="A1455" s="8"/>
      <c r="B1455" s="1"/>
      <c r="C1455" s="1"/>
      <c r="D1455" s="1"/>
      <c r="E1455" s="1"/>
      <c r="F1455" s="2"/>
    </row>
    <row r="1456" spans="1:7">
      <c r="A1456" s="8"/>
      <c r="B1456" s="1"/>
      <c r="C1456" s="1"/>
      <c r="D1456" s="1"/>
      <c r="E1456" s="1"/>
      <c r="F1456" s="2"/>
    </row>
    <row r="1457" spans="1:7" ht="15.75" thickBot="1">
      <c r="A1457" s="9"/>
      <c r="B1457" s="3"/>
      <c r="C1457" s="3"/>
      <c r="D1457" s="3"/>
      <c r="E1457" s="3"/>
      <c r="F1457" s="4"/>
    </row>
    <row r="1458" spans="1:7" ht="16.5" thickTop="1" thickBot="1"/>
    <row r="1459" spans="1:7" ht="15.75" thickTop="1">
      <c r="A1459" s="3782" t="s">
        <v>0</v>
      </c>
      <c r="B1459" s="3781" t="s">
        <v>1</v>
      </c>
      <c r="C1459" s="3781" t="s">
        <v>2</v>
      </c>
      <c r="D1459" s="3781" t="s">
        <v>3</v>
      </c>
      <c r="E1459" s="3781" t="s">
        <v>4</v>
      </c>
      <c r="F1459" s="3765" t="s">
        <v>5</v>
      </c>
    </row>
    <row r="1460" spans="1:7" ht="15.75" thickBot="1">
      <c r="A1460" s="3783"/>
      <c r="B1460" s="3767"/>
      <c r="C1460" s="3767"/>
      <c r="D1460" s="3767"/>
      <c r="E1460" s="3767"/>
      <c r="F1460" s="3766"/>
    </row>
    <row r="1461" spans="1:7" ht="15.75" thickTop="1">
      <c r="A1461" s="7" t="s">
        <v>1390</v>
      </c>
      <c r="B1461" s="5" t="s">
        <v>181</v>
      </c>
      <c r="C1461" s="1" t="s">
        <v>465</v>
      </c>
      <c r="D1461" s="5" t="s">
        <v>343</v>
      </c>
      <c r="E1461" s="290">
        <v>0.25</v>
      </c>
      <c r="F1461" s="291">
        <v>10383</v>
      </c>
      <c r="G1461">
        <v>13844</v>
      </c>
    </row>
    <row r="1462" spans="1:7">
      <c r="A1462" s="8"/>
      <c r="B1462" s="1" t="s">
        <v>366</v>
      </c>
      <c r="C1462" s="1" t="s">
        <v>1332</v>
      </c>
      <c r="D1462" s="5" t="s">
        <v>343</v>
      </c>
      <c r="E1462" s="290">
        <v>0.25</v>
      </c>
      <c r="F1462" s="291">
        <v>10383</v>
      </c>
    </row>
    <row r="1463" spans="1:7">
      <c r="A1463" s="8"/>
      <c r="B1463" s="1" t="s">
        <v>180</v>
      </c>
      <c r="C1463" s="1"/>
      <c r="D1463" s="5"/>
      <c r="E1463" s="290"/>
      <c r="F1463" s="291"/>
    </row>
    <row r="1464" spans="1:7">
      <c r="A1464" s="8"/>
      <c r="B1464" s="1" t="s">
        <v>135</v>
      </c>
      <c r="C1464" s="81"/>
      <c r="D1464" s="5"/>
      <c r="E1464" s="290"/>
      <c r="F1464" s="291"/>
    </row>
    <row r="1465" spans="1:7">
      <c r="A1465" s="8"/>
      <c r="B1465" s="1" t="s">
        <v>805</v>
      </c>
      <c r="C1465" s="81"/>
      <c r="D1465" s="288"/>
      <c r="E1465" s="343"/>
      <c r="F1465" s="293"/>
    </row>
    <row r="1466" spans="1:7">
      <c r="A1466" s="8"/>
      <c r="B1466" s="81"/>
      <c r="C1466" s="81"/>
      <c r="D1466" s="288"/>
      <c r="E1466" s="343"/>
      <c r="F1466" s="293"/>
    </row>
    <row r="1467" spans="1:7">
      <c r="A1467" s="8"/>
      <c r="B1467" s="81"/>
      <c r="C1467" s="81"/>
      <c r="D1467" s="288"/>
      <c r="E1467" s="343"/>
      <c r="F1467" s="293"/>
    </row>
    <row r="1468" spans="1:7">
      <c r="A1468" s="8"/>
      <c r="B1468" s="81"/>
      <c r="C1468" s="81"/>
      <c r="D1468" s="288"/>
      <c r="E1468" s="343"/>
      <c r="F1468" s="293"/>
    </row>
    <row r="1469" spans="1:7">
      <c r="A1469" s="8"/>
      <c r="B1469" s="81"/>
      <c r="C1469" s="81"/>
      <c r="D1469" s="288"/>
      <c r="E1469" s="343"/>
      <c r="F1469" s="293"/>
    </row>
    <row r="1470" spans="1:7">
      <c r="A1470" s="8"/>
      <c r="B1470" s="1"/>
      <c r="C1470" s="1"/>
      <c r="D1470" s="1"/>
      <c r="E1470" s="1"/>
      <c r="F1470" s="2"/>
    </row>
    <row r="1471" spans="1:7">
      <c r="A1471" s="8"/>
      <c r="B1471" s="1"/>
      <c r="C1471" s="1"/>
      <c r="D1471" s="1"/>
      <c r="E1471" s="1"/>
      <c r="F1471" s="2"/>
    </row>
    <row r="1472" spans="1:7" ht="15.75" thickBot="1">
      <c r="A1472" s="9"/>
      <c r="B1472" s="3"/>
      <c r="C1472" s="3"/>
      <c r="D1472" s="3"/>
      <c r="E1472" s="3"/>
      <c r="F1472" s="4"/>
    </row>
    <row r="1473" spans="1:7" ht="16.5" thickTop="1" thickBot="1"/>
    <row r="1474" spans="1:7" ht="15.75" thickTop="1">
      <c r="A1474" s="3782" t="s">
        <v>0</v>
      </c>
      <c r="B1474" s="3781" t="s">
        <v>1</v>
      </c>
      <c r="C1474" s="3781" t="s">
        <v>2</v>
      </c>
      <c r="D1474" s="3781" t="s">
        <v>3</v>
      </c>
      <c r="E1474" s="3781" t="s">
        <v>4</v>
      </c>
      <c r="F1474" s="3765" t="s">
        <v>5</v>
      </c>
    </row>
    <row r="1475" spans="1:7" ht="15.75" thickBot="1">
      <c r="A1475" s="3783"/>
      <c r="B1475" s="3767"/>
      <c r="C1475" s="3767"/>
      <c r="D1475" s="3767"/>
      <c r="E1475" s="3767"/>
      <c r="F1475" s="3766"/>
    </row>
    <row r="1476" spans="1:7" ht="15.75" thickTop="1">
      <c r="A1476" s="7" t="s">
        <v>1391</v>
      </c>
      <c r="B1476" s="340" t="s">
        <v>411</v>
      </c>
      <c r="C1476" s="1" t="s">
        <v>160</v>
      </c>
      <c r="D1476" s="5" t="s">
        <v>490</v>
      </c>
      <c r="E1476" s="290">
        <v>0.2</v>
      </c>
      <c r="F1476" s="366">
        <v>155036</v>
      </c>
      <c r="G1476">
        <v>193795</v>
      </c>
    </row>
    <row r="1477" spans="1:7">
      <c r="A1477" s="8"/>
      <c r="B1477" s="81"/>
      <c r="C1477" s="1" t="s">
        <v>113</v>
      </c>
      <c r="D1477" s="5" t="s">
        <v>490</v>
      </c>
      <c r="E1477" s="290">
        <v>0.2</v>
      </c>
      <c r="F1477" s="366">
        <v>155036</v>
      </c>
    </row>
    <row r="1478" spans="1:7">
      <c r="A1478" s="8"/>
      <c r="B1478" s="81"/>
      <c r="C1478" s="1" t="s">
        <v>161</v>
      </c>
      <c r="D1478" s="5" t="s">
        <v>490</v>
      </c>
      <c r="E1478" s="290">
        <v>0.2</v>
      </c>
      <c r="F1478" s="366">
        <v>155036</v>
      </c>
    </row>
    <row r="1479" spans="1:7">
      <c r="A1479" s="8"/>
      <c r="B1479" s="81"/>
      <c r="C1479" s="81" t="s">
        <v>328</v>
      </c>
      <c r="D1479" s="5" t="s">
        <v>490</v>
      </c>
      <c r="E1479" s="290">
        <v>0.2</v>
      </c>
      <c r="F1479" s="366">
        <v>175148</v>
      </c>
      <c r="G1479">
        <v>218935</v>
      </c>
    </row>
    <row r="1480" spans="1:7">
      <c r="A1480" s="8"/>
      <c r="B1480" s="81"/>
      <c r="C1480" s="81" t="s">
        <v>326</v>
      </c>
      <c r="D1480" s="5" t="s">
        <v>490</v>
      </c>
      <c r="E1480" s="343">
        <v>0.2</v>
      </c>
      <c r="F1480" s="366">
        <v>175148</v>
      </c>
    </row>
    <row r="1481" spans="1:7">
      <c r="A1481" s="8"/>
      <c r="B1481" s="81"/>
      <c r="C1481" s="81" t="s">
        <v>327</v>
      </c>
      <c r="D1481" s="5" t="s">
        <v>490</v>
      </c>
      <c r="E1481" s="343">
        <v>0.2</v>
      </c>
      <c r="F1481" s="366">
        <v>175148</v>
      </c>
    </row>
    <row r="1482" spans="1:7">
      <c r="A1482" s="8"/>
      <c r="B1482" s="81"/>
      <c r="C1482" s="81" t="s">
        <v>1376</v>
      </c>
      <c r="D1482" s="5" t="s">
        <v>490</v>
      </c>
      <c r="E1482" s="343">
        <v>0.15</v>
      </c>
      <c r="F1482" s="370">
        <v>36906</v>
      </c>
    </row>
    <row r="1483" spans="1:7">
      <c r="A1483" s="8"/>
      <c r="B1483" s="81"/>
      <c r="C1483" s="81" t="s">
        <v>1362</v>
      </c>
      <c r="D1483" s="5" t="s">
        <v>490</v>
      </c>
      <c r="E1483" s="343">
        <v>0.15</v>
      </c>
      <c r="F1483" s="370">
        <v>36906</v>
      </c>
    </row>
    <row r="1484" spans="1:7">
      <c r="A1484" s="8"/>
      <c r="B1484" s="81"/>
      <c r="C1484" s="81"/>
      <c r="D1484" s="288"/>
      <c r="E1484" s="343"/>
      <c r="F1484" s="293"/>
    </row>
    <row r="1485" spans="1:7">
      <c r="A1485" s="8"/>
      <c r="B1485" s="1"/>
      <c r="C1485" s="1"/>
      <c r="D1485" s="1"/>
      <c r="E1485" s="1"/>
      <c r="F1485" s="2"/>
    </row>
    <row r="1486" spans="1:7">
      <c r="A1486" s="8"/>
      <c r="B1486" s="1"/>
      <c r="C1486" s="1"/>
      <c r="D1486" s="1"/>
      <c r="E1486" s="1"/>
      <c r="F1486" s="2"/>
    </row>
    <row r="1487" spans="1:7" ht="15.75" thickBot="1">
      <c r="A1487" s="9"/>
      <c r="B1487" s="3"/>
      <c r="C1487" s="3"/>
      <c r="D1487" s="3"/>
      <c r="E1487" s="3"/>
      <c r="F1487" s="4"/>
    </row>
    <row r="1488" spans="1:7" ht="16.5" thickTop="1" thickBot="1"/>
    <row r="1489" spans="1:8" ht="15.75" thickTop="1">
      <c r="A1489" s="3782" t="s">
        <v>0</v>
      </c>
      <c r="B1489" s="3781" t="s">
        <v>1</v>
      </c>
      <c r="C1489" s="3781" t="s">
        <v>2</v>
      </c>
      <c r="D1489" s="3781" t="s">
        <v>3</v>
      </c>
      <c r="E1489" s="3781" t="s">
        <v>4</v>
      </c>
      <c r="F1489" s="3765" t="s">
        <v>5</v>
      </c>
    </row>
    <row r="1490" spans="1:8" ht="15.75" thickBot="1">
      <c r="A1490" s="3783"/>
      <c r="B1490" s="3767"/>
      <c r="C1490" s="3767"/>
      <c r="D1490" s="3767"/>
      <c r="E1490" s="3767"/>
      <c r="F1490" s="3766"/>
    </row>
    <row r="1491" spans="1:8" ht="15.75" thickTop="1">
      <c r="A1491" s="7" t="s">
        <v>1392</v>
      </c>
      <c r="B1491" s="298" t="s">
        <v>409</v>
      </c>
      <c r="C1491" s="1" t="s">
        <v>263</v>
      </c>
      <c r="D1491" s="5" t="s">
        <v>490</v>
      </c>
      <c r="E1491" s="290">
        <v>0.15</v>
      </c>
      <c r="F1491" s="291">
        <v>8369</v>
      </c>
      <c r="G1491">
        <v>9846</v>
      </c>
    </row>
    <row r="1492" spans="1:8">
      <c r="A1492" s="8"/>
      <c r="B1492" s="81" t="s">
        <v>392</v>
      </c>
      <c r="C1492" s="1" t="s">
        <v>730</v>
      </c>
      <c r="D1492" s="5" t="s">
        <v>490</v>
      </c>
      <c r="E1492" s="290">
        <v>0.15</v>
      </c>
      <c r="F1492" s="291">
        <v>6495</v>
      </c>
      <c r="G1492">
        <v>7641</v>
      </c>
      <c r="H1492">
        <v>6974</v>
      </c>
    </row>
    <row r="1493" spans="1:8">
      <c r="A1493" s="8"/>
      <c r="B1493" s="81" t="s">
        <v>534</v>
      </c>
      <c r="C1493" s="1" t="s">
        <v>636</v>
      </c>
      <c r="D1493" s="5" t="s">
        <v>490</v>
      </c>
      <c r="E1493" s="290">
        <v>0.15</v>
      </c>
      <c r="F1493" s="291">
        <v>7905</v>
      </c>
      <c r="G1493">
        <v>9300</v>
      </c>
    </row>
    <row r="1494" spans="1:8">
      <c r="A1494" s="8"/>
      <c r="B1494" s="1" t="s">
        <v>535</v>
      </c>
      <c r="C1494" s="81"/>
      <c r="D1494" s="5" t="s">
        <v>490</v>
      </c>
      <c r="E1494" s="290"/>
      <c r="F1494" s="291"/>
    </row>
    <row r="1495" spans="1:8">
      <c r="A1495" s="8"/>
      <c r="B1495" s="1" t="s">
        <v>921</v>
      </c>
      <c r="C1495" s="81"/>
      <c r="D1495" s="5" t="s">
        <v>490</v>
      </c>
      <c r="E1495" s="290"/>
      <c r="F1495" s="293"/>
    </row>
    <row r="1496" spans="1:8">
      <c r="A1496" s="8"/>
      <c r="B1496" s="81"/>
      <c r="C1496" s="81"/>
      <c r="D1496" s="5" t="s">
        <v>490</v>
      </c>
      <c r="E1496" s="290"/>
      <c r="F1496" s="293"/>
    </row>
    <row r="1497" spans="1:8">
      <c r="A1497" s="8"/>
      <c r="B1497" s="81"/>
      <c r="C1497" s="81"/>
      <c r="D1497" s="5" t="s">
        <v>490</v>
      </c>
      <c r="E1497" s="290"/>
      <c r="F1497" s="293"/>
    </row>
    <row r="1498" spans="1:8">
      <c r="A1498" s="8"/>
      <c r="B1498" s="81"/>
      <c r="C1498" s="81"/>
      <c r="D1498" s="5" t="s">
        <v>490</v>
      </c>
      <c r="E1498" s="290"/>
      <c r="F1498" s="293"/>
    </row>
    <row r="1499" spans="1:8">
      <c r="A1499" s="8"/>
      <c r="B1499" s="81"/>
      <c r="C1499" s="81"/>
      <c r="D1499" s="288"/>
      <c r="E1499" s="343"/>
      <c r="F1499" s="293"/>
    </row>
    <row r="1500" spans="1:8">
      <c r="A1500" s="8"/>
      <c r="B1500" s="1"/>
      <c r="C1500" s="1"/>
      <c r="D1500" s="1"/>
      <c r="E1500" s="1"/>
      <c r="F1500" s="2"/>
    </row>
    <row r="1501" spans="1:8">
      <c r="A1501" s="8"/>
      <c r="B1501" s="1"/>
      <c r="C1501" s="1"/>
      <c r="D1501" s="1"/>
      <c r="E1501" s="1"/>
      <c r="F1501" s="2"/>
    </row>
    <row r="1502" spans="1:8" ht="15.75" thickBot="1">
      <c r="A1502" s="9"/>
      <c r="B1502" s="3"/>
      <c r="C1502" s="3"/>
      <c r="D1502" s="3"/>
      <c r="E1502" s="3"/>
      <c r="F1502" s="4"/>
    </row>
    <row r="1503" spans="1:8" ht="16.5" thickTop="1" thickBot="1"/>
    <row r="1504" spans="1:8" ht="15.75" thickTop="1">
      <c r="A1504" s="3782" t="s">
        <v>0</v>
      </c>
      <c r="B1504" s="3781" t="s">
        <v>1</v>
      </c>
      <c r="C1504" s="3781" t="s">
        <v>2</v>
      </c>
      <c r="D1504" s="3781" t="s">
        <v>3</v>
      </c>
      <c r="E1504" s="3781" t="s">
        <v>4</v>
      </c>
      <c r="F1504" s="3765" t="s">
        <v>5</v>
      </c>
    </row>
    <row r="1505" spans="1:6" ht="15.75" thickBot="1">
      <c r="A1505" s="3783"/>
      <c r="B1505" s="3767"/>
      <c r="C1505" s="3767"/>
      <c r="D1505" s="3767"/>
      <c r="E1505" s="3767"/>
      <c r="F1505" s="3766"/>
    </row>
    <row r="1506" spans="1:6" ht="15.75" thickTop="1">
      <c r="A1506" s="7" t="s">
        <v>1395</v>
      </c>
      <c r="B1506" s="288" t="s">
        <v>120</v>
      </c>
      <c r="C1506" s="1" t="s">
        <v>226</v>
      </c>
      <c r="D1506" s="5" t="s">
        <v>237</v>
      </c>
      <c r="E1506" s="278">
        <v>0.25</v>
      </c>
      <c r="F1506" s="279">
        <v>6383</v>
      </c>
    </row>
    <row r="1507" spans="1:6">
      <c r="A1507" s="8"/>
      <c r="B1507" s="81" t="s">
        <v>121</v>
      </c>
      <c r="C1507" s="1" t="s">
        <v>1058</v>
      </c>
      <c r="D1507" s="5" t="s">
        <v>237</v>
      </c>
      <c r="E1507" s="278">
        <v>0.2</v>
      </c>
      <c r="F1507" s="279">
        <v>16904</v>
      </c>
    </row>
    <row r="1508" spans="1:6">
      <c r="A1508" s="8"/>
      <c r="B1508" s="81" t="s">
        <v>123</v>
      </c>
      <c r="C1508" s="1" t="s">
        <v>72</v>
      </c>
      <c r="D1508" s="5" t="s">
        <v>237</v>
      </c>
      <c r="E1508" s="278">
        <v>0.1</v>
      </c>
      <c r="F1508" s="279">
        <v>193771</v>
      </c>
    </row>
    <row r="1509" spans="1:6">
      <c r="A1509" s="8"/>
      <c r="B1509" s="81" t="s">
        <v>122</v>
      </c>
      <c r="C1509" s="81" t="s">
        <v>1396</v>
      </c>
      <c r="D1509" s="5" t="s">
        <v>237</v>
      </c>
      <c r="E1509" s="290">
        <v>0.1</v>
      </c>
      <c r="F1509" s="291">
        <v>12190</v>
      </c>
    </row>
    <row r="1510" spans="1:6">
      <c r="A1510" s="8"/>
      <c r="B1510" s="81"/>
      <c r="C1510" s="81" t="s">
        <v>1397</v>
      </c>
      <c r="D1510" s="5" t="s">
        <v>237</v>
      </c>
      <c r="E1510" s="343">
        <v>0.1</v>
      </c>
      <c r="F1510" s="293">
        <v>3099</v>
      </c>
    </row>
    <row r="1511" spans="1:6">
      <c r="A1511" s="8"/>
      <c r="B1511" s="81"/>
      <c r="C1511" s="81"/>
      <c r="D1511" s="288"/>
      <c r="E1511" s="343"/>
      <c r="F1511" s="293"/>
    </row>
    <row r="1512" spans="1:6">
      <c r="A1512" s="8"/>
      <c r="B1512" s="81"/>
      <c r="C1512" s="81"/>
      <c r="D1512" s="288"/>
      <c r="E1512" s="343"/>
      <c r="F1512" s="293"/>
    </row>
    <row r="1513" spans="1:6">
      <c r="A1513" s="8"/>
      <c r="B1513" s="81"/>
      <c r="C1513" s="81"/>
      <c r="D1513" s="288"/>
      <c r="E1513" s="343"/>
      <c r="F1513" s="293"/>
    </row>
    <row r="1514" spans="1:6">
      <c r="A1514" s="8"/>
      <c r="B1514" s="81"/>
      <c r="C1514" s="81"/>
      <c r="D1514" s="288"/>
      <c r="E1514" s="343"/>
      <c r="F1514" s="293"/>
    </row>
    <row r="1515" spans="1:6">
      <c r="A1515" s="8"/>
      <c r="B1515" s="1"/>
      <c r="C1515" s="1"/>
      <c r="D1515" s="1"/>
      <c r="E1515" s="1"/>
      <c r="F1515" s="2"/>
    </row>
    <row r="1516" spans="1:6">
      <c r="A1516" s="8"/>
      <c r="B1516" s="1"/>
      <c r="C1516" s="1"/>
      <c r="D1516" s="1"/>
      <c r="E1516" s="1"/>
      <c r="F1516" s="2"/>
    </row>
    <row r="1517" spans="1:6" ht="15.75" thickBot="1">
      <c r="A1517" s="9"/>
      <c r="B1517" s="3"/>
      <c r="C1517" s="3"/>
      <c r="D1517" s="3"/>
      <c r="E1517" s="3"/>
      <c r="F1517" s="4"/>
    </row>
    <row r="1518" spans="1:6" ht="16.5" thickTop="1" thickBot="1"/>
    <row r="1519" spans="1:6" ht="15.75" thickTop="1">
      <c r="A1519" s="3782" t="s">
        <v>0</v>
      </c>
      <c r="B1519" s="3781" t="s">
        <v>1</v>
      </c>
      <c r="C1519" s="3781" t="s">
        <v>2</v>
      </c>
      <c r="D1519" s="3781" t="s">
        <v>3</v>
      </c>
      <c r="E1519" s="3781" t="s">
        <v>4</v>
      </c>
      <c r="F1519" s="3765" t="s">
        <v>5</v>
      </c>
    </row>
    <row r="1520" spans="1:6" ht="15.75" thickBot="1">
      <c r="A1520" s="3783"/>
      <c r="B1520" s="3767"/>
      <c r="C1520" s="3767"/>
      <c r="D1520" s="3767"/>
      <c r="E1520" s="3767"/>
      <c r="F1520" s="3766"/>
    </row>
    <row r="1521" spans="1:7" ht="15.75" thickTop="1">
      <c r="A1521" s="7" t="s">
        <v>1410</v>
      </c>
      <c r="B1521" s="288" t="s">
        <v>202</v>
      </c>
      <c r="C1521" s="1" t="s">
        <v>226</v>
      </c>
      <c r="D1521" s="5" t="s">
        <v>360</v>
      </c>
      <c r="E1521" s="290">
        <v>0.15</v>
      </c>
      <c r="F1521" s="291">
        <v>6691</v>
      </c>
      <c r="G1521">
        <v>7872</v>
      </c>
    </row>
    <row r="1522" spans="1:7">
      <c r="A1522" s="8"/>
      <c r="B1522" s="81" t="s">
        <v>1319</v>
      </c>
      <c r="C1522" s="1" t="s">
        <v>227</v>
      </c>
      <c r="D1522" s="5" t="s">
        <v>360</v>
      </c>
      <c r="E1522" s="290"/>
      <c r="F1522" s="291">
        <v>6691</v>
      </c>
    </row>
    <row r="1523" spans="1:7">
      <c r="A1523" s="8"/>
      <c r="B1523" s="81"/>
      <c r="C1523" s="1" t="s">
        <v>228</v>
      </c>
      <c r="D1523" s="5" t="s">
        <v>360</v>
      </c>
      <c r="E1523" s="290"/>
      <c r="F1523" s="291">
        <v>6691</v>
      </c>
    </row>
    <row r="1524" spans="1:7">
      <c r="A1524" s="8"/>
      <c r="B1524" s="81"/>
      <c r="C1524" s="81"/>
      <c r="D1524" s="5"/>
      <c r="E1524" s="290"/>
      <c r="F1524" s="291"/>
    </row>
    <row r="1525" spans="1:7">
      <c r="A1525" s="8"/>
      <c r="B1525" s="81"/>
      <c r="C1525" s="81"/>
      <c r="D1525" s="288"/>
      <c r="E1525" s="343"/>
      <c r="F1525" s="293"/>
    </row>
    <row r="1526" spans="1:7">
      <c r="A1526" s="8"/>
      <c r="B1526" s="81"/>
      <c r="C1526" s="81"/>
      <c r="D1526" s="288"/>
      <c r="E1526" s="343"/>
      <c r="F1526" s="293"/>
    </row>
    <row r="1527" spans="1:7">
      <c r="A1527" s="8"/>
      <c r="B1527" s="81"/>
      <c r="C1527" s="81"/>
      <c r="D1527" s="288"/>
      <c r="E1527" s="343"/>
      <c r="F1527" s="293"/>
    </row>
    <row r="1528" spans="1:7">
      <c r="A1528" s="8"/>
      <c r="B1528" s="81"/>
      <c r="C1528" s="81"/>
      <c r="D1528" s="288"/>
      <c r="E1528" s="343"/>
      <c r="F1528" s="293"/>
    </row>
    <row r="1529" spans="1:7">
      <c r="A1529" s="8"/>
      <c r="B1529" s="81"/>
      <c r="C1529" s="81"/>
      <c r="D1529" s="288"/>
      <c r="E1529" s="343"/>
      <c r="F1529" s="293"/>
    </row>
    <row r="1530" spans="1:7">
      <c r="A1530" s="8"/>
      <c r="B1530" s="1"/>
      <c r="C1530" s="1"/>
      <c r="D1530" s="1"/>
      <c r="E1530" s="1"/>
      <c r="F1530" s="2"/>
    </row>
    <row r="1531" spans="1:7">
      <c r="A1531" s="8"/>
      <c r="B1531" s="1"/>
      <c r="C1531" s="1"/>
      <c r="D1531" s="1"/>
      <c r="E1531" s="1"/>
      <c r="F1531" s="2"/>
    </row>
    <row r="1532" spans="1:7" ht="15.75" thickBot="1">
      <c r="A1532" s="9"/>
      <c r="B1532" s="3"/>
      <c r="C1532" s="3"/>
      <c r="D1532" s="3"/>
      <c r="E1532" s="3"/>
      <c r="F1532" s="4"/>
    </row>
    <row r="1533" spans="1:7" ht="16.5" thickTop="1" thickBot="1"/>
    <row r="1534" spans="1:7" ht="15.75" thickTop="1">
      <c r="A1534" s="3782" t="s">
        <v>0</v>
      </c>
      <c r="B1534" s="3781" t="s">
        <v>1</v>
      </c>
      <c r="C1534" s="3781" t="s">
        <v>2</v>
      </c>
      <c r="D1534" s="3781" t="s">
        <v>3</v>
      </c>
      <c r="E1534" s="3781" t="s">
        <v>4</v>
      </c>
      <c r="F1534" s="3765" t="s">
        <v>5</v>
      </c>
    </row>
    <row r="1535" spans="1:7" ht="15.75" thickBot="1">
      <c r="A1535" s="3783"/>
      <c r="B1535" s="3767"/>
      <c r="C1535" s="3767"/>
      <c r="D1535" s="3767"/>
      <c r="E1535" s="3767"/>
      <c r="F1535" s="3766"/>
    </row>
    <row r="1536" spans="1:7" ht="15.75" thickTop="1">
      <c r="A1536" s="7" t="s">
        <v>1411</v>
      </c>
      <c r="B1536" s="5" t="s">
        <v>181</v>
      </c>
      <c r="C1536" s="1" t="s">
        <v>897</v>
      </c>
      <c r="D1536" s="5" t="s">
        <v>343</v>
      </c>
      <c r="E1536" s="290">
        <v>0.2</v>
      </c>
      <c r="F1536" s="291">
        <v>11386</v>
      </c>
    </row>
    <row r="1537" spans="1:6">
      <c r="A1537" s="8"/>
      <c r="B1537" s="1" t="s">
        <v>366</v>
      </c>
      <c r="C1537" s="1" t="s">
        <v>1315</v>
      </c>
      <c r="D1537" s="5" t="s">
        <v>343</v>
      </c>
      <c r="E1537" s="290">
        <v>0.2</v>
      </c>
      <c r="F1537" s="291">
        <v>11386</v>
      </c>
    </row>
    <row r="1538" spans="1:6">
      <c r="A1538" s="8"/>
      <c r="B1538" s="1" t="s">
        <v>180</v>
      </c>
      <c r="C1538" s="1" t="s">
        <v>898</v>
      </c>
      <c r="D1538" s="5" t="s">
        <v>343</v>
      </c>
      <c r="E1538" s="290">
        <v>0.2</v>
      </c>
      <c r="F1538" s="291">
        <v>11386</v>
      </c>
    </row>
    <row r="1539" spans="1:6">
      <c r="A1539" s="8"/>
      <c r="B1539" s="1" t="s">
        <v>135</v>
      </c>
      <c r="C1539" s="81" t="s">
        <v>1316</v>
      </c>
      <c r="D1539" s="5" t="s">
        <v>343</v>
      </c>
      <c r="E1539" s="290">
        <v>0.2</v>
      </c>
      <c r="F1539" s="291">
        <v>11386</v>
      </c>
    </row>
    <row r="1540" spans="1:6">
      <c r="A1540" s="8"/>
      <c r="B1540" s="1" t="s">
        <v>805</v>
      </c>
      <c r="C1540" s="81" t="s">
        <v>899</v>
      </c>
      <c r="D1540" s="5" t="s">
        <v>343</v>
      </c>
      <c r="E1540" s="290">
        <v>0.2</v>
      </c>
      <c r="F1540" s="291">
        <v>11386</v>
      </c>
    </row>
    <row r="1541" spans="1:6">
      <c r="A1541" s="8"/>
      <c r="B1541" s="81"/>
      <c r="C1541" s="81" t="s">
        <v>1317</v>
      </c>
      <c r="D1541" s="5" t="s">
        <v>343</v>
      </c>
      <c r="E1541" s="290">
        <v>0.2</v>
      </c>
      <c r="F1541" s="291">
        <v>11386</v>
      </c>
    </row>
    <row r="1542" spans="1:6">
      <c r="A1542" s="8"/>
      <c r="B1542" s="81"/>
      <c r="C1542" s="81"/>
      <c r="D1542" s="288"/>
      <c r="E1542" s="343"/>
      <c r="F1542" s="293"/>
    </row>
    <row r="1543" spans="1:6">
      <c r="A1543" s="8"/>
      <c r="B1543" s="81"/>
      <c r="C1543" s="81"/>
      <c r="D1543" s="288"/>
      <c r="E1543" s="343"/>
      <c r="F1543" s="293"/>
    </row>
    <row r="1544" spans="1:6">
      <c r="A1544" s="8"/>
      <c r="B1544" s="81"/>
      <c r="C1544" s="81"/>
      <c r="D1544" s="288"/>
      <c r="E1544" s="343"/>
      <c r="F1544" s="293"/>
    </row>
    <row r="1545" spans="1:6">
      <c r="A1545" s="8"/>
      <c r="B1545" s="1"/>
      <c r="C1545" s="1"/>
      <c r="D1545" s="1"/>
      <c r="E1545" s="1"/>
      <c r="F1545" s="2"/>
    </row>
    <row r="1546" spans="1:6">
      <c r="A1546" s="8"/>
      <c r="B1546" s="1"/>
      <c r="C1546" s="1"/>
      <c r="D1546" s="1"/>
      <c r="E1546" s="1"/>
      <c r="F1546" s="2"/>
    </row>
    <row r="1547" spans="1:6" ht="15.75" thickBot="1">
      <c r="A1547" s="9"/>
      <c r="B1547" s="3"/>
      <c r="C1547" s="3"/>
      <c r="D1547" s="3"/>
      <c r="E1547" s="3"/>
      <c r="F1547" s="4"/>
    </row>
    <row r="1548" spans="1:6" ht="16.5" thickTop="1" thickBot="1"/>
    <row r="1549" spans="1:6" ht="15.75" thickTop="1">
      <c r="A1549" s="3782" t="s">
        <v>0</v>
      </c>
      <c r="B1549" s="3781" t="s">
        <v>1</v>
      </c>
      <c r="C1549" s="3781" t="s">
        <v>2</v>
      </c>
      <c r="D1549" s="3781" t="s">
        <v>3</v>
      </c>
      <c r="E1549" s="3781" t="s">
        <v>4</v>
      </c>
      <c r="F1549" s="3765" t="s">
        <v>5</v>
      </c>
    </row>
    <row r="1550" spans="1:6" ht="15.75" thickBot="1">
      <c r="A1550" s="3783"/>
      <c r="B1550" s="3767"/>
      <c r="C1550" s="3767"/>
      <c r="D1550" s="3767"/>
      <c r="E1550" s="3767"/>
      <c r="F1550" s="3766"/>
    </row>
    <row r="1551" spans="1:6" ht="15.75" thickTop="1">
      <c r="A1551" s="7" t="s">
        <v>1411</v>
      </c>
      <c r="B1551" s="191" t="s">
        <v>1414</v>
      </c>
      <c r="C1551" s="1" t="s">
        <v>68</v>
      </c>
      <c r="D1551" s="5"/>
      <c r="E1551" s="290">
        <v>0.2</v>
      </c>
      <c r="F1551" s="291">
        <v>13611</v>
      </c>
    </row>
    <row r="1552" spans="1:6">
      <c r="A1552" s="8"/>
      <c r="B1552" s="31" t="s">
        <v>1415</v>
      </c>
      <c r="C1552" s="1" t="s">
        <v>1345</v>
      </c>
      <c r="D1552" s="5"/>
      <c r="E1552" s="290">
        <v>0.2</v>
      </c>
      <c r="F1552" s="291">
        <v>13611</v>
      </c>
    </row>
    <row r="1553" spans="1:7">
      <c r="A1553" s="8"/>
      <c r="B1553" s="31" t="s">
        <v>1416</v>
      </c>
      <c r="C1553" s="1" t="s">
        <v>69</v>
      </c>
      <c r="D1553" s="5"/>
      <c r="E1553" s="290">
        <v>0.2</v>
      </c>
      <c r="F1553" s="291">
        <v>13611</v>
      </c>
    </row>
    <row r="1554" spans="1:7">
      <c r="A1554" s="8"/>
      <c r="B1554" s="31" t="s">
        <v>1417</v>
      </c>
      <c r="C1554" s="81" t="s">
        <v>1355</v>
      </c>
      <c r="D1554" s="5"/>
      <c r="E1554" s="290">
        <v>0.2</v>
      </c>
      <c r="F1554" s="291">
        <v>13611</v>
      </c>
    </row>
    <row r="1555" spans="1:7">
      <c r="A1555" s="8"/>
      <c r="B1555" s="31" t="s">
        <v>1418</v>
      </c>
      <c r="C1555" s="81" t="s">
        <v>51</v>
      </c>
      <c r="D1555" s="288"/>
      <c r="E1555" s="290">
        <v>0.2</v>
      </c>
      <c r="F1555" s="291">
        <v>13611</v>
      </c>
    </row>
    <row r="1556" spans="1:7">
      <c r="A1556" s="8"/>
      <c r="B1556" s="81" t="s">
        <v>1419</v>
      </c>
      <c r="C1556" s="81" t="s">
        <v>1413</v>
      </c>
      <c r="D1556" s="288"/>
      <c r="E1556" s="290">
        <v>0.2</v>
      </c>
      <c r="F1556" s="291">
        <v>13611</v>
      </c>
    </row>
    <row r="1557" spans="1:7">
      <c r="A1557" s="8"/>
      <c r="B1557" s="81" t="s">
        <v>1420</v>
      </c>
      <c r="C1557" s="81"/>
      <c r="D1557" s="288"/>
      <c r="E1557" s="343"/>
      <c r="F1557" s="293"/>
    </row>
    <row r="1558" spans="1:7">
      <c r="A1558" s="8"/>
      <c r="B1558" s="31" t="s">
        <v>1421</v>
      </c>
      <c r="C1558" s="81"/>
      <c r="D1558" s="288"/>
      <c r="E1558" s="343"/>
      <c r="F1558" s="293"/>
    </row>
    <row r="1559" spans="1:7">
      <c r="A1559" s="8"/>
      <c r="B1559" s="31" t="s">
        <v>1422</v>
      </c>
      <c r="C1559" s="81"/>
      <c r="D1559" s="288"/>
      <c r="E1559" s="343"/>
      <c r="F1559" s="293"/>
    </row>
    <row r="1560" spans="1:7">
      <c r="A1560" s="8"/>
      <c r="B1560" s="31" t="s">
        <v>1423</v>
      </c>
      <c r="C1560" s="1"/>
      <c r="D1560" s="1"/>
      <c r="E1560" s="1"/>
      <c r="F1560" s="2"/>
    </row>
    <row r="1561" spans="1:7">
      <c r="A1561" s="8"/>
      <c r="B1561" s="31" t="s">
        <v>412</v>
      </c>
      <c r="C1561" s="1"/>
      <c r="D1561" s="1"/>
      <c r="E1561" s="1"/>
      <c r="F1561" s="2"/>
    </row>
    <row r="1562" spans="1:7" ht="15.75" thickBot="1">
      <c r="A1562" s="9"/>
      <c r="B1562" s="3"/>
      <c r="C1562" s="3"/>
      <c r="D1562" s="3"/>
      <c r="E1562" s="3"/>
      <c r="F1562" s="4"/>
    </row>
    <row r="1563" spans="1:7" ht="16.5" thickTop="1" thickBot="1"/>
    <row r="1564" spans="1:7" ht="15.75" thickTop="1">
      <c r="A1564" s="3782" t="s">
        <v>0</v>
      </c>
      <c r="B1564" s="3781" t="s">
        <v>1</v>
      </c>
      <c r="C1564" s="3781" t="s">
        <v>2</v>
      </c>
      <c r="D1564" s="3781" t="s">
        <v>3</v>
      </c>
      <c r="E1564" s="3781" t="s">
        <v>4</v>
      </c>
      <c r="F1564" s="3765" t="s">
        <v>5</v>
      </c>
    </row>
    <row r="1565" spans="1:7" ht="15.75" thickBot="1">
      <c r="A1565" s="3783"/>
      <c r="B1565" s="3767"/>
      <c r="C1565" s="3767"/>
      <c r="D1565" s="3767"/>
      <c r="E1565" s="3767"/>
      <c r="F1565" s="3766"/>
    </row>
    <row r="1566" spans="1:7" ht="15.75" thickTop="1">
      <c r="A1566" s="7" t="s">
        <v>1428</v>
      </c>
      <c r="B1566" s="288" t="s">
        <v>120</v>
      </c>
      <c r="C1566" s="1" t="s">
        <v>150</v>
      </c>
      <c r="D1566" s="5" t="s">
        <v>237</v>
      </c>
      <c r="E1566" s="290">
        <v>0.1</v>
      </c>
      <c r="F1566" s="291">
        <v>6880</v>
      </c>
      <c r="G1566">
        <v>7644</v>
      </c>
    </row>
    <row r="1567" spans="1:7">
      <c r="A1567" s="8"/>
      <c r="B1567" s="81" t="s">
        <v>121</v>
      </c>
      <c r="C1567" s="1" t="s">
        <v>1300</v>
      </c>
      <c r="D1567" s="5" t="s">
        <v>237</v>
      </c>
      <c r="E1567" s="290">
        <v>0.1</v>
      </c>
      <c r="F1567" s="291">
        <v>9251</v>
      </c>
      <c r="G1567">
        <v>10279</v>
      </c>
    </row>
    <row r="1568" spans="1:7">
      <c r="A1568" s="8"/>
      <c r="B1568" s="81" t="s">
        <v>123</v>
      </c>
      <c r="C1568" s="1" t="s">
        <v>52</v>
      </c>
      <c r="D1568" s="5" t="s">
        <v>237</v>
      </c>
      <c r="E1568" s="290">
        <v>0.1</v>
      </c>
      <c r="F1568" s="291">
        <v>15896</v>
      </c>
      <c r="G1568">
        <v>17662</v>
      </c>
    </row>
    <row r="1569" spans="1:7">
      <c r="A1569" s="8"/>
      <c r="B1569" s="81" t="s">
        <v>122</v>
      </c>
      <c r="C1569" s="81" t="s">
        <v>1429</v>
      </c>
      <c r="D1569" s="5" t="s">
        <v>237</v>
      </c>
      <c r="E1569" s="290">
        <v>0.1</v>
      </c>
      <c r="F1569" s="291">
        <v>15896</v>
      </c>
    </row>
    <row r="1570" spans="1:7">
      <c r="A1570" s="8"/>
      <c r="B1570" s="81"/>
      <c r="C1570" s="81" t="s">
        <v>227</v>
      </c>
      <c r="D1570" s="5" t="s">
        <v>237</v>
      </c>
      <c r="E1570" s="290">
        <v>0.1</v>
      </c>
      <c r="F1570" s="291">
        <v>7533</v>
      </c>
      <c r="G1570">
        <v>8370</v>
      </c>
    </row>
    <row r="1571" spans="1:7">
      <c r="A1571" s="8"/>
      <c r="B1571" s="81"/>
      <c r="C1571" s="81" t="s">
        <v>786</v>
      </c>
      <c r="D1571" s="5" t="s">
        <v>237</v>
      </c>
      <c r="E1571" s="343">
        <v>0.1</v>
      </c>
      <c r="F1571" s="293">
        <v>55770</v>
      </c>
    </row>
    <row r="1572" spans="1:7">
      <c r="A1572" s="8"/>
      <c r="B1572" s="81"/>
      <c r="C1572" s="81" t="s">
        <v>1378</v>
      </c>
      <c r="D1572" s="5" t="s">
        <v>237</v>
      </c>
      <c r="E1572" s="290">
        <v>0.1</v>
      </c>
      <c r="F1572" s="291">
        <v>7656</v>
      </c>
    </row>
    <row r="1573" spans="1:7">
      <c r="A1573" s="8"/>
      <c r="B1573" s="81"/>
      <c r="C1573" s="81"/>
      <c r="D1573" s="288"/>
      <c r="E1573" s="343"/>
      <c r="F1573" s="293"/>
    </row>
    <row r="1574" spans="1:7">
      <c r="A1574" s="8"/>
      <c r="B1574" s="81"/>
      <c r="C1574" s="81"/>
      <c r="D1574" s="288"/>
      <c r="E1574" s="343"/>
      <c r="F1574" s="293"/>
    </row>
    <row r="1575" spans="1:7">
      <c r="A1575" s="8"/>
      <c r="B1575" s="1"/>
      <c r="C1575" s="1"/>
      <c r="D1575" s="1"/>
      <c r="E1575" s="1"/>
      <c r="F1575" s="2"/>
    </row>
    <row r="1576" spans="1:7">
      <c r="A1576" s="8"/>
      <c r="B1576" s="1"/>
      <c r="C1576" s="1"/>
      <c r="D1576" s="1"/>
      <c r="E1576" s="1"/>
      <c r="F1576" s="2"/>
    </row>
    <row r="1577" spans="1:7" ht="15.75" thickBot="1">
      <c r="A1577" s="9"/>
      <c r="B1577" s="3"/>
      <c r="C1577" s="3"/>
      <c r="D1577" s="3"/>
      <c r="E1577" s="3"/>
      <c r="F1577" s="4"/>
    </row>
    <row r="1578" spans="1:7" ht="16.5" thickTop="1" thickBot="1"/>
    <row r="1579" spans="1:7" ht="15.75" thickTop="1">
      <c r="A1579" s="3782" t="s">
        <v>0</v>
      </c>
      <c r="B1579" s="3781" t="s">
        <v>1</v>
      </c>
      <c r="C1579" s="3781" t="s">
        <v>2</v>
      </c>
      <c r="D1579" s="3781" t="s">
        <v>3</v>
      </c>
      <c r="E1579" s="3781" t="s">
        <v>4</v>
      </c>
      <c r="F1579" s="3765" t="s">
        <v>5</v>
      </c>
    </row>
    <row r="1580" spans="1:7" ht="15.75" thickBot="1">
      <c r="A1580" s="3783"/>
      <c r="B1580" s="3767"/>
      <c r="C1580" s="3767"/>
      <c r="D1580" s="3767"/>
      <c r="E1580" s="3767"/>
      <c r="F1580" s="3766"/>
    </row>
    <row r="1581" spans="1:7" ht="15.75" thickTop="1">
      <c r="A1581" s="7" t="s">
        <v>1430</v>
      </c>
      <c r="B1581" s="298" t="s">
        <v>409</v>
      </c>
      <c r="C1581" s="1" t="s">
        <v>226</v>
      </c>
      <c r="D1581" s="5" t="s">
        <v>490</v>
      </c>
      <c r="E1581" s="290">
        <v>0.15</v>
      </c>
      <c r="F1581" s="291">
        <v>6854</v>
      </c>
      <c r="G1581">
        <v>8063</v>
      </c>
    </row>
    <row r="1582" spans="1:7">
      <c r="A1582" s="8"/>
      <c r="B1582" s="81" t="s">
        <v>392</v>
      </c>
      <c r="C1582" s="1" t="s">
        <v>227</v>
      </c>
      <c r="D1582" s="5" t="s">
        <v>490</v>
      </c>
      <c r="E1582" s="290">
        <v>0.15</v>
      </c>
      <c r="F1582" s="291">
        <v>6854</v>
      </c>
    </row>
    <row r="1583" spans="1:7">
      <c r="A1583" s="8"/>
      <c r="B1583" s="81" t="s">
        <v>534</v>
      </c>
      <c r="C1583" s="1" t="s">
        <v>228</v>
      </c>
      <c r="D1583" s="5" t="s">
        <v>490</v>
      </c>
      <c r="E1583" s="290">
        <v>0.15</v>
      </c>
      <c r="F1583" s="291">
        <v>6854</v>
      </c>
    </row>
    <row r="1584" spans="1:7">
      <c r="A1584" s="8"/>
      <c r="B1584" s="1" t="s">
        <v>535</v>
      </c>
      <c r="C1584" s="81"/>
      <c r="D1584" s="5"/>
      <c r="E1584" s="290"/>
      <c r="F1584" s="291"/>
    </row>
    <row r="1585" spans="1:7">
      <c r="A1585" s="8"/>
      <c r="B1585" s="1" t="s">
        <v>921</v>
      </c>
      <c r="C1585" s="81"/>
      <c r="D1585" s="288"/>
      <c r="E1585" s="290"/>
      <c r="F1585" s="291"/>
    </row>
    <row r="1586" spans="1:7">
      <c r="A1586" s="8"/>
      <c r="B1586" s="81"/>
      <c r="C1586" s="81"/>
      <c r="D1586" s="288"/>
      <c r="E1586" s="290"/>
      <c r="F1586" s="291"/>
    </row>
    <row r="1587" spans="1:7">
      <c r="A1587" s="8"/>
      <c r="B1587" s="81"/>
      <c r="C1587" s="81"/>
      <c r="D1587" s="288"/>
      <c r="E1587" s="343"/>
      <c r="F1587" s="293"/>
    </row>
    <row r="1588" spans="1:7">
      <c r="A1588" s="8"/>
      <c r="B1588" s="81"/>
      <c r="C1588" s="81"/>
      <c r="D1588" s="288"/>
      <c r="E1588" s="343"/>
      <c r="F1588" s="293"/>
    </row>
    <row r="1589" spans="1:7">
      <c r="A1589" s="8"/>
      <c r="B1589" s="81"/>
      <c r="C1589" s="81"/>
      <c r="D1589" s="288"/>
      <c r="E1589" s="343"/>
      <c r="F1589" s="293"/>
    </row>
    <row r="1590" spans="1:7">
      <c r="A1590" s="8"/>
      <c r="B1590" s="1"/>
      <c r="C1590" s="1"/>
      <c r="D1590" s="1"/>
      <c r="E1590" s="1"/>
      <c r="F1590" s="2"/>
    </row>
    <row r="1591" spans="1:7">
      <c r="A1591" s="8"/>
      <c r="B1591" s="1"/>
      <c r="C1591" s="1"/>
      <c r="D1591" s="1"/>
      <c r="E1591" s="1"/>
      <c r="F1591" s="2"/>
    </row>
    <row r="1592" spans="1:7" ht="15.75" thickBot="1">
      <c r="A1592" s="9"/>
      <c r="B1592" s="3"/>
      <c r="C1592" s="3"/>
      <c r="D1592" s="3"/>
      <c r="E1592" s="3"/>
      <c r="F1592" s="4"/>
    </row>
    <row r="1593" spans="1:7" ht="16.5" thickTop="1" thickBot="1"/>
    <row r="1594" spans="1:7" ht="15.75" thickTop="1">
      <c r="A1594" s="3782" t="s">
        <v>0</v>
      </c>
      <c r="B1594" s="3781" t="s">
        <v>1</v>
      </c>
      <c r="C1594" s="3781" t="s">
        <v>2</v>
      </c>
      <c r="D1594" s="3781" t="s">
        <v>3</v>
      </c>
      <c r="E1594" s="3781" t="s">
        <v>4</v>
      </c>
      <c r="F1594" s="3765" t="s">
        <v>5</v>
      </c>
    </row>
    <row r="1595" spans="1:7" ht="15.75" thickBot="1">
      <c r="A1595" s="3783"/>
      <c r="B1595" s="3767"/>
      <c r="C1595" s="3767"/>
      <c r="D1595" s="3767"/>
      <c r="E1595" s="3767"/>
      <c r="F1595" s="3766"/>
    </row>
    <row r="1596" spans="1:7" ht="15.75" thickTop="1">
      <c r="A1596" s="7" t="s">
        <v>1442</v>
      </c>
      <c r="B1596" s="5" t="s">
        <v>181</v>
      </c>
      <c r="C1596" s="1" t="s">
        <v>730</v>
      </c>
      <c r="D1596" s="5" t="s">
        <v>343</v>
      </c>
      <c r="E1596" s="290">
        <v>0.2</v>
      </c>
      <c r="F1596" s="291">
        <v>6792</v>
      </c>
      <c r="G1596">
        <v>8490</v>
      </c>
    </row>
    <row r="1597" spans="1:7">
      <c r="A1597" s="8"/>
      <c r="B1597" s="1" t="s">
        <v>366</v>
      </c>
      <c r="C1597" s="1" t="s">
        <v>507</v>
      </c>
      <c r="D1597" s="5" t="s">
        <v>343</v>
      </c>
      <c r="E1597" s="290">
        <v>0.25</v>
      </c>
      <c r="F1597" s="291">
        <v>15017</v>
      </c>
      <c r="G1597">
        <v>20022</v>
      </c>
    </row>
    <row r="1598" spans="1:7">
      <c r="A1598" s="8"/>
      <c r="B1598" s="1" t="s">
        <v>180</v>
      </c>
      <c r="C1598" s="1" t="s">
        <v>1058</v>
      </c>
      <c r="D1598" s="5"/>
      <c r="E1598" s="290">
        <v>0.25</v>
      </c>
      <c r="F1598" s="291">
        <v>15017</v>
      </c>
    </row>
    <row r="1599" spans="1:7">
      <c r="A1599" s="8"/>
      <c r="B1599" s="1" t="s">
        <v>135</v>
      </c>
      <c r="C1599" s="81"/>
      <c r="D1599" s="5"/>
      <c r="E1599" s="290"/>
      <c r="F1599" s="291"/>
    </row>
    <row r="1600" spans="1:7">
      <c r="A1600" s="8"/>
      <c r="B1600" s="1" t="s">
        <v>805</v>
      </c>
      <c r="C1600" s="81"/>
      <c r="D1600" s="288"/>
      <c r="E1600" s="290"/>
      <c r="F1600" s="291"/>
    </row>
    <row r="1601" spans="1:8">
      <c r="A1601" s="8"/>
      <c r="B1601" s="81"/>
      <c r="C1601" s="81"/>
      <c r="D1601" s="288"/>
      <c r="E1601" s="290"/>
      <c r="F1601" s="291"/>
    </row>
    <row r="1602" spans="1:8">
      <c r="A1602" s="8"/>
      <c r="B1602" s="81"/>
      <c r="C1602" s="81"/>
      <c r="D1602" s="288"/>
      <c r="E1602" s="343"/>
      <c r="F1602" s="293"/>
    </row>
    <row r="1603" spans="1:8">
      <c r="A1603" s="8"/>
      <c r="B1603" s="81"/>
      <c r="C1603" s="81"/>
      <c r="D1603" s="288"/>
      <c r="E1603" s="343"/>
      <c r="F1603" s="293"/>
    </row>
    <row r="1604" spans="1:8">
      <c r="A1604" s="8"/>
      <c r="B1604" s="81"/>
      <c r="C1604" s="81"/>
      <c r="D1604" s="288"/>
      <c r="E1604" s="343"/>
      <c r="F1604" s="293"/>
    </row>
    <row r="1605" spans="1:8">
      <c r="A1605" s="8"/>
      <c r="B1605" s="1"/>
      <c r="C1605" s="1"/>
      <c r="D1605" s="1"/>
      <c r="E1605" s="1"/>
      <c r="F1605" s="2"/>
    </row>
    <row r="1606" spans="1:8">
      <c r="A1606" s="8"/>
      <c r="B1606" s="1"/>
      <c r="C1606" s="1"/>
      <c r="D1606" s="1"/>
      <c r="E1606" s="1"/>
      <c r="F1606" s="2"/>
    </row>
    <row r="1607" spans="1:8" ht="15.75" thickBot="1">
      <c r="A1607" s="9"/>
      <c r="B1607" s="3"/>
      <c r="C1607" s="3"/>
      <c r="D1607" s="3"/>
      <c r="E1607" s="3"/>
      <c r="F1607" s="4"/>
    </row>
    <row r="1608" spans="1:8" ht="16.5" thickTop="1" thickBot="1"/>
    <row r="1609" spans="1:8" ht="15.75" thickTop="1">
      <c r="A1609" s="3782" t="s">
        <v>0</v>
      </c>
      <c r="B1609" s="3781" t="s">
        <v>1</v>
      </c>
      <c r="C1609" s="3781" t="s">
        <v>2</v>
      </c>
      <c r="D1609" s="3781" t="s">
        <v>3</v>
      </c>
      <c r="E1609" s="3781" t="s">
        <v>4</v>
      </c>
      <c r="F1609" s="3765" t="s">
        <v>5</v>
      </c>
    </row>
    <row r="1610" spans="1:8" ht="15.75" thickBot="1">
      <c r="A1610" s="3783"/>
      <c r="B1610" s="3767"/>
      <c r="C1610" s="3767"/>
      <c r="D1610" s="3767"/>
      <c r="E1610" s="3767"/>
      <c r="F1610" s="3766"/>
    </row>
    <row r="1611" spans="1:8" ht="15.75" thickTop="1">
      <c r="A1611" s="7" t="s">
        <v>1457</v>
      </c>
      <c r="B1611" s="288" t="s">
        <v>120</v>
      </c>
      <c r="C1611" s="1" t="s">
        <v>485</v>
      </c>
      <c r="D1611" s="5" t="s">
        <v>237</v>
      </c>
      <c r="E1611" s="290">
        <v>0.15</v>
      </c>
      <c r="F1611" s="291">
        <v>8282</v>
      </c>
      <c r="G1611">
        <v>9925</v>
      </c>
      <c r="H1611" t="s">
        <v>418</v>
      </c>
    </row>
    <row r="1612" spans="1:8">
      <c r="A1612" s="8"/>
      <c r="B1612" s="81" t="s">
        <v>121</v>
      </c>
      <c r="C1612" s="1" t="s">
        <v>486</v>
      </c>
      <c r="D1612" s="5" t="s">
        <v>237</v>
      </c>
      <c r="E1612" s="290">
        <v>0.15</v>
      </c>
      <c r="F1612" s="291">
        <v>8282</v>
      </c>
      <c r="G1612">
        <v>9925</v>
      </c>
      <c r="H1612" t="s">
        <v>418</v>
      </c>
    </row>
    <row r="1613" spans="1:8">
      <c r="A1613" s="8"/>
      <c r="B1613" s="81" t="s">
        <v>123</v>
      </c>
      <c r="C1613" s="1" t="s">
        <v>1459</v>
      </c>
      <c r="D1613" s="5" t="s">
        <v>237</v>
      </c>
      <c r="E1613" s="290">
        <v>0.15</v>
      </c>
      <c r="F1613" s="291">
        <v>7186</v>
      </c>
      <c r="G1613">
        <v>8454</v>
      </c>
    </row>
    <row r="1614" spans="1:8">
      <c r="A1614" s="8"/>
      <c r="B1614" s="81" t="s">
        <v>122</v>
      </c>
      <c r="C1614" s="81" t="s">
        <v>1377</v>
      </c>
      <c r="D1614" s="5" t="s">
        <v>237</v>
      </c>
      <c r="E1614" s="290">
        <v>0.15</v>
      </c>
      <c r="F1614" s="291">
        <v>6629</v>
      </c>
      <c r="G1614">
        <v>7945</v>
      </c>
      <c r="H1614" t="s">
        <v>418</v>
      </c>
    </row>
    <row r="1615" spans="1:8">
      <c r="A1615" s="8"/>
      <c r="B1615" s="81"/>
      <c r="C1615" s="81" t="s">
        <v>905</v>
      </c>
      <c r="D1615" s="5" t="s">
        <v>237</v>
      </c>
      <c r="E1615" s="290">
        <v>0.15</v>
      </c>
      <c r="F1615" s="291">
        <v>6629</v>
      </c>
      <c r="G1615">
        <v>7945</v>
      </c>
      <c r="H1615" t="s">
        <v>418</v>
      </c>
    </row>
    <row r="1616" spans="1:8">
      <c r="A1616" s="8"/>
      <c r="B1616" s="81"/>
      <c r="C1616" s="81" t="s">
        <v>1091</v>
      </c>
      <c r="D1616" s="5" t="s">
        <v>237</v>
      </c>
      <c r="E1616" s="290">
        <v>0.15</v>
      </c>
      <c r="F1616" s="291">
        <v>12156</v>
      </c>
      <c r="G1616">
        <v>14301</v>
      </c>
    </row>
    <row r="1617" spans="1:11">
      <c r="A1617" s="8"/>
      <c r="B1617" s="81"/>
      <c r="C1617" s="81" t="s">
        <v>1458</v>
      </c>
      <c r="D1617" s="5" t="s">
        <v>237</v>
      </c>
      <c r="E1617" s="290">
        <v>0.15</v>
      </c>
      <c r="F1617" s="291">
        <v>2630</v>
      </c>
      <c r="G1617">
        <v>3094</v>
      </c>
      <c r="H1617" t="s">
        <v>418</v>
      </c>
    </row>
    <row r="1618" spans="1:11">
      <c r="A1618" s="8"/>
      <c r="B1618" s="81"/>
      <c r="C1618" s="81" t="s">
        <v>74</v>
      </c>
      <c r="D1618" s="5" t="s">
        <v>237</v>
      </c>
      <c r="E1618" s="343">
        <v>0.15</v>
      </c>
      <c r="F1618" s="293">
        <v>216261</v>
      </c>
      <c r="G1618">
        <v>244783</v>
      </c>
      <c r="H1618" t="s">
        <v>418</v>
      </c>
    </row>
    <row r="1619" spans="1:11">
      <c r="A1619" s="8"/>
      <c r="B1619" s="81"/>
      <c r="C1619" s="81"/>
      <c r="D1619" s="288"/>
      <c r="E1619" s="343"/>
      <c r="F1619" s="293"/>
    </row>
    <row r="1620" spans="1:11">
      <c r="A1620" s="8"/>
      <c r="B1620" s="1"/>
      <c r="C1620" s="1"/>
      <c r="D1620" s="1"/>
      <c r="E1620" s="1"/>
      <c r="F1620" s="2"/>
    </row>
    <row r="1621" spans="1:11">
      <c r="A1621" s="8"/>
      <c r="B1621" s="1"/>
      <c r="C1621" s="1"/>
      <c r="D1621" s="1"/>
      <c r="E1621" s="1"/>
      <c r="F1621" s="2"/>
    </row>
    <row r="1622" spans="1:11" ht="15.75" thickBot="1">
      <c r="A1622" s="9"/>
      <c r="B1622" s="3"/>
      <c r="C1622" s="3"/>
      <c r="D1622" s="3"/>
      <c r="E1622" s="3"/>
      <c r="F1622" s="4"/>
    </row>
    <row r="1623" spans="1:11" ht="16.5" thickTop="1" thickBot="1"/>
    <row r="1624" spans="1:11" ht="15.75" thickTop="1">
      <c r="A1624" s="3782" t="s">
        <v>0</v>
      </c>
      <c r="B1624" s="3781" t="s">
        <v>1</v>
      </c>
      <c r="C1624" s="3781" t="s">
        <v>2</v>
      </c>
      <c r="D1624" s="3781" t="s">
        <v>3</v>
      </c>
      <c r="E1624" s="3781" t="s">
        <v>4</v>
      </c>
      <c r="F1624" s="3765" t="s">
        <v>5</v>
      </c>
    </row>
    <row r="1625" spans="1:11" ht="15.75" thickBot="1">
      <c r="A1625" s="3783"/>
      <c r="B1625" s="3767"/>
      <c r="C1625" s="3767"/>
      <c r="D1625" s="3767"/>
      <c r="E1625" s="3767"/>
      <c r="F1625" s="3766"/>
    </row>
    <row r="1626" spans="1:11" ht="15.75" thickTop="1">
      <c r="A1626" s="7" t="s">
        <v>1465</v>
      </c>
      <c r="B1626" s="5" t="s">
        <v>181</v>
      </c>
      <c r="C1626" s="1" t="s">
        <v>1315</v>
      </c>
      <c r="D1626" s="5" t="s">
        <v>343</v>
      </c>
      <c r="E1626" s="290">
        <v>0.2</v>
      </c>
      <c r="F1626" s="291">
        <v>11945</v>
      </c>
      <c r="G1626">
        <v>14931</v>
      </c>
      <c r="H1626">
        <v>9900</v>
      </c>
      <c r="J1626">
        <f>H1626*I1626</f>
        <v>0</v>
      </c>
      <c r="K1626">
        <f>J1626/19500</f>
        <v>0</v>
      </c>
    </row>
    <row r="1627" spans="1:11">
      <c r="A1627" s="8"/>
      <c r="B1627" s="1" t="s">
        <v>366</v>
      </c>
      <c r="C1627" s="1" t="s">
        <v>1316</v>
      </c>
      <c r="D1627" s="5" t="s">
        <v>343</v>
      </c>
      <c r="E1627" s="290">
        <v>0.2</v>
      </c>
      <c r="F1627" s="291">
        <v>11945</v>
      </c>
    </row>
    <row r="1628" spans="1:11">
      <c r="A1628" s="8"/>
      <c r="B1628" s="1" t="s">
        <v>180</v>
      </c>
      <c r="C1628" s="1" t="s">
        <v>1317</v>
      </c>
      <c r="D1628" s="5" t="s">
        <v>343</v>
      </c>
      <c r="E1628" s="290">
        <v>0.2</v>
      </c>
      <c r="F1628" s="291">
        <v>11945</v>
      </c>
    </row>
    <row r="1629" spans="1:11">
      <c r="A1629" s="8"/>
      <c r="B1629" s="1" t="s">
        <v>135</v>
      </c>
      <c r="C1629" s="81"/>
      <c r="D1629" s="5"/>
      <c r="E1629" s="290"/>
      <c r="F1629" s="291"/>
    </row>
    <row r="1630" spans="1:11">
      <c r="A1630" s="8"/>
      <c r="B1630" s="1" t="s">
        <v>805</v>
      </c>
      <c r="C1630" s="81"/>
      <c r="D1630" s="288"/>
      <c r="E1630" s="290"/>
      <c r="F1630" s="291"/>
    </row>
    <row r="1631" spans="1:11">
      <c r="A1631" s="8"/>
      <c r="B1631" s="81"/>
      <c r="C1631" s="81"/>
      <c r="D1631" s="288"/>
      <c r="E1631" s="290"/>
      <c r="F1631" s="291"/>
    </row>
    <row r="1632" spans="1:11">
      <c r="A1632" s="8"/>
      <c r="B1632" s="81"/>
      <c r="C1632" s="81"/>
      <c r="D1632" s="288"/>
      <c r="E1632" s="343"/>
      <c r="F1632" s="293"/>
    </row>
    <row r="1633" spans="1:11">
      <c r="A1633" s="8"/>
      <c r="B1633" s="81"/>
      <c r="C1633" s="81"/>
      <c r="D1633" s="288"/>
      <c r="E1633" s="343"/>
      <c r="F1633" s="293"/>
    </row>
    <row r="1634" spans="1:11">
      <c r="A1634" s="8"/>
      <c r="B1634" s="81"/>
      <c r="C1634" s="81"/>
      <c r="D1634" s="288"/>
      <c r="E1634" s="343"/>
      <c r="F1634" s="293"/>
    </row>
    <row r="1635" spans="1:11">
      <c r="A1635" s="8"/>
      <c r="B1635" s="1"/>
      <c r="C1635" s="1"/>
      <c r="D1635" s="1"/>
      <c r="E1635" s="1"/>
      <c r="F1635" s="2"/>
    </row>
    <row r="1636" spans="1:11">
      <c r="A1636" s="8"/>
      <c r="B1636" s="1"/>
      <c r="C1636" s="1"/>
      <c r="D1636" s="1"/>
      <c r="E1636" s="1"/>
      <c r="F1636" s="2"/>
    </row>
    <row r="1637" spans="1:11" ht="15.75" thickBot="1">
      <c r="A1637" s="9"/>
      <c r="B1637" s="3"/>
      <c r="C1637" s="3"/>
      <c r="D1637" s="3"/>
      <c r="E1637" s="3"/>
      <c r="F1637" s="4"/>
    </row>
    <row r="1638" spans="1:11" ht="16.5" thickTop="1" thickBot="1"/>
    <row r="1639" spans="1:11" ht="15.75" thickTop="1">
      <c r="A1639" s="3782" t="s">
        <v>0</v>
      </c>
      <c r="B1639" s="3781" t="s">
        <v>1</v>
      </c>
      <c r="C1639" s="3781" t="s">
        <v>2</v>
      </c>
      <c r="D1639" s="3781" t="s">
        <v>3</v>
      </c>
      <c r="E1639" s="3781" t="s">
        <v>4</v>
      </c>
      <c r="F1639" s="3765" t="s">
        <v>5</v>
      </c>
    </row>
    <row r="1640" spans="1:11" ht="15.75" thickBot="1">
      <c r="A1640" s="3783"/>
      <c r="B1640" s="3767"/>
      <c r="C1640" s="3767"/>
      <c r="D1640" s="3767"/>
      <c r="E1640" s="3767"/>
      <c r="F1640" s="3766"/>
    </row>
    <row r="1641" spans="1:11" ht="15.75" thickTop="1">
      <c r="A1641" s="7" t="s">
        <v>1471</v>
      </c>
      <c r="B1641" s="298" t="s">
        <v>409</v>
      </c>
      <c r="C1641" s="1" t="s">
        <v>226</v>
      </c>
      <c r="D1641" s="5" t="s">
        <v>343</v>
      </c>
      <c r="E1641" s="290">
        <v>0.15</v>
      </c>
      <c r="F1641" s="291">
        <v>6854</v>
      </c>
      <c r="G1641">
        <v>8063</v>
      </c>
      <c r="H1641">
        <v>2156</v>
      </c>
      <c r="J1641">
        <f>H1641*I1641</f>
        <v>0</v>
      </c>
      <c r="K1641">
        <f>J1641/19500</f>
        <v>0</v>
      </c>
    </row>
    <row r="1642" spans="1:11">
      <c r="A1642" s="8"/>
      <c r="B1642" s="81" t="s">
        <v>392</v>
      </c>
      <c r="C1642" s="1" t="s">
        <v>227</v>
      </c>
      <c r="D1642" s="5" t="s">
        <v>343</v>
      </c>
      <c r="E1642" s="290">
        <v>0.15</v>
      </c>
      <c r="F1642" s="291">
        <v>6854</v>
      </c>
    </row>
    <row r="1643" spans="1:11">
      <c r="A1643" s="8"/>
      <c r="B1643" s="81" t="s">
        <v>534</v>
      </c>
      <c r="C1643" s="1" t="s">
        <v>228</v>
      </c>
      <c r="D1643" s="5" t="s">
        <v>343</v>
      </c>
      <c r="E1643" s="290">
        <v>0.15</v>
      </c>
      <c r="F1643" s="291">
        <v>6854</v>
      </c>
    </row>
    <row r="1644" spans="1:11">
      <c r="A1644" s="8"/>
      <c r="B1644" s="1" t="s">
        <v>535</v>
      </c>
      <c r="C1644" s="81"/>
      <c r="D1644" s="5"/>
      <c r="E1644" s="290"/>
      <c r="F1644" s="291"/>
    </row>
    <row r="1645" spans="1:11">
      <c r="A1645" s="8"/>
      <c r="B1645" s="1" t="s">
        <v>921</v>
      </c>
      <c r="C1645" s="81"/>
      <c r="D1645" s="288"/>
      <c r="E1645" s="290"/>
      <c r="F1645" s="291"/>
    </row>
    <row r="1646" spans="1:11">
      <c r="A1646" s="8"/>
      <c r="B1646" s="81"/>
      <c r="C1646" s="81"/>
      <c r="D1646" s="288"/>
      <c r="E1646" s="290"/>
      <c r="F1646" s="291"/>
    </row>
    <row r="1647" spans="1:11">
      <c r="A1647" s="8"/>
      <c r="B1647" s="81"/>
      <c r="C1647" s="81"/>
      <c r="D1647" s="288"/>
      <c r="E1647" s="343"/>
      <c r="F1647" s="293"/>
    </row>
    <row r="1648" spans="1:11">
      <c r="A1648" s="8"/>
      <c r="B1648" s="81"/>
      <c r="C1648" s="81"/>
      <c r="D1648" s="288"/>
      <c r="E1648" s="343"/>
      <c r="F1648" s="293"/>
    </row>
    <row r="1649" spans="1:11">
      <c r="A1649" s="8"/>
      <c r="B1649" s="81"/>
      <c r="C1649" s="81"/>
      <c r="D1649" s="288"/>
      <c r="E1649" s="343"/>
      <c r="F1649" s="293"/>
    </row>
    <row r="1650" spans="1:11">
      <c r="A1650" s="8"/>
      <c r="B1650" s="1"/>
      <c r="C1650" s="1"/>
      <c r="D1650" s="1"/>
      <c r="E1650" s="1"/>
      <c r="F1650" s="2"/>
    </row>
    <row r="1651" spans="1:11">
      <c r="A1651" s="8"/>
      <c r="B1651" s="1"/>
      <c r="C1651" s="1"/>
      <c r="D1651" s="1"/>
      <c r="E1651" s="1"/>
      <c r="F1651" s="2"/>
    </row>
    <row r="1652" spans="1:11" ht="15.75" thickBot="1">
      <c r="A1652" s="9"/>
      <c r="B1652" s="3"/>
      <c r="C1652" s="3"/>
      <c r="D1652" s="3"/>
      <c r="E1652" s="3"/>
      <c r="F1652" s="4"/>
    </row>
    <row r="1653" spans="1:11" ht="16.5" thickTop="1" thickBot="1"/>
    <row r="1654" spans="1:11" ht="15.75" thickTop="1">
      <c r="A1654" s="3782" t="s">
        <v>0</v>
      </c>
      <c r="B1654" s="3781" t="s">
        <v>1</v>
      </c>
      <c r="C1654" s="3781" t="s">
        <v>2</v>
      </c>
      <c r="D1654" s="3781" t="s">
        <v>3</v>
      </c>
      <c r="E1654" s="3781" t="s">
        <v>4</v>
      </c>
      <c r="F1654" s="3765" t="s">
        <v>5</v>
      </c>
    </row>
    <row r="1655" spans="1:11" ht="15.75" thickBot="1">
      <c r="A1655" s="3783"/>
      <c r="B1655" s="3767"/>
      <c r="C1655" s="3767"/>
      <c r="D1655" s="3767"/>
      <c r="E1655" s="3767"/>
      <c r="F1655" s="3766"/>
    </row>
    <row r="1656" spans="1:11" ht="15.75" thickTop="1">
      <c r="A1656" s="7" t="s">
        <v>1472</v>
      </c>
      <c r="B1656" s="288" t="s">
        <v>202</v>
      </c>
      <c r="C1656" s="1" t="s">
        <v>554</v>
      </c>
      <c r="D1656" s="5" t="s">
        <v>343</v>
      </c>
      <c r="E1656" s="290">
        <v>0.15</v>
      </c>
      <c r="F1656" s="291">
        <v>9608</v>
      </c>
      <c r="G1656">
        <v>11304</v>
      </c>
      <c r="H1656">
        <v>2740</v>
      </c>
      <c r="J1656">
        <f>H1656*I1656</f>
        <v>0</v>
      </c>
      <c r="K1656">
        <f>J1656/19500</f>
        <v>0</v>
      </c>
    </row>
    <row r="1657" spans="1:11">
      <c r="A1657" s="8"/>
      <c r="B1657" s="81" t="s">
        <v>1319</v>
      </c>
      <c r="C1657" s="1" t="s">
        <v>1268</v>
      </c>
      <c r="D1657" s="5" t="s">
        <v>343</v>
      </c>
      <c r="E1657" s="290">
        <v>0.15</v>
      </c>
      <c r="F1657" s="291">
        <v>8831</v>
      </c>
      <c r="G1657">
        <v>10389</v>
      </c>
      <c r="H1657">
        <v>1667</v>
      </c>
      <c r="J1657">
        <f>H1657*I1657</f>
        <v>0</v>
      </c>
      <c r="K1657">
        <f>J1657/19500</f>
        <v>0</v>
      </c>
    </row>
    <row r="1658" spans="1:11">
      <c r="A1658" s="8"/>
      <c r="B1658" s="81"/>
      <c r="C1658" s="1"/>
      <c r="D1658" s="5"/>
      <c r="E1658" s="290"/>
      <c r="F1658" s="291"/>
    </row>
    <row r="1659" spans="1:11">
      <c r="A1659" s="8"/>
      <c r="B1659" s="81"/>
      <c r="C1659" s="81"/>
      <c r="D1659" s="5"/>
      <c r="E1659" s="290"/>
      <c r="F1659" s="291"/>
    </row>
    <row r="1660" spans="1:11">
      <c r="A1660" s="8"/>
      <c r="B1660" s="81"/>
      <c r="C1660" s="81"/>
      <c r="D1660" s="288"/>
      <c r="E1660" s="290"/>
      <c r="F1660" s="291"/>
    </row>
    <row r="1661" spans="1:11">
      <c r="A1661" s="8"/>
      <c r="B1661" s="81"/>
      <c r="C1661" s="81"/>
      <c r="D1661" s="288"/>
      <c r="E1661" s="290"/>
      <c r="F1661" s="291"/>
    </row>
    <row r="1662" spans="1:11">
      <c r="A1662" s="8"/>
      <c r="B1662" s="81"/>
      <c r="C1662" s="81"/>
      <c r="D1662" s="288"/>
      <c r="E1662" s="343"/>
      <c r="F1662" s="293"/>
    </row>
    <row r="1663" spans="1:11">
      <c r="A1663" s="8"/>
      <c r="B1663" s="81"/>
      <c r="C1663" s="81"/>
      <c r="D1663" s="288"/>
      <c r="E1663" s="343"/>
      <c r="F1663" s="293"/>
    </row>
    <row r="1664" spans="1:11">
      <c r="A1664" s="8"/>
      <c r="B1664" s="81"/>
      <c r="C1664" s="81"/>
      <c r="D1664" s="288"/>
      <c r="E1664" s="343"/>
      <c r="F1664" s="293"/>
    </row>
    <row r="1665" spans="1:7">
      <c r="A1665" s="8"/>
      <c r="B1665" s="1"/>
      <c r="C1665" s="1"/>
      <c r="D1665" s="1"/>
      <c r="E1665" s="1"/>
      <c r="F1665" s="2"/>
    </row>
    <row r="1666" spans="1:7">
      <c r="A1666" s="8"/>
      <c r="B1666" s="1"/>
      <c r="C1666" s="1"/>
      <c r="D1666" s="1"/>
      <c r="E1666" s="1"/>
      <c r="F1666" s="2"/>
    </row>
    <row r="1667" spans="1:7" ht="15.75" thickBot="1">
      <c r="A1667" s="9"/>
      <c r="B1667" s="3"/>
      <c r="C1667" s="3"/>
      <c r="D1667" s="3"/>
      <c r="E1667" s="3"/>
      <c r="F1667" s="4"/>
    </row>
    <row r="1668" spans="1:7" ht="16.5" thickTop="1" thickBot="1"/>
    <row r="1669" spans="1:7" ht="15.75" thickTop="1">
      <c r="A1669" s="3782" t="s">
        <v>0</v>
      </c>
      <c r="B1669" s="3781" t="s">
        <v>1</v>
      </c>
      <c r="C1669" s="3781" t="s">
        <v>2</v>
      </c>
      <c r="D1669" s="3781" t="s">
        <v>3</v>
      </c>
      <c r="E1669" s="3781" t="s">
        <v>4</v>
      </c>
      <c r="F1669" s="3765" t="s">
        <v>5</v>
      </c>
    </row>
    <row r="1670" spans="1:7" ht="15.75" thickBot="1">
      <c r="A1670" s="3783"/>
      <c r="B1670" s="3767"/>
      <c r="C1670" s="3767"/>
      <c r="D1670" s="3767"/>
      <c r="E1670" s="3767"/>
      <c r="F1670" s="3766"/>
    </row>
    <row r="1671" spans="1:7" ht="15.75" thickTop="1">
      <c r="A1671" s="7" t="s">
        <v>1473</v>
      </c>
      <c r="B1671" s="288" t="s">
        <v>120</v>
      </c>
      <c r="C1671" s="81" t="s">
        <v>522</v>
      </c>
      <c r="D1671" s="5"/>
      <c r="E1671" s="290">
        <v>0.1</v>
      </c>
      <c r="F1671" s="291">
        <v>7800</v>
      </c>
      <c r="G1671">
        <v>8667</v>
      </c>
    </row>
    <row r="1672" spans="1:7">
      <c r="A1672" s="8"/>
      <c r="B1672" s="81" t="s">
        <v>121</v>
      </c>
      <c r="C1672" s="81" t="s">
        <v>263</v>
      </c>
      <c r="D1672" s="5"/>
      <c r="E1672" s="290">
        <v>0.15</v>
      </c>
      <c r="F1672" s="291">
        <v>11973</v>
      </c>
      <c r="G1672">
        <v>14086</v>
      </c>
    </row>
    <row r="1673" spans="1:7">
      <c r="A1673" s="8"/>
      <c r="B1673" s="81" t="s">
        <v>123</v>
      </c>
      <c r="C1673" s="81" t="s">
        <v>908</v>
      </c>
      <c r="D1673" s="5"/>
      <c r="E1673" s="290">
        <v>0.15</v>
      </c>
      <c r="F1673" s="291">
        <v>7990</v>
      </c>
      <c r="G1673">
        <v>9400</v>
      </c>
    </row>
    <row r="1674" spans="1:7">
      <c r="A1674" s="8"/>
      <c r="B1674" s="81" t="s">
        <v>122</v>
      </c>
      <c r="C1674" s="81" t="s">
        <v>273</v>
      </c>
      <c r="D1674" s="5"/>
      <c r="E1674" s="290">
        <v>0.15</v>
      </c>
      <c r="F1674" s="291">
        <v>7990</v>
      </c>
      <c r="G1674">
        <v>9400</v>
      </c>
    </row>
    <row r="1675" spans="1:7">
      <c r="A1675" s="8"/>
      <c r="B1675" s="81"/>
      <c r="C1675" s="81" t="s">
        <v>150</v>
      </c>
      <c r="D1675" s="5"/>
      <c r="E1675" s="290">
        <v>0.15</v>
      </c>
      <c r="F1675" s="291">
        <v>6497</v>
      </c>
      <c r="G1675">
        <v>7644</v>
      </c>
    </row>
    <row r="1676" spans="1:7">
      <c r="A1676" s="8"/>
      <c r="B1676" s="81"/>
      <c r="C1676" s="81" t="s">
        <v>1120</v>
      </c>
      <c r="D1676" s="288"/>
      <c r="E1676" s="290">
        <v>0.15</v>
      </c>
      <c r="F1676" s="291">
        <v>4324</v>
      </c>
      <c r="G1676">
        <v>5087</v>
      </c>
    </row>
    <row r="1677" spans="1:7">
      <c r="A1677" s="8"/>
      <c r="B1677" s="81"/>
      <c r="C1677" s="81" t="s">
        <v>465</v>
      </c>
      <c r="D1677" s="288"/>
      <c r="E1677" s="290">
        <v>0.15</v>
      </c>
      <c r="F1677" s="291">
        <v>11651</v>
      </c>
      <c r="G1677">
        <v>13707</v>
      </c>
    </row>
    <row r="1678" spans="1:7">
      <c r="A1678" s="8"/>
      <c r="B1678" s="81"/>
      <c r="C1678" s="81" t="s">
        <v>1332</v>
      </c>
      <c r="D1678" s="288"/>
      <c r="E1678" s="290">
        <v>0.15</v>
      </c>
      <c r="F1678" s="291">
        <v>11651</v>
      </c>
      <c r="G1678">
        <v>13707</v>
      </c>
    </row>
    <row r="1679" spans="1:7">
      <c r="A1679" s="8"/>
      <c r="B1679" s="81"/>
      <c r="C1679" s="81" t="s">
        <v>228</v>
      </c>
      <c r="D1679" s="288"/>
      <c r="E1679" s="343">
        <v>0.15</v>
      </c>
      <c r="F1679" s="293">
        <v>7115</v>
      </c>
      <c r="G1679">
        <v>8370</v>
      </c>
    </row>
    <row r="1680" spans="1:7">
      <c r="A1680" s="8"/>
      <c r="B1680" s="81"/>
      <c r="C1680" s="81" t="s">
        <v>1345</v>
      </c>
      <c r="D1680" s="288"/>
      <c r="E1680" s="343">
        <v>0.15</v>
      </c>
      <c r="F1680" s="293">
        <v>15013</v>
      </c>
      <c r="G1680">
        <v>17662</v>
      </c>
    </row>
    <row r="1681" spans="1:7">
      <c r="A1681" s="8"/>
      <c r="B1681" s="1"/>
      <c r="C1681" s="81" t="s">
        <v>1317</v>
      </c>
      <c r="D1681" s="288"/>
      <c r="E1681" s="343">
        <v>0.15</v>
      </c>
      <c r="F1681" s="293">
        <v>13175</v>
      </c>
      <c r="G1681">
        <v>15500</v>
      </c>
    </row>
    <row r="1682" spans="1:7">
      <c r="A1682" s="8"/>
      <c r="B1682" s="1"/>
      <c r="C1682" s="81" t="s">
        <v>385</v>
      </c>
      <c r="D1682" s="1"/>
      <c r="E1682" s="343">
        <v>0.1</v>
      </c>
      <c r="F1682" s="2">
        <v>7656</v>
      </c>
      <c r="G1682">
        <v>8351</v>
      </c>
    </row>
    <row r="1683" spans="1:7" ht="15.75" thickBot="1">
      <c r="A1683" s="9"/>
      <c r="B1683" s="3"/>
      <c r="C1683" s="3"/>
      <c r="D1683" s="3"/>
      <c r="E1683" s="3"/>
      <c r="F1683" s="4"/>
    </row>
    <row r="1684" spans="1:7" ht="16.5" thickTop="1" thickBot="1"/>
    <row r="1685" spans="1:7" ht="15.75" thickTop="1">
      <c r="A1685" s="3782" t="s">
        <v>0</v>
      </c>
      <c r="B1685" s="3781" t="s">
        <v>1</v>
      </c>
      <c r="C1685" s="3781" t="s">
        <v>2</v>
      </c>
      <c r="D1685" s="3781" t="s">
        <v>3</v>
      </c>
      <c r="E1685" s="3781" t="s">
        <v>4</v>
      </c>
      <c r="F1685" s="3765" t="s">
        <v>5</v>
      </c>
    </row>
    <row r="1686" spans="1:7" ht="15.75" thickBot="1">
      <c r="A1686" s="3783"/>
      <c r="B1686" s="3767"/>
      <c r="C1686" s="3767"/>
      <c r="D1686" s="3767"/>
      <c r="E1686" s="3767"/>
      <c r="F1686" s="3766"/>
    </row>
    <row r="1687" spans="1:7" ht="15.75" thickTop="1">
      <c r="A1687" s="7" t="s">
        <v>1483</v>
      </c>
      <c r="B1687" s="5" t="s">
        <v>181</v>
      </c>
      <c r="C1687" s="1" t="s">
        <v>226</v>
      </c>
      <c r="D1687" s="5" t="s">
        <v>343</v>
      </c>
      <c r="E1687" s="290">
        <v>0.15</v>
      </c>
      <c r="F1687" s="291">
        <v>6854</v>
      </c>
      <c r="G1687">
        <v>8063</v>
      </c>
    </row>
    <row r="1688" spans="1:7">
      <c r="A1688" s="8"/>
      <c r="B1688" s="1" t="s">
        <v>366</v>
      </c>
      <c r="C1688" s="1" t="s">
        <v>227</v>
      </c>
      <c r="D1688" s="5" t="s">
        <v>343</v>
      </c>
      <c r="E1688" s="290">
        <v>0.15</v>
      </c>
      <c r="F1688" s="291">
        <v>6854</v>
      </c>
    </row>
    <row r="1689" spans="1:7">
      <c r="A1689" s="8"/>
      <c r="B1689" s="1" t="s">
        <v>180</v>
      </c>
      <c r="C1689" s="1" t="s">
        <v>228</v>
      </c>
      <c r="D1689" s="5" t="s">
        <v>343</v>
      </c>
      <c r="E1689" s="290">
        <v>0.15</v>
      </c>
      <c r="F1689" s="291">
        <v>6854</v>
      </c>
    </row>
    <row r="1690" spans="1:7">
      <c r="A1690" s="8"/>
      <c r="B1690" s="1" t="s">
        <v>135</v>
      </c>
      <c r="C1690" s="81"/>
      <c r="D1690" s="5"/>
      <c r="E1690" s="290"/>
      <c r="F1690" s="291"/>
    </row>
    <row r="1691" spans="1:7">
      <c r="A1691" s="8"/>
      <c r="B1691" s="1" t="s">
        <v>805</v>
      </c>
      <c r="C1691" s="81"/>
      <c r="D1691" s="288"/>
      <c r="E1691" s="290"/>
      <c r="F1691" s="291"/>
    </row>
    <row r="1692" spans="1:7">
      <c r="A1692" s="8"/>
      <c r="B1692" s="81"/>
      <c r="C1692" s="81"/>
      <c r="D1692" s="288"/>
      <c r="E1692" s="290"/>
      <c r="F1692" s="291"/>
    </row>
    <row r="1693" spans="1:7">
      <c r="A1693" s="8"/>
      <c r="B1693" s="81"/>
      <c r="C1693" s="81"/>
      <c r="D1693" s="288"/>
      <c r="E1693" s="343"/>
      <c r="F1693" s="293"/>
    </row>
    <row r="1694" spans="1:7">
      <c r="A1694" s="8"/>
      <c r="B1694" s="81"/>
      <c r="C1694" s="81"/>
      <c r="D1694" s="288"/>
      <c r="E1694" s="343"/>
      <c r="F1694" s="293"/>
    </row>
    <row r="1695" spans="1:7">
      <c r="A1695" s="8"/>
      <c r="B1695" s="81"/>
      <c r="C1695" s="81"/>
      <c r="D1695" s="288"/>
      <c r="E1695" s="343"/>
      <c r="F1695" s="293"/>
    </row>
    <row r="1696" spans="1:7">
      <c r="A1696" s="8"/>
      <c r="B1696" s="1"/>
      <c r="C1696" s="1"/>
      <c r="D1696" s="1"/>
      <c r="E1696" s="1"/>
      <c r="F1696" s="2"/>
    </row>
    <row r="1697" spans="1:7">
      <c r="A1697" s="8"/>
      <c r="B1697" s="1"/>
      <c r="C1697" s="1"/>
      <c r="D1697" s="1"/>
      <c r="E1697" s="1"/>
      <c r="F1697" s="2"/>
    </row>
    <row r="1698" spans="1:7" ht="15.75" thickBot="1">
      <c r="A1698" s="9"/>
      <c r="B1698" s="3"/>
      <c r="C1698" s="3"/>
      <c r="D1698" s="3"/>
      <c r="E1698" s="3"/>
      <c r="F1698" s="4"/>
    </row>
    <row r="1699" spans="1:7" ht="16.5" thickTop="1" thickBot="1"/>
    <row r="1700" spans="1:7" ht="15.75" thickTop="1">
      <c r="A1700" s="3782" t="s">
        <v>0</v>
      </c>
      <c r="B1700" s="3781" t="s">
        <v>1</v>
      </c>
      <c r="C1700" s="3781" t="s">
        <v>2</v>
      </c>
      <c r="D1700" s="3781" t="s">
        <v>3</v>
      </c>
      <c r="E1700" s="3781" t="s">
        <v>4</v>
      </c>
      <c r="F1700" s="3765" t="s">
        <v>5</v>
      </c>
    </row>
    <row r="1701" spans="1:7" ht="15.75" thickBot="1">
      <c r="A1701" s="3783"/>
      <c r="B1701" s="3767"/>
      <c r="C1701" s="3767"/>
      <c r="D1701" s="3767"/>
      <c r="E1701" s="3767"/>
      <c r="F1701" s="3766"/>
    </row>
    <row r="1702" spans="1:7" ht="15.75" thickTop="1">
      <c r="A1702" s="7" t="s">
        <v>1502</v>
      </c>
      <c r="B1702" s="288" t="s">
        <v>120</v>
      </c>
      <c r="C1702" s="1" t="s">
        <v>326</v>
      </c>
      <c r="D1702" s="5" t="s">
        <v>343</v>
      </c>
      <c r="E1702" s="290">
        <v>0.1</v>
      </c>
      <c r="F1702" s="366">
        <v>219600</v>
      </c>
      <c r="G1702">
        <v>244000</v>
      </c>
    </row>
    <row r="1703" spans="1:7">
      <c r="A1703" s="8"/>
      <c r="B1703" s="81" t="s">
        <v>121</v>
      </c>
      <c r="C1703" s="1" t="s">
        <v>231</v>
      </c>
      <c r="D1703" s="5" t="s">
        <v>343</v>
      </c>
      <c r="E1703" s="290">
        <v>0.1</v>
      </c>
      <c r="F1703" s="366">
        <v>14366</v>
      </c>
      <c r="G1703">
        <v>15962</v>
      </c>
    </row>
    <row r="1704" spans="1:7">
      <c r="A1704" s="8"/>
      <c r="B1704" s="81" t="s">
        <v>123</v>
      </c>
      <c r="C1704" s="1" t="s">
        <v>1503</v>
      </c>
      <c r="D1704" s="5" t="s">
        <v>343</v>
      </c>
      <c r="E1704" s="290">
        <v>0.15</v>
      </c>
      <c r="F1704" s="366">
        <v>2679</v>
      </c>
      <c r="G1704">
        <v>3152</v>
      </c>
    </row>
    <row r="1705" spans="1:7">
      <c r="A1705" s="8"/>
      <c r="B1705" s="81" t="s">
        <v>122</v>
      </c>
      <c r="C1705" s="81" t="s">
        <v>1379</v>
      </c>
      <c r="D1705" s="5" t="s">
        <v>343</v>
      </c>
      <c r="E1705" s="290">
        <v>0.15</v>
      </c>
      <c r="F1705" s="366">
        <v>9340</v>
      </c>
      <c r="G1705">
        <v>10988</v>
      </c>
    </row>
    <row r="1706" spans="1:7">
      <c r="A1706" s="8"/>
      <c r="B1706" s="81"/>
      <c r="C1706" s="81" t="s">
        <v>732</v>
      </c>
      <c r="D1706" s="5" t="s">
        <v>343</v>
      </c>
      <c r="E1706" s="290">
        <v>0.15</v>
      </c>
      <c r="F1706" s="366">
        <v>7206</v>
      </c>
      <c r="G1706">
        <v>8478</v>
      </c>
    </row>
    <row r="1707" spans="1:7">
      <c r="A1707" s="8"/>
      <c r="B1707" s="81"/>
      <c r="C1707" s="81" t="s">
        <v>1504</v>
      </c>
      <c r="D1707" s="5" t="s">
        <v>343</v>
      </c>
      <c r="E1707" s="290">
        <v>0.1</v>
      </c>
      <c r="F1707" s="366">
        <v>9204</v>
      </c>
      <c r="G1707">
        <v>10227</v>
      </c>
    </row>
    <row r="1708" spans="1:7">
      <c r="A1708" s="8"/>
      <c r="B1708" s="81"/>
      <c r="C1708" s="81"/>
      <c r="D1708" s="288"/>
      <c r="E1708" s="343"/>
      <c r="F1708" s="370"/>
    </row>
    <row r="1709" spans="1:7">
      <c r="A1709" s="8"/>
      <c r="B1709" s="81"/>
      <c r="C1709" s="81"/>
      <c r="D1709" s="288"/>
      <c r="E1709" s="343"/>
      <c r="F1709" s="293"/>
    </row>
    <row r="1710" spans="1:7">
      <c r="A1710" s="8"/>
      <c r="B1710" s="81"/>
      <c r="C1710" s="81"/>
      <c r="D1710" s="288"/>
      <c r="E1710" s="343"/>
      <c r="F1710" s="293"/>
    </row>
    <row r="1711" spans="1:7">
      <c r="A1711" s="8"/>
      <c r="B1711" s="1"/>
      <c r="C1711" s="1"/>
      <c r="D1711" s="1"/>
      <c r="E1711" s="1"/>
      <c r="F1711" s="2"/>
    </row>
    <row r="1712" spans="1:7">
      <c r="A1712" s="8"/>
      <c r="B1712" s="1"/>
      <c r="C1712" s="1"/>
      <c r="D1712" s="1"/>
      <c r="E1712" s="1"/>
      <c r="F1712" s="2"/>
    </row>
    <row r="1713" spans="1:7" ht="15.75" thickBot="1">
      <c r="A1713" s="9"/>
      <c r="B1713" s="3"/>
      <c r="C1713" s="3"/>
      <c r="D1713" s="3"/>
      <c r="E1713" s="3"/>
      <c r="F1713" s="4"/>
    </row>
    <row r="1714" spans="1:7" ht="16.5" thickTop="1" thickBot="1"/>
    <row r="1715" spans="1:7" ht="15.75" thickTop="1">
      <c r="A1715" s="3782" t="s">
        <v>0</v>
      </c>
      <c r="B1715" s="3781" t="s">
        <v>1</v>
      </c>
      <c r="C1715" s="3781" t="s">
        <v>2</v>
      </c>
      <c r="D1715" s="3781" t="s">
        <v>3</v>
      </c>
      <c r="E1715" s="3781" t="s">
        <v>4</v>
      </c>
      <c r="F1715" s="3765" t="s">
        <v>5</v>
      </c>
    </row>
    <row r="1716" spans="1:7" ht="15.75" thickBot="1">
      <c r="A1716" s="3783"/>
      <c r="B1716" s="3767"/>
      <c r="C1716" s="3767"/>
      <c r="D1716" s="3767"/>
      <c r="E1716" s="3767"/>
      <c r="F1716" s="3766"/>
    </row>
    <row r="1717" spans="1:7" ht="15.75" thickTop="1">
      <c r="A1717" s="7" t="s">
        <v>1507</v>
      </c>
      <c r="B1717" s="288" t="s">
        <v>202</v>
      </c>
      <c r="C1717" s="1" t="s">
        <v>1315</v>
      </c>
      <c r="D1717" s="5" t="s">
        <v>343</v>
      </c>
      <c r="E1717" s="290">
        <v>0.2</v>
      </c>
      <c r="F1717" s="291">
        <v>11662</v>
      </c>
      <c r="G1717">
        <v>14577</v>
      </c>
    </row>
    <row r="1718" spans="1:7">
      <c r="A1718" s="8"/>
      <c r="B1718" s="81" t="s">
        <v>1319</v>
      </c>
      <c r="C1718" s="1" t="s">
        <v>1316</v>
      </c>
      <c r="D1718" s="5" t="s">
        <v>343</v>
      </c>
      <c r="E1718" s="290">
        <v>0.2</v>
      </c>
      <c r="F1718" s="291">
        <v>11662</v>
      </c>
    </row>
    <row r="1719" spans="1:7">
      <c r="A1719" s="8"/>
      <c r="B1719" s="81"/>
      <c r="C1719" s="1" t="s">
        <v>1317</v>
      </c>
      <c r="D1719" s="5" t="s">
        <v>343</v>
      </c>
      <c r="E1719" s="290">
        <v>0.2</v>
      </c>
      <c r="F1719" s="291">
        <v>11662</v>
      </c>
    </row>
    <row r="1720" spans="1:7">
      <c r="A1720" s="8"/>
      <c r="B1720" s="81"/>
      <c r="C1720" s="81"/>
      <c r="D1720" s="5"/>
      <c r="E1720" s="290"/>
      <c r="F1720" s="291"/>
    </row>
    <row r="1721" spans="1:7">
      <c r="A1721" s="8"/>
      <c r="B1721" s="81"/>
      <c r="C1721" s="81"/>
      <c r="D1721" s="288"/>
      <c r="E1721" s="290"/>
      <c r="F1721" s="291"/>
    </row>
    <row r="1722" spans="1:7">
      <c r="A1722" s="8"/>
      <c r="B1722" s="81"/>
      <c r="C1722" s="81"/>
      <c r="D1722" s="288"/>
      <c r="E1722" s="290"/>
      <c r="F1722" s="291"/>
    </row>
    <row r="1723" spans="1:7">
      <c r="A1723" s="8"/>
      <c r="B1723" s="81"/>
      <c r="C1723" s="81"/>
      <c r="D1723" s="288"/>
      <c r="E1723" s="343"/>
      <c r="F1723" s="293"/>
    </row>
    <row r="1724" spans="1:7">
      <c r="A1724" s="8"/>
      <c r="B1724" s="81"/>
      <c r="C1724" s="81"/>
      <c r="D1724" s="288"/>
      <c r="E1724" s="343"/>
      <c r="F1724" s="293"/>
    </row>
    <row r="1725" spans="1:7">
      <c r="A1725" s="8"/>
      <c r="B1725" s="81"/>
      <c r="C1725" s="81"/>
      <c r="D1725" s="288"/>
      <c r="E1725" s="343"/>
      <c r="F1725" s="293"/>
    </row>
    <row r="1726" spans="1:7">
      <c r="A1726" s="8"/>
      <c r="B1726" s="1"/>
      <c r="C1726" s="1"/>
      <c r="D1726" s="1"/>
      <c r="E1726" s="1"/>
      <c r="F1726" s="2"/>
    </row>
    <row r="1727" spans="1:7">
      <c r="A1727" s="8"/>
      <c r="B1727" s="1"/>
      <c r="C1727" s="1"/>
      <c r="D1727" s="1"/>
      <c r="E1727" s="1"/>
      <c r="F1727" s="2"/>
    </row>
    <row r="1728" spans="1:7" ht="15.75" thickBot="1">
      <c r="A1728" s="9"/>
      <c r="B1728" s="3"/>
      <c r="C1728" s="3"/>
      <c r="D1728" s="3"/>
      <c r="E1728" s="3"/>
      <c r="F1728" s="4"/>
    </row>
    <row r="1729" spans="1:7" ht="16.5" thickTop="1" thickBot="1"/>
    <row r="1730" spans="1:7" ht="15.75" thickTop="1">
      <c r="A1730" s="3782" t="s">
        <v>0</v>
      </c>
      <c r="B1730" s="3781" t="s">
        <v>1</v>
      </c>
      <c r="C1730" s="3781" t="s">
        <v>2</v>
      </c>
      <c r="D1730" s="3781" t="s">
        <v>3</v>
      </c>
      <c r="E1730" s="3781" t="s">
        <v>4</v>
      </c>
      <c r="F1730" s="3765" t="s">
        <v>5</v>
      </c>
    </row>
    <row r="1731" spans="1:7" ht="15.75" thickBot="1">
      <c r="A1731" s="3783"/>
      <c r="B1731" s="3767"/>
      <c r="C1731" s="3767"/>
      <c r="D1731" s="3767"/>
      <c r="E1731" s="3767"/>
      <c r="F1731" s="3766"/>
    </row>
    <row r="1732" spans="1:7" ht="15.75" thickTop="1">
      <c r="A1732" s="7" t="s">
        <v>1520</v>
      </c>
      <c r="B1732" s="288" t="s">
        <v>120</v>
      </c>
      <c r="C1732" s="31" t="s">
        <v>436</v>
      </c>
      <c r="D1732" s="191" t="s">
        <v>237</v>
      </c>
      <c r="E1732" s="278">
        <v>0.1</v>
      </c>
      <c r="F1732" s="279">
        <v>12926</v>
      </c>
      <c r="G1732">
        <v>14362</v>
      </c>
    </row>
    <row r="1733" spans="1:7">
      <c r="A1733" s="8"/>
      <c r="B1733" s="81" t="s">
        <v>121</v>
      </c>
      <c r="C1733" s="31" t="s">
        <v>1521</v>
      </c>
      <c r="D1733" s="191" t="s">
        <v>237</v>
      </c>
      <c r="E1733" s="278">
        <v>0.15</v>
      </c>
      <c r="F1733" s="279">
        <v>44767</v>
      </c>
      <c r="G1733">
        <v>52667</v>
      </c>
    </row>
    <row r="1734" spans="1:7">
      <c r="A1734" s="8"/>
      <c r="B1734" s="81" t="s">
        <v>123</v>
      </c>
      <c r="C1734" s="31" t="s">
        <v>730</v>
      </c>
      <c r="D1734" s="191" t="s">
        <v>237</v>
      </c>
      <c r="E1734" s="278">
        <v>0.15</v>
      </c>
      <c r="F1734" s="279">
        <v>7145</v>
      </c>
      <c r="G1734">
        <v>8406</v>
      </c>
    </row>
    <row r="1735" spans="1:7">
      <c r="A1735" s="8"/>
      <c r="B1735" s="81" t="s">
        <v>122</v>
      </c>
      <c r="C1735" s="31" t="s">
        <v>920</v>
      </c>
      <c r="D1735" s="191" t="s">
        <v>237</v>
      </c>
      <c r="E1735" s="278">
        <v>0.15</v>
      </c>
      <c r="F1735" s="279">
        <v>6830</v>
      </c>
      <c r="G1735">
        <v>8035</v>
      </c>
    </row>
    <row r="1736" spans="1:7">
      <c r="A1736" s="8"/>
      <c r="B1736" s="81"/>
      <c r="C1736" s="31" t="s">
        <v>226</v>
      </c>
      <c r="D1736" s="191" t="s">
        <v>237</v>
      </c>
      <c r="E1736" s="278">
        <v>0.15</v>
      </c>
      <c r="F1736" s="279">
        <v>7115</v>
      </c>
      <c r="G1736">
        <v>8370</v>
      </c>
    </row>
    <row r="1737" spans="1:7">
      <c r="A1737" s="8"/>
      <c r="B1737" s="81"/>
      <c r="C1737" s="31" t="s">
        <v>472</v>
      </c>
      <c r="D1737" s="191" t="s">
        <v>237</v>
      </c>
      <c r="E1737" s="278">
        <v>0.15</v>
      </c>
      <c r="F1737" s="279">
        <v>6575</v>
      </c>
      <c r="G1737">
        <v>7735</v>
      </c>
    </row>
    <row r="1738" spans="1:7">
      <c r="A1738" s="8"/>
      <c r="B1738" s="81"/>
      <c r="C1738" s="81" t="s">
        <v>1522</v>
      </c>
      <c r="D1738" s="5" t="s">
        <v>237</v>
      </c>
      <c r="E1738" s="343">
        <v>0.15</v>
      </c>
      <c r="F1738" s="293">
        <v>7231</v>
      </c>
      <c r="G1738">
        <v>8507</v>
      </c>
    </row>
    <row r="1739" spans="1:7">
      <c r="A1739" s="8"/>
      <c r="B1739" s="81"/>
      <c r="C1739" s="81"/>
      <c r="D1739" s="288"/>
      <c r="E1739" s="343"/>
      <c r="F1739" s="293"/>
    </row>
    <row r="1740" spans="1:7">
      <c r="A1740" s="8"/>
      <c r="B1740" s="81"/>
      <c r="C1740" s="81"/>
      <c r="D1740" s="288"/>
      <c r="E1740" s="343"/>
      <c r="F1740" s="293"/>
    </row>
    <row r="1741" spans="1:7">
      <c r="A1741" s="8"/>
      <c r="B1741" s="1"/>
      <c r="C1741" s="1"/>
      <c r="D1741" s="1"/>
      <c r="E1741" s="1"/>
      <c r="F1741" s="2"/>
    </row>
    <row r="1742" spans="1:7">
      <c r="A1742" s="8"/>
      <c r="B1742" s="1"/>
      <c r="C1742" s="1"/>
      <c r="D1742" s="1"/>
      <c r="E1742" s="1"/>
      <c r="F1742" s="2"/>
    </row>
    <row r="1743" spans="1:7" ht="15.75" thickBot="1">
      <c r="A1743" s="9"/>
      <c r="B1743" s="3"/>
      <c r="C1743" s="3"/>
      <c r="D1743" s="3"/>
      <c r="E1743" s="3"/>
      <c r="F1743" s="4"/>
    </row>
    <row r="1744" spans="1:7" ht="16.5" thickTop="1" thickBot="1"/>
    <row r="1745" spans="1:7" ht="15.75" thickTop="1">
      <c r="A1745" s="3782" t="s">
        <v>0</v>
      </c>
      <c r="B1745" s="3781" t="s">
        <v>1</v>
      </c>
      <c r="C1745" s="3781" t="s">
        <v>2</v>
      </c>
      <c r="D1745" s="3781" t="s">
        <v>3</v>
      </c>
      <c r="E1745" s="3781" t="s">
        <v>4</v>
      </c>
      <c r="F1745" s="3765" t="s">
        <v>5</v>
      </c>
    </row>
    <row r="1746" spans="1:7" ht="15.75" thickBot="1">
      <c r="A1746" s="3783"/>
      <c r="B1746" s="3767"/>
      <c r="C1746" s="3767"/>
      <c r="D1746" s="3767"/>
      <c r="E1746" s="3767"/>
      <c r="F1746" s="3766"/>
    </row>
    <row r="1747" spans="1:7" ht="15.75" thickTop="1">
      <c r="A1747" s="7" t="s">
        <v>1534</v>
      </c>
      <c r="B1747" s="5" t="s">
        <v>181</v>
      </c>
      <c r="C1747" s="1" t="s">
        <v>1315</v>
      </c>
      <c r="D1747" s="5" t="s">
        <v>343</v>
      </c>
      <c r="E1747" s="290">
        <v>0.2</v>
      </c>
      <c r="F1747" s="291">
        <v>11945</v>
      </c>
      <c r="G1747">
        <v>14931</v>
      </c>
    </row>
    <row r="1748" spans="1:7">
      <c r="A1748" s="8"/>
      <c r="B1748" s="1" t="s">
        <v>366</v>
      </c>
      <c r="C1748" s="1" t="s">
        <v>1316</v>
      </c>
      <c r="D1748" s="5" t="s">
        <v>343</v>
      </c>
      <c r="E1748" s="290">
        <v>0.2</v>
      </c>
      <c r="F1748" s="291">
        <v>11945</v>
      </c>
      <c r="G1748">
        <v>14931</v>
      </c>
    </row>
    <row r="1749" spans="1:7">
      <c r="A1749" s="8"/>
      <c r="B1749" s="1" t="s">
        <v>180</v>
      </c>
      <c r="C1749" s="1" t="s">
        <v>1317</v>
      </c>
      <c r="D1749" s="5" t="s">
        <v>343</v>
      </c>
      <c r="E1749" s="290">
        <v>0.2</v>
      </c>
      <c r="F1749" s="291">
        <v>11945</v>
      </c>
      <c r="G1749">
        <v>14931</v>
      </c>
    </row>
    <row r="1750" spans="1:7">
      <c r="A1750" s="8"/>
      <c r="B1750" s="1" t="s">
        <v>135</v>
      </c>
      <c r="C1750" s="81"/>
      <c r="D1750" s="5"/>
      <c r="E1750" s="290"/>
      <c r="F1750" s="291"/>
    </row>
    <row r="1751" spans="1:7">
      <c r="A1751" s="8"/>
      <c r="B1751" s="1" t="s">
        <v>805</v>
      </c>
      <c r="C1751" s="81"/>
      <c r="D1751" s="5"/>
      <c r="E1751" s="290"/>
      <c r="F1751" s="291"/>
    </row>
    <row r="1752" spans="1:7">
      <c r="A1752" s="8"/>
      <c r="B1752" s="81"/>
      <c r="C1752" s="81"/>
      <c r="D1752" s="5"/>
      <c r="E1752" s="290"/>
      <c r="F1752" s="291"/>
    </row>
    <row r="1753" spans="1:7">
      <c r="A1753" s="8"/>
      <c r="B1753" s="81"/>
      <c r="C1753" s="81"/>
      <c r="D1753" s="5"/>
      <c r="E1753" s="343"/>
      <c r="F1753" s="293"/>
    </row>
    <row r="1754" spans="1:7">
      <c r="A1754" s="8"/>
      <c r="B1754" s="81"/>
      <c r="C1754" s="81"/>
      <c r="D1754" s="288"/>
      <c r="E1754" s="343"/>
      <c r="F1754" s="293"/>
    </row>
    <row r="1755" spans="1:7">
      <c r="A1755" s="8"/>
      <c r="B1755" s="81"/>
      <c r="C1755" s="81"/>
      <c r="D1755" s="288"/>
      <c r="E1755" s="343"/>
      <c r="F1755" s="293"/>
    </row>
    <row r="1756" spans="1:7">
      <c r="A1756" s="8"/>
      <c r="B1756" s="1"/>
      <c r="C1756" s="1"/>
      <c r="D1756" s="1"/>
      <c r="E1756" s="1"/>
      <c r="F1756" s="2"/>
    </row>
    <row r="1757" spans="1:7">
      <c r="A1757" s="8"/>
      <c r="B1757" s="1"/>
      <c r="C1757" s="1"/>
      <c r="D1757" s="1"/>
      <c r="E1757" s="1"/>
      <c r="F1757" s="2"/>
    </row>
    <row r="1758" spans="1:7" ht="15.75" thickBot="1">
      <c r="A1758" s="9"/>
      <c r="B1758" s="3"/>
      <c r="C1758" s="3"/>
      <c r="D1758" s="3"/>
      <c r="E1758" s="3"/>
      <c r="F1758" s="4"/>
    </row>
    <row r="1759" spans="1:7" ht="16.5" thickTop="1" thickBot="1"/>
    <row r="1760" spans="1:7" ht="15.75" thickTop="1">
      <c r="A1760" s="3810" t="s">
        <v>0</v>
      </c>
      <c r="B1760" s="3812" t="s">
        <v>1</v>
      </c>
      <c r="C1760" s="3812" t="s">
        <v>2</v>
      </c>
      <c r="D1760" s="3812" t="s">
        <v>3</v>
      </c>
      <c r="E1760" s="3812" t="s">
        <v>4</v>
      </c>
      <c r="F1760" s="3814" t="s">
        <v>5</v>
      </c>
    </row>
    <row r="1761" spans="1:8" ht="15.75" thickBot="1">
      <c r="A1761" s="3811"/>
      <c r="B1761" s="3813"/>
      <c r="C1761" s="3813"/>
      <c r="D1761" s="3813"/>
      <c r="E1761" s="3813"/>
      <c r="F1761" s="3815"/>
    </row>
    <row r="1762" spans="1:8" ht="15.75" thickTop="1">
      <c r="A1762" s="373" t="s">
        <v>1547</v>
      </c>
      <c r="B1762" s="374" t="s">
        <v>120</v>
      </c>
      <c r="C1762" s="41" t="s">
        <v>231</v>
      </c>
      <c r="D1762" s="374"/>
      <c r="E1762" s="375">
        <f>F1762/G1762-1</f>
        <v>-0.14998120536273651</v>
      </c>
      <c r="F1762" s="376">
        <v>13568</v>
      </c>
      <c r="G1762">
        <v>15962</v>
      </c>
      <c r="H1762" t="e">
        <v>#REF!</v>
      </c>
    </row>
    <row r="1763" spans="1:8">
      <c r="A1763" s="377"/>
      <c r="B1763" s="41" t="s">
        <v>121</v>
      </c>
      <c r="C1763" s="41" t="s">
        <v>149</v>
      </c>
      <c r="D1763" s="374"/>
      <c r="E1763" s="375">
        <f t="shared" ref="E1763:E1777" si="1">F1763/G1763-1</f>
        <v>-0.1500597054530981</v>
      </c>
      <c r="F1763" s="376">
        <v>6406</v>
      </c>
      <c r="G1763">
        <v>7537</v>
      </c>
      <c r="H1763" t="e">
        <v>#REF!</v>
      </c>
    </row>
    <row r="1764" spans="1:8">
      <c r="A1764" s="377"/>
      <c r="B1764" s="41" t="s">
        <v>123</v>
      </c>
      <c r="C1764" s="41" t="s">
        <v>485</v>
      </c>
      <c r="D1764" s="374"/>
      <c r="E1764" s="375">
        <f t="shared" si="1"/>
        <v>-0.15002518891687655</v>
      </c>
      <c r="F1764" s="376">
        <v>8436</v>
      </c>
      <c r="G1764">
        <v>9925</v>
      </c>
      <c r="H1764" t="e">
        <v>#REF!</v>
      </c>
    </row>
    <row r="1765" spans="1:8">
      <c r="A1765" s="377"/>
      <c r="B1765" s="41" t="s">
        <v>122</v>
      </c>
      <c r="C1765" s="41" t="s">
        <v>486</v>
      </c>
      <c r="D1765" s="374"/>
      <c r="E1765" s="375">
        <f t="shared" si="1"/>
        <v>-0.15002518891687655</v>
      </c>
      <c r="F1765" s="376">
        <v>8436</v>
      </c>
      <c r="G1765">
        <v>9925</v>
      </c>
      <c r="H1765" t="e">
        <v>#REF!</v>
      </c>
    </row>
    <row r="1766" spans="1:8">
      <c r="A1766" s="377"/>
      <c r="B1766" s="41"/>
      <c r="C1766" s="41" t="s">
        <v>522</v>
      </c>
      <c r="D1766" s="374"/>
      <c r="E1766" s="375">
        <f t="shared" si="1"/>
        <v>-0.14999423099111575</v>
      </c>
      <c r="F1766" s="376">
        <v>7367</v>
      </c>
      <c r="G1766">
        <v>8667</v>
      </c>
      <c r="H1766" t="e">
        <v>#REF!</v>
      </c>
    </row>
    <row r="1767" spans="1:8">
      <c r="A1767" s="377"/>
      <c r="B1767" s="41"/>
      <c r="C1767" s="41" t="s">
        <v>1315</v>
      </c>
      <c r="D1767" s="374"/>
      <c r="E1767" s="375">
        <f t="shared" si="1"/>
        <v>-0.19251612903225801</v>
      </c>
      <c r="F1767" s="376">
        <v>12516</v>
      </c>
      <c r="G1767">
        <v>15500</v>
      </c>
      <c r="H1767" t="e">
        <v>#REF!</v>
      </c>
    </row>
    <row r="1768" spans="1:8">
      <c r="A1768" s="377"/>
      <c r="B1768" s="41"/>
      <c r="C1768" s="41" t="s">
        <v>1429</v>
      </c>
      <c r="D1768" s="374"/>
      <c r="E1768" s="378">
        <f t="shared" si="1"/>
        <v>-0.19250368021741593</v>
      </c>
      <c r="F1768" s="379">
        <v>14262</v>
      </c>
      <c r="G1768">
        <v>17662</v>
      </c>
      <c r="H1768" t="e">
        <v>#REF!</v>
      </c>
    </row>
    <row r="1769" spans="1:8">
      <c r="A1769" s="377"/>
      <c r="B1769" s="41"/>
      <c r="C1769" s="41" t="s">
        <v>905</v>
      </c>
      <c r="D1769" s="374"/>
      <c r="E1769" s="378">
        <f t="shared" si="1"/>
        <v>-0.19244808055380747</v>
      </c>
      <c r="F1769" s="379">
        <v>6416</v>
      </c>
      <c r="G1769">
        <v>7945</v>
      </c>
      <c r="H1769" t="e">
        <v>#REF!</v>
      </c>
    </row>
    <row r="1770" spans="1:8">
      <c r="A1770" s="377"/>
      <c r="B1770" s="41"/>
      <c r="C1770" s="41" t="s">
        <v>1120</v>
      </c>
      <c r="D1770" s="374"/>
      <c r="E1770" s="378">
        <f t="shared" si="1"/>
        <v>-0.19245134656968743</v>
      </c>
      <c r="F1770" s="379">
        <v>4108</v>
      </c>
      <c r="G1770">
        <v>5087</v>
      </c>
      <c r="H1770" t="e">
        <v>#REF!</v>
      </c>
    </row>
    <row r="1771" spans="1:8">
      <c r="A1771" s="377"/>
      <c r="B1771" s="41"/>
      <c r="C1771" s="41" t="s">
        <v>1380</v>
      </c>
      <c r="D1771" s="41"/>
      <c r="E1771" s="378">
        <f t="shared" si="1"/>
        <v>-0.1924800524647502</v>
      </c>
      <c r="F1771" s="379">
        <v>7388</v>
      </c>
      <c r="G1771">
        <v>9149</v>
      </c>
      <c r="H1771" t="e">
        <v>#REF!</v>
      </c>
    </row>
    <row r="1772" spans="1:8">
      <c r="A1772" s="377"/>
      <c r="B1772" s="41"/>
      <c r="C1772" s="41" t="s">
        <v>465</v>
      </c>
      <c r="D1772" s="41"/>
      <c r="E1772" s="378">
        <f t="shared" si="1"/>
        <v>-0.19245640913401907</v>
      </c>
      <c r="F1772" s="379">
        <v>11069</v>
      </c>
      <c r="G1772">
        <v>13707</v>
      </c>
      <c r="H1772" t="e">
        <v>#REF!</v>
      </c>
    </row>
    <row r="1773" spans="1:8">
      <c r="A1773" s="377"/>
      <c r="B1773" s="41"/>
      <c r="C1773" s="41" t="s">
        <v>1332</v>
      </c>
      <c r="D1773" s="41"/>
      <c r="E1773" s="378">
        <f t="shared" si="1"/>
        <v>-0.19245640913401907</v>
      </c>
      <c r="F1773" s="379">
        <v>11069</v>
      </c>
      <c r="G1773">
        <v>13707</v>
      </c>
      <c r="H1773" t="e">
        <v>#REF!</v>
      </c>
    </row>
    <row r="1774" spans="1:8">
      <c r="A1774" s="377"/>
      <c r="B1774" s="41"/>
      <c r="C1774" s="41" t="s">
        <v>1503</v>
      </c>
      <c r="D1774" s="41"/>
      <c r="E1774" s="378">
        <f t="shared" si="1"/>
        <v>-0.1500634517766497</v>
      </c>
      <c r="F1774" s="379">
        <v>2679</v>
      </c>
      <c r="G1774">
        <v>3152</v>
      </c>
      <c r="H1774" t="e">
        <v>#REF!</v>
      </c>
    </row>
    <row r="1775" spans="1:8">
      <c r="A1775" s="377"/>
      <c r="B1775" s="41"/>
      <c r="C1775" s="41" t="s">
        <v>985</v>
      </c>
      <c r="D1775" s="41"/>
      <c r="E1775" s="378">
        <f t="shared" si="1"/>
        <v>-0.15000000000000002</v>
      </c>
      <c r="F1775" s="379">
        <v>9078</v>
      </c>
      <c r="G1775">
        <v>10680</v>
      </c>
      <c r="H1775" t="e">
        <v>#REF!</v>
      </c>
    </row>
    <row r="1776" spans="1:8">
      <c r="A1776" s="8"/>
      <c r="B1776" s="1"/>
      <c r="C1776" s="1"/>
      <c r="D1776" s="1"/>
      <c r="E1776" s="343" t="e">
        <f t="shared" si="1"/>
        <v>#DIV/0!</v>
      </c>
      <c r="F1776" s="2"/>
    </row>
    <row r="1777" spans="1:7" ht="15.75" thickBot="1">
      <c r="A1777" s="9"/>
      <c r="B1777" s="3"/>
      <c r="C1777" s="3"/>
      <c r="D1777" s="3"/>
      <c r="E1777" s="343" t="e">
        <f t="shared" si="1"/>
        <v>#DIV/0!</v>
      </c>
      <c r="F1777" s="4"/>
    </row>
    <row r="1778" spans="1:7" ht="16.5" thickTop="1" thickBot="1"/>
    <row r="1779" spans="1:7" ht="15.75" thickTop="1">
      <c r="A1779" s="3782" t="s">
        <v>0</v>
      </c>
      <c r="B1779" s="3781" t="s">
        <v>1</v>
      </c>
      <c r="C1779" s="3781" t="s">
        <v>2</v>
      </c>
      <c r="D1779" s="3781" t="s">
        <v>3</v>
      </c>
      <c r="E1779" s="3781" t="s">
        <v>4</v>
      </c>
      <c r="F1779" s="3765" t="s">
        <v>5</v>
      </c>
    </row>
    <row r="1780" spans="1:7" ht="15.75" thickBot="1">
      <c r="A1780" s="3783"/>
      <c r="B1780" s="3767"/>
      <c r="C1780" s="3767"/>
      <c r="D1780" s="3767"/>
      <c r="E1780" s="3767"/>
      <c r="F1780" s="3766"/>
    </row>
    <row r="1781" spans="1:7" ht="15.75" thickTop="1">
      <c r="A1781" s="7" t="s">
        <v>1548</v>
      </c>
      <c r="B1781" s="5" t="s">
        <v>181</v>
      </c>
      <c r="C1781" s="1" t="s">
        <v>1120</v>
      </c>
      <c r="D1781" s="5" t="s">
        <v>343</v>
      </c>
      <c r="E1781" s="290">
        <f>F1781/G1781-1</f>
        <v>-0.20007785130400935</v>
      </c>
      <c r="F1781" s="291">
        <v>4110</v>
      </c>
      <c r="G1781">
        <v>5138</v>
      </c>
    </row>
    <row r="1782" spans="1:7">
      <c r="A1782" s="8"/>
      <c r="B1782" s="1" t="s">
        <v>366</v>
      </c>
      <c r="C1782" s="1" t="s">
        <v>1058</v>
      </c>
      <c r="D1782" s="5" t="s">
        <v>343</v>
      </c>
      <c r="E1782" s="290">
        <f>F1782/G1782-1</f>
        <v>-0.19998002197582654</v>
      </c>
      <c r="F1782" s="291">
        <v>16018</v>
      </c>
      <c r="G1782">
        <v>20022</v>
      </c>
    </row>
    <row r="1783" spans="1:7">
      <c r="A1783" s="8"/>
      <c r="B1783" s="1" t="s">
        <v>180</v>
      </c>
      <c r="C1783" s="1" t="s">
        <v>554</v>
      </c>
      <c r="D1783" s="5" t="s">
        <v>343</v>
      </c>
      <c r="E1783" s="290">
        <f>F1783/G1783-1</f>
        <v>-0.20001647582173165</v>
      </c>
      <c r="F1783" s="291">
        <v>9711</v>
      </c>
      <c r="G1783">
        <v>12139</v>
      </c>
    </row>
    <row r="1784" spans="1:7">
      <c r="A1784" s="8"/>
      <c r="B1784" s="1" t="s">
        <v>135</v>
      </c>
      <c r="C1784" s="81"/>
      <c r="D1784" s="5"/>
      <c r="E1784" s="290"/>
      <c r="F1784" s="291"/>
    </row>
    <row r="1785" spans="1:7">
      <c r="A1785" s="8"/>
      <c r="B1785" s="1" t="s">
        <v>805</v>
      </c>
      <c r="C1785" s="81"/>
      <c r="D1785" s="5"/>
      <c r="E1785" s="290"/>
      <c r="F1785" s="291"/>
    </row>
    <row r="1786" spans="1:7">
      <c r="A1786" s="8"/>
      <c r="B1786" s="81"/>
      <c r="C1786" s="81"/>
      <c r="D1786" s="5"/>
      <c r="E1786" s="290"/>
      <c r="F1786" s="291"/>
    </row>
    <row r="1787" spans="1:7">
      <c r="A1787" s="8"/>
      <c r="B1787" s="81"/>
      <c r="C1787" s="81"/>
      <c r="D1787" s="5"/>
      <c r="E1787" s="343"/>
      <c r="F1787" s="293"/>
    </row>
    <row r="1788" spans="1:7">
      <c r="A1788" s="8"/>
      <c r="B1788" s="81"/>
      <c r="C1788" s="81"/>
      <c r="D1788" s="288"/>
      <c r="E1788" s="343"/>
      <c r="F1788" s="293"/>
    </row>
    <row r="1789" spans="1:7">
      <c r="A1789" s="8"/>
      <c r="B1789" s="81"/>
      <c r="C1789" s="81"/>
      <c r="D1789" s="288"/>
      <c r="E1789" s="343"/>
      <c r="F1789" s="293"/>
    </row>
    <row r="1790" spans="1:7">
      <c r="A1790" s="8"/>
      <c r="B1790" s="1"/>
      <c r="C1790" s="1"/>
      <c r="D1790" s="1"/>
      <c r="E1790" s="1"/>
      <c r="F1790" s="2"/>
    </row>
    <row r="1791" spans="1:7">
      <c r="A1791" s="8"/>
      <c r="B1791" s="1"/>
      <c r="C1791" s="1"/>
      <c r="D1791" s="1"/>
      <c r="E1791" s="1"/>
      <c r="F1791" s="2"/>
    </row>
    <row r="1792" spans="1:7" ht="15.75" thickBot="1">
      <c r="A1792" s="9"/>
      <c r="B1792" s="3"/>
      <c r="C1792" s="3"/>
      <c r="D1792" s="3"/>
      <c r="E1792" s="3"/>
      <c r="F1792" s="4"/>
    </row>
    <row r="1793" spans="1:7" ht="16.5" thickTop="1" thickBot="1"/>
    <row r="1794" spans="1:7" ht="15.75" thickTop="1">
      <c r="A1794" s="3782" t="s">
        <v>0</v>
      </c>
      <c r="B1794" s="3781" t="s">
        <v>1</v>
      </c>
      <c r="C1794" s="3781" t="s">
        <v>2</v>
      </c>
      <c r="D1794" s="3781" t="s">
        <v>3</v>
      </c>
      <c r="E1794" s="3781" t="s">
        <v>4</v>
      </c>
      <c r="F1794" s="3765" t="s">
        <v>5</v>
      </c>
    </row>
    <row r="1795" spans="1:7" ht="15.75" thickBot="1">
      <c r="A1795" s="3783"/>
      <c r="B1795" s="3767"/>
      <c r="C1795" s="3767"/>
      <c r="D1795" s="3767"/>
      <c r="E1795" s="3767"/>
      <c r="F1795" s="3766"/>
    </row>
    <row r="1796" spans="1:7" ht="15.75" thickTop="1">
      <c r="A1796" s="7" t="s">
        <v>1549</v>
      </c>
      <c r="B1796" s="288" t="s">
        <v>202</v>
      </c>
      <c r="C1796" s="1" t="s">
        <v>226</v>
      </c>
      <c r="D1796" s="5" t="s">
        <v>343</v>
      </c>
      <c r="E1796" s="290">
        <f>F1796/G1796-1</f>
        <v>-0.15002540650406504</v>
      </c>
      <c r="F1796" s="291">
        <v>6691</v>
      </c>
      <c r="G1796">
        <v>7872</v>
      </c>
    </row>
    <row r="1797" spans="1:7">
      <c r="A1797" s="8"/>
      <c r="B1797" s="81" t="s">
        <v>1319</v>
      </c>
      <c r="C1797" s="1" t="s">
        <v>227</v>
      </c>
      <c r="D1797" s="5" t="s">
        <v>343</v>
      </c>
      <c r="E1797" s="290">
        <f>F1797/G1797-1</f>
        <v>-0.15002540650406504</v>
      </c>
      <c r="F1797" s="291">
        <v>6691</v>
      </c>
      <c r="G1797">
        <v>7872</v>
      </c>
    </row>
    <row r="1798" spans="1:7">
      <c r="A1798" s="8"/>
      <c r="B1798" s="1"/>
      <c r="C1798" s="1" t="s">
        <v>228</v>
      </c>
      <c r="D1798" s="5" t="s">
        <v>343</v>
      </c>
      <c r="E1798" s="290">
        <f>F1798/G1798-1</f>
        <v>-0.15002540650406504</v>
      </c>
      <c r="F1798" s="291">
        <v>6691</v>
      </c>
      <c r="G1798">
        <v>7872</v>
      </c>
    </row>
    <row r="1799" spans="1:7">
      <c r="A1799" s="8"/>
      <c r="B1799" s="1"/>
      <c r="C1799" s="81" t="s">
        <v>1120</v>
      </c>
      <c r="D1799" s="5" t="s">
        <v>343</v>
      </c>
      <c r="E1799" s="290">
        <f>F1799/G1799-1</f>
        <v>-0.20004180602006694</v>
      </c>
      <c r="F1799" s="291">
        <v>3827</v>
      </c>
      <c r="G1799">
        <v>4784</v>
      </c>
    </row>
    <row r="1800" spans="1:7">
      <c r="A1800" s="8"/>
      <c r="B1800" s="1"/>
      <c r="C1800" s="81"/>
      <c r="D1800" s="5"/>
      <c r="E1800" s="290"/>
      <c r="F1800" s="291"/>
    </row>
    <row r="1801" spans="1:7">
      <c r="A1801" s="8"/>
      <c r="B1801" s="81"/>
      <c r="C1801" s="81"/>
      <c r="D1801" s="5"/>
      <c r="E1801" s="290"/>
      <c r="F1801" s="291"/>
    </row>
    <row r="1802" spans="1:7">
      <c r="A1802" s="8"/>
      <c r="B1802" s="81"/>
      <c r="C1802" s="81"/>
      <c r="D1802" s="5"/>
      <c r="E1802" s="343"/>
      <c r="F1802" s="293"/>
    </row>
    <row r="1803" spans="1:7">
      <c r="A1803" s="8"/>
      <c r="B1803" s="81"/>
      <c r="C1803" s="81"/>
      <c r="D1803" s="288"/>
      <c r="E1803" s="343"/>
      <c r="F1803" s="293"/>
    </row>
    <row r="1804" spans="1:7">
      <c r="A1804" s="8"/>
      <c r="B1804" s="81"/>
      <c r="C1804" s="81"/>
      <c r="D1804" s="288"/>
      <c r="E1804" s="343"/>
      <c r="F1804" s="293"/>
    </row>
    <row r="1805" spans="1:7">
      <c r="A1805" s="8"/>
      <c r="B1805" s="1"/>
      <c r="C1805" s="1"/>
      <c r="D1805" s="1"/>
      <c r="E1805" s="1"/>
      <c r="F1805" s="2"/>
    </row>
    <row r="1806" spans="1:7">
      <c r="A1806" s="8"/>
      <c r="B1806" s="1"/>
      <c r="C1806" s="1"/>
      <c r="D1806" s="1"/>
      <c r="E1806" s="1"/>
      <c r="F1806" s="2"/>
    </row>
    <row r="1807" spans="1:7" ht="15.75" thickBot="1">
      <c r="A1807" s="9"/>
      <c r="B1807" s="3"/>
      <c r="C1807" s="3"/>
      <c r="D1807" s="3"/>
      <c r="E1807" s="3"/>
      <c r="F1807" s="4"/>
    </row>
    <row r="1808" spans="1:7" ht="16.5" thickTop="1" thickBot="1"/>
    <row r="1809" spans="1:7" ht="15.75" thickTop="1">
      <c r="A1809" s="3782" t="s">
        <v>0</v>
      </c>
      <c r="B1809" s="3781" t="s">
        <v>1</v>
      </c>
      <c r="C1809" s="3781" t="s">
        <v>2</v>
      </c>
      <c r="D1809" s="3781" t="s">
        <v>3</v>
      </c>
      <c r="E1809" s="3781" t="s">
        <v>4</v>
      </c>
      <c r="F1809" s="3765" t="s">
        <v>5</v>
      </c>
    </row>
    <row r="1810" spans="1:7" ht="15.75" thickBot="1">
      <c r="A1810" s="3783"/>
      <c r="B1810" s="3767"/>
      <c r="C1810" s="3767"/>
      <c r="D1810" s="3767"/>
      <c r="E1810" s="3767"/>
      <c r="F1810" s="3766"/>
    </row>
    <row r="1811" spans="1:7" ht="15.75" thickTop="1">
      <c r="A1811" s="7" t="s">
        <v>1565</v>
      </c>
      <c r="B1811" s="5" t="s">
        <v>120</v>
      </c>
      <c r="C1811" s="1" t="s">
        <v>436</v>
      </c>
      <c r="D1811" s="5"/>
      <c r="E1811" s="290">
        <v>0.1</v>
      </c>
      <c r="F1811" s="291">
        <v>12926</v>
      </c>
      <c r="G1811" s="32">
        <v>15226</v>
      </c>
    </row>
    <row r="1812" spans="1:7">
      <c r="A1812" s="8"/>
      <c r="B1812" s="31" t="s">
        <v>121</v>
      </c>
      <c r="C1812" s="31" t="s">
        <v>920</v>
      </c>
      <c r="D1812" s="191"/>
      <c r="E1812" s="278">
        <v>0.1</v>
      </c>
      <c r="F1812" s="279">
        <v>7232</v>
      </c>
      <c r="G1812" s="176">
        <v>7868</v>
      </c>
    </row>
    <row r="1813" spans="1:7">
      <c r="A1813" s="8"/>
      <c r="B1813" s="1" t="s">
        <v>123</v>
      </c>
      <c r="C1813" s="1" t="s">
        <v>1345</v>
      </c>
      <c r="D1813" s="5"/>
      <c r="E1813" s="290">
        <v>0.15</v>
      </c>
      <c r="F1813" s="291">
        <v>15013</v>
      </c>
      <c r="G1813" s="32">
        <v>17295</v>
      </c>
    </row>
    <row r="1814" spans="1:7">
      <c r="A1814" s="8"/>
      <c r="B1814" s="1" t="s">
        <v>122</v>
      </c>
      <c r="C1814" s="81" t="s">
        <v>385</v>
      </c>
      <c r="D1814" s="5"/>
      <c r="E1814" s="290">
        <v>0.15</v>
      </c>
      <c r="F1814" s="291">
        <v>7098</v>
      </c>
      <c r="G1814" s="32">
        <v>8351</v>
      </c>
    </row>
    <row r="1815" spans="1:7">
      <c r="A1815" s="8"/>
      <c r="B1815" s="1"/>
      <c r="C1815" s="81" t="s">
        <v>1376</v>
      </c>
      <c r="D1815" s="5"/>
      <c r="E1815" s="290">
        <v>0.05</v>
      </c>
      <c r="F1815" s="291">
        <v>50034</v>
      </c>
      <c r="G1815" s="32">
        <v>58740</v>
      </c>
    </row>
    <row r="1816" spans="1:7">
      <c r="A1816" s="8"/>
      <c r="B1816" s="81"/>
      <c r="C1816" s="81"/>
      <c r="D1816" s="5"/>
      <c r="E1816" s="290"/>
      <c r="F1816" s="291"/>
    </row>
    <row r="1817" spans="1:7">
      <c r="A1817" s="8"/>
      <c r="B1817" s="81"/>
      <c r="C1817" s="81"/>
      <c r="D1817" s="5"/>
      <c r="E1817" s="343"/>
      <c r="F1817" s="293"/>
    </row>
    <row r="1818" spans="1:7">
      <c r="A1818" s="8"/>
      <c r="B1818" s="81"/>
      <c r="C1818" s="81"/>
      <c r="D1818" s="288"/>
      <c r="E1818" s="343"/>
      <c r="F1818" s="293"/>
    </row>
    <row r="1819" spans="1:7">
      <c r="A1819" s="8"/>
      <c r="B1819" s="81"/>
      <c r="C1819" s="81"/>
      <c r="D1819" s="288"/>
      <c r="E1819" s="343"/>
      <c r="F1819" s="293"/>
    </row>
    <row r="1820" spans="1:7">
      <c r="A1820" s="8"/>
      <c r="B1820" s="1"/>
      <c r="C1820" s="1"/>
      <c r="D1820" s="1"/>
      <c r="E1820" s="1"/>
      <c r="F1820" s="2"/>
    </row>
    <row r="1821" spans="1:7">
      <c r="A1821" s="8"/>
      <c r="B1821" s="1"/>
      <c r="C1821" s="1"/>
      <c r="D1821" s="1"/>
      <c r="E1821" s="1"/>
      <c r="F1821" s="2"/>
    </row>
    <row r="1822" spans="1:7" ht="15.75" thickBot="1">
      <c r="A1822" s="9"/>
      <c r="B1822" s="3"/>
      <c r="C1822" s="3"/>
      <c r="D1822" s="3"/>
      <c r="E1822" s="3"/>
      <c r="F1822" s="4"/>
    </row>
    <row r="1823" spans="1:7" ht="16.5" thickTop="1" thickBot="1"/>
    <row r="1824" spans="1:7" ht="15.75" thickTop="1">
      <c r="A1824" s="3782" t="s">
        <v>0</v>
      </c>
      <c r="B1824" s="3781" t="s">
        <v>1</v>
      </c>
      <c r="C1824" s="3781" t="s">
        <v>2</v>
      </c>
      <c r="D1824" s="3781" t="s">
        <v>3</v>
      </c>
      <c r="E1824" s="3781" t="s">
        <v>4</v>
      </c>
      <c r="F1824" s="3765" t="s">
        <v>5</v>
      </c>
    </row>
    <row r="1825" spans="1:7" ht="15.75" thickBot="1">
      <c r="A1825" s="3783"/>
      <c r="B1825" s="3767"/>
      <c r="C1825" s="3767"/>
      <c r="D1825" s="3767"/>
      <c r="E1825" s="3767"/>
      <c r="F1825" s="3766"/>
    </row>
    <row r="1826" spans="1:7" ht="15.75" thickTop="1">
      <c r="A1826" s="7" t="s">
        <v>1589</v>
      </c>
      <c r="B1826" s="298" t="s">
        <v>409</v>
      </c>
      <c r="C1826" s="1" t="s">
        <v>1315</v>
      </c>
      <c r="D1826" s="5"/>
      <c r="E1826" s="290">
        <v>0.15</v>
      </c>
      <c r="F1826" s="291">
        <v>12900</v>
      </c>
      <c r="G1826" s="32">
        <v>15177</v>
      </c>
    </row>
    <row r="1827" spans="1:7">
      <c r="A1827" s="8"/>
      <c r="B1827" s="81" t="s">
        <v>392</v>
      </c>
      <c r="C1827" s="1" t="s">
        <v>1316</v>
      </c>
      <c r="D1827" s="5"/>
      <c r="E1827" s="290">
        <v>0.15</v>
      </c>
      <c r="F1827" s="291">
        <v>12900</v>
      </c>
      <c r="G1827" s="32"/>
    </row>
    <row r="1828" spans="1:7">
      <c r="A1828" s="8"/>
      <c r="B1828" s="81" t="s">
        <v>534</v>
      </c>
      <c r="C1828" s="1" t="s">
        <v>1317</v>
      </c>
      <c r="D1828" s="5"/>
      <c r="E1828" s="290">
        <v>0.15</v>
      </c>
      <c r="F1828" s="291">
        <v>12900</v>
      </c>
      <c r="G1828" s="32"/>
    </row>
    <row r="1829" spans="1:7">
      <c r="A1829" s="8"/>
      <c r="B1829" s="1" t="s">
        <v>535</v>
      </c>
      <c r="C1829" s="81" t="s">
        <v>263</v>
      </c>
      <c r="D1829" s="5"/>
      <c r="E1829" s="290">
        <v>0.15</v>
      </c>
      <c r="F1829" s="291">
        <v>11943</v>
      </c>
      <c r="G1829" s="32">
        <v>14050</v>
      </c>
    </row>
    <row r="1830" spans="1:7">
      <c r="A1830" s="8"/>
      <c r="B1830" s="1" t="s">
        <v>921</v>
      </c>
      <c r="C1830" s="81" t="s">
        <v>636</v>
      </c>
      <c r="D1830" s="5"/>
      <c r="E1830" s="290">
        <v>0.15</v>
      </c>
      <c r="F1830" s="291">
        <v>8514</v>
      </c>
      <c r="G1830" s="32">
        <v>10017</v>
      </c>
    </row>
    <row r="1831" spans="1:7">
      <c r="A1831" s="8"/>
      <c r="B1831" s="81"/>
      <c r="C1831" s="81" t="s">
        <v>1120</v>
      </c>
      <c r="D1831" s="5"/>
      <c r="E1831" s="290">
        <v>0.15</v>
      </c>
      <c r="F1831" s="291">
        <v>4233</v>
      </c>
      <c r="G1831" s="32">
        <v>4980</v>
      </c>
    </row>
    <row r="1832" spans="1:7">
      <c r="A1832" s="8"/>
      <c r="B1832" s="81"/>
      <c r="C1832" s="81"/>
      <c r="D1832" s="5"/>
      <c r="E1832" s="343"/>
      <c r="F1832" s="293"/>
    </row>
    <row r="1833" spans="1:7">
      <c r="A1833" s="8"/>
      <c r="B1833" s="81"/>
      <c r="C1833" s="81"/>
      <c r="D1833" s="288"/>
      <c r="E1833" s="343"/>
      <c r="F1833" s="293"/>
    </row>
    <row r="1834" spans="1:7">
      <c r="A1834" s="8"/>
      <c r="B1834" s="81"/>
      <c r="C1834" s="81"/>
      <c r="D1834" s="288"/>
      <c r="E1834" s="343"/>
      <c r="F1834" s="293"/>
    </row>
    <row r="1835" spans="1:7">
      <c r="A1835" s="8"/>
      <c r="B1835" s="1"/>
      <c r="C1835" s="1"/>
      <c r="D1835" s="1"/>
      <c r="E1835" s="1"/>
      <c r="F1835" s="2"/>
    </row>
    <row r="1836" spans="1:7">
      <c r="A1836" s="8"/>
      <c r="B1836" s="1"/>
      <c r="C1836" s="1"/>
      <c r="D1836" s="1"/>
      <c r="E1836" s="1"/>
      <c r="F1836" s="2"/>
    </row>
    <row r="1837" spans="1:7" ht="15.75" thickBot="1">
      <c r="A1837" s="9"/>
      <c r="B1837" s="3"/>
      <c r="C1837" s="3"/>
      <c r="D1837" s="3"/>
      <c r="E1837" s="3"/>
      <c r="F1837" s="4"/>
    </row>
    <row r="1838" spans="1:7" ht="16.5" thickTop="1" thickBot="1"/>
    <row r="1839" spans="1:7" ht="15.75" thickTop="1">
      <c r="A1839" s="3782" t="s">
        <v>0</v>
      </c>
      <c r="B1839" s="3781" t="s">
        <v>1</v>
      </c>
      <c r="C1839" s="3781" t="s">
        <v>2</v>
      </c>
      <c r="D1839" s="3781" t="s">
        <v>3</v>
      </c>
      <c r="E1839" s="3781" t="s">
        <v>4</v>
      </c>
      <c r="F1839" s="3765" t="s">
        <v>5</v>
      </c>
    </row>
    <row r="1840" spans="1:7" ht="15.75" thickBot="1">
      <c r="A1840" s="3783"/>
      <c r="B1840" s="3767"/>
      <c r="C1840" s="3767"/>
      <c r="D1840" s="3767"/>
      <c r="E1840" s="3767"/>
      <c r="F1840" s="3766"/>
    </row>
    <row r="1841" spans="1:7" ht="15.75" thickTop="1">
      <c r="A1841" s="7" t="s">
        <v>1590</v>
      </c>
      <c r="B1841" s="5" t="s">
        <v>120</v>
      </c>
      <c r="C1841" s="1" t="s">
        <v>1317</v>
      </c>
      <c r="D1841" s="5"/>
      <c r="E1841" s="290">
        <v>0.1</v>
      </c>
      <c r="F1841" s="291">
        <v>13659</v>
      </c>
      <c r="G1841" s="32">
        <v>15177</v>
      </c>
    </row>
    <row r="1842" spans="1:7">
      <c r="A1842" s="8"/>
      <c r="B1842" s="1" t="s">
        <v>121</v>
      </c>
      <c r="C1842" s="1" t="s">
        <v>228</v>
      </c>
      <c r="D1842" s="5"/>
      <c r="E1842" s="290">
        <v>0.1</v>
      </c>
      <c r="F1842" s="291">
        <v>7728</v>
      </c>
      <c r="G1842" s="32">
        <v>8587</v>
      </c>
    </row>
    <row r="1843" spans="1:7">
      <c r="A1843" s="8"/>
      <c r="B1843" s="1" t="s">
        <v>123</v>
      </c>
      <c r="C1843" s="1" t="s">
        <v>920</v>
      </c>
      <c r="D1843" s="5"/>
      <c r="E1843" s="290">
        <v>0.1</v>
      </c>
      <c r="F1843" s="291">
        <v>7081</v>
      </c>
      <c r="G1843" s="32">
        <v>7868</v>
      </c>
    </row>
    <row r="1844" spans="1:7">
      <c r="A1844" s="8"/>
      <c r="B1844" s="1" t="s">
        <v>122</v>
      </c>
      <c r="C1844" s="81" t="s">
        <v>1504</v>
      </c>
      <c r="D1844" s="5"/>
      <c r="E1844" s="290">
        <v>0.1</v>
      </c>
      <c r="F1844" s="291">
        <v>9013</v>
      </c>
      <c r="G1844" s="32">
        <v>10014</v>
      </c>
    </row>
    <row r="1845" spans="1:7">
      <c r="A1845" s="8"/>
      <c r="B1845" s="1"/>
      <c r="C1845" s="81" t="s">
        <v>471</v>
      </c>
      <c r="D1845" s="5"/>
      <c r="E1845" s="290">
        <v>0.1</v>
      </c>
      <c r="F1845" s="291">
        <v>6454</v>
      </c>
      <c r="G1845" s="32">
        <v>7593</v>
      </c>
    </row>
    <row r="1846" spans="1:7">
      <c r="A1846" s="8"/>
      <c r="B1846" s="81"/>
      <c r="C1846" s="81" t="s">
        <v>1503</v>
      </c>
      <c r="D1846" s="5"/>
      <c r="E1846" s="290"/>
      <c r="F1846" s="291">
        <v>2630</v>
      </c>
      <c r="G1846" s="32">
        <v>3094</v>
      </c>
    </row>
    <row r="1847" spans="1:7">
      <c r="A1847" s="8"/>
      <c r="B1847" s="81"/>
      <c r="C1847" s="81"/>
      <c r="D1847" s="5"/>
      <c r="E1847" s="343"/>
      <c r="F1847" s="293"/>
    </row>
    <row r="1848" spans="1:7">
      <c r="A1848" s="8"/>
      <c r="B1848" s="81"/>
      <c r="C1848" s="81"/>
      <c r="D1848" s="288"/>
      <c r="E1848" s="343"/>
      <c r="F1848" s="293"/>
    </row>
    <row r="1849" spans="1:7">
      <c r="A1849" s="8"/>
      <c r="B1849" s="81"/>
      <c r="C1849" s="81"/>
      <c r="D1849" s="288"/>
      <c r="E1849" s="343"/>
      <c r="F1849" s="293"/>
    </row>
    <row r="1850" spans="1:7">
      <c r="A1850" s="8"/>
      <c r="B1850" s="1"/>
      <c r="C1850" s="1"/>
      <c r="D1850" s="1"/>
      <c r="E1850" s="1"/>
      <c r="F1850" s="2"/>
    </row>
    <row r="1851" spans="1:7">
      <c r="A1851" s="8"/>
      <c r="B1851" s="1"/>
      <c r="C1851" s="1"/>
      <c r="D1851" s="1"/>
      <c r="E1851" s="1"/>
      <c r="F1851" s="2"/>
    </row>
    <row r="1852" spans="1:7" ht="15.75" thickBot="1">
      <c r="A1852" s="9"/>
      <c r="B1852" s="3"/>
      <c r="C1852" s="3"/>
      <c r="D1852" s="3"/>
      <c r="E1852" s="3"/>
      <c r="F1852" s="4"/>
    </row>
    <row r="1853" spans="1:7" ht="16.5" thickTop="1" thickBot="1"/>
    <row r="1854" spans="1:7" ht="15.75" thickTop="1">
      <c r="A1854" s="3782" t="s">
        <v>0</v>
      </c>
      <c r="B1854" s="3781" t="s">
        <v>1</v>
      </c>
      <c r="C1854" s="3781" t="s">
        <v>2</v>
      </c>
      <c r="D1854" s="3781" t="s">
        <v>3</v>
      </c>
      <c r="E1854" s="3781" t="s">
        <v>4</v>
      </c>
      <c r="F1854" s="3765" t="s">
        <v>5</v>
      </c>
    </row>
    <row r="1855" spans="1:7" ht="15.75" thickBot="1">
      <c r="A1855" s="3783"/>
      <c r="B1855" s="3767"/>
      <c r="C1855" s="3767"/>
      <c r="D1855" s="3767"/>
      <c r="E1855" s="3767"/>
      <c r="F1855" s="3766"/>
    </row>
    <row r="1856" spans="1:7" ht="15.75" thickTop="1">
      <c r="A1856" s="7" t="s">
        <v>1592</v>
      </c>
      <c r="B1856" s="5" t="s">
        <v>1593</v>
      </c>
      <c r="C1856" s="1" t="s">
        <v>231</v>
      </c>
      <c r="D1856" s="5"/>
      <c r="E1856" s="290">
        <v>0.08</v>
      </c>
      <c r="F1856" s="291">
        <v>14653</v>
      </c>
      <c r="G1856" s="32">
        <v>15962</v>
      </c>
    </row>
    <row r="1857" spans="1:7">
      <c r="A1857" s="8"/>
      <c r="B1857" s="1"/>
      <c r="C1857" s="1" t="s">
        <v>1316</v>
      </c>
      <c r="D1857" s="5"/>
      <c r="E1857" s="290">
        <v>0.17</v>
      </c>
      <c r="F1857" s="291">
        <v>13142</v>
      </c>
      <c r="G1857" s="32">
        <v>15750</v>
      </c>
    </row>
    <row r="1858" spans="1:7">
      <c r="A1858" s="8"/>
      <c r="B1858" s="1"/>
      <c r="C1858" s="1" t="s">
        <v>1317</v>
      </c>
      <c r="D1858" s="5"/>
      <c r="E1858" s="290">
        <v>0.17</v>
      </c>
      <c r="F1858" s="291">
        <v>13142</v>
      </c>
      <c r="G1858" s="32">
        <v>15750</v>
      </c>
    </row>
    <row r="1859" spans="1:7">
      <c r="A1859" s="8"/>
      <c r="B1859" s="1"/>
      <c r="C1859" s="81"/>
      <c r="D1859" s="5"/>
      <c r="E1859" s="290"/>
      <c r="F1859" s="291"/>
      <c r="G1859" s="32"/>
    </row>
    <row r="1860" spans="1:7">
      <c r="A1860" s="8"/>
      <c r="B1860" s="1"/>
      <c r="C1860" s="81"/>
      <c r="D1860" s="5"/>
      <c r="E1860" s="290"/>
      <c r="F1860" s="291"/>
      <c r="G1860" s="32"/>
    </row>
    <row r="1861" spans="1:7">
      <c r="A1861" s="8"/>
      <c r="B1861" s="81"/>
      <c r="C1861" s="81"/>
      <c r="D1861" s="5"/>
      <c r="E1861" s="290"/>
      <c r="F1861" s="291"/>
      <c r="G1861" s="32"/>
    </row>
    <row r="1862" spans="1:7">
      <c r="A1862" s="8"/>
      <c r="B1862" s="81"/>
      <c r="C1862" s="81"/>
      <c r="D1862" s="5"/>
      <c r="E1862" s="343"/>
      <c r="F1862" s="293"/>
    </row>
    <row r="1863" spans="1:7">
      <c r="A1863" s="8"/>
      <c r="B1863" s="81"/>
      <c r="C1863" s="81"/>
      <c r="D1863" s="288"/>
      <c r="E1863" s="343"/>
      <c r="F1863" s="293"/>
    </row>
    <row r="1864" spans="1:7">
      <c r="A1864" s="8"/>
      <c r="B1864" s="81"/>
      <c r="C1864" s="81"/>
      <c r="D1864" s="288"/>
      <c r="E1864" s="343"/>
      <c r="F1864" s="293"/>
    </row>
    <row r="1865" spans="1:7">
      <c r="A1865" s="8"/>
      <c r="B1865" s="1"/>
      <c r="C1865" s="1"/>
      <c r="D1865" s="1"/>
      <c r="E1865" s="1"/>
      <c r="F1865" s="2"/>
    </row>
    <row r="1866" spans="1:7">
      <c r="A1866" s="8"/>
      <c r="B1866" s="1"/>
      <c r="C1866" s="1"/>
      <c r="D1866" s="1"/>
      <c r="E1866" s="1"/>
      <c r="F1866" s="2"/>
    </row>
    <row r="1867" spans="1:7" ht="15.75" thickBot="1">
      <c r="A1867" s="9"/>
      <c r="B1867" s="3"/>
      <c r="C1867" s="3"/>
      <c r="D1867" s="3"/>
      <c r="E1867" s="3"/>
      <c r="F1867" s="4"/>
    </row>
    <row r="1868" spans="1:7" ht="16.5" thickTop="1" thickBot="1"/>
    <row r="1869" spans="1:7" ht="15.75" thickTop="1">
      <c r="A1869" s="3782" t="s">
        <v>0</v>
      </c>
      <c r="B1869" s="3781" t="s">
        <v>1</v>
      </c>
      <c r="C1869" s="3781" t="s">
        <v>2</v>
      </c>
      <c r="D1869" s="3781" t="s">
        <v>3</v>
      </c>
      <c r="E1869" s="3781" t="s">
        <v>4</v>
      </c>
      <c r="F1869" s="3765" t="s">
        <v>5</v>
      </c>
    </row>
    <row r="1870" spans="1:7" ht="15.75" thickBot="1">
      <c r="A1870" s="3783"/>
      <c r="B1870" s="3767"/>
      <c r="C1870" s="3767"/>
      <c r="D1870" s="3767"/>
      <c r="E1870" s="3767"/>
      <c r="F1870" s="3766"/>
    </row>
    <row r="1871" spans="1:7" ht="15.75" thickTop="1">
      <c r="A1871" s="7" t="s">
        <v>1602</v>
      </c>
      <c r="B1871" s="5" t="s">
        <v>120</v>
      </c>
      <c r="C1871" s="1" t="s">
        <v>436</v>
      </c>
      <c r="D1871" s="5"/>
      <c r="E1871" s="290"/>
      <c r="F1871" s="279">
        <v>13703</v>
      </c>
      <c r="G1871" s="32">
        <v>15226</v>
      </c>
    </row>
    <row r="1872" spans="1:7">
      <c r="A1872" s="8"/>
      <c r="B1872" s="1" t="s">
        <v>121</v>
      </c>
      <c r="C1872" s="1" t="s">
        <v>149</v>
      </c>
      <c r="D1872" s="5"/>
      <c r="E1872" s="290"/>
      <c r="F1872" s="279">
        <v>7191</v>
      </c>
      <c r="G1872" s="32">
        <v>7990</v>
      </c>
    </row>
    <row r="1873" spans="1:7">
      <c r="A1873" s="8"/>
      <c r="B1873" s="1" t="s">
        <v>123</v>
      </c>
      <c r="C1873" s="1" t="s">
        <v>1603</v>
      </c>
      <c r="D1873" s="5"/>
      <c r="E1873" s="290"/>
      <c r="F1873" s="291">
        <v>5934</v>
      </c>
      <c r="G1873" s="32">
        <v>6593</v>
      </c>
    </row>
    <row r="1874" spans="1:7">
      <c r="A1874" s="8"/>
      <c r="B1874" s="1" t="s">
        <v>122</v>
      </c>
      <c r="C1874" s="81" t="s">
        <v>732</v>
      </c>
      <c r="D1874" s="5"/>
      <c r="E1874" s="290"/>
      <c r="F1874" s="291">
        <v>7472</v>
      </c>
      <c r="G1874" s="32">
        <v>8302</v>
      </c>
    </row>
    <row r="1875" spans="1:7">
      <c r="A1875" s="8"/>
      <c r="B1875" s="1"/>
      <c r="C1875" s="81" t="s">
        <v>905</v>
      </c>
      <c r="D1875" s="5"/>
      <c r="E1875" s="290"/>
      <c r="F1875" s="291">
        <v>7002</v>
      </c>
      <c r="G1875" s="32">
        <v>7780</v>
      </c>
    </row>
    <row r="1876" spans="1:7">
      <c r="A1876" s="8"/>
      <c r="B1876" s="81"/>
      <c r="C1876" s="81" t="s">
        <v>1604</v>
      </c>
      <c r="D1876" s="5"/>
      <c r="E1876" s="290"/>
      <c r="F1876" s="291">
        <v>10384</v>
      </c>
      <c r="G1876" s="32">
        <v>12216</v>
      </c>
    </row>
    <row r="1877" spans="1:7">
      <c r="A1877" s="8"/>
      <c r="B1877" s="81"/>
      <c r="C1877" s="81" t="s">
        <v>1378</v>
      </c>
      <c r="D1877" s="5"/>
      <c r="E1877" s="343"/>
      <c r="F1877" s="293">
        <v>7098</v>
      </c>
      <c r="G1877" s="32">
        <v>8351</v>
      </c>
    </row>
    <row r="1878" spans="1:7">
      <c r="A1878" s="8"/>
      <c r="B1878" s="81"/>
      <c r="C1878" s="81"/>
      <c r="D1878" s="288"/>
      <c r="E1878" s="343"/>
      <c r="F1878" s="293"/>
    </row>
    <row r="1879" spans="1:7">
      <c r="A1879" s="8"/>
      <c r="B1879" s="81"/>
      <c r="C1879" s="81"/>
      <c r="D1879" s="288"/>
      <c r="E1879" s="343"/>
      <c r="F1879" s="293"/>
    </row>
    <row r="1880" spans="1:7">
      <c r="A1880" s="8"/>
      <c r="B1880" s="1"/>
      <c r="C1880" s="1"/>
      <c r="D1880" s="1"/>
      <c r="E1880" s="1"/>
      <c r="F1880" s="2"/>
    </row>
    <row r="1881" spans="1:7">
      <c r="A1881" s="8"/>
      <c r="B1881" s="1"/>
      <c r="C1881" s="1"/>
      <c r="D1881" s="1"/>
      <c r="E1881" s="1"/>
      <c r="F1881" s="2"/>
    </row>
    <row r="1882" spans="1:7" ht="15.75" thickBot="1">
      <c r="A1882" s="9"/>
      <c r="B1882" s="3"/>
      <c r="C1882" s="3"/>
      <c r="D1882" s="3"/>
      <c r="E1882" s="3"/>
      <c r="F1882" s="4"/>
    </row>
    <row r="1883" spans="1:7" ht="16.5" thickTop="1" thickBot="1"/>
    <row r="1884" spans="1:7" ht="15.75" thickTop="1">
      <c r="A1884" s="3782" t="s">
        <v>0</v>
      </c>
      <c r="B1884" s="3781" t="s">
        <v>1</v>
      </c>
      <c r="C1884" s="3781" t="s">
        <v>2</v>
      </c>
      <c r="D1884" s="3781" t="s">
        <v>3</v>
      </c>
      <c r="E1884" s="3781" t="s">
        <v>4</v>
      </c>
      <c r="F1884" s="3765" t="s">
        <v>5</v>
      </c>
    </row>
    <row r="1885" spans="1:7" ht="15.75" thickBot="1">
      <c r="A1885" s="3783"/>
      <c r="B1885" s="3767"/>
      <c r="C1885" s="3767"/>
      <c r="D1885" s="3767"/>
      <c r="E1885" s="3767"/>
      <c r="F1885" s="3766"/>
    </row>
    <row r="1886" spans="1:7" ht="15.75" thickTop="1">
      <c r="A1886" s="7" t="s">
        <v>1613</v>
      </c>
      <c r="B1886" s="5" t="s">
        <v>120</v>
      </c>
      <c r="C1886" s="1" t="s">
        <v>231</v>
      </c>
      <c r="D1886" s="5"/>
      <c r="E1886" s="290"/>
      <c r="F1886" s="291">
        <v>14385</v>
      </c>
      <c r="G1886" s="32">
        <v>16923</v>
      </c>
    </row>
    <row r="1887" spans="1:7">
      <c r="A1887" s="8"/>
      <c r="B1887" s="1" t="s">
        <v>121</v>
      </c>
      <c r="C1887" s="1" t="s">
        <v>1614</v>
      </c>
      <c r="D1887" s="5"/>
      <c r="E1887" s="290"/>
      <c r="F1887" s="291">
        <v>10781</v>
      </c>
      <c r="G1887" s="32">
        <v>12683</v>
      </c>
    </row>
    <row r="1888" spans="1:7">
      <c r="A1888" s="8"/>
      <c r="B1888" s="1" t="s">
        <v>123</v>
      </c>
      <c r="C1888" s="1" t="s">
        <v>226</v>
      </c>
      <c r="D1888" s="5"/>
      <c r="E1888" s="290"/>
      <c r="F1888" s="279">
        <v>7299</v>
      </c>
      <c r="G1888" s="32">
        <v>8587</v>
      </c>
    </row>
    <row r="1889" spans="1:7">
      <c r="A1889" s="8"/>
      <c r="B1889" s="1" t="s">
        <v>122</v>
      </c>
      <c r="C1889" s="81" t="s">
        <v>1413</v>
      </c>
      <c r="D1889" s="5"/>
      <c r="E1889" s="290"/>
      <c r="F1889" s="279">
        <v>14701</v>
      </c>
      <c r="G1889" s="32">
        <v>17295</v>
      </c>
    </row>
    <row r="1890" spans="1:7">
      <c r="A1890" s="8"/>
      <c r="B1890" s="1"/>
      <c r="C1890" s="81" t="s">
        <v>1120</v>
      </c>
      <c r="D1890" s="5"/>
      <c r="E1890" s="290"/>
      <c r="F1890" s="279">
        <v>4233</v>
      </c>
      <c r="G1890" s="32">
        <v>4980</v>
      </c>
    </row>
    <row r="1891" spans="1:7">
      <c r="A1891" s="8"/>
      <c r="B1891" s="81"/>
      <c r="C1891" s="81" t="s">
        <v>1615</v>
      </c>
      <c r="D1891" s="5"/>
      <c r="E1891" s="290"/>
      <c r="F1891" s="291">
        <v>10772</v>
      </c>
      <c r="G1891" s="32">
        <v>12673</v>
      </c>
    </row>
    <row r="1892" spans="1:7">
      <c r="A1892" s="8"/>
      <c r="B1892" s="81"/>
      <c r="C1892" s="81" t="s">
        <v>1380</v>
      </c>
      <c r="D1892" s="5"/>
      <c r="E1892" s="343"/>
      <c r="F1892" s="293">
        <v>7615</v>
      </c>
      <c r="G1892" s="32">
        <v>8959</v>
      </c>
    </row>
    <row r="1893" spans="1:7">
      <c r="A1893" s="8"/>
      <c r="B1893" s="81"/>
      <c r="C1893" s="81"/>
      <c r="D1893" s="288"/>
      <c r="E1893" s="343"/>
      <c r="F1893" s="293"/>
    </row>
    <row r="1894" spans="1:7">
      <c r="A1894" s="8"/>
      <c r="B1894" s="81"/>
      <c r="C1894" s="81"/>
      <c r="D1894" s="288"/>
      <c r="E1894" s="343"/>
      <c r="F1894" s="293"/>
    </row>
    <row r="1895" spans="1:7">
      <c r="A1895" s="8"/>
      <c r="B1895" s="1"/>
      <c r="C1895" s="1"/>
      <c r="D1895" s="1"/>
      <c r="E1895" s="1"/>
      <c r="F1895" s="2"/>
    </row>
    <row r="1896" spans="1:7">
      <c r="A1896" s="8"/>
      <c r="B1896" s="1"/>
      <c r="C1896" s="1"/>
      <c r="D1896" s="1"/>
      <c r="E1896" s="1"/>
      <c r="F1896" s="2"/>
    </row>
    <row r="1897" spans="1:7" ht="15.75" thickBot="1">
      <c r="A1897" s="9"/>
      <c r="B1897" s="3"/>
      <c r="C1897" s="3"/>
      <c r="D1897" s="3"/>
      <c r="E1897" s="3"/>
      <c r="F1897" s="4"/>
    </row>
    <row r="1898" spans="1:7" ht="16.5" thickTop="1" thickBot="1"/>
    <row r="1899" spans="1:7" ht="15.75" thickTop="1">
      <c r="A1899" s="3782" t="s">
        <v>0</v>
      </c>
      <c r="B1899" s="3781" t="s">
        <v>1</v>
      </c>
      <c r="C1899" s="3781" t="s">
        <v>2</v>
      </c>
      <c r="D1899" s="3781" t="s">
        <v>3</v>
      </c>
      <c r="E1899" s="3781" t="s">
        <v>4</v>
      </c>
      <c r="F1899" s="3765" t="s">
        <v>5</v>
      </c>
    </row>
    <row r="1900" spans="1:7" ht="15.75" thickBot="1">
      <c r="A1900" s="3783"/>
      <c r="B1900" s="3767"/>
      <c r="C1900" s="3767"/>
      <c r="D1900" s="3767"/>
      <c r="E1900" s="3767"/>
      <c r="F1900" s="3766"/>
    </row>
    <row r="1901" spans="1:7" ht="15.75" thickTop="1">
      <c r="A1901" s="7" t="s">
        <v>1616</v>
      </c>
      <c r="B1901" s="5" t="s">
        <v>181</v>
      </c>
      <c r="C1901" s="1" t="s">
        <v>1315</v>
      </c>
      <c r="D1901" s="5"/>
      <c r="E1901" s="290">
        <v>0.15</v>
      </c>
      <c r="F1901" s="291">
        <v>12900</v>
      </c>
      <c r="G1901" s="32">
        <v>15177</v>
      </c>
    </row>
    <row r="1902" spans="1:7">
      <c r="A1902" s="8"/>
      <c r="B1902" s="1" t="s">
        <v>366</v>
      </c>
      <c r="C1902" s="1" t="s">
        <v>1316</v>
      </c>
      <c r="D1902" s="5"/>
      <c r="E1902" s="290">
        <v>0.15</v>
      </c>
      <c r="F1902" s="291">
        <v>12900</v>
      </c>
      <c r="G1902" s="32"/>
    </row>
    <row r="1903" spans="1:7">
      <c r="A1903" s="8"/>
      <c r="B1903" s="1" t="s">
        <v>180</v>
      </c>
      <c r="C1903" s="1" t="s">
        <v>1317</v>
      </c>
      <c r="D1903" s="5"/>
      <c r="E1903" s="290">
        <v>0.15</v>
      </c>
      <c r="F1903" s="291">
        <v>12900</v>
      </c>
      <c r="G1903" s="32"/>
    </row>
    <row r="1904" spans="1:7">
      <c r="A1904" s="8"/>
      <c r="B1904" s="1" t="s">
        <v>135</v>
      </c>
      <c r="C1904" s="81" t="s">
        <v>1058</v>
      </c>
      <c r="D1904" s="5"/>
      <c r="E1904" s="290">
        <v>0.15</v>
      </c>
      <c r="F1904" s="291">
        <v>17299</v>
      </c>
      <c r="G1904" s="32">
        <v>20352</v>
      </c>
    </row>
    <row r="1905" spans="1:7">
      <c r="A1905" s="8"/>
      <c r="B1905" s="1" t="s">
        <v>805</v>
      </c>
      <c r="C1905" s="81" t="s">
        <v>730</v>
      </c>
      <c r="D1905" s="5"/>
      <c r="E1905" s="290">
        <v>0.15</v>
      </c>
      <c r="F1905" s="291">
        <v>7565</v>
      </c>
      <c r="G1905" s="32">
        <v>8900</v>
      </c>
    </row>
    <row r="1906" spans="1:7">
      <c r="A1906" s="8"/>
      <c r="B1906" s="81"/>
      <c r="C1906" s="81"/>
      <c r="D1906" s="5"/>
      <c r="E1906" s="290"/>
      <c r="F1906" s="291"/>
      <c r="G1906" s="32"/>
    </row>
    <row r="1907" spans="1:7">
      <c r="A1907" s="8"/>
      <c r="B1907" s="81"/>
      <c r="C1907" s="81"/>
      <c r="D1907" s="5"/>
      <c r="E1907" s="343"/>
      <c r="F1907" s="293"/>
      <c r="G1907" s="32"/>
    </row>
    <row r="1908" spans="1:7">
      <c r="A1908" s="8"/>
      <c r="B1908" s="81"/>
      <c r="C1908" s="81"/>
      <c r="D1908" s="288"/>
      <c r="E1908" s="343"/>
      <c r="F1908" s="293"/>
    </row>
    <row r="1909" spans="1:7">
      <c r="A1909" s="8"/>
      <c r="B1909" s="81"/>
      <c r="C1909" s="81"/>
      <c r="D1909" s="288"/>
      <c r="E1909" s="343"/>
      <c r="F1909" s="293"/>
    </row>
    <row r="1910" spans="1:7">
      <c r="A1910" s="8"/>
      <c r="B1910" s="1"/>
      <c r="C1910" s="1"/>
      <c r="D1910" s="1"/>
      <c r="E1910" s="1"/>
      <c r="F1910" s="2"/>
    </row>
    <row r="1911" spans="1:7">
      <c r="A1911" s="8"/>
      <c r="B1911" s="1"/>
      <c r="C1911" s="1"/>
      <c r="D1911" s="1"/>
      <c r="E1911" s="1"/>
      <c r="F1911" s="2"/>
    </row>
    <row r="1912" spans="1:7" ht="15.75" thickBot="1">
      <c r="A1912" s="9"/>
      <c r="B1912" s="3"/>
      <c r="C1912" s="3"/>
      <c r="D1912" s="3"/>
      <c r="E1912" s="3"/>
      <c r="F1912" s="4"/>
    </row>
    <row r="1913" spans="1:7" ht="16.5" thickTop="1" thickBot="1"/>
    <row r="1914" spans="1:7" ht="15.75" thickTop="1">
      <c r="A1914" s="3782" t="s">
        <v>0</v>
      </c>
      <c r="B1914" s="3781" t="s">
        <v>1</v>
      </c>
      <c r="C1914" s="3781" t="s">
        <v>2</v>
      </c>
      <c r="D1914" s="3781" t="s">
        <v>3</v>
      </c>
      <c r="E1914" s="3781" t="s">
        <v>4</v>
      </c>
      <c r="F1914" s="3765" t="s">
        <v>5</v>
      </c>
    </row>
    <row r="1915" spans="1:7" ht="15.75" thickBot="1">
      <c r="A1915" s="3783"/>
      <c r="B1915" s="3767"/>
      <c r="C1915" s="3767"/>
      <c r="D1915" s="3767"/>
      <c r="E1915" s="3767"/>
      <c r="F1915" s="3766"/>
    </row>
    <row r="1916" spans="1:7" ht="15.75" thickTop="1">
      <c r="A1916" s="7" t="s">
        <v>1623</v>
      </c>
      <c r="B1916" s="288" t="s">
        <v>202</v>
      </c>
      <c r="C1916" s="1" t="s">
        <v>1315</v>
      </c>
      <c r="D1916" s="5"/>
      <c r="E1916" s="290">
        <v>0.15</v>
      </c>
      <c r="F1916" s="291">
        <v>12479</v>
      </c>
      <c r="G1916" s="32">
        <v>14681</v>
      </c>
    </row>
    <row r="1917" spans="1:7">
      <c r="A1917" s="8"/>
      <c r="B1917" s="1"/>
      <c r="C1917" s="1" t="s">
        <v>1316</v>
      </c>
      <c r="D1917" s="5"/>
      <c r="E1917" s="290">
        <v>0.15</v>
      </c>
      <c r="F1917" s="291">
        <v>12479</v>
      </c>
      <c r="G1917" s="32"/>
    </row>
    <row r="1918" spans="1:7">
      <c r="A1918" s="8"/>
      <c r="B1918" s="1"/>
      <c r="C1918" s="1" t="s">
        <v>1317</v>
      </c>
      <c r="D1918" s="5"/>
      <c r="E1918" s="290">
        <v>0.15</v>
      </c>
      <c r="F1918" s="291">
        <v>12479</v>
      </c>
      <c r="G1918" s="32"/>
    </row>
    <row r="1919" spans="1:7">
      <c r="A1919" s="8"/>
      <c r="B1919" s="1"/>
      <c r="C1919" s="81"/>
      <c r="D1919" s="5"/>
      <c r="E1919" s="290"/>
      <c r="F1919" s="291"/>
      <c r="G1919" s="32"/>
    </row>
    <row r="1920" spans="1:7">
      <c r="A1920" s="8"/>
      <c r="B1920" s="1"/>
      <c r="C1920" s="81"/>
      <c r="D1920" s="5"/>
      <c r="E1920" s="290"/>
      <c r="F1920" s="291"/>
      <c r="G1920" s="32"/>
    </row>
    <row r="1921" spans="1:7">
      <c r="A1921" s="8"/>
      <c r="B1921" s="81"/>
      <c r="C1921" s="81"/>
      <c r="D1921" s="5"/>
      <c r="E1921" s="290"/>
      <c r="F1921" s="291"/>
      <c r="G1921" s="32"/>
    </row>
    <row r="1922" spans="1:7">
      <c r="A1922" s="8"/>
      <c r="B1922" s="81"/>
      <c r="C1922" s="81"/>
      <c r="D1922" s="5"/>
      <c r="E1922" s="343"/>
      <c r="F1922" s="293"/>
      <c r="G1922" s="32"/>
    </row>
    <row r="1923" spans="1:7">
      <c r="A1923" s="8"/>
      <c r="B1923" s="81"/>
      <c r="C1923" s="81"/>
      <c r="D1923" s="288"/>
      <c r="E1923" s="343"/>
      <c r="F1923" s="293"/>
    </row>
    <row r="1924" spans="1:7">
      <c r="A1924" s="8"/>
      <c r="B1924" s="81"/>
      <c r="C1924" s="81"/>
      <c r="D1924" s="288"/>
      <c r="E1924" s="343"/>
      <c r="F1924" s="293"/>
    </row>
    <row r="1925" spans="1:7">
      <c r="A1925" s="8"/>
      <c r="B1925" s="1"/>
      <c r="C1925" s="1"/>
      <c r="D1925" s="1"/>
      <c r="E1925" s="1"/>
      <c r="F1925" s="2"/>
    </row>
    <row r="1926" spans="1:7">
      <c r="A1926" s="8"/>
      <c r="B1926" s="1"/>
      <c r="C1926" s="1"/>
      <c r="D1926" s="1"/>
      <c r="E1926" s="1"/>
      <c r="F1926" s="2"/>
    </row>
    <row r="1927" spans="1:7" ht="15.75" thickBot="1">
      <c r="A1927" s="9"/>
      <c r="B1927" s="3"/>
      <c r="C1927" s="3"/>
      <c r="D1927" s="3"/>
      <c r="E1927" s="3"/>
      <c r="F1927" s="4"/>
    </row>
    <row r="1928" spans="1:7" ht="16.5" thickTop="1" thickBot="1"/>
    <row r="1929" spans="1:7" ht="15.75" thickTop="1">
      <c r="A1929" s="3782" t="s">
        <v>0</v>
      </c>
      <c r="B1929" s="3781" t="s">
        <v>1</v>
      </c>
      <c r="C1929" s="3781" t="s">
        <v>2</v>
      </c>
      <c r="D1929" s="3781" t="s">
        <v>3</v>
      </c>
      <c r="E1929" s="3781" t="s">
        <v>4</v>
      </c>
      <c r="F1929" s="3765" t="s">
        <v>5</v>
      </c>
    </row>
    <row r="1930" spans="1:7" ht="15.75" thickBot="1">
      <c r="A1930" s="3783"/>
      <c r="B1930" s="3767"/>
      <c r="C1930" s="3767"/>
      <c r="D1930" s="3767"/>
      <c r="E1930" s="3767"/>
      <c r="F1930" s="3766"/>
    </row>
    <row r="1931" spans="1:7" ht="15.75" thickTop="1">
      <c r="A1931" s="7" t="s">
        <v>1624</v>
      </c>
      <c r="B1931" s="298" t="s">
        <v>409</v>
      </c>
      <c r="C1931" s="1" t="s">
        <v>730</v>
      </c>
      <c r="D1931" s="5"/>
      <c r="E1931" s="290"/>
      <c r="F1931" s="291">
        <v>6996</v>
      </c>
      <c r="G1931" s="32">
        <v>8231</v>
      </c>
    </row>
    <row r="1932" spans="1:7">
      <c r="A1932" s="8"/>
      <c r="B1932" s="81" t="s">
        <v>392</v>
      </c>
      <c r="C1932" s="1" t="s">
        <v>1058</v>
      </c>
      <c r="D1932" s="5"/>
      <c r="E1932" s="290"/>
      <c r="F1932" s="291">
        <v>17299</v>
      </c>
      <c r="G1932" s="32">
        <v>20352</v>
      </c>
    </row>
    <row r="1933" spans="1:7">
      <c r="A1933" s="8"/>
      <c r="B1933" s="81" t="s">
        <v>534</v>
      </c>
      <c r="C1933" s="1" t="s">
        <v>231</v>
      </c>
      <c r="D1933" s="5"/>
      <c r="E1933" s="290"/>
      <c r="F1933" s="291">
        <v>13634</v>
      </c>
      <c r="G1933" s="32">
        <v>16040</v>
      </c>
    </row>
    <row r="1934" spans="1:7">
      <c r="A1934" s="8"/>
      <c r="B1934" s="1" t="s">
        <v>535</v>
      </c>
      <c r="C1934" s="81"/>
      <c r="D1934" s="5"/>
      <c r="E1934" s="290"/>
      <c r="F1934" s="291"/>
      <c r="G1934" s="32"/>
    </row>
    <row r="1935" spans="1:7">
      <c r="A1935" s="8"/>
      <c r="B1935" s="1" t="s">
        <v>921</v>
      </c>
      <c r="C1935" s="81"/>
      <c r="D1935" s="5"/>
      <c r="E1935" s="290"/>
      <c r="F1935" s="291"/>
      <c r="G1935" s="32"/>
    </row>
    <row r="1936" spans="1:7">
      <c r="A1936" s="8"/>
      <c r="B1936" s="81"/>
      <c r="C1936" s="81"/>
      <c r="D1936" s="5"/>
      <c r="E1936" s="290"/>
      <c r="F1936" s="291"/>
      <c r="G1936" s="32"/>
    </row>
    <row r="1937" spans="1:7">
      <c r="A1937" s="8"/>
      <c r="B1937" s="81"/>
      <c r="C1937" s="81"/>
      <c r="D1937" s="5"/>
      <c r="E1937" s="343"/>
      <c r="F1937" s="293"/>
    </row>
    <row r="1938" spans="1:7">
      <c r="A1938" s="8"/>
      <c r="B1938" s="81"/>
      <c r="C1938" s="81"/>
      <c r="D1938" s="288"/>
      <c r="E1938" s="343"/>
      <c r="F1938" s="293"/>
    </row>
    <row r="1939" spans="1:7">
      <c r="A1939" s="8"/>
      <c r="B1939" s="81"/>
      <c r="C1939" s="81"/>
      <c r="D1939" s="288"/>
      <c r="E1939" s="343"/>
      <c r="F1939" s="293"/>
    </row>
    <row r="1940" spans="1:7">
      <c r="A1940" s="8"/>
      <c r="B1940" s="1"/>
      <c r="C1940" s="1"/>
      <c r="D1940" s="1"/>
      <c r="E1940" s="1"/>
      <c r="F1940" s="2"/>
    </row>
    <row r="1941" spans="1:7">
      <c r="A1941" s="8"/>
      <c r="B1941" s="1"/>
      <c r="C1941" s="1"/>
      <c r="D1941" s="1"/>
      <c r="E1941" s="1"/>
      <c r="F1941" s="2"/>
    </row>
    <row r="1942" spans="1:7" ht="15.75" thickBot="1">
      <c r="A1942" s="9"/>
      <c r="B1942" s="3"/>
      <c r="C1942" s="3"/>
      <c r="D1942" s="3"/>
      <c r="E1942" s="3"/>
      <c r="F1942" s="4"/>
    </row>
    <row r="1943" spans="1:7" ht="16.5" thickTop="1" thickBot="1"/>
    <row r="1944" spans="1:7" ht="15.75" thickTop="1">
      <c r="A1944" s="3782" t="s">
        <v>0</v>
      </c>
      <c r="B1944" s="3781" t="s">
        <v>1</v>
      </c>
      <c r="C1944" s="3781" t="s">
        <v>2</v>
      </c>
      <c r="D1944" s="3781" t="s">
        <v>3</v>
      </c>
      <c r="E1944" s="3781" t="s">
        <v>4</v>
      </c>
      <c r="F1944" s="3765" t="s">
        <v>5</v>
      </c>
    </row>
    <row r="1945" spans="1:7" ht="15.75" thickBot="1">
      <c r="A1945" s="3783"/>
      <c r="B1945" s="3767"/>
      <c r="C1945" s="3767"/>
      <c r="D1945" s="3767"/>
      <c r="E1945" s="3767"/>
      <c r="F1945" s="3766"/>
    </row>
    <row r="1946" spans="1:7" ht="15.75" thickTop="1">
      <c r="A1946" s="7" t="s">
        <v>1663</v>
      </c>
      <c r="B1946" s="340" t="s">
        <v>460</v>
      </c>
      <c r="C1946" s="1" t="s">
        <v>155</v>
      </c>
      <c r="D1946" s="5"/>
      <c r="E1946" s="290">
        <v>0.15</v>
      </c>
      <c r="F1946" s="291">
        <v>13086</v>
      </c>
      <c r="G1946" s="32">
        <v>15395</v>
      </c>
    </row>
    <row r="1947" spans="1:7">
      <c r="A1947" s="8"/>
      <c r="B1947" s="81"/>
      <c r="C1947" s="1" t="s">
        <v>154</v>
      </c>
      <c r="D1947" s="5"/>
      <c r="E1947" s="290">
        <v>0.15</v>
      </c>
      <c r="F1947" s="291">
        <v>9246</v>
      </c>
      <c r="G1947" s="32">
        <v>10878</v>
      </c>
    </row>
    <row r="1948" spans="1:7">
      <c r="A1948" s="8"/>
      <c r="B1948" s="81"/>
      <c r="C1948" s="1" t="s">
        <v>452</v>
      </c>
      <c r="D1948" s="5"/>
      <c r="E1948" s="290">
        <v>0.15</v>
      </c>
      <c r="F1948" s="291">
        <v>11382</v>
      </c>
      <c r="G1948" s="32">
        <v>13390</v>
      </c>
    </row>
    <row r="1949" spans="1:7">
      <c r="A1949" s="8"/>
      <c r="B1949" s="1"/>
      <c r="C1949" s="81" t="s">
        <v>183</v>
      </c>
      <c r="D1949" s="5"/>
      <c r="E1949" s="290">
        <v>0.15</v>
      </c>
      <c r="F1949" s="291">
        <v>15128</v>
      </c>
      <c r="G1949" s="32">
        <v>17798</v>
      </c>
    </row>
    <row r="1950" spans="1:7">
      <c r="A1950" s="8"/>
      <c r="B1950" s="1"/>
      <c r="C1950" s="81" t="s">
        <v>153</v>
      </c>
      <c r="D1950" s="5"/>
      <c r="E1950" s="290">
        <v>0.15</v>
      </c>
      <c r="F1950" s="291">
        <v>10632</v>
      </c>
      <c r="G1950" s="32">
        <v>12508</v>
      </c>
    </row>
    <row r="1951" spans="1:7">
      <c r="A1951" s="8"/>
      <c r="B1951" s="81"/>
      <c r="C1951" s="81" t="s">
        <v>273</v>
      </c>
      <c r="D1951" s="5"/>
      <c r="E1951" s="290">
        <v>0.1</v>
      </c>
      <c r="F1951" s="291">
        <v>9239</v>
      </c>
      <c r="G1951" s="32">
        <v>10265</v>
      </c>
    </row>
    <row r="1952" spans="1:7">
      <c r="A1952" s="8"/>
      <c r="B1952" s="81"/>
      <c r="C1952" s="81" t="s">
        <v>177</v>
      </c>
      <c r="D1952" s="5"/>
      <c r="E1952" s="343">
        <v>0.1</v>
      </c>
      <c r="F1952" s="293">
        <v>9239</v>
      </c>
    </row>
    <row r="1953" spans="1:7">
      <c r="A1953" s="8"/>
      <c r="B1953" s="81"/>
      <c r="C1953" s="81" t="s">
        <v>178</v>
      </c>
      <c r="D1953" s="288"/>
      <c r="E1953" s="343">
        <v>0.1</v>
      </c>
      <c r="F1953" s="293">
        <v>9239</v>
      </c>
    </row>
    <row r="1954" spans="1:7">
      <c r="A1954" s="8"/>
      <c r="B1954" s="81"/>
      <c r="C1954" s="81" t="s">
        <v>623</v>
      </c>
      <c r="D1954" s="288"/>
      <c r="E1954" s="343">
        <v>0.15</v>
      </c>
      <c r="F1954" s="293">
        <v>22264</v>
      </c>
      <c r="G1954">
        <v>26192</v>
      </c>
    </row>
    <row r="1955" spans="1:7">
      <c r="A1955" s="8"/>
      <c r="B1955" s="1"/>
      <c r="C1955" s="1"/>
      <c r="D1955" s="1"/>
      <c r="E1955" s="1"/>
      <c r="F1955" s="2"/>
    </row>
    <row r="1956" spans="1:7">
      <c r="A1956" s="8"/>
      <c r="B1956" s="1"/>
      <c r="C1956" s="1"/>
      <c r="D1956" s="1"/>
      <c r="E1956" s="1"/>
      <c r="F1956" s="2"/>
    </row>
    <row r="1957" spans="1:7" ht="15.75" thickBot="1">
      <c r="A1957" s="9"/>
      <c r="B1957" s="3"/>
      <c r="C1957" s="3"/>
      <c r="D1957" s="3"/>
      <c r="E1957" s="3"/>
      <c r="F1957" s="4"/>
    </row>
    <row r="1958" spans="1:7" ht="15.75" thickTop="1"/>
    <row r="1959" spans="1:7" ht="15.75" thickBot="1"/>
    <row r="1960" spans="1:7" ht="15.75" thickTop="1">
      <c r="A1960" s="3782" t="s">
        <v>0</v>
      </c>
      <c r="B1960" s="3781" t="s">
        <v>1</v>
      </c>
      <c r="C1960" s="3781" t="s">
        <v>2</v>
      </c>
      <c r="D1960" s="3781" t="s">
        <v>3</v>
      </c>
      <c r="E1960" s="3781" t="s">
        <v>4</v>
      </c>
      <c r="F1960" s="3765" t="s">
        <v>5</v>
      </c>
    </row>
    <row r="1961" spans="1:7" ht="15.75" thickBot="1">
      <c r="A1961" s="3783"/>
      <c r="B1961" s="3767"/>
      <c r="C1961" s="3767"/>
      <c r="D1961" s="3767"/>
      <c r="E1961" s="3767"/>
      <c r="F1961" s="3766"/>
    </row>
    <row r="1962" spans="1:7" ht="15.75" thickTop="1">
      <c r="A1962" s="7" t="s">
        <v>1627</v>
      </c>
      <c r="B1962" s="298" t="s">
        <v>409</v>
      </c>
      <c r="C1962" s="31" t="s">
        <v>1628</v>
      </c>
      <c r="D1962" s="191"/>
      <c r="E1962" s="278">
        <v>0.15</v>
      </c>
      <c r="F1962" s="279">
        <v>6619</v>
      </c>
      <c r="G1962" s="32">
        <v>7787</v>
      </c>
    </row>
    <row r="1963" spans="1:7">
      <c r="A1963" s="8"/>
      <c r="B1963" s="81" t="s">
        <v>392</v>
      </c>
      <c r="C1963" s="1" t="s">
        <v>1629</v>
      </c>
      <c r="D1963" s="5"/>
      <c r="E1963" s="290">
        <v>0.15</v>
      </c>
      <c r="F1963" s="291">
        <v>6619</v>
      </c>
      <c r="G1963" s="32">
        <v>7787</v>
      </c>
    </row>
    <row r="1964" spans="1:7">
      <c r="A1964" s="8"/>
      <c r="B1964" s="81" t="s">
        <v>534</v>
      </c>
      <c r="C1964" s="1" t="s">
        <v>1630</v>
      </c>
      <c r="D1964" s="5"/>
      <c r="E1964" s="290">
        <v>0.15</v>
      </c>
      <c r="F1964" s="291">
        <v>6619</v>
      </c>
      <c r="G1964" s="32">
        <v>7787</v>
      </c>
    </row>
    <row r="1965" spans="1:7">
      <c r="A1965" s="8"/>
      <c r="B1965" s="1" t="s">
        <v>535</v>
      </c>
      <c r="C1965" s="81" t="s">
        <v>1631</v>
      </c>
      <c r="D1965" s="5"/>
      <c r="E1965" s="290">
        <v>0.15</v>
      </c>
      <c r="F1965" s="291">
        <v>7637</v>
      </c>
      <c r="G1965" s="32">
        <v>8985</v>
      </c>
    </row>
    <row r="1966" spans="1:7">
      <c r="A1966" s="8"/>
      <c r="B1966" s="1" t="s">
        <v>921</v>
      </c>
      <c r="C1966" s="81" t="s">
        <v>1632</v>
      </c>
      <c r="D1966" s="5"/>
      <c r="E1966" s="290">
        <v>0.15</v>
      </c>
      <c r="F1966" s="291">
        <v>7637</v>
      </c>
      <c r="G1966" s="32">
        <v>8985</v>
      </c>
    </row>
    <row r="1967" spans="1:7">
      <c r="A1967" s="8"/>
      <c r="B1967" s="81"/>
      <c r="C1967" s="81" t="s">
        <v>1633</v>
      </c>
      <c r="D1967" s="5"/>
      <c r="E1967" s="290">
        <v>0.15</v>
      </c>
      <c r="F1967" s="291">
        <v>13791</v>
      </c>
      <c r="G1967" s="32">
        <v>16225</v>
      </c>
    </row>
    <row r="1968" spans="1:7">
      <c r="A1968" s="8"/>
      <c r="B1968" s="81"/>
      <c r="C1968" s="31" t="s">
        <v>1634</v>
      </c>
      <c r="D1968" s="191"/>
      <c r="E1968" s="278">
        <v>0.15</v>
      </c>
      <c r="F1968" s="281">
        <v>13791</v>
      </c>
      <c r="G1968">
        <v>16225</v>
      </c>
    </row>
    <row r="1969" spans="1:7">
      <c r="A1969" s="8"/>
      <c r="B1969" s="81"/>
      <c r="C1969" s="81" t="s">
        <v>1576</v>
      </c>
      <c r="D1969" s="5"/>
      <c r="E1969" s="290">
        <v>0.15</v>
      </c>
      <c r="F1969" s="293">
        <v>13791</v>
      </c>
      <c r="G1969">
        <v>16225</v>
      </c>
    </row>
    <row r="1970" spans="1:7">
      <c r="A1970" s="8"/>
      <c r="B1970" s="81"/>
      <c r="C1970" s="31" t="s">
        <v>1577</v>
      </c>
      <c r="D1970" s="191"/>
      <c r="E1970" s="278">
        <v>0.15</v>
      </c>
      <c r="F1970" s="281">
        <v>13791</v>
      </c>
      <c r="G1970">
        <v>16225</v>
      </c>
    </row>
    <row r="1971" spans="1:7">
      <c r="A1971" s="8"/>
      <c r="B1971" s="81"/>
      <c r="C1971" s="31" t="s">
        <v>1578</v>
      </c>
      <c r="D1971" s="191"/>
      <c r="E1971" s="278">
        <v>0.15</v>
      </c>
      <c r="F1971" s="281">
        <v>4445</v>
      </c>
      <c r="G1971">
        <v>5229</v>
      </c>
    </row>
    <row r="1972" spans="1:7">
      <c r="A1972" s="8"/>
      <c r="B1972" s="81"/>
      <c r="C1972" s="81" t="s">
        <v>1579</v>
      </c>
      <c r="D1972" s="5"/>
      <c r="E1972" s="290">
        <v>0.15</v>
      </c>
      <c r="F1972" s="293">
        <v>4445</v>
      </c>
      <c r="G1972">
        <v>5229</v>
      </c>
    </row>
    <row r="1973" spans="1:7">
      <c r="A1973" s="8"/>
      <c r="B1973" s="81"/>
      <c r="C1973" s="81" t="s">
        <v>1635</v>
      </c>
      <c r="D1973" s="5"/>
      <c r="E1973" s="290">
        <v>0.15</v>
      </c>
      <c r="F1973" s="293">
        <v>4445</v>
      </c>
      <c r="G1973">
        <v>5229</v>
      </c>
    </row>
    <row r="1974" spans="1:7">
      <c r="A1974" s="8"/>
      <c r="B1974" s="81"/>
      <c r="C1974" s="31" t="s">
        <v>1636</v>
      </c>
      <c r="D1974" s="191"/>
      <c r="E1974" s="278">
        <v>0.15</v>
      </c>
      <c r="F1974" s="281">
        <v>4445</v>
      </c>
      <c r="G1974">
        <v>5229</v>
      </c>
    </row>
    <row r="1975" spans="1:7">
      <c r="A1975" s="8"/>
      <c r="B1975" s="81"/>
      <c r="C1975" s="31" t="s">
        <v>1580</v>
      </c>
      <c r="D1975" s="191"/>
      <c r="E1975" s="278">
        <v>0.15</v>
      </c>
      <c r="F1975" s="281">
        <v>14578</v>
      </c>
      <c r="G1975">
        <v>17151</v>
      </c>
    </row>
    <row r="1976" spans="1:7">
      <c r="A1976" s="8"/>
      <c r="B1976" s="81"/>
      <c r="C1976" s="31" t="s">
        <v>1637</v>
      </c>
      <c r="D1976" s="191"/>
      <c r="E1976" s="278">
        <v>0.15</v>
      </c>
      <c r="F1976" s="281">
        <v>14578</v>
      </c>
      <c r="G1976">
        <v>17151</v>
      </c>
    </row>
    <row r="1977" spans="1:7">
      <c r="A1977" s="8"/>
      <c r="B1977" s="81"/>
      <c r="C1977" s="31" t="s">
        <v>1638</v>
      </c>
      <c r="D1977" s="191"/>
      <c r="E1977" s="278">
        <v>0.15</v>
      </c>
      <c r="F1977" s="281">
        <v>14578</v>
      </c>
      <c r="G1977">
        <v>17151</v>
      </c>
    </row>
    <row r="1978" spans="1:7">
      <c r="A1978" s="8"/>
      <c r="B1978" s="81"/>
      <c r="C1978" s="31" t="s">
        <v>1581</v>
      </c>
      <c r="D1978" s="191"/>
      <c r="E1978" s="278">
        <v>0.15</v>
      </c>
      <c r="F1978" s="281">
        <v>14578</v>
      </c>
      <c r="G1978">
        <v>17151</v>
      </c>
    </row>
    <row r="1979" spans="1:7">
      <c r="A1979" s="8"/>
      <c r="B1979" s="81"/>
      <c r="C1979" s="81" t="s">
        <v>1639</v>
      </c>
      <c r="D1979" s="288"/>
      <c r="E1979" s="290">
        <v>0.15</v>
      </c>
      <c r="F1979" s="293">
        <v>14578</v>
      </c>
      <c r="G1979">
        <v>17151</v>
      </c>
    </row>
    <row r="1980" spans="1:7">
      <c r="A1980" s="8"/>
      <c r="B1980" s="1"/>
      <c r="C1980" s="1" t="s">
        <v>1640</v>
      </c>
      <c r="D1980" s="1"/>
      <c r="E1980" s="290">
        <v>0.15</v>
      </c>
      <c r="F1980" s="2">
        <v>14578</v>
      </c>
      <c r="G1980">
        <v>17151</v>
      </c>
    </row>
    <row r="1981" spans="1:7">
      <c r="A1981" s="8"/>
      <c r="B1981" s="1"/>
      <c r="C1981" s="1"/>
      <c r="D1981" s="1"/>
      <c r="E1981" s="1"/>
      <c r="F1981" s="2"/>
    </row>
    <row r="1982" spans="1:7" ht="15.75" thickBot="1">
      <c r="A1982" s="9"/>
      <c r="B1982" s="3"/>
      <c r="C1982" s="3"/>
      <c r="D1982" s="3"/>
      <c r="E1982" s="3"/>
      <c r="F1982" s="4"/>
    </row>
    <row r="1983" spans="1:7" ht="15.75" thickTop="1"/>
    <row r="1984" spans="1:7" ht="15.75" thickBot="1"/>
    <row r="1985" spans="1:7" ht="15.75" thickTop="1">
      <c r="A1985" s="3782" t="s">
        <v>0</v>
      </c>
      <c r="B1985" s="3781" t="s">
        <v>1</v>
      </c>
      <c r="C1985" s="3781" t="s">
        <v>2</v>
      </c>
      <c r="D1985" s="3781" t="s">
        <v>3</v>
      </c>
      <c r="E1985" s="3781" t="s">
        <v>4</v>
      </c>
      <c r="F1985" s="3765" t="s">
        <v>5</v>
      </c>
    </row>
    <row r="1986" spans="1:7" ht="15.75" thickBot="1">
      <c r="A1986" s="3783"/>
      <c r="B1986" s="3767"/>
      <c r="C1986" s="3767"/>
      <c r="D1986" s="3767"/>
      <c r="E1986" s="3767"/>
      <c r="F1986" s="3766"/>
    </row>
    <row r="1987" spans="1:7" ht="15.75" thickTop="1">
      <c r="A1987" s="7" t="s">
        <v>1654</v>
      </c>
      <c r="B1987" s="298" t="s">
        <v>409</v>
      </c>
      <c r="C1987" s="1" t="s">
        <v>1315</v>
      </c>
      <c r="D1987" s="5"/>
      <c r="E1987" s="290">
        <v>0.15</v>
      </c>
      <c r="F1987" s="291">
        <v>12900</v>
      </c>
      <c r="G1987" s="32">
        <v>15177</v>
      </c>
    </row>
    <row r="1988" spans="1:7">
      <c r="A1988" s="8"/>
      <c r="B1988" s="81" t="s">
        <v>392</v>
      </c>
      <c r="C1988" s="1" t="s">
        <v>1316</v>
      </c>
      <c r="D1988" s="5"/>
      <c r="E1988" s="290">
        <v>0.15</v>
      </c>
      <c r="F1988" s="291">
        <v>12900</v>
      </c>
      <c r="G1988" s="32"/>
    </row>
    <row r="1989" spans="1:7">
      <c r="A1989" s="8"/>
      <c r="B1989" s="81" t="s">
        <v>534</v>
      </c>
      <c r="C1989" s="1" t="s">
        <v>1317</v>
      </c>
      <c r="D1989" s="5"/>
      <c r="E1989" s="290">
        <v>0.15</v>
      </c>
      <c r="F1989" s="291">
        <v>12900</v>
      </c>
      <c r="G1989" s="32"/>
    </row>
    <row r="1990" spans="1:7">
      <c r="A1990" s="8"/>
      <c r="B1990" s="1" t="s">
        <v>535</v>
      </c>
      <c r="C1990" s="81" t="s">
        <v>858</v>
      </c>
      <c r="D1990" s="5"/>
      <c r="E1990" s="290">
        <v>0.15</v>
      </c>
      <c r="F1990" s="291">
        <v>8063</v>
      </c>
      <c r="G1990" s="32">
        <v>9486</v>
      </c>
    </row>
    <row r="1991" spans="1:7">
      <c r="A1991" s="8"/>
      <c r="B1991" s="1" t="s">
        <v>921</v>
      </c>
      <c r="C1991" s="81"/>
      <c r="D1991" s="5"/>
      <c r="E1991" s="290"/>
      <c r="F1991" s="291"/>
      <c r="G1991" s="32"/>
    </row>
    <row r="1992" spans="1:7">
      <c r="A1992" s="8"/>
      <c r="B1992" s="81"/>
      <c r="C1992" s="81"/>
      <c r="D1992" s="5"/>
      <c r="E1992" s="290"/>
      <c r="F1992" s="291"/>
      <c r="G1992" s="32"/>
    </row>
    <row r="1993" spans="1:7">
      <c r="A1993" s="8"/>
      <c r="B1993" s="81"/>
      <c r="C1993" s="81"/>
      <c r="D1993" s="5"/>
      <c r="E1993" s="343"/>
      <c r="F1993" s="293"/>
    </row>
    <row r="1994" spans="1:7">
      <c r="A1994" s="8"/>
      <c r="B1994" s="81"/>
      <c r="C1994" s="81"/>
      <c r="D1994" s="288"/>
      <c r="E1994" s="343"/>
      <c r="F1994" s="293"/>
    </row>
    <row r="1995" spans="1:7">
      <c r="A1995" s="8"/>
      <c r="B1995" s="81"/>
      <c r="C1995" s="81"/>
      <c r="D1995" s="288"/>
      <c r="E1995" s="343"/>
      <c r="F1995" s="293"/>
    </row>
    <row r="1996" spans="1:7">
      <c r="A1996" s="8"/>
      <c r="B1996" s="1"/>
      <c r="C1996" s="1"/>
      <c r="D1996" s="1"/>
      <c r="E1996" s="1"/>
      <c r="F1996" s="2"/>
    </row>
    <row r="1997" spans="1:7">
      <c r="A1997" s="8"/>
      <c r="B1997" s="1"/>
      <c r="C1997" s="1"/>
      <c r="D1997" s="1"/>
      <c r="E1997" s="1"/>
      <c r="F1997" s="2"/>
    </row>
    <row r="1998" spans="1:7" ht="15.75" thickBot="1">
      <c r="A1998" s="9"/>
      <c r="B1998" s="3"/>
      <c r="C1998" s="3"/>
      <c r="D1998" s="3"/>
      <c r="E1998" s="3"/>
      <c r="F1998" s="4"/>
    </row>
    <row r="1999" spans="1:7" ht="15.75" thickTop="1"/>
    <row r="2000" spans="1:7" ht="15.75" thickBot="1"/>
    <row r="2001" spans="1:7" ht="15.75" thickTop="1">
      <c r="A2001" s="3782" t="s">
        <v>0</v>
      </c>
      <c r="B2001" s="3781" t="s">
        <v>1</v>
      </c>
      <c r="C2001" s="3781" t="s">
        <v>2</v>
      </c>
      <c r="D2001" s="3781" t="s">
        <v>3</v>
      </c>
      <c r="E2001" s="3781" t="s">
        <v>4</v>
      </c>
      <c r="F2001" s="3765" t="s">
        <v>5</v>
      </c>
    </row>
    <row r="2002" spans="1:7" ht="15.75" thickBot="1">
      <c r="A2002" s="3783"/>
      <c r="B2002" s="3767"/>
      <c r="C2002" s="3767"/>
      <c r="D2002" s="3767"/>
      <c r="E2002" s="3767"/>
      <c r="F2002" s="3766"/>
    </row>
    <row r="2003" spans="1:7" ht="15.75" thickTop="1">
      <c r="A2003" s="7" t="s">
        <v>1641</v>
      </c>
      <c r="B2003" s="288" t="s">
        <v>202</v>
      </c>
      <c r="C2003" s="1" t="s">
        <v>905</v>
      </c>
      <c r="D2003" s="5"/>
      <c r="E2003" s="290">
        <v>0.2</v>
      </c>
      <c r="F2003" s="291">
        <v>6020</v>
      </c>
      <c r="G2003" s="32">
        <v>7525</v>
      </c>
    </row>
    <row r="2004" spans="1:7">
      <c r="A2004" s="8"/>
      <c r="B2004" s="1"/>
      <c r="C2004" s="1" t="s">
        <v>623</v>
      </c>
      <c r="D2004" s="5"/>
      <c r="E2004" s="290">
        <v>0.2</v>
      </c>
      <c r="F2004" s="291">
        <v>20354</v>
      </c>
      <c r="G2004" s="32">
        <v>25443</v>
      </c>
    </row>
    <row r="2005" spans="1:7">
      <c r="A2005" s="8"/>
      <c r="B2005" s="1"/>
      <c r="C2005" s="1"/>
      <c r="D2005" s="5"/>
      <c r="E2005" s="290"/>
      <c r="F2005" s="291"/>
      <c r="G2005" s="32"/>
    </row>
    <row r="2006" spans="1:7">
      <c r="A2006" s="8"/>
      <c r="B2006" s="1"/>
      <c r="C2006" s="81"/>
      <c r="D2006" s="5"/>
      <c r="E2006" s="290"/>
      <c r="F2006" s="291"/>
      <c r="G2006" s="32"/>
    </row>
    <row r="2007" spans="1:7">
      <c r="A2007" s="8"/>
      <c r="B2007" s="1"/>
      <c r="C2007" s="81"/>
      <c r="D2007" s="5"/>
      <c r="E2007" s="290"/>
      <c r="F2007" s="291"/>
      <c r="G2007" s="32"/>
    </row>
    <row r="2008" spans="1:7">
      <c r="A2008" s="8"/>
      <c r="B2008" s="81"/>
      <c r="C2008" s="81"/>
      <c r="D2008" s="5"/>
      <c r="E2008" s="290"/>
      <c r="F2008" s="291"/>
      <c r="G2008" s="32"/>
    </row>
    <row r="2009" spans="1:7">
      <c r="A2009" s="8"/>
      <c r="B2009" s="81"/>
      <c r="C2009" s="81"/>
      <c r="D2009" s="5"/>
      <c r="E2009" s="343"/>
      <c r="F2009" s="293"/>
      <c r="G2009" s="32"/>
    </row>
    <row r="2010" spans="1:7">
      <c r="A2010" s="8"/>
      <c r="B2010" s="81"/>
      <c r="C2010" s="81"/>
      <c r="D2010" s="288"/>
      <c r="E2010" s="343"/>
      <c r="F2010" s="293"/>
    </row>
    <row r="2011" spans="1:7">
      <c r="A2011" s="8"/>
      <c r="B2011" s="81"/>
      <c r="C2011" s="81"/>
      <c r="D2011" s="288"/>
      <c r="E2011" s="343"/>
      <c r="F2011" s="293"/>
    </row>
    <row r="2012" spans="1:7">
      <c r="A2012" s="8"/>
      <c r="B2012" s="1"/>
      <c r="C2012" s="1"/>
      <c r="D2012" s="1"/>
      <c r="E2012" s="1"/>
      <c r="F2012" s="2"/>
    </row>
    <row r="2013" spans="1:7">
      <c r="A2013" s="8"/>
      <c r="B2013" s="1"/>
      <c r="C2013" s="1"/>
      <c r="D2013" s="1"/>
      <c r="E2013" s="1"/>
      <c r="F2013" s="2"/>
    </row>
    <row r="2014" spans="1:7" ht="15.75" thickBot="1">
      <c r="A2014" s="9"/>
      <c r="B2014" s="3"/>
      <c r="C2014" s="3"/>
      <c r="D2014" s="3"/>
      <c r="E2014" s="3"/>
      <c r="F2014" s="4"/>
    </row>
    <row r="2015" spans="1:7" ht="16.5" thickTop="1" thickBot="1"/>
    <row r="2016" spans="1:7" ht="15.75" thickTop="1">
      <c r="A2016" s="3782" t="s">
        <v>0</v>
      </c>
      <c r="B2016" s="3781" t="s">
        <v>1</v>
      </c>
      <c r="C2016" s="3781" t="s">
        <v>2</v>
      </c>
      <c r="D2016" s="3781" t="s">
        <v>3</v>
      </c>
      <c r="E2016" s="3781" t="s">
        <v>4</v>
      </c>
      <c r="F2016" s="3765" t="s">
        <v>5</v>
      </c>
    </row>
    <row r="2017" spans="1:7" ht="15.75" thickBot="1">
      <c r="A2017" s="3783"/>
      <c r="B2017" s="3767"/>
      <c r="C2017" s="3767"/>
      <c r="D2017" s="3767"/>
      <c r="E2017" s="3767"/>
      <c r="F2017" s="3766"/>
    </row>
    <row r="2018" spans="1:7" ht="15.75" thickTop="1">
      <c r="A2018" s="7" t="s">
        <v>1642</v>
      </c>
      <c r="B2018" s="5" t="s">
        <v>181</v>
      </c>
      <c r="C2018" s="1" t="s">
        <v>554</v>
      </c>
      <c r="D2018" s="5"/>
      <c r="E2018" s="290">
        <v>0.15</v>
      </c>
      <c r="F2018" s="291">
        <v>10825</v>
      </c>
      <c r="G2018" s="32">
        <v>12735</v>
      </c>
    </row>
    <row r="2019" spans="1:7">
      <c r="A2019" s="8"/>
      <c r="B2019" s="1" t="s">
        <v>366</v>
      </c>
      <c r="C2019" s="1"/>
      <c r="D2019" s="5"/>
      <c r="E2019" s="290"/>
      <c r="F2019" s="291"/>
      <c r="G2019" s="32"/>
    </row>
    <row r="2020" spans="1:7">
      <c r="A2020" s="8"/>
      <c r="B2020" s="1" t="s">
        <v>180</v>
      </c>
      <c r="C2020" s="1"/>
      <c r="D2020" s="5"/>
      <c r="E2020" s="290"/>
      <c r="F2020" s="291"/>
      <c r="G2020" s="32"/>
    </row>
    <row r="2021" spans="1:7">
      <c r="A2021" s="8"/>
      <c r="B2021" s="1" t="s">
        <v>135</v>
      </c>
      <c r="C2021" s="81"/>
      <c r="D2021" s="5"/>
      <c r="E2021" s="290"/>
      <c r="F2021" s="291"/>
      <c r="G2021" s="32"/>
    </row>
    <row r="2022" spans="1:7">
      <c r="A2022" s="8"/>
      <c r="B2022" s="1" t="s">
        <v>805</v>
      </c>
      <c r="C2022" s="81"/>
      <c r="D2022" s="5"/>
      <c r="E2022" s="290"/>
      <c r="F2022" s="291"/>
      <c r="G2022" s="32"/>
    </row>
    <row r="2023" spans="1:7">
      <c r="A2023" s="8"/>
      <c r="B2023" s="81"/>
      <c r="C2023" s="81"/>
      <c r="D2023" s="5"/>
      <c r="E2023" s="290"/>
      <c r="F2023" s="291"/>
      <c r="G2023" s="32"/>
    </row>
    <row r="2024" spans="1:7">
      <c r="A2024" s="8"/>
      <c r="B2024" s="81"/>
      <c r="C2024" s="81"/>
      <c r="D2024" s="5"/>
      <c r="E2024" s="343"/>
      <c r="F2024" s="293"/>
      <c r="G2024" s="32"/>
    </row>
    <row r="2025" spans="1:7">
      <c r="A2025" s="8"/>
      <c r="B2025" s="81"/>
      <c r="C2025" s="81"/>
      <c r="D2025" s="288"/>
      <c r="E2025" s="343"/>
      <c r="F2025" s="293"/>
    </row>
    <row r="2026" spans="1:7">
      <c r="A2026" s="8"/>
      <c r="B2026" s="81"/>
      <c r="C2026" s="81"/>
      <c r="D2026" s="288"/>
      <c r="E2026" s="343"/>
      <c r="F2026" s="293"/>
    </row>
    <row r="2027" spans="1:7">
      <c r="A2027" s="8"/>
      <c r="B2027" s="1"/>
      <c r="C2027" s="1"/>
      <c r="D2027" s="1"/>
      <c r="E2027" s="1"/>
      <c r="F2027" s="2"/>
    </row>
    <row r="2028" spans="1:7">
      <c r="A2028" s="8"/>
      <c r="B2028" s="1"/>
      <c r="C2028" s="1"/>
      <c r="D2028" s="1"/>
      <c r="E2028" s="1"/>
      <c r="F2028" s="2"/>
    </row>
    <row r="2029" spans="1:7" ht="15.75" thickBot="1">
      <c r="A2029" s="9"/>
      <c r="B2029" s="3"/>
      <c r="C2029" s="3"/>
      <c r="D2029" s="3"/>
      <c r="E2029" s="3"/>
      <c r="F2029" s="4"/>
    </row>
    <row r="2030" spans="1:7" ht="16.5" thickTop="1" thickBot="1"/>
    <row r="2031" spans="1:7" ht="15.75" thickTop="1">
      <c r="A2031" s="3782" t="s">
        <v>0</v>
      </c>
      <c r="B2031" s="3781" t="s">
        <v>1</v>
      </c>
      <c r="C2031" s="3781" t="s">
        <v>2</v>
      </c>
      <c r="D2031" s="3781" t="s">
        <v>3</v>
      </c>
      <c r="E2031" s="3781" t="s">
        <v>4</v>
      </c>
      <c r="F2031" s="3765" t="s">
        <v>5</v>
      </c>
    </row>
    <row r="2032" spans="1:7" ht="15.75" thickBot="1">
      <c r="A2032" s="3783"/>
      <c r="B2032" s="3767"/>
      <c r="C2032" s="3767"/>
      <c r="D2032" s="3767"/>
      <c r="E2032" s="3767"/>
      <c r="F2032" s="3766"/>
    </row>
    <row r="2033" spans="1:7" ht="15.75" thickTop="1">
      <c r="A2033" s="7" t="s">
        <v>1653</v>
      </c>
      <c r="B2033" s="298" t="s">
        <v>409</v>
      </c>
      <c r="C2033" s="1" t="s">
        <v>1283</v>
      </c>
      <c r="D2033" s="5"/>
      <c r="E2033" s="290">
        <v>0.15</v>
      </c>
      <c r="F2033" s="291">
        <v>14966</v>
      </c>
      <c r="G2033" s="32">
        <v>17607</v>
      </c>
    </row>
    <row r="2034" spans="1:7">
      <c r="A2034" s="8"/>
      <c r="B2034" s="81" t="s">
        <v>392</v>
      </c>
      <c r="C2034" s="1" t="s">
        <v>920</v>
      </c>
      <c r="D2034" s="5"/>
      <c r="E2034" s="290">
        <v>0.15</v>
      </c>
      <c r="F2034" s="291">
        <v>6688</v>
      </c>
      <c r="G2034" s="32">
        <v>7868</v>
      </c>
    </row>
    <row r="2035" spans="1:7">
      <c r="A2035" s="8"/>
      <c r="B2035" s="81" t="s">
        <v>534</v>
      </c>
      <c r="C2035" s="1" t="s">
        <v>732</v>
      </c>
      <c r="D2035" s="5"/>
      <c r="E2035" s="290">
        <v>0.15</v>
      </c>
      <c r="F2035" s="291">
        <v>7057</v>
      </c>
      <c r="G2035" s="32">
        <v>8302</v>
      </c>
    </row>
    <row r="2036" spans="1:7">
      <c r="A2036" s="8"/>
      <c r="B2036" s="1" t="s">
        <v>535</v>
      </c>
      <c r="C2036" s="81" t="s">
        <v>263</v>
      </c>
      <c r="D2036" s="5"/>
      <c r="E2036" s="290">
        <v>0.15</v>
      </c>
      <c r="F2036" s="291">
        <v>11943</v>
      </c>
      <c r="G2036" s="32">
        <v>14050</v>
      </c>
    </row>
    <row r="2037" spans="1:7">
      <c r="A2037" s="8"/>
      <c r="B2037" s="1" t="s">
        <v>921</v>
      </c>
      <c r="C2037" s="81" t="s">
        <v>1655</v>
      </c>
      <c r="D2037" s="5"/>
      <c r="E2037" s="290">
        <v>0.15</v>
      </c>
      <c r="F2037" s="291">
        <v>11943</v>
      </c>
      <c r="G2037" s="32"/>
    </row>
    <row r="2038" spans="1:7">
      <c r="A2038" s="8"/>
      <c r="B2038" s="81"/>
      <c r="C2038" s="81"/>
      <c r="D2038" s="5"/>
      <c r="E2038" s="290"/>
      <c r="F2038" s="291"/>
      <c r="G2038" s="32"/>
    </row>
    <row r="2039" spans="1:7">
      <c r="A2039" s="8"/>
      <c r="B2039" s="81"/>
      <c r="C2039" s="81"/>
      <c r="D2039" s="5"/>
      <c r="E2039" s="343"/>
      <c r="F2039" s="293"/>
    </row>
    <row r="2040" spans="1:7">
      <c r="A2040" s="8"/>
      <c r="B2040" s="81"/>
      <c r="C2040" s="81"/>
      <c r="D2040" s="288"/>
      <c r="E2040" s="343"/>
      <c r="F2040" s="293"/>
    </row>
    <row r="2041" spans="1:7">
      <c r="A2041" s="8"/>
      <c r="B2041" s="81"/>
      <c r="C2041" s="81"/>
      <c r="D2041" s="288"/>
      <c r="E2041" s="343"/>
      <c r="F2041" s="293"/>
    </row>
    <row r="2042" spans="1:7">
      <c r="A2042" s="8"/>
      <c r="B2042" s="1"/>
      <c r="C2042" s="1"/>
      <c r="D2042" s="1"/>
      <c r="E2042" s="1"/>
      <c r="F2042" s="2"/>
    </row>
    <row r="2043" spans="1:7">
      <c r="A2043" s="8"/>
      <c r="B2043" s="1"/>
      <c r="C2043" s="1"/>
      <c r="D2043" s="1"/>
      <c r="E2043" s="1"/>
      <c r="F2043" s="2"/>
    </row>
    <row r="2044" spans="1:7" ht="15.75" thickBot="1">
      <c r="A2044" s="9"/>
      <c r="B2044" s="3"/>
      <c r="C2044" s="3"/>
      <c r="D2044" s="3"/>
      <c r="E2044" s="3"/>
      <c r="F2044" s="4"/>
    </row>
    <row r="2045" spans="1:7" ht="16.5" thickTop="1" thickBot="1"/>
    <row r="2046" spans="1:7" ht="15.75" thickTop="1">
      <c r="A2046" s="3782" t="s">
        <v>0</v>
      </c>
      <c r="B2046" s="3781" t="s">
        <v>1</v>
      </c>
      <c r="C2046" s="3781" t="s">
        <v>2</v>
      </c>
      <c r="D2046" s="3781" t="s">
        <v>3</v>
      </c>
      <c r="E2046" s="3781" t="s">
        <v>4</v>
      </c>
      <c r="F2046" s="3765" t="s">
        <v>5</v>
      </c>
    </row>
    <row r="2047" spans="1:7" ht="15.75" thickBot="1">
      <c r="A2047" s="3783"/>
      <c r="B2047" s="3767"/>
      <c r="C2047" s="3767"/>
      <c r="D2047" s="3767"/>
      <c r="E2047" s="3767"/>
      <c r="F2047" s="3766"/>
    </row>
    <row r="2048" spans="1:7" ht="15.75" thickTop="1">
      <c r="A2048" s="7" t="s">
        <v>1658</v>
      </c>
      <c r="B2048" s="288" t="s">
        <v>202</v>
      </c>
      <c r="C2048" s="1" t="s">
        <v>226</v>
      </c>
      <c r="D2048" s="5"/>
      <c r="E2048" s="290">
        <v>0.17</v>
      </c>
      <c r="F2048" s="291">
        <v>6894</v>
      </c>
      <c r="G2048" s="32">
        <v>8306</v>
      </c>
    </row>
    <row r="2049" spans="1:7">
      <c r="A2049" s="8"/>
      <c r="B2049" s="1"/>
      <c r="C2049" s="1" t="s">
        <v>227</v>
      </c>
      <c r="D2049" s="5"/>
      <c r="E2049" s="290">
        <v>0.17</v>
      </c>
      <c r="F2049" s="291">
        <v>6894</v>
      </c>
      <c r="G2049" s="32">
        <v>8306</v>
      </c>
    </row>
    <row r="2050" spans="1:7">
      <c r="A2050" s="8"/>
      <c r="B2050" s="1"/>
      <c r="C2050" s="1" t="s">
        <v>228</v>
      </c>
      <c r="D2050" s="5"/>
      <c r="E2050" s="290">
        <v>0.17</v>
      </c>
      <c r="F2050" s="291">
        <v>6894</v>
      </c>
      <c r="G2050" s="32">
        <v>8306</v>
      </c>
    </row>
    <row r="2051" spans="1:7">
      <c r="A2051" s="8"/>
      <c r="B2051" s="1"/>
      <c r="C2051" s="81"/>
      <c r="D2051" s="5"/>
      <c r="E2051" s="290"/>
      <c r="F2051" s="291"/>
      <c r="G2051" s="32"/>
    </row>
    <row r="2052" spans="1:7">
      <c r="A2052" s="8"/>
      <c r="B2052" s="1"/>
      <c r="C2052" s="81"/>
      <c r="D2052" s="5"/>
      <c r="E2052" s="290"/>
      <c r="F2052" s="291"/>
      <c r="G2052" s="32"/>
    </row>
    <row r="2053" spans="1:7">
      <c r="A2053" s="8"/>
      <c r="B2053" s="81"/>
      <c r="C2053" s="81"/>
      <c r="D2053" s="5"/>
      <c r="E2053" s="290"/>
      <c r="F2053" s="291"/>
      <c r="G2053" s="32"/>
    </row>
    <row r="2054" spans="1:7">
      <c r="A2054" s="8"/>
      <c r="B2054" s="81"/>
      <c r="C2054" s="81"/>
      <c r="D2054" s="5"/>
      <c r="E2054" s="343"/>
      <c r="F2054" s="293"/>
      <c r="G2054" s="32"/>
    </row>
    <row r="2055" spans="1:7">
      <c r="A2055" s="8"/>
      <c r="B2055" s="81"/>
      <c r="C2055" s="81"/>
      <c r="D2055" s="288"/>
      <c r="E2055" s="343"/>
      <c r="F2055" s="293"/>
    </row>
    <row r="2056" spans="1:7">
      <c r="A2056" s="8"/>
      <c r="B2056" s="81"/>
      <c r="C2056" s="81"/>
      <c r="D2056" s="288"/>
      <c r="E2056" s="343"/>
      <c r="F2056" s="293"/>
    </row>
    <row r="2057" spans="1:7">
      <c r="A2057" s="8"/>
      <c r="B2057" s="1"/>
      <c r="C2057" s="1"/>
      <c r="D2057" s="1"/>
      <c r="E2057" s="1"/>
      <c r="F2057" s="2"/>
    </row>
    <row r="2058" spans="1:7">
      <c r="A2058" s="8"/>
      <c r="B2058" s="1"/>
      <c r="C2058" s="1"/>
      <c r="D2058" s="1"/>
      <c r="E2058" s="1"/>
      <c r="F2058" s="2"/>
    </row>
    <row r="2059" spans="1:7" ht="15.75" thickBot="1">
      <c r="A2059" s="9"/>
      <c r="B2059" s="3"/>
      <c r="C2059" s="3"/>
      <c r="D2059" s="3"/>
      <c r="E2059" s="3"/>
      <c r="F2059" s="4"/>
    </row>
    <row r="2060" spans="1:7" ht="16.5" thickTop="1" thickBot="1"/>
    <row r="2061" spans="1:7" ht="15.75" thickTop="1">
      <c r="A2061" s="3808" t="s">
        <v>0</v>
      </c>
      <c r="B2061" s="3804" t="s">
        <v>1</v>
      </c>
      <c r="C2061" s="3804" t="s">
        <v>2</v>
      </c>
      <c r="D2061" s="3804" t="s">
        <v>3</v>
      </c>
      <c r="E2061" s="3804" t="s">
        <v>4</v>
      </c>
      <c r="F2061" s="3806" t="s">
        <v>5</v>
      </c>
    </row>
    <row r="2062" spans="1:7" ht="15.75" thickBot="1">
      <c r="A2062" s="3809"/>
      <c r="B2062" s="3805"/>
      <c r="C2062" s="3805"/>
      <c r="D2062" s="3805"/>
      <c r="E2062" s="3805"/>
      <c r="F2062" s="3807"/>
    </row>
    <row r="2063" spans="1:7" ht="15.75" thickTop="1">
      <c r="A2063" s="277" t="s">
        <v>1659</v>
      </c>
      <c r="B2063" s="381" t="s">
        <v>409</v>
      </c>
      <c r="C2063" s="31" t="s">
        <v>1374</v>
      </c>
      <c r="D2063" s="191"/>
      <c r="E2063" s="278">
        <v>0.15</v>
      </c>
      <c r="F2063" s="279">
        <v>8548</v>
      </c>
      <c r="G2063" s="32">
        <v>10056</v>
      </c>
    </row>
    <row r="2064" spans="1:7">
      <c r="A2064" s="280"/>
      <c r="B2064" s="31" t="s">
        <v>392</v>
      </c>
      <c r="C2064" s="31" t="s">
        <v>1301</v>
      </c>
      <c r="D2064" s="191"/>
      <c r="E2064" s="278">
        <v>0.15</v>
      </c>
      <c r="F2064" s="279">
        <v>8548</v>
      </c>
      <c r="G2064" s="32"/>
    </row>
    <row r="2065" spans="1:7">
      <c r="A2065" s="280"/>
      <c r="B2065" s="31" t="s">
        <v>534</v>
      </c>
      <c r="C2065" s="31" t="s">
        <v>1660</v>
      </c>
      <c r="D2065" s="191"/>
      <c r="E2065" s="278">
        <v>0.15</v>
      </c>
      <c r="F2065" s="279">
        <v>50745</v>
      </c>
      <c r="G2065" s="32">
        <v>59700</v>
      </c>
    </row>
    <row r="2066" spans="1:7">
      <c r="A2066" s="280"/>
      <c r="B2066" s="31" t="s">
        <v>535</v>
      </c>
      <c r="C2066" s="31" t="s">
        <v>1661</v>
      </c>
      <c r="D2066" s="191"/>
      <c r="E2066" s="278">
        <v>0.15</v>
      </c>
      <c r="F2066" s="279">
        <v>50745</v>
      </c>
      <c r="G2066" s="32"/>
    </row>
    <row r="2067" spans="1:7">
      <c r="A2067" s="280"/>
      <c r="B2067" s="31" t="s">
        <v>921</v>
      </c>
      <c r="C2067" s="31"/>
      <c r="D2067" s="191"/>
      <c r="E2067" s="278"/>
      <c r="F2067" s="279"/>
      <c r="G2067" s="32"/>
    </row>
    <row r="2068" spans="1:7">
      <c r="A2068" s="280"/>
      <c r="B2068" s="31"/>
      <c r="C2068" s="31"/>
      <c r="D2068" s="191"/>
      <c r="E2068" s="278"/>
      <c r="F2068" s="279"/>
      <c r="G2068" s="32"/>
    </row>
    <row r="2069" spans="1:7">
      <c r="A2069" s="280"/>
      <c r="B2069" s="31"/>
      <c r="C2069" s="31"/>
      <c r="D2069" s="191"/>
      <c r="E2069" s="285"/>
      <c r="F2069" s="281"/>
    </row>
    <row r="2070" spans="1:7">
      <c r="A2070" s="280"/>
      <c r="B2070" s="31"/>
      <c r="C2070" s="31"/>
      <c r="D2070" s="191"/>
      <c r="E2070" s="285"/>
      <c r="F2070" s="281"/>
    </row>
    <row r="2071" spans="1:7">
      <c r="A2071" s="280"/>
      <c r="B2071" s="31"/>
      <c r="C2071" s="31"/>
      <c r="D2071" s="191"/>
      <c r="E2071" s="285"/>
      <c r="F2071" s="281"/>
    </row>
    <row r="2072" spans="1:7">
      <c r="A2072" s="280"/>
      <c r="B2072" s="31"/>
      <c r="C2072" s="31"/>
      <c r="D2072" s="31"/>
      <c r="E2072" s="31"/>
      <c r="F2072" s="281"/>
    </row>
    <row r="2073" spans="1:7">
      <c r="A2073" s="280"/>
      <c r="B2073" s="31"/>
      <c r="C2073" s="31"/>
      <c r="D2073" s="31"/>
      <c r="E2073" s="31"/>
      <c r="F2073" s="281"/>
    </row>
    <row r="2074" spans="1:7" ht="15.75" thickBot="1">
      <c r="A2074" s="282"/>
      <c r="B2074" s="283"/>
      <c r="C2074" s="283"/>
      <c r="D2074" s="283"/>
      <c r="E2074" s="283"/>
      <c r="F2074" s="284"/>
    </row>
    <row r="2075" spans="1:7" ht="15.75" thickTop="1"/>
    <row r="2076" spans="1:7" ht="15.75" thickBot="1"/>
    <row r="2077" spans="1:7" ht="15.75" thickTop="1">
      <c r="A2077" s="3782" t="s">
        <v>0</v>
      </c>
      <c r="B2077" s="3781" t="s">
        <v>1</v>
      </c>
      <c r="C2077" s="3781" t="s">
        <v>2</v>
      </c>
      <c r="D2077" s="3781" t="s">
        <v>3</v>
      </c>
      <c r="E2077" s="3781" t="s">
        <v>4</v>
      </c>
      <c r="F2077" s="3765" t="s">
        <v>5</v>
      </c>
    </row>
    <row r="2078" spans="1:7" ht="15.75" thickBot="1">
      <c r="A2078" s="3783"/>
      <c r="B2078" s="3767"/>
      <c r="C2078" s="3767"/>
      <c r="D2078" s="3767"/>
      <c r="E2078" s="3767"/>
      <c r="F2078" s="3766"/>
    </row>
    <row r="2079" spans="1:7" ht="15.75" thickTop="1">
      <c r="A2079" s="7" t="s">
        <v>1664</v>
      </c>
      <c r="B2079" s="298" t="s">
        <v>409</v>
      </c>
      <c r="C2079" s="1" t="s">
        <v>905</v>
      </c>
      <c r="D2079" s="5"/>
      <c r="E2079" s="290">
        <v>0.15</v>
      </c>
      <c r="F2079" s="291">
        <v>6613</v>
      </c>
      <c r="G2079" s="32">
        <v>7780</v>
      </c>
    </row>
    <row r="2080" spans="1:7">
      <c r="A2080" s="8"/>
      <c r="B2080" s="81" t="s">
        <v>392</v>
      </c>
      <c r="C2080" s="1" t="s">
        <v>1120</v>
      </c>
      <c r="D2080" s="5"/>
      <c r="E2080" s="290">
        <v>0.15</v>
      </c>
      <c r="F2080" s="291">
        <v>4233</v>
      </c>
      <c r="G2080" s="32">
        <v>4980</v>
      </c>
    </row>
    <row r="2081" spans="1:7">
      <c r="A2081" s="8"/>
      <c r="B2081" s="81" t="s">
        <v>534</v>
      </c>
      <c r="C2081" s="1" t="s">
        <v>636</v>
      </c>
      <c r="D2081" s="5"/>
      <c r="E2081" s="290">
        <v>0.15</v>
      </c>
      <c r="F2081" s="291">
        <v>8514</v>
      </c>
      <c r="G2081" s="32">
        <v>10017</v>
      </c>
    </row>
    <row r="2082" spans="1:7">
      <c r="A2082" s="8"/>
      <c r="B2082" s="1" t="s">
        <v>535</v>
      </c>
      <c r="C2082" s="81"/>
      <c r="D2082" s="5"/>
      <c r="E2082" s="290"/>
      <c r="F2082" s="291"/>
      <c r="G2082" s="32"/>
    </row>
    <row r="2083" spans="1:7">
      <c r="A2083" s="8"/>
      <c r="B2083" s="1" t="s">
        <v>921</v>
      </c>
      <c r="C2083" s="81"/>
      <c r="D2083" s="5"/>
      <c r="E2083" s="290"/>
      <c r="F2083" s="291"/>
      <c r="G2083" s="32"/>
    </row>
    <row r="2084" spans="1:7">
      <c r="A2084" s="8"/>
      <c r="B2084" s="81"/>
      <c r="C2084" s="81"/>
      <c r="D2084" s="5"/>
      <c r="E2084" s="290"/>
      <c r="F2084" s="291"/>
      <c r="G2084" s="32"/>
    </row>
    <row r="2085" spans="1:7">
      <c r="A2085" s="8"/>
      <c r="B2085" s="81"/>
      <c r="C2085" s="81"/>
      <c r="D2085" s="5"/>
      <c r="E2085" s="343"/>
      <c r="F2085" s="293"/>
    </row>
    <row r="2086" spans="1:7">
      <c r="A2086" s="8"/>
      <c r="B2086" s="81"/>
      <c r="C2086" s="81"/>
      <c r="D2086" s="288"/>
      <c r="E2086" s="343"/>
      <c r="F2086" s="293"/>
    </row>
    <row r="2087" spans="1:7">
      <c r="A2087" s="8"/>
      <c r="B2087" s="81"/>
      <c r="C2087" s="81"/>
      <c r="D2087" s="288"/>
      <c r="E2087" s="343"/>
      <c r="F2087" s="293"/>
    </row>
    <row r="2088" spans="1:7">
      <c r="A2088" s="8"/>
      <c r="B2088" s="1"/>
      <c r="C2088" s="1"/>
      <c r="D2088" s="1"/>
      <c r="E2088" s="1"/>
      <c r="F2088" s="2"/>
    </row>
    <row r="2089" spans="1:7">
      <c r="A2089" s="8"/>
      <c r="B2089" s="1"/>
      <c r="C2089" s="1"/>
      <c r="D2089" s="1"/>
      <c r="E2089" s="1"/>
      <c r="F2089" s="2"/>
    </row>
    <row r="2090" spans="1:7" ht="15.75" thickBot="1">
      <c r="A2090" s="9"/>
      <c r="B2090" s="3"/>
      <c r="C2090" s="3"/>
      <c r="D2090" s="3"/>
      <c r="E2090" s="3"/>
      <c r="F2090" s="4"/>
    </row>
    <row r="2091" spans="1:7" ht="15.75" thickTop="1"/>
    <row r="2092" spans="1:7" ht="15.75" thickBot="1"/>
    <row r="2093" spans="1:7" ht="15.75" thickTop="1">
      <c r="A2093" s="3782" t="s">
        <v>0</v>
      </c>
      <c r="B2093" s="3781" t="s">
        <v>1</v>
      </c>
      <c r="C2093" s="3781" t="s">
        <v>2</v>
      </c>
      <c r="D2093" s="3781" t="s">
        <v>3</v>
      </c>
      <c r="E2093" s="3781" t="s">
        <v>4</v>
      </c>
      <c r="F2093" s="3765" t="s">
        <v>5</v>
      </c>
    </row>
    <row r="2094" spans="1:7" ht="15.75" thickBot="1">
      <c r="A2094" s="3783"/>
      <c r="B2094" s="3767"/>
      <c r="C2094" s="3767"/>
      <c r="D2094" s="3767"/>
      <c r="E2094" s="3767"/>
      <c r="F2094" s="3766"/>
    </row>
    <row r="2095" spans="1:7" ht="15.75" thickTop="1">
      <c r="A2095" s="7" t="s">
        <v>1665</v>
      </c>
      <c r="B2095" s="5" t="s">
        <v>181</v>
      </c>
      <c r="C2095" s="1" t="s">
        <v>226</v>
      </c>
      <c r="D2095" s="5"/>
      <c r="E2095" s="290">
        <v>0.15</v>
      </c>
      <c r="F2095" s="291">
        <v>7299</v>
      </c>
      <c r="G2095" s="32">
        <v>8587</v>
      </c>
    </row>
    <row r="2096" spans="1:7">
      <c r="A2096" s="8"/>
      <c r="B2096" s="1" t="s">
        <v>366</v>
      </c>
      <c r="C2096" s="1" t="s">
        <v>227</v>
      </c>
      <c r="D2096" s="5"/>
      <c r="E2096" s="290">
        <v>0.15</v>
      </c>
      <c r="F2096" s="291">
        <v>7299</v>
      </c>
      <c r="G2096" s="32"/>
    </row>
    <row r="2097" spans="1:7">
      <c r="A2097" s="8"/>
      <c r="B2097" s="1" t="s">
        <v>180</v>
      </c>
      <c r="C2097" s="1" t="s">
        <v>228</v>
      </c>
      <c r="D2097" s="5"/>
      <c r="E2097" s="290">
        <v>0.15</v>
      </c>
      <c r="F2097" s="291">
        <v>7299</v>
      </c>
      <c r="G2097" s="32"/>
    </row>
    <row r="2098" spans="1:7">
      <c r="A2098" s="8"/>
      <c r="B2098" s="1" t="s">
        <v>135</v>
      </c>
      <c r="C2098" s="81"/>
      <c r="D2098" s="5"/>
      <c r="E2098" s="290"/>
      <c r="F2098" s="291"/>
      <c r="G2098" s="32"/>
    </row>
    <row r="2099" spans="1:7">
      <c r="A2099" s="8"/>
      <c r="B2099" s="1" t="s">
        <v>805</v>
      </c>
      <c r="C2099" s="81"/>
      <c r="D2099" s="5"/>
      <c r="E2099" s="290"/>
      <c r="F2099" s="291"/>
      <c r="G2099" s="32"/>
    </row>
    <row r="2100" spans="1:7">
      <c r="A2100" s="8"/>
      <c r="B2100" s="81"/>
      <c r="C2100" s="81"/>
      <c r="D2100" s="5"/>
      <c r="E2100" s="290"/>
      <c r="F2100" s="291"/>
      <c r="G2100" s="32"/>
    </row>
    <row r="2101" spans="1:7">
      <c r="A2101" s="8"/>
      <c r="B2101" s="81"/>
      <c r="C2101" s="81"/>
      <c r="D2101" s="5"/>
      <c r="E2101" s="343"/>
      <c r="F2101" s="293"/>
      <c r="G2101" s="32"/>
    </row>
    <row r="2102" spans="1:7">
      <c r="A2102" s="8"/>
      <c r="B2102" s="81"/>
      <c r="C2102" s="81"/>
      <c r="D2102" s="288"/>
      <c r="E2102" s="343"/>
      <c r="F2102" s="293"/>
    </row>
    <row r="2103" spans="1:7">
      <c r="A2103" s="8"/>
      <c r="B2103" s="81"/>
      <c r="C2103" s="81"/>
      <c r="D2103" s="288"/>
      <c r="E2103" s="343"/>
      <c r="F2103" s="293"/>
    </row>
    <row r="2104" spans="1:7">
      <c r="A2104" s="8"/>
      <c r="B2104" s="1"/>
      <c r="C2104" s="1"/>
      <c r="D2104" s="1"/>
      <c r="E2104" s="1"/>
      <c r="F2104" s="2"/>
    </row>
    <row r="2105" spans="1:7">
      <c r="A2105" s="8"/>
      <c r="B2105" s="1"/>
      <c r="C2105" s="1"/>
      <c r="D2105" s="1"/>
      <c r="E2105" s="1"/>
      <c r="F2105" s="2"/>
    </row>
    <row r="2106" spans="1:7" ht="15.75" thickBot="1">
      <c r="A2106" s="9"/>
      <c r="B2106" s="3"/>
      <c r="C2106" s="3"/>
      <c r="D2106" s="3"/>
      <c r="E2106" s="3"/>
      <c r="F2106" s="4"/>
    </row>
    <row r="2107" spans="1:7" ht="16.5" thickTop="1" thickBot="1"/>
    <row r="2108" spans="1:7" ht="15.75" thickTop="1">
      <c r="A2108" s="3782" t="s">
        <v>0</v>
      </c>
      <c r="B2108" s="3781" t="s">
        <v>1</v>
      </c>
      <c r="C2108" s="3781" t="s">
        <v>2</v>
      </c>
      <c r="D2108" s="3781" t="s">
        <v>3</v>
      </c>
      <c r="E2108" s="3781" t="s">
        <v>4</v>
      </c>
      <c r="F2108" s="3765" t="s">
        <v>5</v>
      </c>
    </row>
    <row r="2109" spans="1:7" ht="15.75" thickBot="1">
      <c r="A2109" s="3783"/>
      <c r="B2109" s="3767"/>
      <c r="C2109" s="3767"/>
      <c r="D2109" s="3767"/>
      <c r="E2109" s="3767"/>
      <c r="F2109" s="3766"/>
    </row>
    <row r="2110" spans="1:7" ht="15.75" thickTop="1">
      <c r="A2110" s="7" t="s">
        <v>1665</v>
      </c>
      <c r="B2110" s="5" t="s">
        <v>1154</v>
      </c>
      <c r="C2110" s="1" t="s">
        <v>226</v>
      </c>
      <c r="D2110" s="5"/>
      <c r="E2110" s="290">
        <v>0.15</v>
      </c>
      <c r="F2110" s="291">
        <v>7436</v>
      </c>
      <c r="G2110" s="32">
        <v>8748</v>
      </c>
    </row>
    <row r="2111" spans="1:7">
      <c r="A2111" s="8"/>
      <c r="B2111" s="1"/>
      <c r="C2111" s="1" t="s">
        <v>227</v>
      </c>
      <c r="D2111" s="5"/>
      <c r="E2111" s="290">
        <v>0.15</v>
      </c>
      <c r="F2111" s="291">
        <v>7436</v>
      </c>
      <c r="G2111" s="32"/>
    </row>
    <row r="2112" spans="1:7">
      <c r="A2112" s="8"/>
      <c r="B2112" s="1"/>
      <c r="C2112" s="1" t="s">
        <v>228</v>
      </c>
      <c r="D2112" s="5"/>
      <c r="E2112" s="290">
        <v>0.15</v>
      </c>
      <c r="F2112" s="291">
        <v>7436</v>
      </c>
      <c r="G2112" s="32"/>
    </row>
    <row r="2113" spans="1:7">
      <c r="A2113" s="8"/>
      <c r="B2113" s="1"/>
      <c r="C2113" s="81"/>
      <c r="D2113" s="5"/>
      <c r="E2113" s="290"/>
      <c r="F2113" s="291"/>
      <c r="G2113" s="32"/>
    </row>
    <row r="2114" spans="1:7">
      <c r="A2114" s="8"/>
      <c r="B2114" s="1"/>
      <c r="C2114" s="81"/>
      <c r="D2114" s="5"/>
      <c r="E2114" s="290"/>
      <c r="F2114" s="291"/>
      <c r="G2114" s="32"/>
    </row>
    <row r="2115" spans="1:7">
      <c r="A2115" s="8"/>
      <c r="B2115" s="81"/>
      <c r="C2115" s="81"/>
      <c r="D2115" s="5"/>
      <c r="E2115" s="290"/>
      <c r="F2115" s="291"/>
      <c r="G2115" s="32"/>
    </row>
    <row r="2116" spans="1:7">
      <c r="A2116" s="8"/>
      <c r="B2116" s="81"/>
      <c r="C2116" s="81"/>
      <c r="D2116" s="5"/>
      <c r="E2116" s="343"/>
      <c r="F2116" s="293"/>
      <c r="G2116" s="32"/>
    </row>
    <row r="2117" spans="1:7">
      <c r="A2117" s="8"/>
      <c r="B2117" s="81"/>
      <c r="C2117" s="81"/>
      <c r="D2117" s="288"/>
      <c r="E2117" s="343"/>
      <c r="F2117" s="293"/>
    </row>
    <row r="2118" spans="1:7">
      <c r="A2118" s="8"/>
      <c r="B2118" s="81"/>
      <c r="C2118" s="81"/>
      <c r="D2118" s="288"/>
      <c r="E2118" s="343"/>
      <c r="F2118" s="293"/>
    </row>
    <row r="2119" spans="1:7">
      <c r="A2119" s="8"/>
      <c r="B2119" s="1"/>
      <c r="C2119" s="1"/>
      <c r="D2119" s="1"/>
      <c r="E2119" s="1"/>
      <c r="F2119" s="2"/>
    </row>
    <row r="2120" spans="1:7">
      <c r="A2120" s="8"/>
      <c r="B2120" s="1"/>
      <c r="C2120" s="1"/>
      <c r="D2120" s="1"/>
      <c r="E2120" s="1"/>
      <c r="F2120" s="2"/>
    </row>
    <row r="2121" spans="1:7" ht="15.75" thickBot="1">
      <c r="A2121" s="9"/>
      <c r="B2121" s="3"/>
      <c r="C2121" s="3"/>
      <c r="D2121" s="3"/>
      <c r="E2121" s="3"/>
      <c r="F2121" s="4"/>
    </row>
    <row r="2122" spans="1:7" ht="16.5" thickTop="1" thickBot="1"/>
    <row r="2123" spans="1:7" ht="15.75" thickTop="1">
      <c r="A2123" s="3782" t="s">
        <v>0</v>
      </c>
      <c r="B2123" s="3781" t="s">
        <v>1</v>
      </c>
      <c r="C2123" s="3781" t="s">
        <v>2</v>
      </c>
      <c r="D2123" s="3781" t="s">
        <v>3</v>
      </c>
      <c r="E2123" s="3781" t="s">
        <v>4</v>
      </c>
      <c r="F2123" s="3765" t="s">
        <v>5</v>
      </c>
    </row>
    <row r="2124" spans="1:7" ht="15.75" thickBot="1">
      <c r="A2124" s="3783"/>
      <c r="B2124" s="3767"/>
      <c r="C2124" s="3767"/>
      <c r="D2124" s="3767"/>
      <c r="E2124" s="3767"/>
      <c r="F2124" s="3766"/>
    </row>
    <row r="2125" spans="1:7" ht="15.75" thickTop="1">
      <c r="A2125" s="7" t="s">
        <v>1672</v>
      </c>
      <c r="B2125" s="298" t="s">
        <v>409</v>
      </c>
      <c r="C2125" s="1" t="s">
        <v>1315</v>
      </c>
      <c r="D2125" s="5"/>
      <c r="E2125" s="290">
        <v>0.15</v>
      </c>
      <c r="F2125" s="291">
        <v>12900</v>
      </c>
      <c r="G2125" s="32">
        <v>15177</v>
      </c>
    </row>
    <row r="2126" spans="1:7">
      <c r="A2126" s="8"/>
      <c r="B2126" s="81" t="s">
        <v>392</v>
      </c>
      <c r="C2126" s="1" t="s">
        <v>1316</v>
      </c>
      <c r="D2126" s="5"/>
      <c r="E2126" s="290">
        <v>0.15</v>
      </c>
      <c r="F2126" s="291">
        <v>12900</v>
      </c>
      <c r="G2126" s="32"/>
    </row>
    <row r="2127" spans="1:7">
      <c r="A2127" s="8"/>
      <c r="B2127" s="81" t="s">
        <v>534</v>
      </c>
      <c r="C2127" s="1" t="s">
        <v>1317</v>
      </c>
      <c r="D2127" s="5"/>
      <c r="E2127" s="290">
        <v>0.15</v>
      </c>
      <c r="F2127" s="291">
        <v>12900</v>
      </c>
      <c r="G2127" s="32"/>
    </row>
    <row r="2128" spans="1:7">
      <c r="A2128" s="8"/>
      <c r="B2128" s="1" t="s">
        <v>535</v>
      </c>
      <c r="C2128" s="81" t="s">
        <v>231</v>
      </c>
      <c r="D2128" s="5"/>
      <c r="E2128" s="290">
        <v>0.15</v>
      </c>
      <c r="F2128" s="291">
        <v>13634</v>
      </c>
      <c r="G2128" s="32">
        <v>16040</v>
      </c>
    </row>
    <row r="2129" spans="1:8">
      <c r="A2129" s="8"/>
      <c r="B2129" s="1" t="s">
        <v>921</v>
      </c>
      <c r="C2129" s="81" t="s">
        <v>1346</v>
      </c>
      <c r="D2129" s="5"/>
      <c r="E2129" s="290">
        <v>0.2</v>
      </c>
      <c r="F2129" s="291">
        <v>2549</v>
      </c>
      <c r="G2129" s="32">
        <v>3186</v>
      </c>
    </row>
    <row r="2130" spans="1:8">
      <c r="A2130" s="8"/>
      <c r="B2130" s="81"/>
      <c r="C2130" s="81" t="s">
        <v>1347</v>
      </c>
      <c r="D2130" s="5"/>
      <c r="E2130" s="290">
        <v>0.2</v>
      </c>
      <c r="F2130" s="291">
        <v>2549</v>
      </c>
      <c r="G2130" s="32"/>
    </row>
    <row r="2131" spans="1:8">
      <c r="A2131" s="8"/>
      <c r="B2131" s="81"/>
      <c r="C2131" s="81" t="s">
        <v>1326</v>
      </c>
      <c r="D2131" s="5"/>
      <c r="E2131" s="290">
        <v>0.2</v>
      </c>
      <c r="F2131" s="291">
        <v>2549</v>
      </c>
    </row>
    <row r="2132" spans="1:8">
      <c r="A2132" s="8"/>
      <c r="B2132" s="81"/>
      <c r="C2132" s="81" t="s">
        <v>1327</v>
      </c>
      <c r="D2132" s="288"/>
      <c r="E2132" s="290">
        <v>0.2</v>
      </c>
      <c r="F2132" s="291">
        <v>2549</v>
      </c>
    </row>
    <row r="2133" spans="1:8">
      <c r="A2133" s="8"/>
      <c r="B2133" s="81"/>
      <c r="C2133" s="81" t="s">
        <v>1325</v>
      </c>
      <c r="D2133" s="288"/>
      <c r="E2133" s="290">
        <v>0.2</v>
      </c>
      <c r="F2133" s="291">
        <v>2549</v>
      </c>
    </row>
    <row r="2134" spans="1:8">
      <c r="A2134" s="8"/>
      <c r="B2134" s="1"/>
      <c r="C2134" s="1"/>
      <c r="D2134" s="1"/>
      <c r="E2134" s="1"/>
      <c r="F2134" s="2"/>
    </row>
    <row r="2135" spans="1:8">
      <c r="A2135" s="8"/>
      <c r="B2135" s="1"/>
      <c r="C2135" s="1"/>
      <c r="D2135" s="1"/>
      <c r="E2135" s="1"/>
      <c r="F2135" s="2"/>
    </row>
    <row r="2136" spans="1:8" ht="15.75" thickBot="1">
      <c r="A2136" s="9"/>
      <c r="B2136" s="3"/>
      <c r="C2136" s="3"/>
      <c r="D2136" s="3"/>
      <c r="E2136" s="3"/>
      <c r="F2136" s="4"/>
    </row>
    <row r="2137" spans="1:8" ht="16.5" thickTop="1" thickBot="1"/>
    <row r="2138" spans="1:8" ht="15.75" thickTop="1">
      <c r="A2138" s="3782" t="s">
        <v>0</v>
      </c>
      <c r="B2138" s="3781" t="s">
        <v>1</v>
      </c>
      <c r="C2138" s="3781" t="s">
        <v>2</v>
      </c>
      <c r="D2138" s="3781" t="s">
        <v>3</v>
      </c>
      <c r="E2138" s="3781" t="s">
        <v>4</v>
      </c>
      <c r="F2138" s="3765" t="s">
        <v>5</v>
      </c>
    </row>
    <row r="2139" spans="1:8" ht="15.75" thickBot="1">
      <c r="A2139" s="3783"/>
      <c r="B2139" s="3767"/>
      <c r="C2139" s="3767"/>
      <c r="D2139" s="3767"/>
      <c r="E2139" s="3767"/>
      <c r="F2139" s="3766"/>
    </row>
    <row r="2140" spans="1:8" ht="15.75" thickTop="1">
      <c r="A2140" s="7" t="s">
        <v>1673</v>
      </c>
      <c r="B2140" s="340" t="s">
        <v>460</v>
      </c>
      <c r="C2140" s="1" t="s">
        <v>263</v>
      </c>
      <c r="D2140" s="5"/>
      <c r="E2140" s="290"/>
      <c r="F2140" s="291">
        <v>12279</v>
      </c>
      <c r="G2140" s="32">
        <v>14446</v>
      </c>
      <c r="H2140">
        <f>G2140/10000</f>
        <v>1.4446000000000001</v>
      </c>
    </row>
    <row r="2141" spans="1:8">
      <c r="A2141" s="8"/>
      <c r="B2141" s="81" t="s">
        <v>1674</v>
      </c>
      <c r="C2141" s="1" t="s">
        <v>1655</v>
      </c>
      <c r="D2141" s="5"/>
      <c r="E2141" s="290"/>
      <c r="F2141" s="291">
        <v>12279</v>
      </c>
      <c r="G2141" s="32">
        <v>14446</v>
      </c>
      <c r="H2141">
        <f>G2141/10000</f>
        <v>1.4446000000000001</v>
      </c>
    </row>
    <row r="2142" spans="1:8">
      <c r="A2142" s="8"/>
      <c r="B2142" s="81"/>
      <c r="C2142" s="1" t="s">
        <v>231</v>
      </c>
      <c r="D2142" s="5"/>
      <c r="E2142" s="290"/>
      <c r="F2142" s="291">
        <v>13915</v>
      </c>
      <c r="G2142" s="32">
        <v>16370</v>
      </c>
      <c r="H2142">
        <f>G2142/10000</f>
        <v>1.637</v>
      </c>
    </row>
    <row r="2143" spans="1:8">
      <c r="A2143" s="8"/>
      <c r="B2143" s="1"/>
      <c r="C2143" s="81"/>
      <c r="D2143" s="5"/>
      <c r="E2143" s="290"/>
      <c r="F2143" s="291"/>
      <c r="G2143" s="32"/>
    </row>
    <row r="2144" spans="1:8">
      <c r="A2144" s="8"/>
      <c r="B2144" s="1"/>
      <c r="C2144" s="81"/>
      <c r="D2144" s="5"/>
      <c r="E2144" s="290"/>
      <c r="F2144" s="291"/>
      <c r="G2144" s="32"/>
    </row>
    <row r="2145" spans="1:7">
      <c r="A2145" s="8"/>
      <c r="B2145" s="81"/>
      <c r="C2145" s="81"/>
      <c r="D2145" s="5"/>
      <c r="E2145" s="290"/>
      <c r="F2145" s="291"/>
      <c r="G2145" s="32"/>
    </row>
    <row r="2146" spans="1:7">
      <c r="A2146" s="8"/>
      <c r="B2146" s="81"/>
      <c r="C2146" s="81"/>
      <c r="D2146" s="5"/>
      <c r="E2146" s="290"/>
      <c r="F2146" s="291"/>
    </row>
    <row r="2147" spans="1:7">
      <c r="A2147" s="8"/>
      <c r="B2147" s="81"/>
      <c r="C2147" s="81"/>
      <c r="D2147" s="288"/>
      <c r="E2147" s="290"/>
      <c r="F2147" s="291"/>
    </row>
    <row r="2148" spans="1:7">
      <c r="A2148" s="8"/>
      <c r="B2148" s="81"/>
      <c r="C2148" s="81"/>
      <c r="D2148" s="288"/>
      <c r="E2148" s="290"/>
      <c r="F2148" s="291"/>
    </row>
    <row r="2149" spans="1:7">
      <c r="A2149" s="8"/>
      <c r="B2149" s="1"/>
      <c r="C2149" s="1"/>
      <c r="D2149" s="1"/>
      <c r="E2149" s="1"/>
      <c r="F2149" s="2"/>
    </row>
    <row r="2150" spans="1:7">
      <c r="A2150" s="8"/>
      <c r="B2150" s="1"/>
      <c r="C2150" s="1"/>
      <c r="D2150" s="1"/>
      <c r="E2150" s="1"/>
      <c r="F2150" s="2"/>
    </row>
    <row r="2151" spans="1:7" ht="15.75" thickBot="1">
      <c r="A2151" s="9"/>
      <c r="B2151" s="3"/>
      <c r="C2151" s="3"/>
      <c r="D2151" s="3"/>
      <c r="E2151" s="3"/>
      <c r="F2151" s="4"/>
    </row>
    <row r="2152" spans="1:7" ht="16.5" thickTop="1" thickBot="1"/>
    <row r="2153" spans="1:7" ht="15.75" thickTop="1">
      <c r="A2153" s="3782" t="s">
        <v>0</v>
      </c>
      <c r="B2153" s="3781" t="s">
        <v>1</v>
      </c>
      <c r="C2153" s="3781" t="s">
        <v>2</v>
      </c>
      <c r="D2153" s="3781" t="s">
        <v>3</v>
      </c>
      <c r="E2153" s="3781" t="s">
        <v>4</v>
      </c>
      <c r="F2153" s="3765" t="s">
        <v>5</v>
      </c>
    </row>
    <row r="2154" spans="1:7" ht="15.75" thickBot="1">
      <c r="A2154" s="3783"/>
      <c r="B2154" s="3767"/>
      <c r="C2154" s="3767"/>
      <c r="D2154" s="3767"/>
      <c r="E2154" s="3767"/>
      <c r="F2154" s="3766"/>
    </row>
    <row r="2155" spans="1:7" ht="15.75" thickTop="1">
      <c r="A2155" s="7" t="s">
        <v>1676</v>
      </c>
      <c r="B2155" s="298" t="s">
        <v>409</v>
      </c>
      <c r="C2155" s="1" t="s">
        <v>226</v>
      </c>
      <c r="D2155" s="5"/>
      <c r="E2155" s="290">
        <v>0.15</v>
      </c>
      <c r="F2155" s="291">
        <v>7299</v>
      </c>
      <c r="G2155" s="32">
        <v>8587</v>
      </c>
    </row>
    <row r="2156" spans="1:7">
      <c r="A2156" s="8"/>
      <c r="B2156" s="81" t="s">
        <v>392</v>
      </c>
      <c r="C2156" s="1" t="s">
        <v>227</v>
      </c>
      <c r="D2156" s="5"/>
      <c r="E2156" s="290">
        <v>0.15</v>
      </c>
      <c r="F2156" s="291">
        <v>7299</v>
      </c>
      <c r="G2156" s="32"/>
    </row>
    <row r="2157" spans="1:7">
      <c r="A2157" s="8"/>
      <c r="B2157" s="81" t="s">
        <v>534</v>
      </c>
      <c r="C2157" s="1" t="s">
        <v>228</v>
      </c>
      <c r="D2157" s="5"/>
      <c r="E2157" s="290">
        <v>0.15</v>
      </c>
      <c r="F2157" s="291">
        <v>7299</v>
      </c>
      <c r="G2157" s="32"/>
    </row>
    <row r="2158" spans="1:7">
      <c r="A2158" s="8"/>
      <c r="B2158" s="1" t="s">
        <v>535</v>
      </c>
      <c r="C2158" s="31" t="s">
        <v>1346</v>
      </c>
      <c r="D2158" s="5"/>
      <c r="E2158" s="290">
        <v>0.2</v>
      </c>
      <c r="F2158" s="291">
        <v>2549</v>
      </c>
      <c r="G2158" s="32">
        <v>3186</v>
      </c>
    </row>
    <row r="2159" spans="1:7">
      <c r="A2159" s="8"/>
      <c r="B2159" s="1" t="s">
        <v>921</v>
      </c>
      <c r="C2159" s="31" t="s">
        <v>1347</v>
      </c>
      <c r="D2159" s="5"/>
      <c r="E2159" s="290">
        <v>0.2</v>
      </c>
      <c r="F2159" s="291">
        <v>2549</v>
      </c>
      <c r="G2159" s="32"/>
    </row>
    <row r="2160" spans="1:7">
      <c r="A2160" s="8"/>
      <c r="B2160" s="81"/>
      <c r="C2160" s="31" t="s">
        <v>1326</v>
      </c>
      <c r="D2160" s="5"/>
      <c r="E2160" s="290">
        <v>0.2</v>
      </c>
      <c r="F2160" s="291">
        <v>2549</v>
      </c>
      <c r="G2160" s="32"/>
    </row>
    <row r="2161" spans="1:7">
      <c r="A2161" s="8"/>
      <c r="B2161" s="81"/>
      <c r="C2161" s="31" t="s">
        <v>1327</v>
      </c>
      <c r="D2161" s="5"/>
      <c r="E2161" s="290">
        <v>0.2</v>
      </c>
      <c r="F2161" s="291">
        <v>2549</v>
      </c>
    </row>
    <row r="2162" spans="1:7">
      <c r="A2162" s="8"/>
      <c r="B2162" s="81"/>
      <c r="C2162" s="31" t="s">
        <v>1325</v>
      </c>
      <c r="D2162" s="288"/>
      <c r="E2162" s="290">
        <v>0.2</v>
      </c>
      <c r="F2162" s="291">
        <v>2549</v>
      </c>
    </row>
    <row r="2163" spans="1:7">
      <c r="A2163" s="8"/>
      <c r="B2163" s="81"/>
      <c r="C2163" s="81"/>
      <c r="D2163" s="288"/>
      <c r="E2163" s="290"/>
      <c r="F2163" s="291"/>
    </row>
    <row r="2164" spans="1:7">
      <c r="A2164" s="8"/>
      <c r="B2164" s="1"/>
      <c r="C2164" s="1"/>
      <c r="D2164" s="1"/>
      <c r="E2164" s="1"/>
      <c r="F2164" s="2"/>
    </row>
    <row r="2165" spans="1:7">
      <c r="A2165" s="8"/>
      <c r="B2165" s="1"/>
      <c r="C2165" s="1"/>
      <c r="D2165" s="1"/>
      <c r="E2165" s="1"/>
      <c r="F2165" s="2"/>
    </row>
    <row r="2166" spans="1:7" ht="15.75" thickBot="1">
      <c r="A2166" s="9"/>
      <c r="B2166" s="3"/>
      <c r="C2166" s="3"/>
      <c r="D2166" s="3"/>
      <c r="E2166" s="3"/>
      <c r="F2166" s="4"/>
    </row>
    <row r="2167" spans="1:7" ht="16.5" thickTop="1" thickBot="1"/>
    <row r="2168" spans="1:7" ht="15.75" thickTop="1">
      <c r="A2168" s="3782" t="s">
        <v>0</v>
      </c>
      <c r="B2168" s="3781" t="s">
        <v>1</v>
      </c>
      <c r="C2168" s="3781" t="s">
        <v>2</v>
      </c>
      <c r="D2168" s="3781" t="s">
        <v>3</v>
      </c>
      <c r="E2168" s="3781" t="s">
        <v>4</v>
      </c>
      <c r="F2168" s="3765" t="s">
        <v>5</v>
      </c>
    </row>
    <row r="2169" spans="1:7" ht="15.75" thickBot="1">
      <c r="A2169" s="3783"/>
      <c r="B2169" s="3767"/>
      <c r="C2169" s="3767"/>
      <c r="D2169" s="3767"/>
      <c r="E2169" s="3767"/>
      <c r="F2169" s="3766"/>
    </row>
    <row r="2170" spans="1:7" ht="15.75" thickTop="1">
      <c r="A2170" s="7" t="s">
        <v>1677</v>
      </c>
      <c r="B2170" s="5" t="s">
        <v>181</v>
      </c>
      <c r="C2170" s="1" t="s">
        <v>53</v>
      </c>
      <c r="D2170" s="5"/>
      <c r="E2170" s="290">
        <v>0.15</v>
      </c>
      <c r="F2170" s="380">
        <v>8721</v>
      </c>
      <c r="G2170" s="32">
        <v>10260</v>
      </c>
    </row>
    <row r="2171" spans="1:7">
      <c r="A2171" s="8"/>
      <c r="B2171" s="1" t="s">
        <v>366</v>
      </c>
      <c r="C2171" s="1"/>
      <c r="D2171" s="5"/>
      <c r="E2171" s="290"/>
      <c r="F2171" s="291"/>
      <c r="G2171" s="32"/>
    </row>
    <row r="2172" spans="1:7">
      <c r="A2172" s="8"/>
      <c r="B2172" s="1" t="s">
        <v>180</v>
      </c>
      <c r="C2172" s="1"/>
      <c r="D2172" s="5"/>
      <c r="E2172" s="290"/>
      <c r="F2172" s="291"/>
      <c r="G2172" s="32"/>
    </row>
    <row r="2173" spans="1:7">
      <c r="A2173" s="8"/>
      <c r="B2173" s="1" t="s">
        <v>135</v>
      </c>
      <c r="C2173" s="81"/>
      <c r="D2173" s="5"/>
      <c r="E2173" s="290"/>
      <c r="F2173" s="291"/>
      <c r="G2173" s="32"/>
    </row>
    <row r="2174" spans="1:7">
      <c r="A2174" s="8"/>
      <c r="B2174" s="1" t="s">
        <v>805</v>
      </c>
      <c r="C2174" s="81"/>
      <c r="D2174" s="5"/>
      <c r="E2174" s="290"/>
      <c r="F2174" s="291"/>
      <c r="G2174" s="32"/>
    </row>
    <row r="2175" spans="1:7">
      <c r="A2175" s="8"/>
      <c r="B2175" s="81"/>
      <c r="C2175" s="81"/>
      <c r="D2175" s="5"/>
      <c r="E2175" s="290"/>
      <c r="F2175" s="291"/>
      <c r="G2175" s="32"/>
    </row>
    <row r="2176" spans="1:7">
      <c r="A2176" s="8"/>
      <c r="B2176" s="81"/>
      <c r="C2176" s="81"/>
      <c r="D2176" s="5"/>
      <c r="E2176" s="343"/>
      <c r="F2176" s="293"/>
      <c r="G2176" s="32"/>
    </row>
    <row r="2177" spans="1:8">
      <c r="A2177" s="8"/>
      <c r="B2177" s="81"/>
      <c r="C2177" s="81"/>
      <c r="D2177" s="288"/>
      <c r="E2177" s="343"/>
      <c r="F2177" s="293"/>
    </row>
    <row r="2178" spans="1:8">
      <c r="A2178" s="8"/>
      <c r="B2178" s="81"/>
      <c r="C2178" s="81"/>
      <c r="D2178" s="288"/>
      <c r="E2178" s="343"/>
      <c r="F2178" s="293"/>
    </row>
    <row r="2179" spans="1:8">
      <c r="A2179" s="8"/>
      <c r="B2179" s="1"/>
      <c r="C2179" s="1"/>
      <c r="D2179" s="1"/>
      <c r="E2179" s="1"/>
      <c r="F2179" s="2"/>
    </row>
    <row r="2180" spans="1:8">
      <c r="A2180" s="8"/>
      <c r="B2180" s="1"/>
      <c r="C2180" s="1"/>
      <c r="D2180" s="1"/>
      <c r="E2180" s="1"/>
      <c r="F2180" s="2"/>
    </row>
    <row r="2181" spans="1:8" ht="15.75" thickBot="1">
      <c r="A2181" s="9"/>
      <c r="B2181" s="3"/>
      <c r="C2181" s="3"/>
      <c r="D2181" s="3"/>
      <c r="E2181" s="3"/>
      <c r="F2181" s="4"/>
    </row>
    <row r="2182" spans="1:8" ht="16.5" thickTop="1" thickBot="1"/>
    <row r="2183" spans="1:8" ht="15.75" thickTop="1">
      <c r="A2183" s="3782" t="s">
        <v>0</v>
      </c>
      <c r="B2183" s="3781" t="s">
        <v>1</v>
      </c>
      <c r="C2183" s="3781" t="s">
        <v>2</v>
      </c>
      <c r="D2183" s="3781" t="s">
        <v>3</v>
      </c>
      <c r="E2183" s="3781" t="s">
        <v>4</v>
      </c>
      <c r="F2183" s="3765" t="s">
        <v>5</v>
      </c>
    </row>
    <row r="2184" spans="1:8" ht="15.75" thickBot="1">
      <c r="A2184" s="3783"/>
      <c r="B2184" s="3767"/>
      <c r="C2184" s="3767"/>
      <c r="D2184" s="3767"/>
      <c r="E2184" s="3767"/>
      <c r="F2184" s="3766"/>
    </row>
    <row r="2185" spans="1:8" ht="15.75" thickTop="1">
      <c r="A2185" s="7" t="s">
        <v>1688</v>
      </c>
      <c r="B2185" s="298" t="s">
        <v>409</v>
      </c>
      <c r="C2185" s="1" t="s">
        <v>1660</v>
      </c>
      <c r="D2185" s="5"/>
      <c r="E2185" s="290">
        <v>0.13</v>
      </c>
      <c r="F2185" s="291">
        <v>50745</v>
      </c>
      <c r="G2185" s="32">
        <v>59700</v>
      </c>
      <c r="H2185">
        <f>F2185*1.2</f>
        <v>60894</v>
      </c>
    </row>
    <row r="2186" spans="1:8">
      <c r="A2186" s="8"/>
      <c r="B2186" s="81" t="s">
        <v>392</v>
      </c>
      <c r="C2186" s="1" t="s">
        <v>1661</v>
      </c>
      <c r="D2186" s="5"/>
      <c r="E2186" s="290">
        <v>0.13</v>
      </c>
      <c r="F2186" s="291">
        <v>50745</v>
      </c>
      <c r="G2186" s="32"/>
    </row>
    <row r="2187" spans="1:8">
      <c r="A2187" s="8"/>
      <c r="B2187" s="81" t="s">
        <v>534</v>
      </c>
      <c r="C2187" s="1" t="s">
        <v>1362</v>
      </c>
      <c r="D2187" s="5"/>
      <c r="E2187" s="290">
        <v>0.17</v>
      </c>
      <c r="F2187" s="291">
        <v>51833</v>
      </c>
      <c r="G2187" s="32">
        <v>60980</v>
      </c>
      <c r="H2187">
        <f>F2187*1.2</f>
        <v>62199.6</v>
      </c>
    </row>
    <row r="2188" spans="1:8">
      <c r="A2188" s="8"/>
      <c r="B2188" s="1" t="s">
        <v>535</v>
      </c>
      <c r="C2188" s="81" t="s">
        <v>1376</v>
      </c>
      <c r="D2188" s="5"/>
      <c r="E2188" s="290">
        <v>0.17</v>
      </c>
      <c r="F2188" s="291">
        <v>51833</v>
      </c>
      <c r="G2188" s="32"/>
    </row>
    <row r="2189" spans="1:8">
      <c r="A2189" s="8"/>
      <c r="B2189" s="1" t="s">
        <v>921</v>
      </c>
      <c r="C2189" s="81"/>
      <c r="D2189" s="5"/>
      <c r="E2189" s="290"/>
      <c r="F2189" s="291"/>
      <c r="G2189" s="32"/>
    </row>
    <row r="2190" spans="1:8">
      <c r="A2190" s="8"/>
      <c r="B2190" s="81"/>
      <c r="C2190" s="81"/>
      <c r="D2190" s="5"/>
      <c r="E2190" s="290"/>
      <c r="F2190" s="291"/>
      <c r="G2190" s="32"/>
    </row>
    <row r="2191" spans="1:8">
      <c r="A2191" s="8"/>
      <c r="B2191" s="81"/>
      <c r="C2191" s="81"/>
      <c r="D2191" s="5"/>
      <c r="E2191" s="290"/>
      <c r="F2191" s="291"/>
    </row>
    <row r="2192" spans="1:8">
      <c r="A2192" s="8"/>
      <c r="B2192" s="81"/>
      <c r="C2192" s="81"/>
      <c r="D2192" s="288"/>
      <c r="E2192" s="290"/>
      <c r="F2192" s="291"/>
    </row>
    <row r="2193" spans="1:7">
      <c r="A2193" s="8"/>
      <c r="B2193" s="81"/>
      <c r="C2193" s="81"/>
      <c r="D2193" s="288"/>
      <c r="E2193" s="290"/>
      <c r="F2193" s="291"/>
    </row>
    <row r="2194" spans="1:7">
      <c r="A2194" s="8"/>
      <c r="B2194" s="1"/>
      <c r="C2194" s="1"/>
      <c r="D2194" s="1"/>
      <c r="E2194" s="1"/>
      <c r="F2194" s="2"/>
    </row>
    <row r="2195" spans="1:7">
      <c r="A2195" s="8"/>
      <c r="B2195" s="1"/>
      <c r="C2195" s="1"/>
      <c r="D2195" s="1"/>
      <c r="E2195" s="1"/>
      <c r="F2195" s="2"/>
    </row>
    <row r="2196" spans="1:7" ht="15.75" thickBot="1">
      <c r="A2196" s="9"/>
      <c r="B2196" s="3"/>
      <c r="C2196" s="3"/>
      <c r="D2196" s="3"/>
      <c r="E2196" s="3"/>
      <c r="F2196" s="4"/>
    </row>
    <row r="2197" spans="1:7" ht="16.5" thickTop="1" thickBot="1"/>
    <row r="2198" spans="1:7" ht="15.75" thickTop="1">
      <c r="A2198" s="3782" t="s">
        <v>0</v>
      </c>
      <c r="B2198" s="3781" t="s">
        <v>1</v>
      </c>
      <c r="C2198" s="3781" t="s">
        <v>2</v>
      </c>
      <c r="D2198" s="3781" t="s">
        <v>3</v>
      </c>
      <c r="E2198" s="3781" t="s">
        <v>4</v>
      </c>
      <c r="F2198" s="3765" t="s">
        <v>5</v>
      </c>
    </row>
    <row r="2199" spans="1:7" ht="15.75" thickBot="1">
      <c r="A2199" s="3783"/>
      <c r="B2199" s="3767"/>
      <c r="C2199" s="3767"/>
      <c r="D2199" s="3767"/>
      <c r="E2199" s="3767"/>
      <c r="F2199" s="3766"/>
    </row>
    <row r="2200" spans="1:7" ht="15.75" thickTop="1">
      <c r="A2200" s="7" t="s">
        <v>1693</v>
      </c>
      <c r="B2200" s="298" t="s">
        <v>409</v>
      </c>
      <c r="C2200" s="1" t="s">
        <v>1413</v>
      </c>
      <c r="D2200" s="5"/>
      <c r="E2200" s="290">
        <v>0.15</v>
      </c>
      <c r="F2200" s="291">
        <v>14701</v>
      </c>
      <c r="G2200" s="32">
        <v>17295</v>
      </c>
    </row>
    <row r="2201" spans="1:7">
      <c r="A2201" s="8"/>
      <c r="B2201" s="81" t="s">
        <v>392</v>
      </c>
      <c r="C2201" s="1" t="s">
        <v>1429</v>
      </c>
      <c r="D2201" s="5"/>
      <c r="E2201" s="290">
        <v>0.15</v>
      </c>
      <c r="F2201" s="291">
        <v>14701</v>
      </c>
      <c r="G2201" s="32"/>
    </row>
    <row r="2202" spans="1:7">
      <c r="A2202" s="8"/>
      <c r="B2202" s="81" t="s">
        <v>534</v>
      </c>
      <c r="C2202" s="31" t="s">
        <v>623</v>
      </c>
      <c r="D2202" s="191"/>
      <c r="E2202" s="278">
        <v>0.2</v>
      </c>
      <c r="F2202" s="279">
        <v>20752</v>
      </c>
      <c r="G2202" s="32">
        <v>25940</v>
      </c>
    </row>
    <row r="2203" spans="1:7">
      <c r="A2203" s="8"/>
      <c r="B2203" s="1" t="s">
        <v>535</v>
      </c>
      <c r="C2203" s="31" t="s">
        <v>1346</v>
      </c>
      <c r="D2203" s="191"/>
      <c r="E2203" s="278">
        <v>0.2</v>
      </c>
      <c r="F2203" s="279">
        <v>2549</v>
      </c>
      <c r="G2203" s="32">
        <v>3186</v>
      </c>
    </row>
    <row r="2204" spans="1:7">
      <c r="A2204" s="8"/>
      <c r="B2204" s="1" t="s">
        <v>921</v>
      </c>
      <c r="C2204" s="31" t="s">
        <v>1347</v>
      </c>
      <c r="D2204" s="191"/>
      <c r="E2204" s="278">
        <v>0.2</v>
      </c>
      <c r="F2204" s="279">
        <v>2549</v>
      </c>
      <c r="G2204" s="32"/>
    </row>
    <row r="2205" spans="1:7">
      <c r="A2205" s="8"/>
      <c r="B2205" s="81"/>
      <c r="C2205" s="31" t="s">
        <v>1326</v>
      </c>
      <c r="D2205" s="191"/>
      <c r="E2205" s="278">
        <v>0.2</v>
      </c>
      <c r="F2205" s="279">
        <v>2549</v>
      </c>
      <c r="G2205" s="32"/>
    </row>
    <row r="2206" spans="1:7">
      <c r="A2206" s="8"/>
      <c r="B2206" s="81"/>
      <c r="C2206" s="31" t="s">
        <v>1327</v>
      </c>
      <c r="D2206" s="191"/>
      <c r="E2206" s="278">
        <v>0.2</v>
      </c>
      <c r="F2206" s="279">
        <v>2549</v>
      </c>
    </row>
    <row r="2207" spans="1:7">
      <c r="A2207" s="8"/>
      <c r="B2207" s="81"/>
      <c r="C2207" s="31" t="s">
        <v>1325</v>
      </c>
      <c r="D2207" s="191"/>
      <c r="E2207" s="278">
        <v>0.2</v>
      </c>
      <c r="F2207" s="279">
        <v>2549</v>
      </c>
    </row>
    <row r="2208" spans="1:7">
      <c r="A2208" s="8"/>
      <c r="B2208" s="81"/>
      <c r="C2208" s="81"/>
      <c r="D2208" s="288"/>
      <c r="E2208" s="290"/>
      <c r="F2208" s="291"/>
    </row>
    <row r="2209" spans="1:8">
      <c r="A2209" s="8"/>
      <c r="B2209" s="1"/>
      <c r="C2209" s="1"/>
      <c r="D2209" s="1"/>
      <c r="E2209" s="1"/>
      <c r="F2209" s="2"/>
    </row>
    <row r="2210" spans="1:8">
      <c r="A2210" s="8"/>
      <c r="B2210" s="1"/>
      <c r="C2210" s="1"/>
      <c r="D2210" s="1"/>
      <c r="E2210" s="1"/>
      <c r="F2210" s="2"/>
    </row>
    <row r="2211" spans="1:8" ht="15.75" thickBot="1">
      <c r="A2211" s="9"/>
      <c r="B2211" s="3"/>
      <c r="C2211" s="3"/>
      <c r="D2211" s="3"/>
      <c r="E2211" s="3"/>
      <c r="F2211" s="4"/>
    </row>
    <row r="2212" spans="1:8" ht="16.5" thickTop="1" thickBot="1"/>
    <row r="2213" spans="1:8" ht="15.75" thickTop="1">
      <c r="A2213" s="3782" t="s">
        <v>0</v>
      </c>
      <c r="B2213" s="3781" t="s">
        <v>1</v>
      </c>
      <c r="C2213" s="3781" t="s">
        <v>2</v>
      </c>
      <c r="D2213" s="3781" t="s">
        <v>3</v>
      </c>
      <c r="E2213" s="3781" t="s">
        <v>4</v>
      </c>
      <c r="F2213" s="3765" t="s">
        <v>5</v>
      </c>
    </row>
    <row r="2214" spans="1:8" ht="15.75" thickBot="1">
      <c r="A2214" s="3783"/>
      <c r="B2214" s="3767"/>
      <c r="C2214" s="3767"/>
      <c r="D2214" s="3767"/>
      <c r="E2214" s="3767"/>
      <c r="F2214" s="3766"/>
    </row>
    <row r="2215" spans="1:8" ht="15.75" thickTop="1">
      <c r="A2215" s="277" t="s">
        <v>1694</v>
      </c>
      <c r="B2215" s="191" t="s">
        <v>120</v>
      </c>
      <c r="C2215" s="31" t="s">
        <v>149</v>
      </c>
      <c r="D2215" s="191"/>
      <c r="E2215" s="278">
        <v>0.2</v>
      </c>
      <c r="F2215" s="279">
        <v>6392</v>
      </c>
      <c r="G2215" s="32">
        <v>7990</v>
      </c>
      <c r="H2215" s="39"/>
    </row>
    <row r="2216" spans="1:8">
      <c r="A2216" s="280"/>
      <c r="B2216" s="31" t="s">
        <v>121</v>
      </c>
      <c r="C2216" s="31" t="s">
        <v>623</v>
      </c>
      <c r="D2216" s="191"/>
      <c r="E2216" s="278">
        <v>0.32</v>
      </c>
      <c r="F2216" s="279">
        <v>18412</v>
      </c>
      <c r="G2216" s="32">
        <v>27077</v>
      </c>
      <c r="H2216" s="39"/>
    </row>
    <row r="2217" spans="1:8">
      <c r="A2217" s="280"/>
      <c r="B2217" s="31" t="s">
        <v>123</v>
      </c>
      <c r="C2217" s="31" t="s">
        <v>1374</v>
      </c>
      <c r="D2217" s="191"/>
      <c r="E2217" s="278">
        <v>0.15</v>
      </c>
      <c r="F2217" s="279">
        <v>8205</v>
      </c>
      <c r="G2217" s="32">
        <v>9653</v>
      </c>
      <c r="H2217" s="39"/>
    </row>
    <row r="2218" spans="1:8">
      <c r="A2218" s="280"/>
      <c r="B2218" s="31" t="s">
        <v>122</v>
      </c>
      <c r="C2218" s="31" t="s">
        <v>1362</v>
      </c>
      <c r="D2218" s="191"/>
      <c r="E2218" s="278">
        <v>0.15</v>
      </c>
      <c r="F2218" s="279">
        <v>49929</v>
      </c>
      <c r="G2218" s="32">
        <v>58740</v>
      </c>
      <c r="H2218" s="39">
        <f>F2218*1.2</f>
        <v>59914.799999999996</v>
      </c>
    </row>
    <row r="2219" spans="1:8">
      <c r="A2219" s="280"/>
      <c r="B2219" s="31"/>
      <c r="C2219" s="31" t="s">
        <v>1317</v>
      </c>
      <c r="D2219" s="191"/>
      <c r="E2219" s="278">
        <v>0.2</v>
      </c>
      <c r="F2219" s="279">
        <v>12142</v>
      </c>
      <c r="G2219" s="32">
        <v>15177</v>
      </c>
      <c r="H2219" s="39"/>
    </row>
    <row r="2220" spans="1:8">
      <c r="A2220" s="280"/>
      <c r="B2220" s="31"/>
      <c r="C2220" s="31" t="s">
        <v>227</v>
      </c>
      <c r="D2220" s="191"/>
      <c r="E2220" s="278">
        <v>0.15</v>
      </c>
      <c r="F2220" s="279">
        <v>7299</v>
      </c>
      <c r="G2220" s="32">
        <v>8587</v>
      </c>
      <c r="H2220" s="39"/>
    </row>
    <row r="2221" spans="1:8">
      <c r="A2221" s="280"/>
      <c r="B2221" s="31"/>
      <c r="C2221" s="31" t="s">
        <v>1695</v>
      </c>
      <c r="D2221" s="191"/>
      <c r="E2221" s="278">
        <v>0.2</v>
      </c>
      <c r="F2221" s="279">
        <v>5274</v>
      </c>
      <c r="G2221" s="32">
        <v>6593</v>
      </c>
      <c r="H2221" s="39"/>
    </row>
    <row r="2222" spans="1:8">
      <c r="A2222" s="280"/>
      <c r="B2222" s="31"/>
      <c r="C2222" s="31" t="s">
        <v>905</v>
      </c>
      <c r="D2222" s="191"/>
      <c r="E2222" s="278">
        <v>0.2</v>
      </c>
      <c r="F2222" s="279">
        <v>6224</v>
      </c>
      <c r="G2222" s="32">
        <v>7780</v>
      </c>
      <c r="H2222" s="39"/>
    </row>
    <row r="2223" spans="1:8">
      <c r="A2223" s="8"/>
      <c r="B2223" s="81"/>
      <c r="C2223" s="31" t="s">
        <v>1504</v>
      </c>
      <c r="D2223" s="191"/>
      <c r="E2223" s="278">
        <v>0.15</v>
      </c>
      <c r="F2223" s="279">
        <v>8512</v>
      </c>
      <c r="G2223" s="32">
        <v>10014</v>
      </c>
      <c r="H2223" s="39">
        <f>G2223/10000</f>
        <v>1.0014000000000001</v>
      </c>
    </row>
    <row r="2224" spans="1:8">
      <c r="A2224" s="8"/>
      <c r="B2224" s="1"/>
      <c r="C2224" s="31" t="s">
        <v>1120</v>
      </c>
      <c r="D2224" s="31"/>
      <c r="E2224" s="278">
        <v>0.2</v>
      </c>
      <c r="F2224" s="281">
        <v>3984</v>
      </c>
      <c r="G2224" s="32">
        <v>4980</v>
      </c>
      <c r="H2224" s="39">
        <f>G2224/10000</f>
        <v>0.498</v>
      </c>
    </row>
    <row r="2225" spans="1:7">
      <c r="A2225" s="8"/>
      <c r="B2225" s="1"/>
      <c r="C2225" s="1"/>
      <c r="D2225" s="1"/>
      <c r="E2225" s="1"/>
      <c r="F2225" s="2"/>
    </row>
    <row r="2226" spans="1:7" ht="15.75" thickBot="1">
      <c r="A2226" s="9"/>
      <c r="B2226" s="3"/>
      <c r="C2226" s="3"/>
      <c r="D2226" s="3"/>
      <c r="E2226" s="3"/>
      <c r="F2226" s="4"/>
    </row>
    <row r="2227" spans="1:7" ht="16.5" thickTop="1" thickBot="1"/>
    <row r="2228" spans="1:7" ht="15.75" thickTop="1">
      <c r="A2228" s="3782" t="s">
        <v>0</v>
      </c>
      <c r="B2228" s="3781" t="s">
        <v>1</v>
      </c>
      <c r="C2228" s="3781" t="s">
        <v>2</v>
      </c>
      <c r="D2228" s="3781" t="s">
        <v>3</v>
      </c>
      <c r="E2228" s="3781" t="s">
        <v>4</v>
      </c>
      <c r="F2228" s="3765" t="s">
        <v>5</v>
      </c>
    </row>
    <row r="2229" spans="1:7" ht="15.75" thickBot="1">
      <c r="A2229" s="3783"/>
      <c r="B2229" s="3767"/>
      <c r="C2229" s="3767"/>
      <c r="D2229" s="3767"/>
      <c r="E2229" s="3767"/>
      <c r="F2229" s="3766"/>
    </row>
    <row r="2230" spans="1:7" ht="15.75" thickTop="1">
      <c r="A2230" s="277" t="s">
        <v>1702</v>
      </c>
      <c r="B2230" s="191" t="s">
        <v>202</v>
      </c>
      <c r="C2230" s="31" t="s">
        <v>623</v>
      </c>
      <c r="D2230" s="191"/>
      <c r="E2230" s="278">
        <v>0.2</v>
      </c>
      <c r="F2230" s="279">
        <v>20354</v>
      </c>
      <c r="G2230" s="32">
        <v>25443</v>
      </c>
    </row>
    <row r="2231" spans="1:7">
      <c r="A2231" s="8"/>
      <c r="B2231" s="1"/>
      <c r="C2231" s="81"/>
      <c r="D2231" s="288"/>
      <c r="E2231" s="290"/>
      <c r="F2231" s="291"/>
      <c r="G2231" s="32"/>
    </row>
    <row r="2232" spans="1:7">
      <c r="A2232" s="8"/>
      <c r="B2232" s="1"/>
      <c r="C2232" s="81"/>
      <c r="D2232" s="288"/>
      <c r="E2232" s="290"/>
      <c r="F2232" s="291"/>
      <c r="G2232" s="32"/>
    </row>
    <row r="2233" spans="1:7">
      <c r="A2233" s="8"/>
      <c r="B2233" s="1"/>
      <c r="C2233" s="81"/>
      <c r="D2233" s="288"/>
      <c r="E2233" s="290"/>
      <c r="F2233" s="291"/>
      <c r="G2233" s="32"/>
    </row>
    <row r="2234" spans="1:7">
      <c r="A2234" s="8"/>
      <c r="B2234" s="1"/>
      <c r="C2234" s="81"/>
      <c r="D2234" s="288"/>
      <c r="E2234" s="290"/>
      <c r="F2234" s="291"/>
      <c r="G2234" s="32"/>
    </row>
    <row r="2235" spans="1:7">
      <c r="A2235" s="8"/>
      <c r="B2235" s="81"/>
      <c r="C2235" s="81"/>
      <c r="D2235" s="288"/>
      <c r="E2235" s="290"/>
      <c r="F2235" s="291"/>
      <c r="G2235" s="32"/>
    </row>
    <row r="2236" spans="1:7">
      <c r="A2236" s="8"/>
      <c r="B2236" s="81"/>
      <c r="C2236" s="81"/>
      <c r="D2236" s="288"/>
      <c r="E2236" s="290"/>
      <c r="F2236" s="291"/>
      <c r="G2236" s="32"/>
    </row>
    <row r="2237" spans="1:7">
      <c r="A2237" s="8"/>
      <c r="B2237" s="81"/>
      <c r="C2237" s="81"/>
      <c r="D2237" s="288"/>
      <c r="E2237" s="290"/>
      <c r="F2237" s="291"/>
      <c r="G2237" s="32"/>
    </row>
    <row r="2238" spans="1:7">
      <c r="A2238" s="8"/>
      <c r="B2238" s="81"/>
      <c r="C2238" s="31"/>
      <c r="D2238" s="191"/>
      <c r="E2238" s="278"/>
      <c r="F2238" s="279"/>
      <c r="G2238" s="32"/>
    </row>
    <row r="2239" spans="1:7">
      <c r="A2239" s="8"/>
      <c r="B2239" s="1"/>
      <c r="C2239" s="31"/>
      <c r="D2239" s="31"/>
      <c r="E2239" s="278"/>
      <c r="F2239" s="281"/>
      <c r="G2239" s="32"/>
    </row>
    <row r="2240" spans="1:7">
      <c r="A2240" s="8"/>
      <c r="B2240" s="1"/>
      <c r="C2240" s="1"/>
      <c r="D2240" s="1"/>
      <c r="E2240" s="1"/>
      <c r="F2240" s="2"/>
    </row>
    <row r="2241" spans="1:7" ht="15.75" thickBot="1">
      <c r="A2241" s="9"/>
      <c r="B2241" s="3"/>
      <c r="C2241" s="3"/>
      <c r="D2241" s="3"/>
      <c r="E2241" s="3"/>
      <c r="F2241" s="4"/>
    </row>
    <row r="2242" spans="1:7" ht="16.5" thickTop="1" thickBot="1"/>
    <row r="2243" spans="1:7" ht="15.75" thickTop="1">
      <c r="A2243" s="3782" t="s">
        <v>0</v>
      </c>
      <c r="B2243" s="3781" t="s">
        <v>1</v>
      </c>
      <c r="C2243" s="3781" t="s">
        <v>2</v>
      </c>
      <c r="D2243" s="3781" t="s">
        <v>3</v>
      </c>
      <c r="E2243" s="3781" t="s">
        <v>4</v>
      </c>
      <c r="F2243" s="3765" t="s">
        <v>5</v>
      </c>
    </row>
    <row r="2244" spans="1:7" ht="15.75" thickBot="1">
      <c r="A2244" s="3783"/>
      <c r="B2244" s="3767"/>
      <c r="C2244" s="3767"/>
      <c r="D2244" s="3767"/>
      <c r="E2244" s="3767"/>
      <c r="F2244" s="3766"/>
    </row>
    <row r="2245" spans="1:7" ht="15.75" thickTop="1">
      <c r="A2245" s="277" t="s">
        <v>1701</v>
      </c>
      <c r="B2245" s="381" t="s">
        <v>409</v>
      </c>
      <c r="C2245" s="385" t="s">
        <v>1283</v>
      </c>
      <c r="D2245" s="191"/>
      <c r="E2245" s="278">
        <v>0.15</v>
      </c>
      <c r="F2245" s="279">
        <v>14966</v>
      </c>
      <c r="G2245" s="32">
        <v>17607</v>
      </c>
    </row>
    <row r="2246" spans="1:7">
      <c r="A2246" s="280"/>
      <c r="B2246" s="31" t="s">
        <v>392</v>
      </c>
      <c r="C2246" s="385" t="s">
        <v>730</v>
      </c>
      <c r="D2246" s="191"/>
      <c r="E2246" s="278">
        <v>0.15</v>
      </c>
      <c r="F2246" s="279">
        <v>6996</v>
      </c>
      <c r="G2246" s="32">
        <v>8231</v>
      </c>
    </row>
    <row r="2247" spans="1:7">
      <c r="A2247" s="280"/>
      <c r="B2247" s="31" t="s">
        <v>534</v>
      </c>
      <c r="C2247" s="386" t="s">
        <v>1346</v>
      </c>
      <c r="D2247" s="191"/>
      <c r="E2247" s="278">
        <v>0.2</v>
      </c>
      <c r="F2247" s="279">
        <v>2549</v>
      </c>
      <c r="G2247" s="32">
        <v>3186</v>
      </c>
    </row>
    <row r="2248" spans="1:7">
      <c r="A2248" s="280"/>
      <c r="B2248" s="31" t="s">
        <v>535</v>
      </c>
      <c r="C2248" s="386" t="s">
        <v>1347</v>
      </c>
      <c r="D2248" s="191"/>
      <c r="E2248" s="278">
        <v>0.2</v>
      </c>
      <c r="F2248" s="279">
        <v>2549</v>
      </c>
      <c r="G2248" s="32"/>
    </row>
    <row r="2249" spans="1:7">
      <c r="A2249" s="280"/>
      <c r="B2249" s="31" t="s">
        <v>921</v>
      </c>
      <c r="C2249" s="386" t="s">
        <v>1326</v>
      </c>
      <c r="D2249" s="191"/>
      <c r="E2249" s="278">
        <v>0.2</v>
      </c>
      <c r="F2249" s="279">
        <v>2549</v>
      </c>
      <c r="G2249" s="32"/>
    </row>
    <row r="2250" spans="1:7">
      <c r="A2250" s="280"/>
      <c r="B2250" s="31"/>
      <c r="C2250" s="386" t="s">
        <v>1327</v>
      </c>
      <c r="D2250" s="191"/>
      <c r="E2250" s="278">
        <v>0.2</v>
      </c>
      <c r="F2250" s="279">
        <v>2549</v>
      </c>
    </row>
    <row r="2251" spans="1:7">
      <c r="A2251" s="280"/>
      <c r="B2251" s="31"/>
      <c r="C2251" s="386" t="s">
        <v>1325</v>
      </c>
      <c r="D2251" s="191"/>
      <c r="E2251" s="278">
        <v>0.2</v>
      </c>
      <c r="F2251" s="279">
        <v>2549</v>
      </c>
    </row>
    <row r="2252" spans="1:7">
      <c r="A2252" s="280"/>
      <c r="B2252" s="31"/>
      <c r="C2252" s="385" t="s">
        <v>920</v>
      </c>
      <c r="D2252" s="191"/>
      <c r="E2252" s="278">
        <v>0.15</v>
      </c>
      <c r="F2252" s="279">
        <v>6688</v>
      </c>
      <c r="G2252">
        <v>7868</v>
      </c>
    </row>
    <row r="2253" spans="1:7">
      <c r="A2253" s="8"/>
      <c r="B2253" s="81"/>
      <c r="C2253" s="81"/>
      <c r="D2253" s="288"/>
      <c r="E2253" s="290"/>
      <c r="F2253" s="291"/>
    </row>
    <row r="2254" spans="1:7">
      <c r="A2254" s="8"/>
      <c r="B2254" s="1"/>
      <c r="C2254" s="1"/>
      <c r="D2254" s="1"/>
      <c r="E2254" s="1"/>
      <c r="F2254" s="2"/>
    </row>
    <row r="2255" spans="1:7">
      <c r="A2255" s="8"/>
      <c r="B2255" s="1"/>
      <c r="C2255" s="1"/>
      <c r="D2255" s="1"/>
      <c r="E2255" s="1"/>
      <c r="F2255" s="2"/>
    </row>
    <row r="2256" spans="1:7" ht="15.75" thickBot="1">
      <c r="A2256" s="9"/>
      <c r="B2256" s="3"/>
      <c r="C2256" s="3"/>
      <c r="D2256" s="3"/>
      <c r="E2256" s="3"/>
      <c r="F2256" s="4"/>
    </row>
    <row r="2257" spans="1:7" ht="15.75" thickTop="1"/>
    <row r="2258" spans="1:7" ht="15.75" thickBot="1"/>
    <row r="2259" spans="1:7" ht="15.75" thickTop="1">
      <c r="A2259" s="3808" t="s">
        <v>0</v>
      </c>
      <c r="B2259" s="3804" t="s">
        <v>1</v>
      </c>
      <c r="C2259" s="3804" t="s">
        <v>2</v>
      </c>
      <c r="D2259" s="3804" t="s">
        <v>3</v>
      </c>
      <c r="E2259" s="3804" t="s">
        <v>4</v>
      </c>
      <c r="F2259" s="3806" t="s">
        <v>5</v>
      </c>
    </row>
    <row r="2260" spans="1:7" ht="15.75" thickBot="1">
      <c r="A2260" s="3809"/>
      <c r="B2260" s="3805"/>
      <c r="C2260" s="3805"/>
      <c r="D2260" s="3805"/>
      <c r="E2260" s="3805"/>
      <c r="F2260" s="3807"/>
    </row>
    <row r="2261" spans="1:7" ht="15.75" thickTop="1">
      <c r="A2261" s="277" t="s">
        <v>1703</v>
      </c>
      <c r="B2261" s="191" t="s">
        <v>1154</v>
      </c>
      <c r="C2261" s="31" t="s">
        <v>1413</v>
      </c>
      <c r="D2261" s="191"/>
      <c r="E2261" s="278">
        <v>0.2</v>
      </c>
      <c r="F2261" s="279">
        <v>14094</v>
      </c>
      <c r="G2261" s="32">
        <v>17618</v>
      </c>
    </row>
    <row r="2262" spans="1:7">
      <c r="A2262" s="280"/>
      <c r="B2262" s="31"/>
      <c r="C2262" s="31" t="s">
        <v>1429</v>
      </c>
      <c r="D2262" s="191"/>
      <c r="E2262" s="278">
        <v>0.2</v>
      </c>
      <c r="F2262" s="279">
        <v>14094</v>
      </c>
      <c r="G2262" s="32"/>
    </row>
    <row r="2263" spans="1:7">
      <c r="A2263" s="280"/>
      <c r="B2263" s="31"/>
      <c r="C2263" s="31" t="s">
        <v>522</v>
      </c>
      <c r="D2263" s="191"/>
      <c r="E2263" s="278">
        <v>0.15</v>
      </c>
      <c r="F2263" s="279">
        <v>8748</v>
      </c>
      <c r="G2263" s="32">
        <v>10292</v>
      </c>
    </row>
    <row r="2264" spans="1:7">
      <c r="A2264" s="280"/>
      <c r="B2264" s="31"/>
      <c r="C2264" s="31" t="s">
        <v>1440</v>
      </c>
      <c r="D2264" s="191"/>
      <c r="E2264" s="278">
        <v>0.15</v>
      </c>
      <c r="F2264" s="279">
        <v>8748</v>
      </c>
      <c r="G2264" s="32"/>
    </row>
    <row r="2265" spans="1:7">
      <c r="A2265" s="280"/>
      <c r="B2265" s="31"/>
      <c r="C2265" s="31" t="s">
        <v>1325</v>
      </c>
      <c r="D2265" s="191"/>
      <c r="E2265" s="278">
        <v>0.15</v>
      </c>
      <c r="F2265" s="279">
        <v>2734</v>
      </c>
      <c r="G2265" s="32">
        <v>3216</v>
      </c>
    </row>
    <row r="2266" spans="1:7">
      <c r="A2266" s="280"/>
      <c r="B2266" s="31"/>
      <c r="C2266" s="31" t="s">
        <v>1250</v>
      </c>
      <c r="D2266" s="191"/>
      <c r="E2266" s="278">
        <v>0.15</v>
      </c>
      <c r="F2266" s="279">
        <v>2734</v>
      </c>
    </row>
    <row r="2267" spans="1:7">
      <c r="A2267" s="280"/>
      <c r="B2267" s="31"/>
      <c r="C2267" s="31"/>
      <c r="D2267" s="191"/>
      <c r="E2267" s="278"/>
      <c r="F2267" s="279"/>
    </row>
    <row r="2268" spans="1:7">
      <c r="A2268" s="280"/>
      <c r="B2268" s="31"/>
      <c r="C2268" s="31"/>
      <c r="D2268" s="191"/>
      <c r="E2268" s="278"/>
      <c r="F2268" s="279"/>
    </row>
    <row r="2269" spans="1:7">
      <c r="A2269" s="280"/>
      <c r="B2269" s="31"/>
      <c r="C2269" s="31"/>
      <c r="D2269" s="191"/>
      <c r="E2269" s="278"/>
      <c r="F2269" s="279"/>
    </row>
    <row r="2270" spans="1:7">
      <c r="A2270" s="280"/>
      <c r="B2270" s="31"/>
      <c r="C2270" s="31"/>
      <c r="D2270" s="31"/>
      <c r="E2270" s="31"/>
      <c r="F2270" s="281"/>
    </row>
    <row r="2271" spans="1:7">
      <c r="A2271" s="280"/>
      <c r="B2271" s="31"/>
      <c r="C2271" s="31"/>
      <c r="D2271" s="31"/>
      <c r="E2271" s="31"/>
      <c r="F2271" s="281"/>
    </row>
    <row r="2272" spans="1:7" ht="15.75" thickBot="1">
      <c r="A2272" s="282"/>
      <c r="B2272" s="283"/>
      <c r="C2272" s="283"/>
      <c r="D2272" s="283"/>
      <c r="E2272" s="283"/>
      <c r="F2272" s="284"/>
    </row>
    <row r="2273" spans="1:7" ht="16.5" thickTop="1" thickBot="1"/>
    <row r="2274" spans="1:7" ht="15.75" thickTop="1">
      <c r="A2274" s="3782" t="s">
        <v>0</v>
      </c>
      <c r="B2274" s="3781" t="s">
        <v>1</v>
      </c>
      <c r="C2274" s="3781" t="s">
        <v>2</v>
      </c>
      <c r="D2274" s="3781" t="s">
        <v>3</v>
      </c>
      <c r="E2274" s="3781" t="s">
        <v>4</v>
      </c>
      <c r="F2274" s="3765" t="s">
        <v>5</v>
      </c>
    </row>
    <row r="2275" spans="1:7" ht="15.75" thickBot="1">
      <c r="A2275" s="3783"/>
      <c r="B2275" s="3767"/>
      <c r="C2275" s="3767"/>
      <c r="D2275" s="3767"/>
      <c r="E2275" s="3767"/>
      <c r="F2275" s="3766"/>
    </row>
    <row r="2276" spans="1:7" ht="15.75" thickTop="1">
      <c r="A2276" s="7" t="s">
        <v>1704</v>
      </c>
      <c r="B2276" s="381" t="s">
        <v>409</v>
      </c>
      <c r="C2276" s="31" t="s">
        <v>1058</v>
      </c>
      <c r="D2276" s="191"/>
      <c r="E2276" s="278">
        <v>0.15</v>
      </c>
      <c r="F2276" s="279">
        <v>1.73</v>
      </c>
      <c r="G2276" s="32">
        <v>2.04</v>
      </c>
    </row>
    <row r="2277" spans="1:7">
      <c r="A2277" s="8"/>
      <c r="B2277" s="31" t="s">
        <v>392</v>
      </c>
      <c r="C2277" s="31" t="s">
        <v>623</v>
      </c>
      <c r="D2277" s="191"/>
      <c r="E2277" s="278">
        <v>0.2</v>
      </c>
      <c r="F2277" s="279">
        <v>20752</v>
      </c>
      <c r="G2277" s="32">
        <v>25940</v>
      </c>
    </row>
    <row r="2278" spans="1:7">
      <c r="A2278" s="8"/>
      <c r="B2278" s="31" t="s">
        <v>534</v>
      </c>
      <c r="C2278" s="31" t="s">
        <v>1346</v>
      </c>
      <c r="D2278" s="191"/>
      <c r="E2278" s="278">
        <v>0.2</v>
      </c>
      <c r="F2278" s="279">
        <v>2549</v>
      </c>
      <c r="G2278" s="32">
        <v>3186</v>
      </c>
    </row>
    <row r="2279" spans="1:7">
      <c r="A2279" s="8"/>
      <c r="B2279" s="31" t="s">
        <v>535</v>
      </c>
      <c r="C2279" s="31" t="s">
        <v>1347</v>
      </c>
      <c r="D2279" s="191"/>
      <c r="E2279" s="278">
        <v>0.2</v>
      </c>
      <c r="F2279" s="279">
        <v>2549</v>
      </c>
      <c r="G2279" s="32"/>
    </row>
    <row r="2280" spans="1:7">
      <c r="A2280" s="8"/>
      <c r="B2280" s="31" t="s">
        <v>921</v>
      </c>
      <c r="C2280" s="31" t="s">
        <v>1326</v>
      </c>
      <c r="D2280" s="191"/>
      <c r="E2280" s="278">
        <v>0.2</v>
      </c>
      <c r="F2280" s="279">
        <v>2549</v>
      </c>
      <c r="G2280" s="32"/>
    </row>
    <row r="2281" spans="1:7">
      <c r="A2281" s="8"/>
      <c r="B2281" s="31"/>
      <c r="C2281" s="31" t="s">
        <v>1327</v>
      </c>
      <c r="D2281" s="191"/>
      <c r="E2281" s="278">
        <v>0.2</v>
      </c>
      <c r="F2281" s="279">
        <v>2549</v>
      </c>
    </row>
    <row r="2282" spans="1:7">
      <c r="A2282" s="8"/>
      <c r="B2282" s="31"/>
      <c r="C2282" s="31" t="s">
        <v>1325</v>
      </c>
      <c r="D2282" s="191"/>
      <c r="E2282" s="278">
        <v>0.2</v>
      </c>
      <c r="F2282" s="279">
        <v>2549</v>
      </c>
    </row>
    <row r="2283" spans="1:7">
      <c r="A2283" s="8"/>
      <c r="B2283" s="31"/>
      <c r="C2283" s="31" t="s">
        <v>1315</v>
      </c>
      <c r="D2283" s="191"/>
      <c r="E2283" s="278">
        <v>0.15</v>
      </c>
      <c r="F2283" s="279">
        <v>1.29</v>
      </c>
      <c r="G2283">
        <v>1.52</v>
      </c>
    </row>
    <row r="2284" spans="1:7">
      <c r="A2284" s="8"/>
      <c r="B2284" s="31"/>
      <c r="C2284" s="31" t="s">
        <v>1316</v>
      </c>
      <c r="D2284" s="191"/>
      <c r="E2284" s="278">
        <v>0.15</v>
      </c>
      <c r="F2284" s="279">
        <v>1.29</v>
      </c>
    </row>
    <row r="2285" spans="1:7">
      <c r="A2285" s="8"/>
      <c r="B2285" s="31"/>
      <c r="C2285" s="31" t="s">
        <v>1317</v>
      </c>
      <c r="D2285" s="31"/>
      <c r="E2285" s="31">
        <v>15</v>
      </c>
      <c r="F2285" s="279">
        <v>1.29</v>
      </c>
    </row>
    <row r="2286" spans="1:7">
      <c r="A2286" s="8"/>
      <c r="B2286" s="1"/>
      <c r="C2286" s="1"/>
      <c r="D2286" s="1"/>
      <c r="E2286" s="1"/>
      <c r="F2286" s="2"/>
    </row>
    <row r="2287" spans="1:7" ht="15.75" thickBot="1">
      <c r="A2287" s="9"/>
      <c r="B2287" s="3"/>
      <c r="C2287" s="3"/>
      <c r="D2287" s="3"/>
      <c r="E2287" s="3"/>
      <c r="F2287" s="4"/>
    </row>
    <row r="2288" spans="1:7" ht="15.75" thickTop="1"/>
    <row r="2289" spans="1:7" ht="15.75" thickBot="1"/>
    <row r="2290" spans="1:7" ht="15.75" thickTop="1">
      <c r="A2290" s="3782" t="s">
        <v>0</v>
      </c>
      <c r="B2290" s="3781" t="s">
        <v>1</v>
      </c>
      <c r="C2290" s="3781" t="s">
        <v>2</v>
      </c>
      <c r="D2290" s="3781" t="s">
        <v>3</v>
      </c>
      <c r="E2290" s="3781" t="s">
        <v>4</v>
      </c>
      <c r="F2290" s="3765" t="s">
        <v>5</v>
      </c>
    </row>
    <row r="2291" spans="1:7" ht="15.75" thickBot="1">
      <c r="A2291" s="3783"/>
      <c r="B2291" s="3767"/>
      <c r="C2291" s="3767"/>
      <c r="D2291" s="3767"/>
      <c r="E2291" s="3767"/>
      <c r="F2291" s="3766"/>
    </row>
    <row r="2292" spans="1:7" ht="15.75" thickTop="1">
      <c r="A2292" s="277" t="s">
        <v>1706</v>
      </c>
      <c r="B2292" s="191" t="s">
        <v>202</v>
      </c>
      <c r="C2292" s="31" t="s">
        <v>1058</v>
      </c>
      <c r="D2292" s="191"/>
      <c r="E2292" s="278">
        <v>0.2</v>
      </c>
      <c r="F2292" s="279">
        <v>1.52</v>
      </c>
      <c r="G2292" s="32">
        <v>1.9</v>
      </c>
    </row>
    <row r="2293" spans="1:7">
      <c r="A2293" s="8"/>
      <c r="B2293" s="1"/>
      <c r="C2293" s="81"/>
      <c r="D2293" s="288"/>
      <c r="E2293" s="290"/>
      <c r="F2293" s="291"/>
      <c r="G2293" s="32"/>
    </row>
    <row r="2294" spans="1:7">
      <c r="A2294" s="8"/>
      <c r="B2294" s="1"/>
      <c r="C2294" s="81"/>
      <c r="D2294" s="288"/>
      <c r="E2294" s="290"/>
      <c r="F2294" s="291"/>
      <c r="G2294" s="32"/>
    </row>
    <row r="2295" spans="1:7">
      <c r="A2295" s="8"/>
      <c r="B2295" s="1"/>
      <c r="C2295" s="81"/>
      <c r="D2295" s="288"/>
      <c r="E2295" s="290"/>
      <c r="F2295" s="291"/>
      <c r="G2295" s="32"/>
    </row>
    <row r="2296" spans="1:7">
      <c r="A2296" s="8"/>
      <c r="B2296" s="1"/>
      <c r="C2296" s="81"/>
      <c r="D2296" s="288"/>
      <c r="E2296" s="290"/>
      <c r="F2296" s="291"/>
      <c r="G2296" s="32"/>
    </row>
    <row r="2297" spans="1:7">
      <c r="A2297" s="8"/>
      <c r="B2297" s="81"/>
      <c r="C2297" s="81"/>
      <c r="D2297" s="288"/>
      <c r="E2297" s="290"/>
      <c r="F2297" s="291"/>
      <c r="G2297" s="32"/>
    </row>
    <row r="2298" spans="1:7">
      <c r="A2298" s="8"/>
      <c r="B2298" s="81"/>
      <c r="C2298" s="81"/>
      <c r="D2298" s="288"/>
      <c r="E2298" s="290"/>
      <c r="F2298" s="291"/>
      <c r="G2298" s="32"/>
    </row>
    <row r="2299" spans="1:7">
      <c r="A2299" s="8"/>
      <c r="B2299" s="81"/>
      <c r="C2299" s="81"/>
      <c r="D2299" s="288"/>
      <c r="E2299" s="290"/>
      <c r="F2299" s="291"/>
      <c r="G2299" s="32"/>
    </row>
    <row r="2300" spans="1:7">
      <c r="A2300" s="8"/>
      <c r="B2300" s="81"/>
      <c r="C2300" s="31"/>
      <c r="D2300" s="191"/>
      <c r="E2300" s="278"/>
      <c r="F2300" s="279"/>
      <c r="G2300" s="32"/>
    </row>
    <row r="2301" spans="1:7">
      <c r="A2301" s="8"/>
      <c r="B2301" s="1"/>
      <c r="C2301" s="31"/>
      <c r="D2301" s="31"/>
      <c r="E2301" s="278"/>
      <c r="F2301" s="281"/>
      <c r="G2301" s="32"/>
    </row>
    <row r="2302" spans="1:7">
      <c r="A2302" s="8"/>
      <c r="B2302" s="1"/>
      <c r="C2302" s="1"/>
      <c r="D2302" s="1"/>
      <c r="E2302" s="1"/>
      <c r="F2302" s="2"/>
    </row>
    <row r="2303" spans="1:7" ht="15.75" thickBot="1">
      <c r="A2303" s="9"/>
      <c r="B2303" s="3"/>
      <c r="C2303" s="3"/>
      <c r="D2303" s="3"/>
      <c r="E2303" s="3"/>
      <c r="F2303" s="4"/>
    </row>
    <row r="2304" spans="1:7" ht="16.5" thickTop="1" thickBot="1"/>
    <row r="2305" spans="1:7" ht="15.75" thickTop="1">
      <c r="A2305" s="3782" t="s">
        <v>0</v>
      </c>
      <c r="B2305" s="3781" t="s">
        <v>1</v>
      </c>
      <c r="C2305" s="3781" t="s">
        <v>2</v>
      </c>
      <c r="D2305" s="3781" t="s">
        <v>3</v>
      </c>
      <c r="E2305" s="3781" t="s">
        <v>4</v>
      </c>
      <c r="F2305" s="3765" t="s">
        <v>5</v>
      </c>
    </row>
    <row r="2306" spans="1:7" ht="15.75" thickBot="1">
      <c r="A2306" s="3783"/>
      <c r="B2306" s="3767"/>
      <c r="C2306" s="3767"/>
      <c r="D2306" s="3767"/>
      <c r="E2306" s="3767"/>
      <c r="F2306" s="3766"/>
    </row>
    <row r="2307" spans="1:7" ht="15.75" thickTop="1">
      <c r="A2307" s="277" t="s">
        <v>1728</v>
      </c>
      <c r="B2307" s="191" t="s">
        <v>120</v>
      </c>
      <c r="C2307" s="31" t="s">
        <v>436</v>
      </c>
      <c r="D2307" s="191"/>
      <c r="E2307" s="278"/>
      <c r="F2307" s="279">
        <v>1.22</v>
      </c>
      <c r="G2307" s="176">
        <v>1.52</v>
      </c>
    </row>
    <row r="2308" spans="1:7">
      <c r="A2308" s="280"/>
      <c r="B2308" s="31" t="s">
        <v>121</v>
      </c>
      <c r="C2308" s="31" t="s">
        <v>920</v>
      </c>
      <c r="D2308" s="191"/>
      <c r="E2308" s="278"/>
      <c r="F2308" s="279">
        <v>0.63</v>
      </c>
      <c r="G2308" s="176">
        <v>0.79</v>
      </c>
    </row>
    <row r="2309" spans="1:7">
      <c r="A2309" s="280"/>
      <c r="B2309" s="31" t="s">
        <v>123</v>
      </c>
      <c r="C2309" s="31" t="s">
        <v>1413</v>
      </c>
      <c r="D2309" s="191"/>
      <c r="E2309" s="278"/>
      <c r="F2309" s="279">
        <v>1.38</v>
      </c>
      <c r="G2309" s="176">
        <v>1.73</v>
      </c>
    </row>
    <row r="2310" spans="1:7">
      <c r="A2310" s="280"/>
      <c r="B2310" s="31" t="s">
        <v>122</v>
      </c>
      <c r="C2310" s="31" t="s">
        <v>1459</v>
      </c>
      <c r="D2310" s="191"/>
      <c r="E2310" s="278"/>
      <c r="F2310" s="279">
        <v>0.67</v>
      </c>
      <c r="G2310" s="176">
        <v>0.79</v>
      </c>
    </row>
    <row r="2311" spans="1:7">
      <c r="A2311" s="280"/>
      <c r="B2311" s="31"/>
      <c r="C2311" s="31" t="s">
        <v>1002</v>
      </c>
      <c r="D2311" s="191"/>
      <c r="E2311" s="278"/>
      <c r="F2311" s="279">
        <v>0.9</v>
      </c>
      <c r="G2311" s="176">
        <v>1.06</v>
      </c>
    </row>
    <row r="2312" spans="1:7">
      <c r="A2312" s="280"/>
      <c r="B2312" s="31"/>
      <c r="C2312" s="31" t="s">
        <v>385</v>
      </c>
      <c r="D2312" s="191"/>
      <c r="E2312" s="278"/>
      <c r="F2312" s="279">
        <v>0.86</v>
      </c>
      <c r="G2312" s="32"/>
    </row>
    <row r="2313" spans="1:7">
      <c r="A2313" s="280"/>
      <c r="B2313" s="31"/>
      <c r="C2313" s="31"/>
      <c r="D2313" s="191"/>
      <c r="E2313" s="278"/>
      <c r="F2313" s="279"/>
      <c r="G2313" s="32"/>
    </row>
    <row r="2314" spans="1:7">
      <c r="A2314" s="280"/>
      <c r="B2314" s="31"/>
      <c r="C2314" s="31"/>
      <c r="D2314" s="191"/>
      <c r="E2314" s="278"/>
      <c r="F2314" s="279"/>
      <c r="G2314" s="32"/>
    </row>
    <row r="2315" spans="1:7">
      <c r="A2315" s="8"/>
      <c r="B2315" s="81"/>
      <c r="C2315" s="31"/>
      <c r="D2315" s="191"/>
      <c r="E2315" s="278"/>
      <c r="F2315" s="279"/>
      <c r="G2315" s="32"/>
    </row>
    <row r="2316" spans="1:7">
      <c r="A2316" s="8"/>
      <c r="B2316" s="1"/>
      <c r="C2316" s="31"/>
      <c r="D2316" s="31"/>
      <c r="E2316" s="278"/>
      <c r="F2316" s="281"/>
      <c r="G2316" s="32"/>
    </row>
    <row r="2317" spans="1:7">
      <c r="A2317" s="8"/>
      <c r="B2317" s="1"/>
      <c r="C2317" s="1"/>
      <c r="D2317" s="1"/>
      <c r="E2317" s="1"/>
      <c r="F2317" s="2"/>
    </row>
    <row r="2318" spans="1:7" ht="15.75" thickBot="1">
      <c r="A2318" s="9"/>
      <c r="B2318" s="3"/>
      <c r="C2318" s="3"/>
      <c r="D2318" s="3"/>
      <c r="E2318" s="3"/>
      <c r="F2318" s="4"/>
    </row>
    <row r="2319" spans="1:7" ht="15.75" thickTop="1"/>
    <row r="2320" spans="1:7" ht="15.75" thickBot="1"/>
    <row r="2321" spans="1:7" ht="15.75" thickTop="1">
      <c r="A2321" s="3808" t="s">
        <v>0</v>
      </c>
      <c r="B2321" s="3804" t="s">
        <v>1</v>
      </c>
      <c r="C2321" s="3804" t="s">
        <v>2</v>
      </c>
      <c r="D2321" s="3804" t="s">
        <v>3</v>
      </c>
      <c r="E2321" s="3804" t="s">
        <v>4</v>
      </c>
      <c r="F2321" s="3806" t="s">
        <v>5</v>
      </c>
    </row>
    <row r="2322" spans="1:7" ht="15.75" thickBot="1">
      <c r="A2322" s="3809"/>
      <c r="B2322" s="3805"/>
      <c r="C2322" s="3805"/>
      <c r="D2322" s="3805"/>
      <c r="E2322" s="3805"/>
      <c r="F2322" s="3807"/>
    </row>
    <row r="2323" spans="1:7" ht="15.75" thickTop="1">
      <c r="A2323" s="277" t="s">
        <v>1707</v>
      </c>
      <c r="B2323" s="191" t="s">
        <v>1708</v>
      </c>
      <c r="C2323" s="31" t="s">
        <v>1345</v>
      </c>
      <c r="D2323" s="191"/>
      <c r="E2323" s="278"/>
      <c r="F2323" s="279">
        <v>1.47</v>
      </c>
      <c r="G2323" s="32"/>
    </row>
    <row r="2324" spans="1:7">
      <c r="A2324" s="280"/>
      <c r="B2324" s="31"/>
      <c r="C2324" s="31" t="s">
        <v>1355</v>
      </c>
      <c r="D2324" s="191"/>
      <c r="E2324" s="278"/>
      <c r="F2324" s="279">
        <v>1.47</v>
      </c>
      <c r="G2324" s="32"/>
    </row>
    <row r="2325" spans="1:7">
      <c r="A2325" s="280"/>
      <c r="B2325" s="31"/>
      <c r="C2325" s="31" t="s">
        <v>1413</v>
      </c>
      <c r="D2325" s="191"/>
      <c r="E2325" s="278"/>
      <c r="F2325" s="279">
        <v>1.47</v>
      </c>
      <c r="G2325" s="32"/>
    </row>
    <row r="2326" spans="1:7">
      <c r="A2326" s="280"/>
      <c r="B2326" s="31"/>
      <c r="C2326" s="31" t="s">
        <v>1429</v>
      </c>
      <c r="D2326" s="191"/>
      <c r="E2326" s="278"/>
      <c r="F2326" s="279">
        <v>1.47</v>
      </c>
      <c r="G2326" s="32"/>
    </row>
    <row r="2327" spans="1:7">
      <c r="A2327" s="280"/>
      <c r="B2327" s="31"/>
      <c r="C2327" s="31" t="s">
        <v>1362</v>
      </c>
      <c r="D2327" s="191"/>
      <c r="E2327" s="278"/>
      <c r="F2327" s="279">
        <v>5.27</v>
      </c>
      <c r="G2327" s="32">
        <f>F2327*1.2*10000</f>
        <v>63239.999999999993</v>
      </c>
    </row>
    <row r="2328" spans="1:7">
      <c r="A2328" s="280"/>
      <c r="B2328" s="31"/>
      <c r="C2328" s="31" t="s">
        <v>1376</v>
      </c>
      <c r="D2328" s="191"/>
      <c r="E2328" s="278"/>
      <c r="F2328" s="279">
        <v>5.27</v>
      </c>
    </row>
    <row r="2329" spans="1:7">
      <c r="A2329" s="280"/>
      <c r="B2329" s="31"/>
      <c r="C2329" s="31" t="s">
        <v>1363</v>
      </c>
      <c r="D2329" s="191"/>
      <c r="E2329" s="278"/>
      <c r="F2329" s="279">
        <v>5.27</v>
      </c>
    </row>
    <row r="2330" spans="1:7">
      <c r="A2330" s="280"/>
      <c r="B2330" s="31"/>
      <c r="C2330" s="31" t="s">
        <v>1374</v>
      </c>
      <c r="D2330" s="191"/>
      <c r="E2330" s="278"/>
      <c r="F2330" s="279">
        <v>0.87</v>
      </c>
      <c r="G2330" s="32">
        <f>F2330*1.2*10000</f>
        <v>10440</v>
      </c>
    </row>
    <row r="2331" spans="1:7">
      <c r="A2331" s="280"/>
      <c r="B2331" s="31"/>
      <c r="C2331" s="31" t="s">
        <v>1301</v>
      </c>
      <c r="D2331" s="191"/>
      <c r="E2331" s="278"/>
      <c r="F2331" s="279">
        <v>0.87</v>
      </c>
    </row>
    <row r="2332" spans="1:7">
      <c r="A2332" s="280"/>
      <c r="B2332" s="31"/>
      <c r="C2332" s="31" t="s">
        <v>1440</v>
      </c>
      <c r="D2332" s="31"/>
      <c r="E2332" s="31"/>
      <c r="F2332" s="279">
        <v>0.87</v>
      </c>
    </row>
    <row r="2333" spans="1:7">
      <c r="A2333" s="280"/>
      <c r="B2333" s="31"/>
      <c r="C2333" s="31"/>
      <c r="D2333" s="31"/>
      <c r="E2333" s="31"/>
      <c r="F2333" s="281"/>
    </row>
    <row r="2334" spans="1:7" ht="15.75" thickBot="1">
      <c r="A2334" s="282"/>
      <c r="B2334" s="283"/>
      <c r="C2334" s="283"/>
      <c r="D2334" s="283"/>
      <c r="E2334" s="283"/>
      <c r="F2334" s="284"/>
    </row>
    <row r="2335" spans="1:7" ht="15.75" thickTop="1"/>
    <row r="2336" spans="1:7" ht="15.75" thickBot="1"/>
    <row r="2337" spans="1:9" s="32" customFormat="1" ht="15.75" thickTop="1">
      <c r="A2337" s="3802" t="s">
        <v>0</v>
      </c>
      <c r="B2337" s="3799" t="s">
        <v>1</v>
      </c>
      <c r="C2337" s="3799" t="s">
        <v>2</v>
      </c>
      <c r="D2337" s="3799" t="s">
        <v>3</v>
      </c>
      <c r="E2337" s="3799" t="s">
        <v>4</v>
      </c>
      <c r="F2337" s="3800" t="s">
        <v>5</v>
      </c>
      <c r="I2337"/>
    </row>
    <row r="2338" spans="1:9" s="32" customFormat="1" ht="15.75" thickBot="1">
      <c r="A2338" s="3803"/>
      <c r="B2338" s="3780"/>
      <c r="C2338" s="3780"/>
      <c r="D2338" s="3780"/>
      <c r="E2338" s="3780"/>
      <c r="F2338" s="3801"/>
      <c r="I2338"/>
    </row>
    <row r="2339" spans="1:9" s="32" customFormat="1" ht="15.75" thickTop="1">
      <c r="A2339" s="289" t="s">
        <v>1713</v>
      </c>
      <c r="B2339" s="288" t="s">
        <v>460</v>
      </c>
      <c r="C2339" s="81" t="s">
        <v>385</v>
      </c>
      <c r="D2339" s="288"/>
      <c r="E2339" s="290"/>
      <c r="F2339" s="291">
        <v>0.89</v>
      </c>
      <c r="G2339" s="32">
        <v>0.99</v>
      </c>
      <c r="I2339"/>
    </row>
    <row r="2340" spans="1:9" s="32" customFormat="1">
      <c r="A2340" s="292"/>
      <c r="B2340" s="81"/>
      <c r="C2340" s="81" t="s">
        <v>387</v>
      </c>
      <c r="D2340" s="288"/>
      <c r="E2340" s="290"/>
      <c r="F2340" s="291">
        <v>0.89</v>
      </c>
      <c r="I2340"/>
    </row>
    <row r="2341" spans="1:9" s="32" customFormat="1">
      <c r="A2341" s="292"/>
      <c r="B2341" s="81"/>
      <c r="C2341" s="81" t="s">
        <v>1522</v>
      </c>
      <c r="D2341" s="288"/>
      <c r="E2341" s="290"/>
      <c r="F2341" s="291">
        <v>0.89</v>
      </c>
      <c r="I2341"/>
    </row>
    <row r="2342" spans="1:9" s="32" customFormat="1">
      <c r="A2342" s="292"/>
      <c r="B2342" s="81"/>
      <c r="C2342" s="81" t="s">
        <v>1714</v>
      </c>
      <c r="D2342" s="288"/>
      <c r="E2342" s="290"/>
      <c r="F2342" s="291">
        <v>1.06</v>
      </c>
      <c r="G2342" s="32">
        <v>1.18</v>
      </c>
      <c r="I2342"/>
    </row>
    <row r="2343" spans="1:9" s="32" customFormat="1">
      <c r="A2343" s="292"/>
      <c r="B2343" s="81"/>
      <c r="C2343" s="81" t="s">
        <v>1715</v>
      </c>
      <c r="D2343" s="288"/>
      <c r="E2343" s="290"/>
      <c r="F2343" s="291">
        <v>1.06</v>
      </c>
      <c r="I2343"/>
    </row>
    <row r="2344" spans="1:9" s="32" customFormat="1">
      <c r="A2344" s="292"/>
      <c r="B2344" s="81"/>
      <c r="C2344" s="81" t="s">
        <v>985</v>
      </c>
      <c r="D2344" s="288"/>
      <c r="E2344" s="290"/>
      <c r="F2344" s="291">
        <v>0.99</v>
      </c>
      <c r="G2344" s="32">
        <v>1.17</v>
      </c>
      <c r="I2344"/>
    </row>
    <row r="2345" spans="1:9" s="32" customFormat="1">
      <c r="A2345" s="292"/>
      <c r="B2345" s="81"/>
      <c r="C2345" s="81"/>
      <c r="D2345" s="288"/>
      <c r="E2345" s="290"/>
      <c r="F2345" s="291"/>
      <c r="I2345"/>
    </row>
    <row r="2346" spans="1:9" s="32" customFormat="1">
      <c r="A2346" s="292"/>
      <c r="B2346" s="81"/>
      <c r="C2346" s="81"/>
      <c r="D2346" s="288"/>
      <c r="E2346" s="290"/>
      <c r="F2346" s="291"/>
      <c r="I2346"/>
    </row>
    <row r="2347" spans="1:9" s="32" customFormat="1">
      <c r="A2347" s="292"/>
      <c r="B2347" s="81"/>
      <c r="C2347" s="81"/>
      <c r="D2347" s="288"/>
      <c r="E2347" s="290"/>
      <c r="F2347" s="291"/>
      <c r="I2347"/>
    </row>
    <row r="2348" spans="1:9" s="32" customFormat="1">
      <c r="A2348" s="292"/>
      <c r="B2348" s="81"/>
      <c r="C2348" s="81"/>
      <c r="D2348" s="81"/>
      <c r="E2348" s="81"/>
      <c r="F2348" s="291"/>
      <c r="I2348"/>
    </row>
    <row r="2349" spans="1:9" s="32" customFormat="1">
      <c r="A2349" s="292"/>
      <c r="B2349" s="81"/>
      <c r="C2349" s="81"/>
      <c r="D2349" s="81"/>
      <c r="E2349" s="81"/>
      <c r="F2349" s="293"/>
      <c r="I2349"/>
    </row>
    <row r="2350" spans="1:9" s="32" customFormat="1" ht="15.75" thickBot="1">
      <c r="A2350" s="382"/>
      <c r="B2350" s="383"/>
      <c r="C2350" s="383"/>
      <c r="D2350" s="383"/>
      <c r="E2350" s="383"/>
      <c r="F2350" s="384"/>
      <c r="I2350"/>
    </row>
    <row r="2351" spans="1:9" ht="16.5" thickTop="1" thickBot="1"/>
    <row r="2352" spans="1:9" ht="15.75" thickTop="1">
      <c r="A2352" s="3782" t="s">
        <v>0</v>
      </c>
      <c r="B2352" s="3781" t="s">
        <v>1</v>
      </c>
      <c r="C2352" s="3781" t="s">
        <v>2</v>
      </c>
      <c r="D2352" s="3781" t="s">
        <v>3</v>
      </c>
      <c r="E2352" s="3781" t="s">
        <v>4</v>
      </c>
      <c r="F2352" s="3765" t="s">
        <v>5</v>
      </c>
    </row>
    <row r="2353" spans="1:7" ht="15.75" thickBot="1">
      <c r="A2353" s="3783"/>
      <c r="B2353" s="3767"/>
      <c r="C2353" s="3767"/>
      <c r="D2353" s="3767"/>
      <c r="E2353" s="3767"/>
      <c r="F2353" s="3766"/>
    </row>
    <row r="2354" spans="1:7" ht="15.75" thickTop="1">
      <c r="A2354" s="7" t="s">
        <v>1719</v>
      </c>
      <c r="B2354" s="5" t="s">
        <v>181</v>
      </c>
      <c r="C2354" s="1" t="s">
        <v>1058</v>
      </c>
      <c r="D2354" s="5"/>
      <c r="E2354" s="290">
        <v>0.15</v>
      </c>
      <c r="F2354" s="380">
        <v>1.74</v>
      </c>
      <c r="G2354" s="32">
        <v>2.04</v>
      </c>
    </row>
    <row r="2355" spans="1:7">
      <c r="A2355" s="8"/>
      <c r="B2355" s="1" t="s">
        <v>366</v>
      </c>
      <c r="C2355" s="1"/>
      <c r="D2355" s="5"/>
      <c r="E2355" s="290"/>
      <c r="F2355" s="291"/>
      <c r="G2355" s="32"/>
    </row>
    <row r="2356" spans="1:7">
      <c r="A2356" s="8"/>
      <c r="B2356" s="1" t="s">
        <v>180</v>
      </c>
      <c r="C2356" s="1"/>
      <c r="D2356" s="5"/>
      <c r="E2356" s="290"/>
      <c r="F2356" s="291"/>
      <c r="G2356" s="32"/>
    </row>
    <row r="2357" spans="1:7">
      <c r="A2357" s="8"/>
      <c r="B2357" s="1" t="s">
        <v>135</v>
      </c>
      <c r="C2357" s="81"/>
      <c r="D2357" s="5"/>
      <c r="E2357" s="290"/>
      <c r="F2357" s="291"/>
      <c r="G2357" s="32"/>
    </row>
    <row r="2358" spans="1:7">
      <c r="A2358" s="8"/>
      <c r="B2358" s="1" t="s">
        <v>805</v>
      </c>
      <c r="C2358" s="81"/>
      <c r="D2358" s="5"/>
      <c r="E2358" s="290"/>
      <c r="F2358" s="291"/>
      <c r="G2358" s="32"/>
    </row>
    <row r="2359" spans="1:7">
      <c r="A2359" s="8"/>
      <c r="B2359" s="81"/>
      <c r="C2359" s="81"/>
      <c r="D2359" s="5"/>
      <c r="E2359" s="290"/>
      <c r="F2359" s="291"/>
      <c r="G2359" s="32"/>
    </row>
    <row r="2360" spans="1:7">
      <c r="A2360" s="8"/>
      <c r="B2360" s="81"/>
      <c r="C2360" s="81"/>
      <c r="D2360" s="5"/>
      <c r="E2360" s="343"/>
      <c r="F2360" s="293"/>
      <c r="G2360" s="32"/>
    </row>
    <row r="2361" spans="1:7">
      <c r="A2361" s="8"/>
      <c r="B2361" s="81"/>
      <c r="C2361" s="81"/>
      <c r="D2361" s="288"/>
      <c r="E2361" s="343"/>
      <c r="F2361" s="293"/>
    </row>
    <row r="2362" spans="1:7">
      <c r="A2362" s="8"/>
      <c r="B2362" s="81"/>
      <c r="C2362" s="81"/>
      <c r="D2362" s="288"/>
      <c r="E2362" s="343"/>
      <c r="F2362" s="293"/>
    </row>
    <row r="2363" spans="1:7">
      <c r="A2363" s="8"/>
      <c r="B2363" s="1"/>
      <c r="C2363" s="1"/>
      <c r="D2363" s="1"/>
      <c r="E2363" s="1"/>
      <c r="F2363" s="2"/>
    </row>
    <row r="2364" spans="1:7">
      <c r="A2364" s="8"/>
      <c r="B2364" s="1"/>
      <c r="C2364" s="1"/>
      <c r="D2364" s="1"/>
      <c r="E2364" s="1"/>
      <c r="F2364" s="2"/>
    </row>
    <row r="2365" spans="1:7" ht="15.75" thickBot="1">
      <c r="A2365" s="9"/>
      <c r="B2365" s="3"/>
      <c r="C2365" s="3"/>
      <c r="D2365" s="3"/>
      <c r="E2365" s="3"/>
      <c r="F2365" s="4"/>
    </row>
    <row r="2366" spans="1:7" ht="16.5" thickTop="1" thickBot="1"/>
    <row r="2367" spans="1:7" ht="15.75" thickTop="1">
      <c r="A2367" s="3808" t="s">
        <v>0</v>
      </c>
      <c r="B2367" s="3804" t="s">
        <v>1</v>
      </c>
      <c r="C2367" s="3804" t="s">
        <v>2</v>
      </c>
      <c r="D2367" s="3804" t="s">
        <v>3</v>
      </c>
      <c r="E2367" s="3804" t="s">
        <v>4</v>
      </c>
      <c r="F2367" s="3806" t="s">
        <v>5</v>
      </c>
    </row>
    <row r="2368" spans="1:7" ht="15.75" thickBot="1">
      <c r="A2368" s="3809"/>
      <c r="B2368" s="3805"/>
      <c r="C2368" s="3805"/>
      <c r="D2368" s="3805"/>
      <c r="E2368" s="3805"/>
      <c r="F2368" s="3807"/>
    </row>
    <row r="2369" spans="1:7" ht="15.75" thickTop="1">
      <c r="A2369" s="277" t="s">
        <v>1720</v>
      </c>
      <c r="B2369" s="191" t="s">
        <v>1708</v>
      </c>
      <c r="C2369" s="31" t="s">
        <v>226</v>
      </c>
      <c r="D2369" s="191"/>
      <c r="E2369" s="278"/>
      <c r="F2369" s="279">
        <v>0.73</v>
      </c>
      <c r="G2369" s="32"/>
    </row>
    <row r="2370" spans="1:7">
      <c r="A2370" s="280"/>
      <c r="B2370" s="31"/>
      <c r="C2370" s="31" t="s">
        <v>227</v>
      </c>
      <c r="D2370" s="191"/>
      <c r="E2370" s="278"/>
      <c r="F2370" s="279">
        <v>0.73</v>
      </c>
      <c r="G2370" s="32"/>
    </row>
    <row r="2371" spans="1:7">
      <c r="A2371" s="280"/>
      <c r="B2371" s="31"/>
      <c r="C2371" s="31" t="s">
        <v>228</v>
      </c>
      <c r="D2371" s="191"/>
      <c r="E2371" s="278"/>
      <c r="F2371" s="279">
        <v>0.73</v>
      </c>
      <c r="G2371" s="32"/>
    </row>
    <row r="2372" spans="1:7">
      <c r="A2372" s="280"/>
      <c r="B2372" s="31"/>
      <c r="C2372" s="31" t="s">
        <v>1315</v>
      </c>
      <c r="D2372" s="191"/>
      <c r="E2372" s="278"/>
      <c r="F2372" s="279">
        <v>1.29</v>
      </c>
      <c r="G2372" s="32"/>
    </row>
    <row r="2373" spans="1:7">
      <c r="A2373" s="280"/>
      <c r="B2373" s="31"/>
      <c r="C2373" s="31" t="s">
        <v>1316</v>
      </c>
      <c r="D2373" s="191"/>
      <c r="E2373" s="278"/>
      <c r="F2373" s="279">
        <v>1.29</v>
      </c>
      <c r="G2373" s="32"/>
    </row>
    <row r="2374" spans="1:7">
      <c r="A2374" s="280"/>
      <c r="B2374" s="31"/>
      <c r="C2374" s="31" t="s">
        <v>1317</v>
      </c>
      <c r="D2374" s="191"/>
      <c r="E2374" s="278"/>
      <c r="F2374" s="279">
        <v>1.29</v>
      </c>
    </row>
    <row r="2375" spans="1:7">
      <c r="A2375" s="280"/>
      <c r="B2375" s="31"/>
      <c r="C2375" s="31" t="s">
        <v>1374</v>
      </c>
      <c r="D2375" s="191"/>
      <c r="E2375" s="278"/>
      <c r="F2375" s="279">
        <v>0.87</v>
      </c>
      <c r="G2375">
        <f>F2375*1.2*10000</f>
        <v>10440</v>
      </c>
    </row>
    <row r="2376" spans="1:7">
      <c r="A2376" s="280"/>
      <c r="B2376" s="31"/>
      <c r="C2376" s="31" t="s">
        <v>1301</v>
      </c>
      <c r="D2376" s="191"/>
      <c r="E2376" s="278"/>
      <c r="F2376" s="279">
        <v>0.87</v>
      </c>
    </row>
    <row r="2377" spans="1:7">
      <c r="A2377" s="280"/>
      <c r="B2377" s="31"/>
      <c r="C2377" s="31" t="s">
        <v>1440</v>
      </c>
      <c r="D2377" s="31"/>
      <c r="E2377" s="31"/>
      <c r="F2377" s="279">
        <v>0.87</v>
      </c>
    </row>
    <row r="2378" spans="1:7">
      <c r="A2378" s="280"/>
      <c r="B2378" s="31"/>
      <c r="C2378" s="31"/>
      <c r="D2378" s="31"/>
      <c r="E2378" s="31"/>
      <c r="F2378" s="279"/>
    </row>
    <row r="2379" spans="1:7">
      <c r="A2379" s="280"/>
      <c r="B2379" s="31"/>
      <c r="C2379" s="31"/>
      <c r="D2379" s="31"/>
      <c r="E2379" s="31"/>
      <c r="F2379" s="281"/>
    </row>
    <row r="2380" spans="1:7" ht="15.75" thickBot="1">
      <c r="A2380" s="282"/>
      <c r="B2380" s="283"/>
      <c r="C2380" s="283"/>
      <c r="D2380" s="283"/>
      <c r="E2380" s="283"/>
      <c r="F2380" s="284"/>
    </row>
    <row r="2381" spans="1:7" ht="16.5" thickTop="1" thickBot="1"/>
    <row r="2382" spans="1:7" ht="15.75" thickTop="1">
      <c r="A2382" s="3782" t="s">
        <v>0</v>
      </c>
      <c r="B2382" s="3781" t="s">
        <v>1</v>
      </c>
      <c r="C2382" s="3781" t="s">
        <v>2</v>
      </c>
      <c r="D2382" s="3781" t="s">
        <v>3</v>
      </c>
      <c r="E2382" s="3781" t="s">
        <v>4</v>
      </c>
      <c r="F2382" s="3765" t="s">
        <v>5</v>
      </c>
    </row>
    <row r="2383" spans="1:7" ht="15.75" thickBot="1">
      <c r="A2383" s="3783"/>
      <c r="B2383" s="3767"/>
      <c r="C2383" s="3767"/>
      <c r="D2383" s="3767"/>
      <c r="E2383" s="3767"/>
      <c r="F2383" s="3766"/>
    </row>
    <row r="2384" spans="1:7" ht="15.75" thickTop="1">
      <c r="A2384" s="289" t="s">
        <v>1727</v>
      </c>
      <c r="B2384" s="288" t="s">
        <v>202</v>
      </c>
      <c r="C2384" s="81" t="s">
        <v>1317</v>
      </c>
      <c r="D2384" s="288"/>
      <c r="E2384" s="290">
        <v>0.32</v>
      </c>
      <c r="F2384" s="291">
        <v>0.96</v>
      </c>
      <c r="G2384" s="32">
        <v>1.42</v>
      </c>
    </row>
    <row r="2385" spans="1:8">
      <c r="A2385" s="292"/>
      <c r="B2385" s="81"/>
      <c r="C2385" s="81"/>
      <c r="D2385" s="288"/>
      <c r="E2385" s="290"/>
      <c r="F2385" s="291"/>
      <c r="G2385" s="32"/>
    </row>
    <row r="2386" spans="1:8">
      <c r="A2386" s="292"/>
      <c r="B2386" s="81"/>
      <c r="C2386" s="81"/>
      <c r="D2386" s="288"/>
      <c r="E2386" s="290"/>
      <c r="F2386" s="291"/>
      <c r="G2386" s="32"/>
    </row>
    <row r="2387" spans="1:8">
      <c r="A2387" s="292"/>
      <c r="B2387" s="81"/>
      <c r="C2387" s="81"/>
      <c r="D2387" s="288"/>
      <c r="E2387" s="290"/>
      <c r="F2387" s="291"/>
      <c r="G2387" s="32"/>
    </row>
    <row r="2388" spans="1:8">
      <c r="A2388" s="292"/>
      <c r="B2388" s="81"/>
      <c r="C2388" s="81"/>
      <c r="D2388" s="288"/>
      <c r="E2388" s="290"/>
      <c r="F2388" s="291"/>
      <c r="G2388" s="32"/>
    </row>
    <row r="2389" spans="1:8">
      <c r="A2389" s="292"/>
      <c r="B2389" s="81"/>
      <c r="C2389" s="81"/>
      <c r="D2389" s="288"/>
      <c r="E2389" s="290"/>
      <c r="F2389" s="291"/>
      <c r="G2389" s="32"/>
    </row>
    <row r="2390" spans="1:8">
      <c r="A2390" s="292"/>
      <c r="B2390" s="81"/>
      <c r="C2390" s="81"/>
      <c r="D2390" s="288"/>
      <c r="E2390" s="290"/>
      <c r="F2390" s="291"/>
      <c r="G2390" s="32"/>
    </row>
    <row r="2391" spans="1:8">
      <c r="A2391" s="292"/>
      <c r="B2391" s="81"/>
      <c r="C2391" s="81"/>
      <c r="D2391" s="288"/>
      <c r="E2391" s="290"/>
      <c r="F2391" s="291"/>
      <c r="G2391" s="32"/>
    </row>
    <row r="2392" spans="1:8">
      <c r="A2392" s="292"/>
      <c r="B2392" s="81"/>
      <c r="C2392" s="81"/>
      <c r="D2392" s="288"/>
      <c r="E2392" s="290"/>
      <c r="F2392" s="291"/>
      <c r="G2392" s="32"/>
    </row>
    <row r="2393" spans="1:8">
      <c r="A2393" s="292"/>
      <c r="B2393" s="81"/>
      <c r="C2393" s="81"/>
      <c r="D2393" s="81"/>
      <c r="E2393" s="290"/>
      <c r="F2393" s="293"/>
      <c r="G2393" s="32"/>
    </row>
    <row r="2394" spans="1:8">
      <c r="A2394" s="292"/>
      <c r="B2394" s="81"/>
      <c r="C2394" s="81"/>
      <c r="D2394" s="81"/>
      <c r="E2394" s="81"/>
      <c r="F2394" s="293"/>
    </row>
    <row r="2395" spans="1:8" ht="15.75" thickBot="1">
      <c r="A2395" s="9"/>
      <c r="B2395" s="3"/>
      <c r="C2395" s="3"/>
      <c r="D2395" s="3"/>
      <c r="E2395" s="3"/>
      <c r="F2395" s="4"/>
    </row>
    <row r="2396" spans="1:8" ht="16.5" thickTop="1" thickBot="1"/>
    <row r="2397" spans="1:8" ht="15.75" thickTop="1">
      <c r="A2397" s="3782" t="s">
        <v>0</v>
      </c>
      <c r="B2397" s="3781" t="s">
        <v>1</v>
      </c>
      <c r="C2397" s="3781" t="s">
        <v>2</v>
      </c>
      <c r="D2397" s="3781" t="s">
        <v>3</v>
      </c>
      <c r="E2397" s="3781" t="s">
        <v>4</v>
      </c>
      <c r="F2397" s="3765" t="s">
        <v>5</v>
      </c>
    </row>
    <row r="2398" spans="1:8" ht="15.75" thickBot="1">
      <c r="A2398" s="3783"/>
      <c r="B2398" s="3767"/>
      <c r="C2398" s="3767"/>
      <c r="D2398" s="3767"/>
      <c r="E2398" s="3767"/>
      <c r="F2398" s="3766"/>
    </row>
    <row r="2399" spans="1:8" ht="15.75" thickTop="1">
      <c r="A2399" s="289" t="s">
        <v>1727</v>
      </c>
      <c r="B2399" s="388" t="s">
        <v>409</v>
      </c>
      <c r="C2399" s="31" t="s">
        <v>1346</v>
      </c>
      <c r="D2399" s="191"/>
      <c r="E2399" s="278">
        <v>0.2</v>
      </c>
      <c r="F2399" s="279">
        <v>0.26</v>
      </c>
      <c r="G2399" s="32"/>
      <c r="H2399" s="32"/>
    </row>
    <row r="2400" spans="1:8">
      <c r="A2400" s="8"/>
      <c r="B2400" s="81" t="s">
        <v>392</v>
      </c>
      <c r="C2400" s="31" t="s">
        <v>1347</v>
      </c>
      <c r="D2400" s="191"/>
      <c r="E2400" s="278">
        <v>0.2</v>
      </c>
      <c r="F2400" s="279">
        <v>0.26</v>
      </c>
      <c r="G2400" s="32"/>
      <c r="H2400" s="32"/>
    </row>
    <row r="2401" spans="1:9">
      <c r="A2401" s="8"/>
      <c r="B2401" s="81" t="s">
        <v>534</v>
      </c>
      <c r="C2401" s="31" t="s">
        <v>1326</v>
      </c>
      <c r="D2401" s="191"/>
      <c r="E2401" s="278">
        <v>0.2</v>
      </c>
      <c r="F2401" s="279">
        <v>0.26</v>
      </c>
      <c r="G2401" s="32"/>
      <c r="H2401" s="32"/>
    </row>
    <row r="2402" spans="1:9">
      <c r="A2402" s="8"/>
      <c r="B2402" s="81" t="s">
        <v>535</v>
      </c>
      <c r="C2402" s="31" t="s">
        <v>1327</v>
      </c>
      <c r="D2402" s="191"/>
      <c r="E2402" s="278">
        <v>0.2</v>
      </c>
      <c r="F2402" s="279">
        <v>0.26</v>
      </c>
      <c r="G2402" s="32"/>
      <c r="H2402" s="32"/>
    </row>
    <row r="2403" spans="1:9">
      <c r="A2403" s="8"/>
      <c r="B2403" s="81" t="s">
        <v>921</v>
      </c>
      <c r="C2403" s="31" t="s">
        <v>1325</v>
      </c>
      <c r="D2403" s="191"/>
      <c r="E2403" s="278">
        <v>0.2</v>
      </c>
      <c r="F2403" s="279">
        <v>0.26</v>
      </c>
      <c r="G2403" s="32"/>
      <c r="H2403" s="32"/>
    </row>
    <row r="2404" spans="1:9">
      <c r="A2404" s="8"/>
      <c r="B2404" s="81"/>
      <c r="C2404" s="81" t="s">
        <v>1413</v>
      </c>
      <c r="D2404" s="288"/>
      <c r="E2404" s="290">
        <v>0.15</v>
      </c>
      <c r="F2404" s="291">
        <v>1.47</v>
      </c>
      <c r="G2404" s="32">
        <v>1.73</v>
      </c>
      <c r="H2404" s="32"/>
    </row>
    <row r="2405" spans="1:9">
      <c r="A2405" s="8"/>
      <c r="B2405" s="81"/>
      <c r="C2405" s="81" t="s">
        <v>1429</v>
      </c>
      <c r="D2405" s="288"/>
      <c r="E2405" s="290">
        <v>0.15</v>
      </c>
      <c r="F2405" s="291">
        <v>1.47</v>
      </c>
      <c r="G2405" s="32"/>
      <c r="H2405" s="32"/>
    </row>
    <row r="2406" spans="1:9">
      <c r="A2406" s="8"/>
      <c r="B2406" s="81"/>
      <c r="C2406" s="81" t="s">
        <v>1362</v>
      </c>
      <c r="D2406" s="288"/>
      <c r="E2406" s="290">
        <v>0.12</v>
      </c>
      <c r="F2406" s="291">
        <v>5.37</v>
      </c>
      <c r="G2406" s="32">
        <v>6.1</v>
      </c>
      <c r="H2406" s="32"/>
    </row>
    <row r="2407" spans="1:9">
      <c r="A2407" s="8"/>
      <c r="B2407" s="81"/>
      <c r="C2407" s="81" t="s">
        <v>1376</v>
      </c>
      <c r="D2407" s="288"/>
      <c r="E2407" s="290">
        <v>0.12</v>
      </c>
      <c r="F2407" s="291">
        <v>5.37</v>
      </c>
      <c r="G2407" s="32"/>
      <c r="H2407" s="32"/>
    </row>
    <row r="2408" spans="1:9">
      <c r="A2408" s="8"/>
      <c r="B2408" s="81"/>
      <c r="C2408" s="81" t="s">
        <v>1660</v>
      </c>
      <c r="D2408" s="81"/>
      <c r="E2408" s="343">
        <v>0.12</v>
      </c>
      <c r="F2408" s="291">
        <v>5.25</v>
      </c>
      <c r="G2408" s="32">
        <v>5.97</v>
      </c>
      <c r="H2408" s="32"/>
    </row>
    <row r="2409" spans="1:9">
      <c r="A2409" s="8"/>
      <c r="B2409" s="1"/>
      <c r="C2409" s="1" t="s">
        <v>1661</v>
      </c>
      <c r="D2409" s="1"/>
      <c r="E2409" s="343">
        <v>0.12</v>
      </c>
      <c r="F2409" s="2">
        <v>5.25</v>
      </c>
    </row>
    <row r="2410" spans="1:9" ht="15.75" thickBot="1">
      <c r="A2410" s="9"/>
      <c r="B2410" s="3"/>
      <c r="C2410" s="3"/>
      <c r="D2410" s="3"/>
      <c r="E2410" s="3"/>
      <c r="F2410" s="4"/>
    </row>
    <row r="2411" spans="1:9" ht="16.5" thickTop="1" thickBot="1"/>
    <row r="2412" spans="1:9" s="32" customFormat="1" ht="15.75" thickTop="1">
      <c r="A2412" s="3802" t="s">
        <v>0</v>
      </c>
      <c r="B2412" s="3799" t="s">
        <v>1</v>
      </c>
      <c r="C2412" s="3799" t="s">
        <v>2</v>
      </c>
      <c r="D2412" s="3799" t="s">
        <v>3</v>
      </c>
      <c r="E2412" s="3799" t="s">
        <v>4</v>
      </c>
      <c r="F2412" s="3800" t="s">
        <v>5</v>
      </c>
      <c r="I2412"/>
    </row>
    <row r="2413" spans="1:9" s="32" customFormat="1" ht="15.75" thickBot="1">
      <c r="A2413" s="3803"/>
      <c r="B2413" s="3780"/>
      <c r="C2413" s="3780"/>
      <c r="D2413" s="3780"/>
      <c r="E2413" s="3780"/>
      <c r="F2413" s="3801"/>
      <c r="I2413"/>
    </row>
    <row r="2414" spans="1:9" s="32" customFormat="1" ht="15.75" thickTop="1">
      <c r="A2414" s="277" t="s">
        <v>1729</v>
      </c>
      <c r="B2414" s="191" t="s">
        <v>120</v>
      </c>
      <c r="C2414" s="31" t="s">
        <v>623</v>
      </c>
      <c r="D2414" s="191"/>
      <c r="E2414" s="278">
        <v>0.32</v>
      </c>
      <c r="F2414" s="279">
        <v>1.84</v>
      </c>
      <c r="H2414" s="32" t="s">
        <v>418</v>
      </c>
      <c r="I2414"/>
    </row>
    <row r="2415" spans="1:9" s="32" customFormat="1">
      <c r="A2415" s="280"/>
      <c r="B2415" s="31" t="s">
        <v>121</v>
      </c>
      <c r="C2415" s="31" t="s">
        <v>485</v>
      </c>
      <c r="D2415" s="191"/>
      <c r="E2415" s="278">
        <v>0.15</v>
      </c>
      <c r="F2415" s="279">
        <v>0.89</v>
      </c>
      <c r="H2415" s="32" t="s">
        <v>418</v>
      </c>
      <c r="I2415"/>
    </row>
    <row r="2416" spans="1:9" s="32" customFormat="1">
      <c r="A2416" s="280"/>
      <c r="B2416" s="31" t="s">
        <v>123</v>
      </c>
      <c r="C2416" s="31" t="s">
        <v>486</v>
      </c>
      <c r="D2416" s="191"/>
      <c r="E2416" s="278">
        <v>0.15</v>
      </c>
      <c r="F2416" s="279">
        <v>0.89</v>
      </c>
      <c r="H2416" s="32" t="s">
        <v>418</v>
      </c>
      <c r="I2416"/>
    </row>
    <row r="2417" spans="1:9" s="32" customFormat="1">
      <c r="A2417" s="280"/>
      <c r="B2417" s="31" t="s">
        <v>122</v>
      </c>
      <c r="C2417" s="31" t="s">
        <v>1317</v>
      </c>
      <c r="D2417" s="191"/>
      <c r="E2417" s="278">
        <v>0.15</v>
      </c>
      <c r="F2417" s="279">
        <v>1.29</v>
      </c>
      <c r="H2417" s="32" t="s">
        <v>418</v>
      </c>
      <c r="I2417"/>
    </row>
    <row r="2418" spans="1:9" s="32" customFormat="1">
      <c r="A2418" s="280"/>
      <c r="B2418" s="31"/>
      <c r="C2418" s="31" t="s">
        <v>1301</v>
      </c>
      <c r="D2418" s="191"/>
      <c r="E2418" s="278">
        <v>0.15</v>
      </c>
      <c r="F2418" s="279">
        <v>0.82</v>
      </c>
      <c r="H2418" s="32" t="s">
        <v>418</v>
      </c>
      <c r="I2418"/>
    </row>
    <row r="2419" spans="1:9" s="32" customFormat="1">
      <c r="A2419" s="280"/>
      <c r="B2419" s="31"/>
      <c r="C2419" s="31" t="s">
        <v>730</v>
      </c>
      <c r="D2419" s="191"/>
      <c r="E2419" s="278">
        <v>0.15</v>
      </c>
      <c r="F2419" s="279">
        <v>0.7</v>
      </c>
      <c r="H2419" s="32" t="s">
        <v>418</v>
      </c>
      <c r="I2419"/>
    </row>
    <row r="2420" spans="1:9" s="32" customFormat="1">
      <c r="A2420" s="280"/>
      <c r="B2420" s="31"/>
      <c r="C2420" s="31" t="s">
        <v>554</v>
      </c>
      <c r="D2420" s="191"/>
      <c r="E2420" s="278">
        <v>0.15</v>
      </c>
      <c r="F2420" s="279">
        <v>1</v>
      </c>
      <c r="H2420" s="32" t="s">
        <v>418</v>
      </c>
      <c r="I2420"/>
    </row>
    <row r="2421" spans="1:9" s="32" customFormat="1">
      <c r="A2421" s="280"/>
      <c r="B2421" s="31"/>
      <c r="C2421" s="31" t="s">
        <v>226</v>
      </c>
      <c r="D2421" s="191"/>
      <c r="E2421" s="278">
        <v>0.15</v>
      </c>
      <c r="F2421" s="279">
        <v>0.73</v>
      </c>
      <c r="H2421" s="32" t="s">
        <v>418</v>
      </c>
      <c r="I2421"/>
    </row>
    <row r="2422" spans="1:9" s="32" customFormat="1">
      <c r="A2422" s="280"/>
      <c r="B2422" s="31"/>
      <c r="C2422" s="31" t="s">
        <v>1355</v>
      </c>
      <c r="D2422" s="191"/>
      <c r="E2422" s="278">
        <v>0.15</v>
      </c>
      <c r="F2422" s="279">
        <v>1.47</v>
      </c>
      <c r="H2422" s="32" t="s">
        <v>418</v>
      </c>
      <c r="I2422"/>
    </row>
    <row r="2423" spans="1:9" s="32" customFormat="1">
      <c r="A2423" s="280"/>
      <c r="B2423" s="31"/>
      <c r="C2423" s="31" t="s">
        <v>471</v>
      </c>
      <c r="D2423" s="191"/>
      <c r="E2423" s="278">
        <v>0.14000000000000001</v>
      </c>
      <c r="F2423" s="279">
        <v>0.65</v>
      </c>
      <c r="G2423" s="32">
        <v>0.76</v>
      </c>
      <c r="I2423"/>
    </row>
    <row r="2424" spans="1:9" s="32" customFormat="1">
      <c r="A2424" s="292"/>
      <c r="B2424" s="81"/>
      <c r="C2424" s="81"/>
      <c r="D2424" s="81"/>
      <c r="E2424" s="290"/>
      <c r="F2424" s="293"/>
      <c r="I2424"/>
    </row>
    <row r="2425" spans="1:9" s="32" customFormat="1">
      <c r="A2425" s="292"/>
      <c r="B2425" s="81"/>
      <c r="C2425" s="81"/>
      <c r="D2425" s="81"/>
      <c r="E2425" s="81"/>
      <c r="F2425" s="293"/>
      <c r="I2425"/>
    </row>
    <row r="2426" spans="1:9" s="32" customFormat="1" ht="15.75" thickBot="1">
      <c r="A2426" s="382"/>
      <c r="B2426" s="383"/>
      <c r="C2426" s="383"/>
      <c r="D2426" s="383"/>
      <c r="E2426" s="383"/>
      <c r="F2426" s="384"/>
      <c r="I2426"/>
    </row>
    <row r="2427" spans="1:9" ht="15.75" thickTop="1"/>
    <row r="2428" spans="1:9" ht="15.75" thickBot="1"/>
    <row r="2429" spans="1:9" s="32" customFormat="1" ht="15.75" thickTop="1">
      <c r="A2429" s="3802" t="s">
        <v>0</v>
      </c>
      <c r="B2429" s="3799" t="s">
        <v>1</v>
      </c>
      <c r="C2429" s="3799" t="s">
        <v>2</v>
      </c>
      <c r="D2429" s="3799" t="s">
        <v>3</v>
      </c>
      <c r="E2429" s="3799" t="s">
        <v>4</v>
      </c>
      <c r="F2429" s="3800" t="s">
        <v>5</v>
      </c>
      <c r="I2429"/>
    </row>
    <row r="2430" spans="1:9" s="32" customFormat="1" ht="15.75" thickBot="1">
      <c r="A2430" s="3803"/>
      <c r="B2430" s="3780"/>
      <c r="C2430" s="3780"/>
      <c r="D2430" s="3780"/>
      <c r="E2430" s="3780"/>
      <c r="F2430" s="3801"/>
      <c r="I2430"/>
    </row>
    <row r="2431" spans="1:9" s="32" customFormat="1" ht="15.75" thickTop="1">
      <c r="A2431" s="289" t="s">
        <v>1734</v>
      </c>
      <c r="B2431" s="288" t="s">
        <v>460</v>
      </c>
      <c r="C2431" s="81" t="s">
        <v>1376</v>
      </c>
      <c r="D2431" s="288"/>
      <c r="E2431" s="290"/>
      <c r="F2431" s="291">
        <v>5.34</v>
      </c>
      <c r="G2431" s="32">
        <v>6.07</v>
      </c>
      <c r="I2431"/>
    </row>
    <row r="2432" spans="1:9" s="32" customFormat="1">
      <c r="A2432" s="292"/>
      <c r="B2432" s="81"/>
      <c r="C2432" s="81" t="s">
        <v>1363</v>
      </c>
      <c r="D2432" s="288"/>
      <c r="E2432" s="290"/>
      <c r="F2432" s="291">
        <v>5.34</v>
      </c>
      <c r="I2432"/>
    </row>
    <row r="2433" spans="1:9" s="32" customFormat="1">
      <c r="A2433" s="292"/>
      <c r="B2433" s="81"/>
      <c r="C2433" s="81" t="s">
        <v>510</v>
      </c>
      <c r="D2433" s="288"/>
      <c r="E2433" s="290"/>
      <c r="F2433" s="291">
        <v>5.34</v>
      </c>
      <c r="I2433"/>
    </row>
    <row r="2434" spans="1:9" s="32" customFormat="1">
      <c r="A2434" s="292"/>
      <c r="B2434" s="81"/>
      <c r="C2434" s="81" t="s">
        <v>273</v>
      </c>
      <c r="D2434" s="288"/>
      <c r="E2434" s="290"/>
      <c r="F2434" s="291">
        <v>0.87</v>
      </c>
      <c r="G2434" s="32">
        <v>1.03</v>
      </c>
      <c r="I2434"/>
    </row>
    <row r="2435" spans="1:9" s="32" customFormat="1">
      <c r="A2435" s="292"/>
      <c r="B2435" s="81"/>
      <c r="C2435" s="81" t="s">
        <v>908</v>
      </c>
      <c r="D2435" s="288"/>
      <c r="E2435" s="290"/>
      <c r="F2435" s="291">
        <v>0.87</v>
      </c>
      <c r="I2435"/>
    </row>
    <row r="2436" spans="1:9" s="32" customFormat="1">
      <c r="A2436" s="292"/>
      <c r="B2436" s="81"/>
      <c r="C2436" s="81" t="s">
        <v>177</v>
      </c>
      <c r="D2436" s="288"/>
      <c r="E2436" s="290"/>
      <c r="F2436" s="291">
        <v>0.87</v>
      </c>
      <c r="I2436"/>
    </row>
    <row r="2437" spans="1:9" s="32" customFormat="1">
      <c r="A2437" s="292"/>
      <c r="B2437" s="81"/>
      <c r="C2437" s="81" t="s">
        <v>909</v>
      </c>
      <c r="D2437" s="288"/>
      <c r="E2437" s="290"/>
      <c r="F2437" s="291"/>
      <c r="I2437"/>
    </row>
    <row r="2438" spans="1:9" s="32" customFormat="1">
      <c r="A2438" s="292"/>
      <c r="B2438" s="81"/>
      <c r="C2438" s="81" t="s">
        <v>178</v>
      </c>
      <c r="D2438" s="288"/>
      <c r="E2438" s="290"/>
      <c r="F2438" s="291"/>
      <c r="I2438"/>
    </row>
    <row r="2439" spans="1:9" s="32" customFormat="1">
      <c r="A2439" s="292"/>
      <c r="B2439" s="81"/>
      <c r="C2439" s="81"/>
      <c r="D2439" s="288"/>
      <c r="E2439" s="290"/>
      <c r="F2439" s="291"/>
      <c r="I2439"/>
    </row>
    <row r="2440" spans="1:9" s="32" customFormat="1">
      <c r="A2440" s="292"/>
      <c r="B2440" s="81"/>
      <c r="C2440" s="81"/>
      <c r="D2440" s="81"/>
      <c r="E2440" s="81"/>
      <c r="F2440" s="291"/>
      <c r="I2440"/>
    </row>
    <row r="2441" spans="1:9" s="32" customFormat="1">
      <c r="A2441" s="292"/>
      <c r="B2441" s="81"/>
      <c r="C2441" s="81"/>
      <c r="D2441" s="81"/>
      <c r="E2441" s="81"/>
      <c r="F2441" s="293"/>
      <c r="I2441"/>
    </row>
    <row r="2442" spans="1:9" s="32" customFormat="1" ht="15.75" thickBot="1">
      <c r="A2442" s="382"/>
      <c r="B2442" s="383"/>
      <c r="C2442" s="383"/>
      <c r="D2442" s="383"/>
      <c r="E2442" s="383"/>
      <c r="F2442" s="384"/>
      <c r="I2442"/>
    </row>
    <row r="2443" spans="1:9" ht="16.5" thickTop="1" thickBot="1"/>
    <row r="2444" spans="1:9" ht="15.75" thickTop="1">
      <c r="A2444" s="3782" t="s">
        <v>0</v>
      </c>
      <c r="B2444" s="3781" t="s">
        <v>1</v>
      </c>
      <c r="C2444" s="3781" t="s">
        <v>2</v>
      </c>
      <c r="D2444" s="3781" t="s">
        <v>3</v>
      </c>
      <c r="E2444" s="3781" t="s">
        <v>4</v>
      </c>
      <c r="F2444" s="3765" t="s">
        <v>5</v>
      </c>
    </row>
    <row r="2445" spans="1:9" ht="15.75" thickBot="1">
      <c r="A2445" s="3783"/>
      <c r="B2445" s="3767"/>
      <c r="C2445" s="3767"/>
      <c r="D2445" s="3767"/>
      <c r="E2445" s="3767"/>
      <c r="F2445" s="3766"/>
    </row>
    <row r="2446" spans="1:9" ht="15.75" thickTop="1">
      <c r="A2446" s="289" t="s">
        <v>1737</v>
      </c>
      <c r="B2446" s="388" t="s">
        <v>409</v>
      </c>
      <c r="C2446" s="81" t="s">
        <v>1346</v>
      </c>
      <c r="D2446" s="288"/>
      <c r="E2446" s="290">
        <v>0.2</v>
      </c>
      <c r="F2446" s="291">
        <v>0.26</v>
      </c>
      <c r="G2446" s="32"/>
      <c r="H2446" s="32"/>
    </row>
    <row r="2447" spans="1:9">
      <c r="A2447" s="8"/>
      <c r="B2447" s="81" t="s">
        <v>392</v>
      </c>
      <c r="C2447" s="81" t="s">
        <v>1347</v>
      </c>
      <c r="D2447" s="288"/>
      <c r="E2447" s="290">
        <v>0.2</v>
      </c>
      <c r="F2447" s="291">
        <v>0.26</v>
      </c>
      <c r="G2447" s="32"/>
      <c r="H2447" s="32"/>
    </row>
    <row r="2448" spans="1:9">
      <c r="A2448" s="8"/>
      <c r="B2448" s="81" t="s">
        <v>534</v>
      </c>
      <c r="C2448" s="81" t="s">
        <v>1326</v>
      </c>
      <c r="D2448" s="288"/>
      <c r="E2448" s="290">
        <v>0.2</v>
      </c>
      <c r="F2448" s="291">
        <v>0.26</v>
      </c>
      <c r="G2448" s="32"/>
      <c r="H2448" s="32"/>
    </row>
    <row r="2449" spans="1:9">
      <c r="A2449" s="8"/>
      <c r="B2449" s="81" t="s">
        <v>535</v>
      </c>
      <c r="C2449" s="81" t="s">
        <v>1327</v>
      </c>
      <c r="D2449" s="288"/>
      <c r="E2449" s="290">
        <v>0.2</v>
      </c>
      <c r="F2449" s="291">
        <v>0.26</v>
      </c>
      <c r="G2449" s="32"/>
      <c r="H2449" s="32"/>
    </row>
    <row r="2450" spans="1:9">
      <c r="A2450" s="8"/>
      <c r="B2450" s="81" t="s">
        <v>921</v>
      </c>
      <c r="C2450" s="81" t="s">
        <v>1325</v>
      </c>
      <c r="D2450" s="288"/>
      <c r="E2450" s="290">
        <v>0.2</v>
      </c>
      <c r="F2450" s="291">
        <v>0.26</v>
      </c>
      <c r="G2450" s="32"/>
      <c r="H2450" s="32"/>
    </row>
    <row r="2451" spans="1:9">
      <c r="A2451" s="8"/>
      <c r="B2451" s="81"/>
      <c r="C2451" s="81" t="s">
        <v>1345</v>
      </c>
      <c r="D2451" s="288"/>
      <c r="E2451" s="290">
        <v>0.15</v>
      </c>
      <c r="F2451" s="291">
        <v>1.47</v>
      </c>
      <c r="G2451" s="32">
        <v>1.73</v>
      </c>
      <c r="H2451" s="32"/>
    </row>
    <row r="2452" spans="1:9">
      <c r="A2452" s="8"/>
      <c r="B2452" s="81"/>
      <c r="C2452" s="81" t="s">
        <v>1355</v>
      </c>
      <c r="D2452" s="288"/>
      <c r="E2452" s="290">
        <v>0.15</v>
      </c>
      <c r="F2452" s="291">
        <v>1.47</v>
      </c>
      <c r="G2452" s="32"/>
      <c r="H2452" s="32"/>
    </row>
    <row r="2453" spans="1:9">
      <c r="A2453" s="8"/>
      <c r="B2453" s="81"/>
      <c r="C2453" s="81" t="s">
        <v>730</v>
      </c>
      <c r="D2453" s="288"/>
      <c r="E2453" s="290">
        <v>0.15</v>
      </c>
      <c r="F2453" s="291">
        <v>0.7</v>
      </c>
      <c r="G2453" s="32">
        <v>0.82</v>
      </c>
      <c r="H2453" s="32"/>
    </row>
    <row r="2454" spans="1:9">
      <c r="A2454" s="8"/>
      <c r="B2454" s="81"/>
      <c r="C2454" s="81" t="s">
        <v>465</v>
      </c>
      <c r="D2454" s="288"/>
      <c r="E2454" s="290">
        <v>0.15</v>
      </c>
      <c r="F2454" s="291">
        <v>1.44</v>
      </c>
      <c r="G2454" s="32">
        <v>1.69</v>
      </c>
      <c r="H2454" s="32"/>
    </row>
    <row r="2455" spans="1:9">
      <c r="A2455" s="8"/>
      <c r="B2455" s="81"/>
      <c r="C2455" s="81" t="s">
        <v>870</v>
      </c>
      <c r="D2455" s="81"/>
      <c r="E2455" s="343">
        <v>0.13</v>
      </c>
      <c r="F2455" s="291">
        <v>1.07</v>
      </c>
      <c r="G2455" s="32">
        <v>1.23</v>
      </c>
      <c r="H2455" s="32"/>
    </row>
    <row r="2456" spans="1:9">
      <c r="A2456" s="8"/>
      <c r="B2456" s="1"/>
      <c r="C2456" s="1" t="s">
        <v>786</v>
      </c>
      <c r="D2456" s="1"/>
      <c r="E2456" s="343">
        <v>0.15</v>
      </c>
      <c r="F2456" s="2">
        <v>5.6</v>
      </c>
      <c r="G2456" s="32">
        <v>6.58</v>
      </c>
      <c r="H2456">
        <f>F2456*1.2</f>
        <v>6.72</v>
      </c>
    </row>
    <row r="2457" spans="1:9" ht="15.75" thickBot="1">
      <c r="A2457" s="9"/>
      <c r="B2457" s="3"/>
      <c r="C2457" s="3"/>
      <c r="D2457" s="3"/>
      <c r="E2457" s="3"/>
      <c r="F2457" s="4"/>
    </row>
    <row r="2458" spans="1:9" ht="16.5" thickTop="1" thickBot="1"/>
    <row r="2459" spans="1:9" s="32" customFormat="1" ht="15.75" thickTop="1">
      <c r="A2459" s="3802" t="s">
        <v>0</v>
      </c>
      <c r="B2459" s="3799" t="s">
        <v>1</v>
      </c>
      <c r="C2459" s="3799" t="s">
        <v>2</v>
      </c>
      <c r="D2459" s="3799" t="s">
        <v>3</v>
      </c>
      <c r="E2459" s="3799" t="s">
        <v>4</v>
      </c>
      <c r="F2459" s="3800" t="s">
        <v>5</v>
      </c>
      <c r="I2459"/>
    </row>
    <row r="2460" spans="1:9" s="32" customFormat="1" ht="15.75" thickBot="1">
      <c r="A2460" s="3803"/>
      <c r="B2460" s="3780"/>
      <c r="C2460" s="3780"/>
      <c r="D2460" s="3780"/>
      <c r="E2460" s="3780"/>
      <c r="F2460" s="3801"/>
      <c r="I2460"/>
    </row>
    <row r="2461" spans="1:9" s="32" customFormat="1" ht="15.75" thickTop="1">
      <c r="A2461" s="289" t="s">
        <v>1741</v>
      </c>
      <c r="B2461" s="288" t="s">
        <v>120</v>
      </c>
      <c r="C2461" s="81" t="s">
        <v>1090</v>
      </c>
      <c r="D2461" s="288"/>
      <c r="E2461" s="290"/>
      <c r="F2461" s="291">
        <v>1.1399999999999999</v>
      </c>
      <c r="I2461"/>
    </row>
    <row r="2462" spans="1:9" s="32" customFormat="1">
      <c r="A2462" s="292"/>
      <c r="B2462" s="81" t="s">
        <v>121</v>
      </c>
      <c r="C2462" s="81" t="s">
        <v>905</v>
      </c>
      <c r="D2462" s="288"/>
      <c r="E2462" s="290">
        <v>0.21</v>
      </c>
      <c r="F2462" s="291">
        <v>0.62</v>
      </c>
      <c r="G2462" s="32">
        <v>0.78</v>
      </c>
      <c r="I2462"/>
    </row>
    <row r="2463" spans="1:9" s="32" customFormat="1">
      <c r="A2463" s="292"/>
      <c r="B2463" s="81" t="s">
        <v>123</v>
      </c>
      <c r="C2463" s="81" t="s">
        <v>150</v>
      </c>
      <c r="D2463" s="288"/>
      <c r="E2463" s="290">
        <v>0.15</v>
      </c>
      <c r="F2463" s="291">
        <v>0.69</v>
      </c>
      <c r="G2463" s="32">
        <v>0.81</v>
      </c>
      <c r="H2463" s="32" t="s">
        <v>418</v>
      </c>
      <c r="I2463"/>
    </row>
    <row r="2464" spans="1:9" s="32" customFormat="1">
      <c r="A2464" s="292"/>
      <c r="B2464" s="81" t="s">
        <v>122</v>
      </c>
      <c r="C2464" s="81" t="s">
        <v>273</v>
      </c>
      <c r="D2464" s="288"/>
      <c r="E2464" s="290">
        <v>0.24</v>
      </c>
      <c r="F2464" s="291">
        <v>0.81</v>
      </c>
      <c r="G2464" s="32">
        <v>1.06</v>
      </c>
      <c r="I2464"/>
    </row>
    <row r="2465" spans="1:9" s="32" customFormat="1">
      <c r="A2465" s="292"/>
      <c r="B2465" s="81"/>
      <c r="C2465" s="81" t="s">
        <v>1374</v>
      </c>
      <c r="D2465" s="288"/>
      <c r="E2465" s="290">
        <v>0.16</v>
      </c>
      <c r="F2465" s="291">
        <v>0.81</v>
      </c>
      <c r="G2465" s="32">
        <v>0.97</v>
      </c>
      <c r="I2465"/>
    </row>
    <row r="2466" spans="1:9" s="32" customFormat="1">
      <c r="A2466" s="292"/>
      <c r="B2466" s="81"/>
      <c r="C2466" s="81" t="s">
        <v>1380</v>
      </c>
      <c r="D2466" s="288"/>
      <c r="E2466" s="290">
        <v>0.14000000000000001</v>
      </c>
      <c r="F2466" s="291">
        <v>0.77</v>
      </c>
      <c r="G2466" s="32">
        <v>0.9</v>
      </c>
      <c r="I2466"/>
    </row>
    <row r="2467" spans="1:9" s="32" customFormat="1">
      <c r="A2467" s="292"/>
      <c r="B2467" s="81"/>
      <c r="C2467" s="81" t="s">
        <v>1315</v>
      </c>
      <c r="D2467" s="288"/>
      <c r="E2467" s="290">
        <v>0.2</v>
      </c>
      <c r="F2467" s="291">
        <v>1.22</v>
      </c>
      <c r="G2467" s="32">
        <v>1.52</v>
      </c>
      <c r="I2467"/>
    </row>
    <row r="2468" spans="1:9" s="32" customFormat="1">
      <c r="A2468" s="292"/>
      <c r="B2468" s="81"/>
      <c r="C2468" s="81"/>
      <c r="D2468" s="288"/>
      <c r="E2468" s="290"/>
      <c r="F2468" s="291"/>
      <c r="I2468"/>
    </row>
    <row r="2469" spans="1:9" s="32" customFormat="1">
      <c r="A2469" s="292"/>
      <c r="B2469" s="81"/>
      <c r="C2469" s="81"/>
      <c r="D2469" s="288"/>
      <c r="E2469" s="290"/>
      <c r="F2469" s="291"/>
      <c r="I2469"/>
    </row>
    <row r="2470" spans="1:9" s="32" customFormat="1">
      <c r="A2470" s="292"/>
      <c r="B2470" s="81"/>
      <c r="C2470" s="81"/>
      <c r="D2470" s="288"/>
      <c r="E2470" s="290"/>
      <c r="F2470" s="291"/>
      <c r="I2470"/>
    </row>
    <row r="2471" spans="1:9" s="32" customFormat="1">
      <c r="A2471" s="292"/>
      <c r="B2471" s="81"/>
      <c r="C2471" s="81"/>
      <c r="D2471" s="81"/>
      <c r="E2471" s="290"/>
      <c r="F2471" s="293"/>
      <c r="I2471"/>
    </row>
    <row r="2472" spans="1:9" s="32" customFormat="1">
      <c r="A2472" s="292"/>
      <c r="B2472" s="81"/>
      <c r="C2472" s="81"/>
      <c r="D2472" s="81"/>
      <c r="E2472" s="81"/>
      <c r="F2472" s="293"/>
      <c r="I2472"/>
    </row>
    <row r="2473" spans="1:9" s="32" customFormat="1" ht="15.75" thickBot="1">
      <c r="A2473" s="382"/>
      <c r="B2473" s="383"/>
      <c r="C2473" s="383"/>
      <c r="D2473" s="383"/>
      <c r="E2473" s="383"/>
      <c r="F2473" s="384"/>
      <c r="I2473"/>
    </row>
    <row r="2474" spans="1:9" ht="16.5" thickTop="1" thickBot="1"/>
    <row r="2475" spans="1:9" ht="15.75" thickTop="1">
      <c r="A2475" s="3782" t="s">
        <v>0</v>
      </c>
      <c r="B2475" s="3781" t="s">
        <v>1</v>
      </c>
      <c r="C2475" s="3781" t="s">
        <v>2</v>
      </c>
      <c r="D2475" s="3781" t="s">
        <v>3</v>
      </c>
      <c r="E2475" s="3781" t="s">
        <v>4</v>
      </c>
      <c r="F2475" s="3765" t="s">
        <v>5</v>
      </c>
    </row>
    <row r="2476" spans="1:9" ht="15.75" thickBot="1">
      <c r="A2476" s="3783"/>
      <c r="B2476" s="3767"/>
      <c r="C2476" s="3767"/>
      <c r="D2476" s="3767"/>
      <c r="E2476" s="3767"/>
      <c r="F2476" s="3766"/>
    </row>
    <row r="2477" spans="1:9" ht="15.75" thickTop="1">
      <c r="A2477" s="7" t="s">
        <v>1742</v>
      </c>
      <c r="B2477" s="5" t="s">
        <v>181</v>
      </c>
      <c r="C2477" s="1" t="s">
        <v>554</v>
      </c>
      <c r="D2477" s="5"/>
      <c r="E2477" s="290">
        <v>0.15</v>
      </c>
      <c r="F2477" s="380">
        <v>1.08</v>
      </c>
      <c r="G2477" s="32">
        <v>1.27</v>
      </c>
    </row>
    <row r="2478" spans="1:9">
      <c r="A2478" s="8"/>
      <c r="B2478" s="1" t="s">
        <v>366</v>
      </c>
      <c r="C2478" s="1" t="s">
        <v>730</v>
      </c>
      <c r="D2478" s="5"/>
      <c r="E2478" s="290">
        <v>0.15</v>
      </c>
      <c r="F2478" s="291">
        <v>0.76</v>
      </c>
      <c r="G2478" s="32">
        <v>0.89</v>
      </c>
    </row>
    <row r="2479" spans="1:9">
      <c r="A2479" s="8"/>
      <c r="B2479" s="1" t="s">
        <v>180</v>
      </c>
      <c r="C2479" s="1"/>
      <c r="D2479" s="5"/>
      <c r="E2479" s="290"/>
      <c r="F2479" s="291"/>
      <c r="G2479" s="32"/>
    </row>
    <row r="2480" spans="1:9">
      <c r="A2480" s="8"/>
      <c r="B2480" s="1" t="s">
        <v>135</v>
      </c>
      <c r="C2480" s="81"/>
      <c r="D2480" s="5"/>
      <c r="E2480" s="290"/>
      <c r="F2480" s="291"/>
      <c r="G2480" s="32"/>
    </row>
    <row r="2481" spans="1:7">
      <c r="A2481" s="8"/>
      <c r="B2481" s="1" t="s">
        <v>805</v>
      </c>
      <c r="C2481" s="81"/>
      <c r="D2481" s="5"/>
      <c r="E2481" s="290"/>
      <c r="F2481" s="291"/>
      <c r="G2481" s="32"/>
    </row>
    <row r="2482" spans="1:7">
      <c r="A2482" s="8"/>
      <c r="B2482" s="81"/>
      <c r="C2482" s="81"/>
      <c r="D2482" s="5"/>
      <c r="E2482" s="290"/>
      <c r="F2482" s="291"/>
      <c r="G2482" s="32"/>
    </row>
    <row r="2483" spans="1:7">
      <c r="A2483" s="8"/>
      <c r="B2483" s="81"/>
      <c r="C2483" s="81"/>
      <c r="D2483" s="5"/>
      <c r="E2483" s="343"/>
      <c r="F2483" s="293"/>
      <c r="G2483" s="32"/>
    </row>
    <row r="2484" spans="1:7">
      <c r="A2484" s="8"/>
      <c r="B2484" s="81"/>
      <c r="C2484" s="81"/>
      <c r="D2484" s="288"/>
      <c r="E2484" s="343"/>
      <c r="F2484" s="293"/>
    </row>
    <row r="2485" spans="1:7">
      <c r="A2485" s="8"/>
      <c r="B2485" s="81"/>
      <c r="C2485" s="81"/>
      <c r="D2485" s="288"/>
      <c r="E2485" s="343"/>
      <c r="F2485" s="293"/>
    </row>
    <row r="2486" spans="1:7">
      <c r="A2486" s="8"/>
      <c r="B2486" s="1"/>
      <c r="C2486" s="1"/>
      <c r="D2486" s="1"/>
      <c r="E2486" s="1"/>
      <c r="F2486" s="2"/>
    </row>
    <row r="2487" spans="1:7">
      <c r="A2487" s="8"/>
      <c r="B2487" s="1"/>
      <c r="C2487" s="1"/>
      <c r="D2487" s="1"/>
      <c r="E2487" s="1"/>
      <c r="F2487" s="2"/>
    </row>
    <row r="2488" spans="1:7" ht="15.75" thickBot="1">
      <c r="A2488" s="9"/>
      <c r="B2488" s="3"/>
      <c r="C2488" s="3"/>
      <c r="D2488" s="3"/>
      <c r="E2488" s="3"/>
      <c r="F2488" s="4"/>
    </row>
    <row r="2489" spans="1:7" ht="16.5" thickTop="1" thickBot="1"/>
    <row r="2490" spans="1:7" ht="15.75" thickTop="1">
      <c r="A2490" s="3782" t="s">
        <v>0</v>
      </c>
      <c r="B2490" s="3781" t="s">
        <v>1</v>
      </c>
      <c r="C2490" s="3781" t="s">
        <v>2</v>
      </c>
      <c r="D2490" s="3781" t="s">
        <v>3</v>
      </c>
      <c r="E2490" s="3781" t="s">
        <v>4</v>
      </c>
      <c r="F2490" s="3765" t="s">
        <v>5</v>
      </c>
    </row>
    <row r="2491" spans="1:7" ht="15.75" thickBot="1">
      <c r="A2491" s="3783"/>
      <c r="B2491" s="3767"/>
      <c r="C2491" s="3767"/>
      <c r="D2491" s="3767"/>
      <c r="E2491" s="3767"/>
      <c r="F2491" s="3766"/>
    </row>
    <row r="2492" spans="1:7" ht="15.75" thickTop="1">
      <c r="A2492" s="289" t="s">
        <v>1749</v>
      </c>
      <c r="B2492" s="288" t="s">
        <v>202</v>
      </c>
      <c r="C2492" s="81" t="s">
        <v>623</v>
      </c>
      <c r="D2492" s="288"/>
      <c r="E2492" s="290">
        <v>0.25</v>
      </c>
      <c r="F2492" s="291">
        <v>1.85</v>
      </c>
      <c r="G2492" s="32">
        <v>2.46</v>
      </c>
    </row>
    <row r="2493" spans="1:7">
      <c r="A2493" s="292"/>
      <c r="B2493" s="81"/>
      <c r="C2493" s="81"/>
      <c r="D2493" s="288"/>
      <c r="E2493" s="290"/>
      <c r="F2493" s="291"/>
      <c r="G2493" s="32"/>
    </row>
    <row r="2494" spans="1:7">
      <c r="A2494" s="292"/>
      <c r="B2494" s="81"/>
      <c r="C2494" s="81"/>
      <c r="D2494" s="288"/>
      <c r="E2494" s="290"/>
      <c r="F2494" s="291"/>
      <c r="G2494" s="32"/>
    </row>
    <row r="2495" spans="1:7">
      <c r="A2495" s="292"/>
      <c r="B2495" s="81"/>
      <c r="C2495" s="81"/>
      <c r="D2495" s="288"/>
      <c r="E2495" s="290"/>
      <c r="F2495" s="291"/>
      <c r="G2495" s="32"/>
    </row>
    <row r="2496" spans="1:7">
      <c r="A2496" s="292"/>
      <c r="B2496" s="81"/>
      <c r="C2496" s="81"/>
      <c r="D2496" s="288"/>
      <c r="E2496" s="290"/>
      <c r="F2496" s="291"/>
      <c r="G2496" s="32"/>
    </row>
    <row r="2497" spans="1:7">
      <c r="A2497" s="292"/>
      <c r="B2497" s="81"/>
      <c r="C2497" s="81"/>
      <c r="D2497" s="288"/>
      <c r="E2497" s="290"/>
      <c r="F2497" s="291"/>
      <c r="G2497" s="32"/>
    </row>
    <row r="2498" spans="1:7">
      <c r="A2498" s="292"/>
      <c r="B2498" s="81"/>
      <c r="C2498" s="81"/>
      <c r="D2498" s="288"/>
      <c r="E2498" s="290"/>
      <c r="F2498" s="291"/>
      <c r="G2498" s="32"/>
    </row>
    <row r="2499" spans="1:7">
      <c r="A2499" s="292"/>
      <c r="B2499" s="81"/>
      <c r="C2499" s="81"/>
      <c r="D2499" s="288"/>
      <c r="E2499" s="290"/>
      <c r="F2499" s="291"/>
      <c r="G2499" s="32"/>
    </row>
    <row r="2500" spans="1:7">
      <c r="A2500" s="292"/>
      <c r="B2500" s="81"/>
      <c r="C2500" s="81"/>
      <c r="D2500" s="288"/>
      <c r="E2500" s="290"/>
      <c r="F2500" s="291"/>
      <c r="G2500" s="32"/>
    </row>
    <row r="2501" spans="1:7">
      <c r="A2501" s="292"/>
      <c r="B2501" s="81"/>
      <c r="C2501" s="81"/>
      <c r="D2501" s="81"/>
      <c r="E2501" s="290"/>
      <c r="F2501" s="293"/>
      <c r="G2501" s="32"/>
    </row>
    <row r="2502" spans="1:7">
      <c r="A2502" s="292"/>
      <c r="B2502" s="81"/>
      <c r="C2502" s="81"/>
      <c r="D2502" s="81"/>
      <c r="E2502" s="81"/>
      <c r="F2502" s="293"/>
    </row>
    <row r="2503" spans="1:7" ht="15.75" thickBot="1">
      <c r="A2503" s="9"/>
      <c r="B2503" s="3"/>
      <c r="C2503" s="3"/>
      <c r="D2503" s="3"/>
      <c r="E2503" s="3"/>
      <c r="F2503" s="4"/>
    </row>
    <row r="2504" spans="1:7" ht="16.5" thickTop="1" thickBot="1"/>
    <row r="2505" spans="1:7" ht="15.75" thickTop="1">
      <c r="A2505" s="3782" t="s">
        <v>0</v>
      </c>
      <c r="B2505" s="3781" t="s">
        <v>1</v>
      </c>
      <c r="C2505" s="3781" t="s">
        <v>2</v>
      </c>
      <c r="D2505" s="3781" t="s">
        <v>3</v>
      </c>
      <c r="E2505" s="3781" t="s">
        <v>4</v>
      </c>
      <c r="F2505" s="3765" t="s">
        <v>5</v>
      </c>
    </row>
    <row r="2506" spans="1:7" ht="15.75" thickBot="1">
      <c r="A2506" s="3783"/>
      <c r="B2506" s="3767"/>
      <c r="C2506" s="3767"/>
      <c r="D2506" s="3767"/>
      <c r="E2506" s="3767"/>
      <c r="F2506" s="3766"/>
    </row>
    <row r="2507" spans="1:7" ht="15.75" thickTop="1">
      <c r="A2507" s="7" t="s">
        <v>1753</v>
      </c>
      <c r="B2507" s="5" t="s">
        <v>181</v>
      </c>
      <c r="C2507" s="1" t="s">
        <v>1345</v>
      </c>
      <c r="D2507" s="5"/>
      <c r="E2507" s="290">
        <v>0.15</v>
      </c>
      <c r="F2507" s="380">
        <v>1.47</v>
      </c>
      <c r="G2507" s="32">
        <v>1.73</v>
      </c>
    </row>
    <row r="2508" spans="1:7">
      <c r="A2508" s="8"/>
      <c r="B2508" s="1" t="s">
        <v>366</v>
      </c>
      <c r="C2508" s="1" t="s">
        <v>1355</v>
      </c>
      <c r="D2508" s="5"/>
      <c r="E2508" s="290">
        <v>0.15</v>
      </c>
      <c r="F2508" s="291">
        <v>1.47</v>
      </c>
      <c r="G2508" s="32"/>
    </row>
    <row r="2509" spans="1:7">
      <c r="A2509" s="8"/>
      <c r="B2509" s="1" t="s">
        <v>180</v>
      </c>
      <c r="C2509" s="1" t="s">
        <v>1413</v>
      </c>
      <c r="D2509" s="5"/>
      <c r="E2509" s="290">
        <v>0.15</v>
      </c>
      <c r="F2509" s="291">
        <v>1.47</v>
      </c>
      <c r="G2509" s="32"/>
    </row>
    <row r="2510" spans="1:7">
      <c r="A2510" s="8"/>
      <c r="B2510" s="1" t="s">
        <v>135</v>
      </c>
      <c r="C2510" s="81" t="s">
        <v>1429</v>
      </c>
      <c r="D2510" s="5"/>
      <c r="E2510" s="290">
        <v>0.15</v>
      </c>
      <c r="F2510" s="291">
        <v>1.47</v>
      </c>
      <c r="G2510" s="32"/>
    </row>
    <row r="2511" spans="1:7">
      <c r="A2511" s="8"/>
      <c r="B2511" s="1" t="s">
        <v>805</v>
      </c>
      <c r="C2511" s="81"/>
      <c r="D2511" s="5"/>
      <c r="E2511" s="290"/>
      <c r="F2511" s="291"/>
      <c r="G2511" s="32"/>
    </row>
    <row r="2512" spans="1:7">
      <c r="A2512" s="8"/>
      <c r="B2512" s="81"/>
      <c r="C2512" s="81"/>
      <c r="D2512" s="5"/>
      <c r="E2512" s="290"/>
      <c r="F2512" s="291"/>
      <c r="G2512" s="32"/>
    </row>
    <row r="2513" spans="1:9">
      <c r="A2513" s="8"/>
      <c r="B2513" s="81"/>
      <c r="C2513" s="81"/>
      <c r="D2513" s="5"/>
      <c r="E2513" s="343"/>
      <c r="F2513" s="293"/>
      <c r="G2513" s="32"/>
    </row>
    <row r="2514" spans="1:9">
      <c r="A2514" s="8"/>
      <c r="B2514" s="81"/>
      <c r="C2514" s="81"/>
      <c r="D2514" s="288"/>
      <c r="E2514" s="343"/>
      <c r="F2514" s="293"/>
    </row>
    <row r="2515" spans="1:9">
      <c r="A2515" s="8"/>
      <c r="B2515" s="81"/>
      <c r="C2515" s="81"/>
      <c r="D2515" s="288"/>
      <c r="E2515" s="343"/>
      <c r="F2515" s="293"/>
    </row>
    <row r="2516" spans="1:9">
      <c r="A2516" s="8"/>
      <c r="B2516" s="1"/>
      <c r="C2516" s="1"/>
      <c r="D2516" s="1"/>
      <c r="E2516" s="1"/>
      <c r="F2516" s="2"/>
    </row>
    <row r="2517" spans="1:9">
      <c r="A2517" s="8"/>
      <c r="B2517" s="1"/>
      <c r="C2517" s="1"/>
      <c r="D2517" s="1"/>
      <c r="E2517" s="1"/>
      <c r="F2517" s="2"/>
    </row>
    <row r="2518" spans="1:9" ht="15.75" thickBot="1">
      <c r="A2518" s="9"/>
      <c r="B2518" s="3"/>
      <c r="C2518" s="3"/>
      <c r="D2518" s="3"/>
      <c r="E2518" s="3"/>
      <c r="F2518" s="4"/>
    </row>
    <row r="2519" spans="1:9" ht="16.5" thickTop="1" thickBot="1"/>
    <row r="2520" spans="1:9" s="32" customFormat="1" ht="15.75" thickTop="1">
      <c r="A2520" s="3802" t="s">
        <v>0</v>
      </c>
      <c r="B2520" s="3799" t="s">
        <v>1</v>
      </c>
      <c r="C2520" s="3799" t="s">
        <v>2</v>
      </c>
      <c r="D2520" s="3799" t="s">
        <v>3</v>
      </c>
      <c r="E2520" s="3799" t="s">
        <v>4</v>
      </c>
      <c r="F2520" s="3800" t="s">
        <v>5</v>
      </c>
      <c r="I2520"/>
    </row>
    <row r="2521" spans="1:9" s="32" customFormat="1" ht="15.75" thickBot="1">
      <c r="A2521" s="3803"/>
      <c r="B2521" s="3780"/>
      <c r="C2521" s="3780"/>
      <c r="D2521" s="3780"/>
      <c r="E2521" s="3780"/>
      <c r="F2521" s="3801"/>
      <c r="I2521"/>
    </row>
    <row r="2522" spans="1:9" s="32" customFormat="1" ht="15.75" thickTop="1">
      <c r="A2522" s="289" t="s">
        <v>1758</v>
      </c>
      <c r="B2522" s="288" t="s">
        <v>460</v>
      </c>
      <c r="C2522" s="81" t="s">
        <v>623</v>
      </c>
      <c r="D2522" s="288"/>
      <c r="E2522" s="290">
        <v>0.25</v>
      </c>
      <c r="F2522" s="291">
        <v>1.96</v>
      </c>
      <c r="G2522" s="32">
        <v>2.62</v>
      </c>
      <c r="I2522"/>
    </row>
    <row r="2523" spans="1:9" s="32" customFormat="1">
      <c r="A2523" s="292"/>
      <c r="B2523" s="81"/>
      <c r="C2523" s="81"/>
      <c r="D2523" s="288"/>
      <c r="E2523" s="290"/>
      <c r="F2523" s="291"/>
      <c r="I2523"/>
    </row>
    <row r="2524" spans="1:9" s="32" customFormat="1">
      <c r="A2524" s="292"/>
      <c r="B2524" s="81"/>
      <c r="C2524" s="81"/>
      <c r="D2524" s="288"/>
      <c r="E2524" s="290"/>
      <c r="F2524" s="291"/>
      <c r="I2524"/>
    </row>
    <row r="2525" spans="1:9" s="32" customFormat="1">
      <c r="A2525" s="292"/>
      <c r="B2525" s="81"/>
      <c r="C2525" s="81"/>
      <c r="D2525" s="288"/>
      <c r="E2525" s="290"/>
      <c r="F2525" s="291"/>
      <c r="I2525"/>
    </row>
    <row r="2526" spans="1:9" s="32" customFormat="1">
      <c r="A2526" s="292"/>
      <c r="B2526" s="81"/>
      <c r="C2526" s="81"/>
      <c r="D2526" s="288"/>
      <c r="E2526" s="290"/>
      <c r="F2526" s="291"/>
      <c r="I2526"/>
    </row>
    <row r="2527" spans="1:9" s="32" customFormat="1">
      <c r="A2527" s="292"/>
      <c r="B2527" s="81"/>
      <c r="C2527" s="81"/>
      <c r="D2527" s="288"/>
      <c r="E2527" s="290"/>
      <c r="F2527" s="291"/>
      <c r="I2527"/>
    </row>
    <row r="2528" spans="1:9" s="32" customFormat="1">
      <c r="A2528" s="292"/>
      <c r="B2528" s="81"/>
      <c r="C2528" s="81"/>
      <c r="D2528" s="288"/>
      <c r="E2528" s="290"/>
      <c r="F2528" s="291"/>
      <c r="I2528"/>
    </row>
    <row r="2529" spans="1:9" s="32" customFormat="1">
      <c r="A2529" s="292"/>
      <c r="B2529" s="81"/>
      <c r="C2529" s="81"/>
      <c r="D2529" s="288"/>
      <c r="E2529" s="290"/>
      <c r="F2529" s="291"/>
      <c r="I2529"/>
    </row>
    <row r="2530" spans="1:9" s="32" customFormat="1">
      <c r="A2530" s="292"/>
      <c r="B2530" s="81"/>
      <c r="C2530" s="81"/>
      <c r="D2530" s="288"/>
      <c r="E2530" s="290"/>
      <c r="F2530" s="291"/>
      <c r="I2530"/>
    </row>
    <row r="2531" spans="1:9" s="32" customFormat="1">
      <c r="A2531" s="292"/>
      <c r="B2531" s="81"/>
      <c r="C2531" s="81"/>
      <c r="D2531" s="81"/>
      <c r="E2531" s="81"/>
      <c r="F2531" s="291"/>
      <c r="I2531"/>
    </row>
    <row r="2532" spans="1:9" s="32" customFormat="1">
      <c r="A2532" s="292"/>
      <c r="B2532" s="81"/>
      <c r="C2532" s="81"/>
      <c r="D2532" s="81"/>
      <c r="E2532" s="81"/>
      <c r="F2532" s="293"/>
      <c r="I2532"/>
    </row>
    <row r="2533" spans="1:9" s="32" customFormat="1" ht="15.75" thickBot="1">
      <c r="A2533" s="382"/>
      <c r="B2533" s="383"/>
      <c r="C2533" s="383"/>
      <c r="D2533" s="383"/>
      <c r="E2533" s="383"/>
      <c r="F2533" s="384"/>
      <c r="I2533"/>
    </row>
    <row r="2534" spans="1:9" ht="16.5" thickTop="1" thickBot="1"/>
    <row r="2535" spans="1:9" ht="15.75" thickTop="1">
      <c r="A2535" s="3782" t="s">
        <v>0</v>
      </c>
      <c r="B2535" s="3781" t="s">
        <v>1</v>
      </c>
      <c r="C2535" s="3781" t="s">
        <v>2</v>
      </c>
      <c r="D2535" s="3781" t="s">
        <v>3</v>
      </c>
      <c r="E2535" s="3781" t="s">
        <v>4</v>
      </c>
      <c r="F2535" s="3765" t="s">
        <v>5</v>
      </c>
    </row>
    <row r="2536" spans="1:9" ht="15.75" thickBot="1">
      <c r="A2536" s="3783"/>
      <c r="B2536" s="3767"/>
      <c r="C2536" s="3767"/>
      <c r="D2536" s="3767"/>
      <c r="E2536" s="3767"/>
      <c r="F2536" s="3766"/>
    </row>
    <row r="2537" spans="1:9" ht="15.75" thickTop="1">
      <c r="A2537" s="289" t="s">
        <v>1765</v>
      </c>
      <c r="B2537" s="288" t="s">
        <v>202</v>
      </c>
      <c r="C2537" s="81" t="s">
        <v>1316</v>
      </c>
      <c r="D2537" s="288"/>
      <c r="E2537" s="290">
        <v>0.32</v>
      </c>
      <c r="F2537" s="291">
        <v>0.96</v>
      </c>
      <c r="G2537" s="32">
        <v>1.42</v>
      </c>
    </row>
    <row r="2538" spans="1:9">
      <c r="A2538" s="292"/>
      <c r="B2538" s="81"/>
      <c r="C2538" s="81" t="s">
        <v>1317</v>
      </c>
      <c r="D2538" s="288"/>
      <c r="E2538" s="290">
        <v>0.32</v>
      </c>
      <c r="F2538" s="291">
        <v>0.96</v>
      </c>
      <c r="G2538" s="32"/>
    </row>
    <row r="2539" spans="1:9">
      <c r="A2539" s="292"/>
      <c r="B2539" s="81"/>
      <c r="C2539" s="81"/>
      <c r="D2539" s="288"/>
      <c r="E2539" s="290"/>
      <c r="F2539" s="291"/>
      <c r="G2539" s="32"/>
    </row>
    <row r="2540" spans="1:9">
      <c r="A2540" s="292"/>
      <c r="B2540" s="81"/>
      <c r="C2540" s="81"/>
      <c r="D2540" s="288"/>
      <c r="E2540" s="290"/>
      <c r="F2540" s="291"/>
      <c r="G2540" s="32"/>
    </row>
    <row r="2541" spans="1:9">
      <c r="A2541" s="292"/>
      <c r="B2541" s="81"/>
      <c r="C2541" s="81"/>
      <c r="D2541" s="288"/>
      <c r="E2541" s="290"/>
      <c r="F2541" s="291"/>
      <c r="G2541" s="32"/>
    </row>
    <row r="2542" spans="1:9">
      <c r="A2542" s="292"/>
      <c r="B2542" s="81"/>
      <c r="C2542" s="81"/>
      <c r="D2542" s="288"/>
      <c r="E2542" s="290"/>
      <c r="F2542" s="291"/>
      <c r="G2542" s="32"/>
    </row>
    <row r="2543" spans="1:9">
      <c r="A2543" s="292"/>
      <c r="B2543" s="81"/>
      <c r="C2543" s="81"/>
      <c r="D2543" s="288"/>
      <c r="E2543" s="290"/>
      <c r="F2543" s="291"/>
      <c r="G2543" s="32"/>
    </row>
    <row r="2544" spans="1:9">
      <c r="A2544" s="292"/>
      <c r="B2544" s="81"/>
      <c r="C2544" s="81"/>
      <c r="D2544" s="288"/>
      <c r="E2544" s="290"/>
      <c r="F2544" s="291"/>
      <c r="G2544" s="32"/>
    </row>
    <row r="2545" spans="1:8">
      <c r="A2545" s="292"/>
      <c r="B2545" s="81"/>
      <c r="C2545" s="81"/>
      <c r="D2545" s="288"/>
      <c r="E2545" s="290"/>
      <c r="F2545" s="291"/>
      <c r="G2545" s="32"/>
    </row>
    <row r="2546" spans="1:8">
      <c r="A2546" s="292"/>
      <c r="B2546" s="81"/>
      <c r="C2546" s="81"/>
      <c r="D2546" s="81"/>
      <c r="E2546" s="290"/>
      <c r="F2546" s="293"/>
      <c r="G2546" s="32"/>
    </row>
    <row r="2547" spans="1:8">
      <c r="A2547" s="292"/>
      <c r="B2547" s="81"/>
      <c r="C2547" s="81"/>
      <c r="D2547" s="81"/>
      <c r="E2547" s="81"/>
      <c r="F2547" s="293"/>
    </row>
    <row r="2548" spans="1:8" ht="15.75" thickBot="1">
      <c r="A2548" s="9"/>
      <c r="B2548" s="3"/>
      <c r="C2548" s="3"/>
      <c r="D2548" s="3"/>
      <c r="E2548" s="3"/>
      <c r="F2548" s="4"/>
    </row>
    <row r="2549" spans="1:8" ht="16.5" thickTop="1" thickBot="1"/>
    <row r="2550" spans="1:8" ht="15.75" thickTop="1">
      <c r="A2550" s="3782" t="s">
        <v>0</v>
      </c>
      <c r="B2550" s="3781" t="s">
        <v>1</v>
      </c>
      <c r="C2550" s="3781" t="s">
        <v>2</v>
      </c>
      <c r="D2550" s="3781" t="s">
        <v>3</v>
      </c>
      <c r="E2550" s="3781" t="s">
        <v>4</v>
      </c>
      <c r="F2550" s="3765" t="s">
        <v>5</v>
      </c>
    </row>
    <row r="2551" spans="1:8" ht="15.75" thickBot="1">
      <c r="A2551" s="3783"/>
      <c r="B2551" s="3767"/>
      <c r="C2551" s="3767"/>
      <c r="D2551" s="3767"/>
      <c r="E2551" s="3767"/>
      <c r="F2551" s="3766"/>
    </row>
    <row r="2552" spans="1:8" ht="15.75" thickTop="1">
      <c r="A2552" s="289" t="s">
        <v>1765</v>
      </c>
      <c r="B2552" s="388" t="s">
        <v>409</v>
      </c>
      <c r="C2552" s="81" t="s">
        <v>1315</v>
      </c>
      <c r="D2552" s="288"/>
      <c r="E2552" s="290">
        <v>0.16</v>
      </c>
      <c r="F2552" s="291">
        <v>1.27</v>
      </c>
      <c r="G2552" s="32">
        <v>1.52</v>
      </c>
      <c r="H2552" s="32"/>
    </row>
    <row r="2553" spans="1:8">
      <c r="A2553" s="8"/>
      <c r="B2553" s="81" t="s">
        <v>392</v>
      </c>
      <c r="C2553" s="81" t="s">
        <v>1316</v>
      </c>
      <c r="D2553" s="288"/>
      <c r="E2553" s="290"/>
      <c r="F2553" s="291">
        <v>1.27</v>
      </c>
      <c r="G2553" s="32"/>
      <c r="H2553" s="32"/>
    </row>
    <row r="2554" spans="1:8">
      <c r="A2554" s="8"/>
      <c r="B2554" s="81" t="s">
        <v>534</v>
      </c>
      <c r="C2554" s="81" t="s">
        <v>1317</v>
      </c>
      <c r="D2554" s="288"/>
      <c r="E2554" s="290"/>
      <c r="F2554" s="291">
        <v>1.27</v>
      </c>
      <c r="G2554" s="32"/>
      <c r="H2554" s="32"/>
    </row>
    <row r="2555" spans="1:8">
      <c r="A2555" s="8"/>
      <c r="B2555" s="81" t="s">
        <v>535</v>
      </c>
      <c r="C2555" s="81"/>
      <c r="D2555" s="288"/>
      <c r="E2555" s="290"/>
      <c r="F2555" s="291"/>
      <c r="G2555" s="32"/>
      <c r="H2555" s="32"/>
    </row>
    <row r="2556" spans="1:8">
      <c r="A2556" s="8"/>
      <c r="B2556" s="81" t="s">
        <v>921</v>
      </c>
      <c r="C2556" s="81"/>
      <c r="D2556" s="288"/>
      <c r="E2556" s="290"/>
      <c r="F2556" s="291"/>
      <c r="G2556" s="32"/>
      <c r="H2556" s="32"/>
    </row>
    <row r="2557" spans="1:8">
      <c r="A2557" s="8"/>
      <c r="B2557" s="81"/>
      <c r="C2557" s="81"/>
      <c r="D2557" s="288"/>
      <c r="E2557" s="290"/>
      <c r="F2557" s="291"/>
      <c r="G2557" s="32"/>
      <c r="H2557" s="32"/>
    </row>
    <row r="2558" spans="1:8">
      <c r="A2558" s="8"/>
      <c r="B2558" s="81"/>
      <c r="C2558" s="81"/>
      <c r="D2558" s="288"/>
      <c r="E2558" s="290"/>
      <c r="F2558" s="291"/>
      <c r="G2558" s="32"/>
      <c r="H2558" s="32"/>
    </row>
    <row r="2559" spans="1:8">
      <c r="A2559" s="8"/>
      <c r="B2559" s="81"/>
      <c r="C2559" s="81"/>
      <c r="D2559" s="288"/>
      <c r="E2559" s="290"/>
      <c r="F2559" s="291"/>
      <c r="G2559" s="32"/>
      <c r="H2559" s="32"/>
    </row>
    <row r="2560" spans="1:8">
      <c r="A2560" s="8"/>
      <c r="B2560" s="81"/>
      <c r="C2560" s="81"/>
      <c r="D2560" s="288"/>
      <c r="E2560" s="290"/>
      <c r="F2560" s="291"/>
      <c r="G2560" s="32"/>
      <c r="H2560" s="32"/>
    </row>
    <row r="2561" spans="1:8">
      <c r="A2561" s="8"/>
      <c r="B2561" s="81"/>
      <c r="C2561" s="81"/>
      <c r="D2561" s="81"/>
      <c r="E2561" s="343"/>
      <c r="F2561" s="291"/>
      <c r="G2561" s="32"/>
      <c r="H2561" s="32"/>
    </row>
    <row r="2562" spans="1:8">
      <c r="A2562" s="8"/>
      <c r="B2562" s="1"/>
      <c r="C2562" s="1"/>
      <c r="D2562" s="1"/>
      <c r="E2562" s="343"/>
      <c r="F2562" s="2"/>
      <c r="G2562" s="32"/>
    </row>
    <row r="2563" spans="1:8" ht="15.75" thickBot="1">
      <c r="A2563" s="9"/>
      <c r="B2563" s="3"/>
      <c r="C2563" s="3"/>
      <c r="D2563" s="3"/>
      <c r="E2563" s="3"/>
      <c r="F2563" s="4"/>
    </row>
    <row r="2564" spans="1:8" ht="16.5" thickTop="1" thickBot="1"/>
    <row r="2565" spans="1:8" ht="15.75" thickTop="1">
      <c r="A2565" s="3782" t="s">
        <v>0</v>
      </c>
      <c r="B2565" s="3781" t="s">
        <v>1</v>
      </c>
      <c r="C2565" s="3781" t="s">
        <v>2</v>
      </c>
      <c r="D2565" s="3781" t="s">
        <v>3</v>
      </c>
      <c r="E2565" s="3781" t="s">
        <v>4</v>
      </c>
      <c r="F2565" s="3765" t="s">
        <v>5</v>
      </c>
    </row>
    <row r="2566" spans="1:8" ht="15.75" thickBot="1">
      <c r="A2566" s="3783"/>
      <c r="B2566" s="3767"/>
      <c r="C2566" s="3767"/>
      <c r="D2566" s="3767"/>
      <c r="E2566" s="3767"/>
      <c r="F2566" s="3766"/>
    </row>
    <row r="2567" spans="1:8" ht="15.75" thickTop="1">
      <c r="A2567" s="289" t="s">
        <v>1770</v>
      </c>
      <c r="B2567" s="288" t="s">
        <v>120</v>
      </c>
      <c r="C2567" s="81" t="s">
        <v>231</v>
      </c>
      <c r="D2567" s="288"/>
      <c r="E2567" s="290">
        <v>0.15</v>
      </c>
      <c r="F2567" s="291">
        <v>1.44</v>
      </c>
      <c r="G2567" s="32">
        <v>1.69</v>
      </c>
      <c r="H2567" s="32"/>
    </row>
    <row r="2568" spans="1:8">
      <c r="A2568" s="8"/>
      <c r="B2568" s="81" t="s">
        <v>121</v>
      </c>
      <c r="C2568" s="81" t="s">
        <v>149</v>
      </c>
      <c r="D2568" s="288"/>
      <c r="E2568" s="290">
        <v>0.15</v>
      </c>
      <c r="F2568" s="291">
        <v>0.68</v>
      </c>
      <c r="G2568" s="32">
        <v>0.8</v>
      </c>
      <c r="H2568" s="32"/>
    </row>
    <row r="2569" spans="1:8">
      <c r="A2569" s="8"/>
      <c r="B2569" s="81" t="s">
        <v>123</v>
      </c>
      <c r="C2569" s="81" t="s">
        <v>1345</v>
      </c>
      <c r="D2569" s="288"/>
      <c r="E2569" s="290">
        <v>0.15</v>
      </c>
      <c r="F2569" s="291">
        <v>1.47</v>
      </c>
      <c r="G2569" s="32">
        <v>1.73</v>
      </c>
      <c r="H2569" s="32"/>
    </row>
    <row r="2570" spans="1:8">
      <c r="A2570" s="8"/>
      <c r="B2570" s="81" t="s">
        <v>122</v>
      </c>
      <c r="C2570" s="81" t="s">
        <v>920</v>
      </c>
      <c r="D2570" s="288"/>
      <c r="E2570" s="290">
        <v>0.15</v>
      </c>
      <c r="F2570" s="291">
        <v>0.67</v>
      </c>
      <c r="G2570" s="32">
        <v>0.79</v>
      </c>
      <c r="H2570" s="32"/>
    </row>
    <row r="2571" spans="1:8">
      <c r="A2571" s="8"/>
      <c r="B2571" s="81"/>
      <c r="C2571" s="81" t="s">
        <v>53</v>
      </c>
      <c r="D2571" s="288"/>
      <c r="E2571" s="290">
        <v>0.17</v>
      </c>
      <c r="F2571" s="291">
        <v>0.76</v>
      </c>
      <c r="G2571" s="32">
        <v>0.92</v>
      </c>
      <c r="H2571" s="32"/>
    </row>
    <row r="2572" spans="1:8">
      <c r="A2572" s="8"/>
      <c r="B2572" s="81"/>
      <c r="C2572" s="81" t="s">
        <v>1522</v>
      </c>
      <c r="D2572" s="288"/>
      <c r="E2572" s="290">
        <v>0.17</v>
      </c>
      <c r="F2572" s="291">
        <v>0.82</v>
      </c>
      <c r="G2572" s="32">
        <v>0.99</v>
      </c>
      <c r="H2572" s="32"/>
    </row>
    <row r="2573" spans="1:8">
      <c r="A2573" s="8"/>
      <c r="B2573" s="81"/>
      <c r="C2573" s="81" t="s">
        <v>1612</v>
      </c>
      <c r="D2573" s="288"/>
      <c r="E2573" s="290">
        <v>0.2</v>
      </c>
      <c r="F2573" s="291">
        <v>0.66</v>
      </c>
      <c r="G2573" s="32">
        <v>0.83</v>
      </c>
      <c r="H2573" s="32"/>
    </row>
    <row r="2574" spans="1:8">
      <c r="A2574" s="8"/>
      <c r="B2574" s="81"/>
      <c r="C2574" s="81"/>
      <c r="D2574" s="288"/>
      <c r="E2574" s="290"/>
      <c r="F2574" s="291"/>
      <c r="G2574" s="32"/>
      <c r="H2574" s="32"/>
    </row>
    <row r="2575" spans="1:8">
      <c r="A2575" s="8"/>
      <c r="B2575" s="81"/>
      <c r="C2575" s="81"/>
      <c r="D2575" s="288"/>
      <c r="E2575" s="290"/>
      <c r="F2575" s="291"/>
      <c r="G2575" s="32"/>
      <c r="H2575" s="32"/>
    </row>
    <row r="2576" spans="1:8">
      <c r="A2576" s="8"/>
      <c r="B2576" s="81"/>
      <c r="C2576" s="81"/>
      <c r="D2576" s="81"/>
      <c r="E2576" s="343"/>
      <c r="F2576" s="291"/>
      <c r="G2576" s="32"/>
      <c r="H2576" s="32"/>
    </row>
    <row r="2577" spans="1:7">
      <c r="A2577" s="8"/>
      <c r="B2577" s="1"/>
      <c r="C2577" s="1"/>
      <c r="D2577" s="1"/>
      <c r="E2577" s="343"/>
      <c r="F2577" s="2"/>
      <c r="G2577" s="32"/>
    </row>
    <row r="2578" spans="1:7" ht="15.75" thickBot="1">
      <c r="A2578" s="9"/>
      <c r="B2578" s="3"/>
      <c r="C2578" s="3"/>
      <c r="D2578" s="3"/>
      <c r="E2578" s="3"/>
      <c r="F2578" s="4"/>
    </row>
    <row r="2579" spans="1:7" ht="16.5" thickTop="1" thickBot="1"/>
    <row r="2580" spans="1:7" ht="15.75" thickTop="1">
      <c r="A2580" s="3782" t="s">
        <v>0</v>
      </c>
      <c r="B2580" s="3781" t="s">
        <v>1</v>
      </c>
      <c r="C2580" s="3781" t="s">
        <v>2</v>
      </c>
      <c r="D2580" s="3781" t="s">
        <v>3</v>
      </c>
      <c r="E2580" s="3781" t="s">
        <v>4</v>
      </c>
      <c r="F2580" s="3765" t="s">
        <v>5</v>
      </c>
    </row>
    <row r="2581" spans="1:7" ht="15.75" thickBot="1">
      <c r="A2581" s="3783"/>
      <c r="B2581" s="3767"/>
      <c r="C2581" s="3767"/>
      <c r="D2581" s="3767"/>
      <c r="E2581" s="3767"/>
      <c r="F2581" s="3766"/>
    </row>
    <row r="2582" spans="1:7" ht="15.75" thickTop="1">
      <c r="A2582" s="289" t="s">
        <v>1788</v>
      </c>
      <c r="B2582" s="288" t="s">
        <v>120</v>
      </c>
      <c r="C2582" s="81" t="s">
        <v>1301</v>
      </c>
      <c r="D2582" s="288"/>
      <c r="E2582" s="290">
        <f t="shared" ref="E2582:E2590" si="2">F2582/G2582</f>
        <v>0.89690721649484539</v>
      </c>
      <c r="F2582" s="391">
        <v>0.87</v>
      </c>
      <c r="G2582" s="32">
        <v>0.97</v>
      </c>
    </row>
    <row r="2583" spans="1:7">
      <c r="A2583" s="8"/>
      <c r="B2583" s="81" t="s">
        <v>121</v>
      </c>
      <c r="C2583" s="81" t="s">
        <v>554</v>
      </c>
      <c r="D2583" s="288"/>
      <c r="E2583" s="290">
        <f t="shared" si="2"/>
        <v>0.79661016949152541</v>
      </c>
      <c r="F2583" s="391">
        <v>0.94</v>
      </c>
      <c r="G2583" s="32">
        <v>1.18</v>
      </c>
    </row>
    <row r="2584" spans="1:7">
      <c r="A2584" s="8"/>
      <c r="B2584" s="81" t="s">
        <v>123</v>
      </c>
      <c r="C2584" s="81" t="s">
        <v>730</v>
      </c>
      <c r="D2584" s="288"/>
      <c r="E2584" s="290">
        <f t="shared" si="2"/>
        <v>0.80487804878048785</v>
      </c>
      <c r="F2584" s="391">
        <v>0.66</v>
      </c>
      <c r="G2584" s="32">
        <v>0.82</v>
      </c>
    </row>
    <row r="2585" spans="1:7">
      <c r="A2585" s="8"/>
      <c r="B2585" s="81" t="s">
        <v>122</v>
      </c>
      <c r="C2585" s="81" t="s">
        <v>228</v>
      </c>
      <c r="D2585" s="288"/>
      <c r="E2585" s="290">
        <f t="shared" si="2"/>
        <v>0.89534883720930236</v>
      </c>
      <c r="F2585" s="391">
        <v>0.77</v>
      </c>
      <c r="G2585" s="32">
        <v>0.86</v>
      </c>
    </row>
    <row r="2586" spans="1:7">
      <c r="A2586" s="8"/>
      <c r="B2586" s="81"/>
      <c r="C2586" s="81" t="s">
        <v>1317</v>
      </c>
      <c r="D2586" s="288"/>
      <c r="E2586" s="290">
        <f t="shared" si="2"/>
        <v>0.80263157894736836</v>
      </c>
      <c r="F2586" s="391">
        <v>1.22</v>
      </c>
      <c r="G2586" s="32">
        <v>1.52</v>
      </c>
    </row>
    <row r="2587" spans="1:7">
      <c r="A2587" s="8"/>
      <c r="B2587" s="81"/>
      <c r="C2587" s="81" t="s">
        <v>905</v>
      </c>
      <c r="D2587" s="288"/>
      <c r="E2587" s="290">
        <f t="shared" si="2"/>
        <v>0.79487179487179482</v>
      </c>
      <c r="F2587" s="391">
        <v>0.62</v>
      </c>
      <c r="G2587" s="32">
        <v>0.78</v>
      </c>
    </row>
    <row r="2588" spans="1:7">
      <c r="A2588" s="8"/>
      <c r="B2588" s="81"/>
      <c r="C2588" s="81" t="s">
        <v>1141</v>
      </c>
      <c r="D2588" s="288"/>
      <c r="E2588" s="290">
        <f t="shared" si="2"/>
        <v>0.9</v>
      </c>
      <c r="F2588" s="391">
        <v>0.45</v>
      </c>
      <c r="G2588" s="32">
        <v>0.5</v>
      </c>
    </row>
    <row r="2589" spans="1:7">
      <c r="A2589" s="8"/>
      <c r="B2589" s="81"/>
      <c r="C2589" s="81" t="s">
        <v>1789</v>
      </c>
      <c r="D2589" s="288"/>
      <c r="E2589" s="290">
        <f t="shared" si="2"/>
        <v>0.89743589743589736</v>
      </c>
      <c r="F2589" s="391">
        <v>0.35</v>
      </c>
      <c r="G2589" s="32">
        <v>0.39</v>
      </c>
    </row>
    <row r="2590" spans="1:7">
      <c r="A2590" s="8"/>
      <c r="B2590" s="81"/>
      <c r="C2590" s="81" t="s">
        <v>685</v>
      </c>
      <c r="D2590" s="288"/>
      <c r="E2590" s="290">
        <f t="shared" si="2"/>
        <v>0.79611650485436891</v>
      </c>
      <c r="F2590" s="391">
        <v>0.82</v>
      </c>
      <c r="G2590" s="32">
        <v>1.03</v>
      </c>
    </row>
    <row r="2591" spans="1:7">
      <c r="A2591" s="8"/>
      <c r="B2591" s="81"/>
      <c r="C2591" s="81"/>
      <c r="D2591" s="81"/>
      <c r="E2591" s="343"/>
      <c r="F2591" s="291"/>
    </row>
    <row r="2592" spans="1:7">
      <c r="A2592" s="8"/>
      <c r="B2592" s="1"/>
      <c r="C2592" s="1"/>
      <c r="D2592" s="1"/>
      <c r="E2592" s="343"/>
      <c r="F2592" s="2"/>
    </row>
    <row r="2593" spans="1:7" ht="15.75" thickBot="1">
      <c r="A2593" s="9"/>
      <c r="B2593" s="3"/>
      <c r="C2593" s="3"/>
      <c r="D2593" s="3"/>
      <c r="E2593" s="3"/>
      <c r="F2593" s="4"/>
    </row>
    <row r="2594" spans="1:7" ht="15.75" thickTop="1"/>
    <row r="2595" spans="1:7" ht="15.75" thickBot="1"/>
    <row r="2596" spans="1:7" ht="15.75" thickTop="1">
      <c r="A2596" s="3782" t="s">
        <v>0</v>
      </c>
      <c r="B2596" s="3781" t="s">
        <v>1</v>
      </c>
      <c r="C2596" s="3781" t="s">
        <v>2</v>
      </c>
      <c r="D2596" s="3781" t="s">
        <v>3</v>
      </c>
      <c r="E2596" s="3781" t="s">
        <v>4</v>
      </c>
      <c r="F2596" s="3765" t="s">
        <v>5</v>
      </c>
    </row>
    <row r="2597" spans="1:7" ht="15.75" thickBot="1">
      <c r="A2597" s="3783"/>
      <c r="B2597" s="3767"/>
      <c r="C2597" s="3767"/>
      <c r="D2597" s="3767"/>
      <c r="E2597" s="3767"/>
      <c r="F2597" s="3766"/>
    </row>
    <row r="2598" spans="1:7" ht="15.75" thickTop="1">
      <c r="A2598" s="289" t="s">
        <v>1790</v>
      </c>
      <c r="B2598" s="288" t="s">
        <v>1708</v>
      </c>
      <c r="C2598" s="81" t="s">
        <v>1345</v>
      </c>
      <c r="D2598" s="288"/>
      <c r="E2598" s="290"/>
      <c r="F2598" s="391">
        <v>1.47</v>
      </c>
      <c r="G2598">
        <v>1.73</v>
      </c>
    </row>
    <row r="2599" spans="1:7">
      <c r="A2599" s="8"/>
      <c r="B2599" s="81"/>
      <c r="C2599" s="81" t="s">
        <v>1413</v>
      </c>
      <c r="D2599" s="288"/>
      <c r="E2599" s="290"/>
      <c r="F2599" s="391">
        <v>1.47</v>
      </c>
      <c r="G2599">
        <v>1.73</v>
      </c>
    </row>
    <row r="2600" spans="1:7">
      <c r="A2600" s="8"/>
      <c r="B2600" s="81"/>
      <c r="C2600" s="81" t="s">
        <v>1355</v>
      </c>
      <c r="D2600" s="288"/>
      <c r="E2600" s="290"/>
      <c r="F2600" s="391">
        <v>1.47</v>
      </c>
      <c r="G2600">
        <v>1.73</v>
      </c>
    </row>
    <row r="2601" spans="1:7">
      <c r="A2601" s="8"/>
      <c r="B2601" s="81"/>
      <c r="C2601" s="81" t="s">
        <v>1429</v>
      </c>
      <c r="D2601" s="288"/>
      <c r="E2601" s="290"/>
      <c r="F2601" s="391">
        <v>1.47</v>
      </c>
      <c r="G2601">
        <v>1.73</v>
      </c>
    </row>
    <row r="2602" spans="1:7">
      <c r="A2602" s="8"/>
      <c r="B2602" s="81"/>
      <c r="C2602" s="81" t="s">
        <v>1791</v>
      </c>
      <c r="D2602" s="288"/>
      <c r="E2602" s="290"/>
      <c r="F2602" s="391">
        <v>1.85</v>
      </c>
      <c r="G2602">
        <v>2.1800000000000002</v>
      </c>
    </row>
    <row r="2603" spans="1:7">
      <c r="A2603" s="8"/>
      <c r="B2603" s="81"/>
      <c r="C2603" s="81" t="s">
        <v>1376</v>
      </c>
      <c r="D2603" s="288"/>
      <c r="E2603" s="290"/>
      <c r="F2603" s="391">
        <v>5.27</v>
      </c>
      <c r="G2603">
        <v>6.2</v>
      </c>
    </row>
    <row r="2604" spans="1:7">
      <c r="A2604" s="8"/>
      <c r="B2604" s="81"/>
      <c r="C2604" s="81" t="s">
        <v>1362</v>
      </c>
      <c r="D2604" s="288"/>
      <c r="E2604" s="290"/>
      <c r="F2604" s="391">
        <v>5.27</v>
      </c>
      <c r="G2604">
        <v>6.2</v>
      </c>
    </row>
    <row r="2605" spans="1:7">
      <c r="A2605" s="8"/>
      <c r="B2605" s="81"/>
      <c r="C2605" s="81" t="s">
        <v>1363</v>
      </c>
      <c r="D2605" s="288"/>
      <c r="E2605" s="290"/>
      <c r="F2605" s="391">
        <v>5.27</v>
      </c>
      <c r="G2605">
        <v>6.2</v>
      </c>
    </row>
    <row r="2606" spans="1:7">
      <c r="A2606" s="8"/>
      <c r="B2606" s="81"/>
      <c r="C2606" s="81" t="s">
        <v>1283</v>
      </c>
      <c r="D2606" s="288"/>
      <c r="E2606" s="290"/>
      <c r="F2606" s="391">
        <v>1.5</v>
      </c>
      <c r="G2606">
        <v>1.76</v>
      </c>
    </row>
    <row r="2607" spans="1:7">
      <c r="A2607" s="8"/>
      <c r="B2607" s="81"/>
      <c r="C2607" s="81" t="s">
        <v>517</v>
      </c>
      <c r="D2607" s="81"/>
      <c r="E2607" s="343"/>
      <c r="F2607" s="291">
        <v>1.03</v>
      </c>
      <c r="G2607">
        <v>1.21</v>
      </c>
    </row>
    <row r="2608" spans="1:7">
      <c r="A2608" s="8"/>
      <c r="B2608" s="1"/>
      <c r="C2608" s="1"/>
      <c r="D2608" s="1"/>
      <c r="E2608" s="343"/>
      <c r="F2608" s="2"/>
    </row>
    <row r="2609" spans="1:9" ht="15.75" thickBot="1">
      <c r="A2609" s="9"/>
      <c r="B2609" s="3"/>
      <c r="C2609" s="3"/>
      <c r="D2609" s="3"/>
      <c r="E2609" s="3"/>
      <c r="F2609" s="4"/>
    </row>
    <row r="2610" spans="1:9" s="32" customFormat="1" ht="16.5" thickTop="1" thickBot="1">
      <c r="I2610"/>
    </row>
    <row r="2611" spans="1:9" s="32" customFormat="1" ht="15.75" thickTop="1">
      <c r="A2611" s="3797" t="s">
        <v>0</v>
      </c>
      <c r="B2611" s="3779" t="s">
        <v>1</v>
      </c>
      <c r="C2611" s="3779" t="s">
        <v>2</v>
      </c>
      <c r="D2611" s="3779" t="s">
        <v>3</v>
      </c>
      <c r="E2611" s="3784" t="s">
        <v>4</v>
      </c>
      <c r="F2611" s="3795" t="s">
        <v>5</v>
      </c>
      <c r="I2611"/>
    </row>
    <row r="2612" spans="1:9" s="32" customFormat="1" ht="15.75" thickBot="1">
      <c r="A2612" s="3798"/>
      <c r="B2612" s="3780"/>
      <c r="C2612" s="3780"/>
      <c r="D2612" s="3780"/>
      <c r="E2612" s="3785"/>
      <c r="F2612" s="3796"/>
      <c r="I2612"/>
    </row>
    <row r="2613" spans="1:9" s="32" customFormat="1" ht="15.75" thickTop="1">
      <c r="A2613" s="3793" t="s">
        <v>1800</v>
      </c>
      <c r="B2613" s="426" t="s">
        <v>181</v>
      </c>
      <c r="C2613" s="81" t="s">
        <v>1315</v>
      </c>
      <c r="D2613" s="288"/>
      <c r="E2613" s="392">
        <f>(G2613-F2613)/G2613</f>
        <v>0.19736842105263161</v>
      </c>
      <c r="F2613" s="393">
        <v>1.22</v>
      </c>
      <c r="G2613" s="32">
        <v>1.52</v>
      </c>
      <c r="I2613"/>
    </row>
    <row r="2614" spans="1:9" s="32" customFormat="1">
      <c r="A2614" s="3794"/>
      <c r="B2614" s="395" t="s">
        <v>366</v>
      </c>
      <c r="C2614" s="81" t="s">
        <v>1316</v>
      </c>
      <c r="D2614" s="288"/>
      <c r="E2614" s="392">
        <f>(G2614-F2614)/G2614</f>
        <v>0.19736842105263161</v>
      </c>
      <c r="F2614" s="393">
        <v>1.22</v>
      </c>
      <c r="G2614" s="32">
        <v>1.52</v>
      </c>
      <c r="I2614"/>
    </row>
    <row r="2615" spans="1:9" s="32" customFormat="1">
      <c r="A2615" s="3794"/>
      <c r="B2615" s="395" t="s">
        <v>180</v>
      </c>
      <c r="C2615" s="81" t="s">
        <v>1317</v>
      </c>
      <c r="D2615" s="288"/>
      <c r="E2615" s="392">
        <f>(G2615-F2615)/G2615</f>
        <v>0.19736842105263161</v>
      </c>
      <c r="F2615" s="393">
        <v>1.22</v>
      </c>
      <c r="G2615" s="32">
        <v>1.52</v>
      </c>
      <c r="I2615"/>
    </row>
    <row r="2616" spans="1:9" s="32" customFormat="1">
      <c r="A2616" s="413"/>
      <c r="B2616" s="395" t="s">
        <v>135</v>
      </c>
      <c r="C2616" s="81"/>
      <c r="D2616" s="288"/>
      <c r="E2616" s="392"/>
      <c r="F2616" s="394"/>
      <c r="I2616"/>
    </row>
    <row r="2617" spans="1:9" s="32" customFormat="1">
      <c r="A2617" s="413"/>
      <c r="B2617" s="395"/>
      <c r="C2617" s="81"/>
      <c r="D2617" s="288"/>
      <c r="E2617" s="392"/>
      <c r="F2617" s="394"/>
      <c r="I2617"/>
    </row>
    <row r="2618" spans="1:9" s="32" customFormat="1">
      <c r="A2618" s="413"/>
      <c r="B2618" s="395"/>
      <c r="C2618" s="81"/>
      <c r="D2618" s="288"/>
      <c r="E2618" s="392"/>
      <c r="F2618" s="394"/>
      <c r="I2618"/>
    </row>
    <row r="2619" spans="1:9" s="32" customFormat="1">
      <c r="A2619" s="413"/>
      <c r="B2619" s="395"/>
      <c r="C2619" s="81"/>
      <c r="D2619" s="288"/>
      <c r="E2619" s="396"/>
      <c r="F2619" s="397"/>
      <c r="I2619"/>
    </row>
    <row r="2620" spans="1:9" s="32" customFormat="1">
      <c r="A2620" s="413"/>
      <c r="B2620" s="395"/>
      <c r="C2620" s="81"/>
      <c r="D2620" s="288"/>
      <c r="E2620" s="396"/>
      <c r="F2620" s="397"/>
      <c r="I2620"/>
    </row>
    <row r="2621" spans="1:9" s="32" customFormat="1">
      <c r="A2621" s="413"/>
      <c r="B2621" s="395"/>
      <c r="C2621" s="81"/>
      <c r="D2621" s="288"/>
      <c r="E2621" s="396"/>
      <c r="F2621" s="397"/>
      <c r="I2621"/>
    </row>
    <row r="2622" spans="1:9" s="32" customFormat="1">
      <c r="A2622" s="413"/>
      <c r="B2622" s="395"/>
      <c r="C2622" s="81"/>
      <c r="D2622" s="81"/>
      <c r="E2622" s="400"/>
      <c r="F2622" s="397"/>
      <c r="I2622"/>
    </row>
    <row r="2623" spans="1:9" s="32" customFormat="1">
      <c r="A2623" s="413"/>
      <c r="B2623" s="395"/>
      <c r="C2623" s="81"/>
      <c r="D2623" s="81"/>
      <c r="E2623" s="400"/>
      <c r="F2623" s="397"/>
      <c r="I2623"/>
    </row>
    <row r="2624" spans="1:9" s="32" customFormat="1" ht="15.75" thickBot="1">
      <c r="A2624" s="415"/>
      <c r="B2624" s="427"/>
      <c r="C2624" s="404"/>
      <c r="D2624" s="404"/>
      <c r="E2624" s="406"/>
      <c r="F2624" s="428"/>
      <c r="I2624"/>
    </row>
    <row r="2625" spans="1:9" s="32" customFormat="1" ht="15.75" thickBot="1">
      <c r="I2625"/>
    </row>
    <row r="2626" spans="1:9" s="32" customFormat="1" ht="15.75" thickTop="1">
      <c r="A2626" s="3797" t="s">
        <v>0</v>
      </c>
      <c r="B2626" s="3779" t="s">
        <v>1</v>
      </c>
      <c r="C2626" s="3779" t="s">
        <v>2</v>
      </c>
      <c r="D2626" s="3779" t="s">
        <v>3</v>
      </c>
      <c r="E2626" s="3784" t="s">
        <v>4</v>
      </c>
      <c r="F2626" s="3795" t="s">
        <v>5</v>
      </c>
      <c r="I2626"/>
    </row>
    <row r="2627" spans="1:9" s="32" customFormat="1" ht="15.75" thickBot="1">
      <c r="A2627" s="3798"/>
      <c r="B2627" s="3780"/>
      <c r="C2627" s="3780"/>
      <c r="D2627" s="3780"/>
      <c r="E2627" s="3785"/>
      <c r="F2627" s="3796"/>
      <c r="I2627"/>
    </row>
    <row r="2628" spans="1:9" s="32" customFormat="1" ht="15.75" thickTop="1">
      <c r="A2628" s="3793" t="s">
        <v>1801</v>
      </c>
      <c r="B2628" s="426" t="s">
        <v>202</v>
      </c>
      <c r="C2628" s="81" t="s">
        <v>730</v>
      </c>
      <c r="D2628" s="288"/>
      <c r="E2628" s="392">
        <v>0.19480519480519484</v>
      </c>
      <c r="F2628" s="393">
        <v>0.62</v>
      </c>
      <c r="G2628" s="32">
        <v>0.77</v>
      </c>
      <c r="I2628"/>
    </row>
    <row r="2629" spans="1:9" s="32" customFormat="1">
      <c r="A2629" s="3794"/>
      <c r="B2629" s="395"/>
      <c r="C2629" s="81" t="s">
        <v>554</v>
      </c>
      <c r="D2629" s="288"/>
      <c r="E2629" s="392">
        <v>0.20000000000000007</v>
      </c>
      <c r="F2629" s="393">
        <v>0.88</v>
      </c>
      <c r="G2629" s="32">
        <v>1.1000000000000001</v>
      </c>
      <c r="I2629"/>
    </row>
    <row r="2630" spans="1:9" s="32" customFormat="1">
      <c r="A2630" s="3794"/>
      <c r="B2630" s="395"/>
      <c r="C2630" s="81"/>
      <c r="D2630" s="288"/>
      <c r="E2630" s="392"/>
      <c r="F2630" s="393"/>
      <c r="I2630"/>
    </row>
    <row r="2631" spans="1:9" s="32" customFormat="1">
      <c r="A2631" s="413"/>
      <c r="B2631" s="395"/>
      <c r="C2631" s="81"/>
      <c r="D2631" s="288"/>
      <c r="E2631" s="392"/>
      <c r="F2631" s="394"/>
      <c r="I2631"/>
    </row>
    <row r="2632" spans="1:9" s="32" customFormat="1">
      <c r="A2632" s="413"/>
      <c r="B2632" s="395"/>
      <c r="C2632" s="81"/>
      <c r="D2632" s="288"/>
      <c r="E2632" s="392"/>
      <c r="F2632" s="394"/>
      <c r="I2632"/>
    </row>
    <row r="2633" spans="1:9" s="32" customFormat="1">
      <c r="A2633" s="413"/>
      <c r="B2633" s="395"/>
      <c r="C2633" s="81"/>
      <c r="D2633" s="288"/>
      <c r="E2633" s="392"/>
      <c r="F2633" s="394"/>
      <c r="I2633"/>
    </row>
    <row r="2634" spans="1:9" s="32" customFormat="1">
      <c r="A2634" s="413"/>
      <c r="B2634" s="395"/>
      <c r="C2634" s="81"/>
      <c r="D2634" s="288"/>
      <c r="E2634" s="396"/>
      <c r="F2634" s="397"/>
      <c r="I2634"/>
    </row>
    <row r="2635" spans="1:9" s="32" customFormat="1">
      <c r="A2635" s="413"/>
      <c r="B2635" s="395"/>
      <c r="C2635" s="81"/>
      <c r="D2635" s="288"/>
      <c r="E2635" s="396"/>
      <c r="F2635" s="397"/>
      <c r="I2635"/>
    </row>
    <row r="2636" spans="1:9" s="32" customFormat="1">
      <c r="A2636" s="413"/>
      <c r="B2636" s="395"/>
      <c r="C2636" s="81"/>
      <c r="D2636" s="288"/>
      <c r="E2636" s="396"/>
      <c r="F2636" s="397"/>
      <c r="I2636"/>
    </row>
    <row r="2637" spans="1:9" s="32" customFormat="1">
      <c r="A2637" s="413"/>
      <c r="B2637" s="395"/>
      <c r="C2637" s="81"/>
      <c r="D2637" s="81"/>
      <c r="E2637" s="400"/>
      <c r="F2637" s="397"/>
      <c r="I2637"/>
    </row>
    <row r="2638" spans="1:9" s="32" customFormat="1">
      <c r="A2638" s="413"/>
      <c r="B2638" s="395"/>
      <c r="C2638" s="81"/>
      <c r="D2638" s="81"/>
      <c r="E2638" s="400"/>
      <c r="F2638" s="397"/>
      <c r="I2638"/>
    </row>
    <row r="2639" spans="1:9" s="32" customFormat="1" ht="15.75" thickBot="1">
      <c r="A2639" s="415"/>
      <c r="B2639" s="427"/>
      <c r="C2639" s="404"/>
      <c r="D2639" s="404"/>
      <c r="E2639" s="406"/>
      <c r="F2639" s="428"/>
      <c r="I2639"/>
    </row>
    <row r="2640" spans="1:9" ht="15.75" thickBot="1"/>
    <row r="2641" spans="1:7" ht="15.75" thickTop="1">
      <c r="A2641" s="3782" t="s">
        <v>0</v>
      </c>
      <c r="B2641" s="3781" t="s">
        <v>1</v>
      </c>
      <c r="C2641" s="3781" t="s">
        <v>2</v>
      </c>
      <c r="D2641" s="3781" t="s">
        <v>3</v>
      </c>
      <c r="E2641" s="3781" t="s">
        <v>4</v>
      </c>
      <c r="F2641" s="3765" t="s">
        <v>5</v>
      </c>
    </row>
    <row r="2642" spans="1:7" ht="15.75" thickBot="1">
      <c r="A2642" s="3783"/>
      <c r="B2642" s="3767"/>
      <c r="C2642" s="3767"/>
      <c r="D2642" s="3767"/>
      <c r="E2642" s="3767"/>
      <c r="F2642" s="3766"/>
    </row>
    <row r="2643" spans="1:7" ht="15.75" thickTop="1">
      <c r="A2643" s="289" t="s">
        <v>1818</v>
      </c>
      <c r="B2643" s="288" t="s">
        <v>120</v>
      </c>
      <c r="C2643" s="81" t="s">
        <v>1355</v>
      </c>
      <c r="D2643" s="288"/>
      <c r="E2643" s="290">
        <v>0.15000000000000005</v>
      </c>
      <c r="F2643" s="391">
        <v>1.4704999999999999</v>
      </c>
      <c r="G2643" s="32">
        <v>1.73</v>
      </c>
    </row>
    <row r="2644" spans="1:7">
      <c r="A2644" s="8"/>
      <c r="B2644" s="81" t="s">
        <v>121</v>
      </c>
      <c r="C2644" s="81" t="s">
        <v>465</v>
      </c>
      <c r="D2644" s="288"/>
      <c r="E2644" s="290">
        <v>0.15000000000000002</v>
      </c>
      <c r="F2644" s="391">
        <v>1.1984999999999999</v>
      </c>
      <c r="G2644" s="32">
        <v>1.41</v>
      </c>
    </row>
    <row r="2645" spans="1:7">
      <c r="A2645" s="8"/>
      <c r="B2645" s="81" t="s">
        <v>123</v>
      </c>
      <c r="C2645" s="81" t="s">
        <v>1819</v>
      </c>
      <c r="D2645" s="288"/>
      <c r="E2645" s="290">
        <v>0.14999999999999997</v>
      </c>
      <c r="F2645" s="391">
        <v>0.51</v>
      </c>
      <c r="G2645" s="32">
        <v>0.6</v>
      </c>
    </row>
    <row r="2646" spans="1:7">
      <c r="A2646" s="8"/>
      <c r="B2646" s="81" t="s">
        <v>122</v>
      </c>
      <c r="C2646" s="81" t="s">
        <v>1820</v>
      </c>
      <c r="D2646" s="288"/>
      <c r="E2646" s="290">
        <v>0.14999999999999997</v>
      </c>
      <c r="F2646" s="391">
        <v>1.5555000000000001</v>
      </c>
      <c r="G2646" s="32">
        <v>1.83</v>
      </c>
    </row>
    <row r="2647" spans="1:7">
      <c r="A2647" s="8"/>
      <c r="B2647" s="81"/>
      <c r="C2647" s="81" t="s">
        <v>1555</v>
      </c>
      <c r="D2647" s="288"/>
      <c r="E2647" s="290">
        <v>0.15000000000000008</v>
      </c>
      <c r="F2647" s="391">
        <v>18.895499999999998</v>
      </c>
      <c r="G2647" s="32">
        <v>22.23</v>
      </c>
    </row>
    <row r="2648" spans="1:7">
      <c r="A2648" s="8"/>
      <c r="B2648" s="81"/>
      <c r="C2648" s="81" t="s">
        <v>1556</v>
      </c>
      <c r="D2648" s="288"/>
      <c r="E2648" s="290">
        <v>0.15000000000000008</v>
      </c>
      <c r="F2648" s="391">
        <v>18.895499999999998</v>
      </c>
      <c r="G2648" s="32">
        <v>22.23</v>
      </c>
    </row>
    <row r="2649" spans="1:7">
      <c r="A2649" s="8"/>
      <c r="B2649" s="81"/>
      <c r="C2649" s="81" t="s">
        <v>1763</v>
      </c>
      <c r="D2649" s="288"/>
      <c r="E2649" s="290">
        <v>0.15000000000000008</v>
      </c>
      <c r="F2649" s="391">
        <v>18.895499999999998</v>
      </c>
      <c r="G2649" s="32">
        <v>22.23</v>
      </c>
    </row>
    <row r="2650" spans="1:7">
      <c r="A2650" s="8"/>
      <c r="B2650" s="81"/>
      <c r="C2650" s="81"/>
      <c r="D2650" s="288"/>
      <c r="E2650" s="290"/>
      <c r="F2650" s="391"/>
      <c r="G2650" s="32"/>
    </row>
    <row r="2651" spans="1:7">
      <c r="A2651" s="8"/>
      <c r="B2651" s="81"/>
      <c r="C2651" s="81"/>
      <c r="D2651" s="288"/>
      <c r="E2651" s="290"/>
      <c r="F2651" s="391"/>
      <c r="G2651" s="32"/>
    </row>
    <row r="2652" spans="1:7">
      <c r="A2652" s="8"/>
      <c r="B2652" s="81"/>
      <c r="C2652" s="81"/>
      <c r="D2652" s="81"/>
      <c r="E2652" s="343"/>
      <c r="F2652" s="291"/>
    </row>
    <row r="2653" spans="1:7">
      <c r="A2653" s="8"/>
      <c r="B2653" s="1"/>
      <c r="C2653" s="1"/>
      <c r="D2653" s="1"/>
      <c r="E2653" s="343"/>
      <c r="F2653" s="2"/>
    </row>
    <row r="2654" spans="1:7" ht="15.75" thickBot="1">
      <c r="A2654" s="9"/>
      <c r="B2654" s="3"/>
      <c r="C2654" s="3"/>
      <c r="D2654" s="3"/>
      <c r="E2654" s="3"/>
      <c r="F2654" s="4"/>
    </row>
    <row r="2655" spans="1:7" ht="15.75" thickTop="1"/>
    <row r="2656" spans="1:7" ht="15.75" thickBot="1"/>
    <row r="2657" spans="1:7">
      <c r="A2657" s="3614" t="s">
        <v>0</v>
      </c>
      <c r="B2657" s="3693" t="s">
        <v>1</v>
      </c>
      <c r="C2657" s="3693" t="s">
        <v>2</v>
      </c>
      <c r="D2657" s="3693" t="s">
        <v>3</v>
      </c>
      <c r="E2657" s="3522" t="s">
        <v>4</v>
      </c>
      <c r="F2657" s="3763" t="s">
        <v>5</v>
      </c>
    </row>
    <row r="2658" spans="1:7" ht="15.75" thickBot="1">
      <c r="A2658" s="3729"/>
      <c r="B2658" s="3767"/>
      <c r="C2658" s="3767"/>
      <c r="D2658" s="3767"/>
      <c r="E2658" s="3768"/>
      <c r="F2658" s="3769"/>
    </row>
    <row r="2659" spans="1:7" ht="15.75" thickTop="1">
      <c r="A2659" s="3786" t="s">
        <v>1836</v>
      </c>
      <c r="B2659" s="458" t="s">
        <v>181</v>
      </c>
      <c r="C2659" s="459" t="s">
        <v>226</v>
      </c>
      <c r="D2659" s="5"/>
      <c r="E2659" s="392">
        <f>(G2659-F2659)/G2659</f>
        <v>0.15116279069767444</v>
      </c>
      <c r="F2659" s="432">
        <v>0.73</v>
      </c>
      <c r="G2659">
        <v>0.86</v>
      </c>
    </row>
    <row r="2660" spans="1:7">
      <c r="A2660" s="3536"/>
      <c r="B2660" s="114" t="s">
        <v>366</v>
      </c>
      <c r="C2660" s="459" t="s">
        <v>227</v>
      </c>
      <c r="D2660" s="5"/>
      <c r="E2660" s="392">
        <f>(G2660-F2660)/G2660</f>
        <v>0.15116279069767444</v>
      </c>
      <c r="F2660" s="432">
        <v>0.73</v>
      </c>
      <c r="G2660">
        <v>0.86</v>
      </c>
    </row>
    <row r="2661" spans="1:7">
      <c r="A2661" s="3536"/>
      <c r="B2661" s="114" t="s">
        <v>180</v>
      </c>
      <c r="C2661" s="459" t="s">
        <v>228</v>
      </c>
      <c r="D2661" s="5"/>
      <c r="E2661" s="392">
        <f>(G2661-F2661)/G2661</f>
        <v>0.15116279069767444</v>
      </c>
      <c r="F2661" s="432">
        <v>0.73</v>
      </c>
      <c r="G2661">
        <v>0.86</v>
      </c>
    </row>
    <row r="2662" spans="1:7" ht="15.75" thickBot="1">
      <c r="A2662" s="460"/>
      <c r="B2662" s="461" t="s">
        <v>135</v>
      </c>
      <c r="C2662" s="462"/>
      <c r="D2662" s="463"/>
      <c r="E2662" s="464"/>
      <c r="F2662" s="465"/>
    </row>
    <row r="2665" spans="1:7" ht="15.75" thickBot="1"/>
    <row r="2666" spans="1:7" ht="15.75" thickTop="1">
      <c r="A2666" s="3782" t="s">
        <v>0</v>
      </c>
      <c r="B2666" s="3781" t="s">
        <v>1</v>
      </c>
      <c r="C2666" s="3781" t="s">
        <v>2</v>
      </c>
      <c r="D2666" s="3781" t="s">
        <v>3</v>
      </c>
      <c r="E2666" s="3781" t="s">
        <v>4</v>
      </c>
      <c r="F2666" s="3765" t="s">
        <v>5</v>
      </c>
    </row>
    <row r="2667" spans="1:7" ht="15.75" thickBot="1">
      <c r="A2667" s="3789"/>
      <c r="B2667" s="3767"/>
      <c r="C2667" s="3767"/>
      <c r="D2667" s="3767"/>
      <c r="E2667" s="3767"/>
      <c r="F2667" s="3766"/>
    </row>
    <row r="2668" spans="1:7" ht="15.75" thickTop="1">
      <c r="A2668" s="3790" t="s">
        <v>1843</v>
      </c>
      <c r="B2668" s="476" t="s">
        <v>409</v>
      </c>
      <c r="C2668" s="505" t="s">
        <v>1315</v>
      </c>
      <c r="D2668" s="191"/>
      <c r="E2668" s="506">
        <f>(G2668-F2668)/G2668</f>
        <v>0.19736842105263161</v>
      </c>
      <c r="F2668" s="507">
        <v>1.22</v>
      </c>
      <c r="G2668" s="32">
        <v>1.52</v>
      </c>
    </row>
    <row r="2669" spans="1:7">
      <c r="A2669" s="3791"/>
      <c r="B2669" s="395" t="s">
        <v>392</v>
      </c>
      <c r="C2669" s="505" t="s">
        <v>1316</v>
      </c>
      <c r="D2669" s="191"/>
      <c r="E2669" s="506">
        <f t="shared" ref="E2669:E2678" si="3">(G2669-F2669)/G2669</f>
        <v>0.19736842105263161</v>
      </c>
      <c r="F2669" s="507">
        <v>1.22</v>
      </c>
      <c r="G2669" s="32">
        <v>1.52</v>
      </c>
    </row>
    <row r="2670" spans="1:7">
      <c r="A2670" s="3791"/>
      <c r="B2670" s="395" t="s">
        <v>534</v>
      </c>
      <c r="C2670" s="505" t="s">
        <v>1317</v>
      </c>
      <c r="D2670" s="191"/>
      <c r="E2670" s="506">
        <f t="shared" si="3"/>
        <v>0.19736842105263161</v>
      </c>
      <c r="F2670" s="507">
        <v>1.22</v>
      </c>
      <c r="G2670" s="32">
        <v>1.52</v>
      </c>
    </row>
    <row r="2671" spans="1:7">
      <c r="A2671" s="3791"/>
      <c r="B2671" s="395" t="s">
        <v>535</v>
      </c>
      <c r="C2671" s="505" t="s">
        <v>905</v>
      </c>
      <c r="D2671" s="191"/>
      <c r="E2671" s="506">
        <f t="shared" si="3"/>
        <v>0.20512820512820515</v>
      </c>
      <c r="F2671" s="507">
        <v>0.62</v>
      </c>
      <c r="G2671" s="33">
        <v>0.78</v>
      </c>
    </row>
    <row r="2672" spans="1:7">
      <c r="A2672" s="3791"/>
      <c r="B2672" s="395" t="s">
        <v>921</v>
      </c>
      <c r="C2672" s="459" t="s">
        <v>730</v>
      </c>
      <c r="D2672" s="288"/>
      <c r="E2672" s="392">
        <f t="shared" si="3"/>
        <v>0.19512195121951212</v>
      </c>
      <c r="F2672" s="432">
        <v>0.66</v>
      </c>
      <c r="G2672" s="33">
        <v>0.82</v>
      </c>
    </row>
    <row r="2673" spans="1:7">
      <c r="A2673" s="3791"/>
      <c r="B2673" s="395"/>
      <c r="C2673" s="459" t="s">
        <v>858</v>
      </c>
      <c r="D2673" s="288"/>
      <c r="E2673" s="392">
        <f t="shared" si="3"/>
        <v>0.19999999999999996</v>
      </c>
      <c r="F2673" s="432">
        <v>0.76</v>
      </c>
      <c r="G2673" s="33">
        <v>0.95</v>
      </c>
    </row>
    <row r="2674" spans="1:7">
      <c r="A2674" s="3791"/>
      <c r="B2674" s="395"/>
      <c r="C2674" s="505" t="s">
        <v>1346</v>
      </c>
      <c r="D2674" s="191"/>
      <c r="E2674" s="506">
        <f t="shared" si="3"/>
        <v>0.1875</v>
      </c>
      <c r="F2674" s="507">
        <v>0.26</v>
      </c>
      <c r="G2674" s="33">
        <v>0.32</v>
      </c>
    </row>
    <row r="2675" spans="1:7">
      <c r="A2675" s="477"/>
      <c r="B2675" s="395"/>
      <c r="C2675" s="508" t="s">
        <v>1347</v>
      </c>
      <c r="D2675" s="191"/>
      <c r="E2675" s="506">
        <f t="shared" si="3"/>
        <v>0.1875</v>
      </c>
      <c r="F2675" s="507">
        <v>0.26</v>
      </c>
      <c r="G2675" s="33">
        <v>0.32</v>
      </c>
    </row>
    <row r="2676" spans="1:7">
      <c r="A2676" s="477"/>
      <c r="B2676" s="395"/>
      <c r="C2676" s="508" t="s">
        <v>1326</v>
      </c>
      <c r="D2676" s="191"/>
      <c r="E2676" s="506">
        <f t="shared" si="3"/>
        <v>0.1875</v>
      </c>
      <c r="F2676" s="507">
        <v>0.26</v>
      </c>
      <c r="G2676" s="33">
        <v>0.32</v>
      </c>
    </row>
    <row r="2677" spans="1:7">
      <c r="A2677" s="477"/>
      <c r="B2677" s="395"/>
      <c r="C2677" s="508" t="s">
        <v>1327</v>
      </c>
      <c r="D2677" s="508"/>
      <c r="E2677" s="506">
        <f t="shared" si="3"/>
        <v>0.1875</v>
      </c>
      <c r="F2677" s="507">
        <v>0.26</v>
      </c>
      <c r="G2677" s="33">
        <v>0.32</v>
      </c>
    </row>
    <row r="2678" spans="1:7">
      <c r="A2678" s="477"/>
      <c r="B2678" s="114"/>
      <c r="C2678" s="508" t="s">
        <v>1325</v>
      </c>
      <c r="D2678" s="508"/>
      <c r="E2678" s="506">
        <f t="shared" si="3"/>
        <v>0.1875</v>
      </c>
      <c r="F2678" s="507">
        <v>0.26</v>
      </c>
      <c r="G2678" s="33">
        <v>0.32</v>
      </c>
    </row>
    <row r="2679" spans="1:7" ht="15.75" thickBot="1">
      <c r="A2679" s="478"/>
      <c r="B2679" s="115"/>
      <c r="C2679" s="3"/>
      <c r="D2679" s="3"/>
      <c r="E2679" s="3"/>
      <c r="F2679" s="4"/>
    </row>
    <row r="2681" spans="1:7" ht="15.75" thickBot="1"/>
    <row r="2682" spans="1:7">
      <c r="A2682" s="3614" t="s">
        <v>0</v>
      </c>
      <c r="B2682" s="3693" t="s">
        <v>1</v>
      </c>
      <c r="C2682" s="3693" t="s">
        <v>2</v>
      </c>
      <c r="D2682" s="3693" t="s">
        <v>3</v>
      </c>
      <c r="E2682" s="3693" t="s">
        <v>4</v>
      </c>
      <c r="F2682" s="3522" t="s">
        <v>5</v>
      </c>
    </row>
    <row r="2683" spans="1:7">
      <c r="A2683" s="3792"/>
      <c r="B2683" s="3730"/>
      <c r="C2683" s="3730"/>
      <c r="D2683" s="3730"/>
      <c r="E2683" s="3730"/>
      <c r="F2683" s="3787"/>
    </row>
    <row r="2684" spans="1:7">
      <c r="A2684" s="3786" t="s">
        <v>1844</v>
      </c>
      <c r="B2684" s="469" t="s">
        <v>181</v>
      </c>
      <c r="C2684" s="479" t="s">
        <v>868</v>
      </c>
      <c r="D2684" s="469"/>
      <c r="E2684" s="471">
        <f t="shared" ref="E2684:E2689" si="4">(G2684-F2684)/G2684</f>
        <v>0.15026455026455027</v>
      </c>
      <c r="F2684" s="480">
        <v>8.0299999999999994</v>
      </c>
      <c r="G2684">
        <v>9.4499999999999993</v>
      </c>
    </row>
    <row r="2685" spans="1:7">
      <c r="A2685" s="3536"/>
      <c r="B2685" s="469" t="s">
        <v>366</v>
      </c>
      <c r="C2685" s="479" t="s">
        <v>1485</v>
      </c>
      <c r="D2685" s="469"/>
      <c r="E2685" s="471">
        <f t="shared" si="4"/>
        <v>0.14977054651647892</v>
      </c>
      <c r="F2685" s="480">
        <v>20.38</v>
      </c>
      <c r="G2685">
        <v>23.97</v>
      </c>
    </row>
    <row r="2686" spans="1:7">
      <c r="A2686" s="3536"/>
      <c r="B2686" s="469" t="s">
        <v>180</v>
      </c>
      <c r="C2686" s="479" t="s">
        <v>239</v>
      </c>
      <c r="D2686" s="469"/>
      <c r="E2686" s="471">
        <f t="shared" si="4"/>
        <v>0.15026455026455027</v>
      </c>
      <c r="F2686" s="480">
        <v>8.0299999999999994</v>
      </c>
      <c r="G2686">
        <v>9.4499999999999993</v>
      </c>
    </row>
    <row r="2687" spans="1:7">
      <c r="A2687" s="3536"/>
      <c r="B2687" s="469" t="s">
        <v>135</v>
      </c>
      <c r="C2687" s="479" t="s">
        <v>74</v>
      </c>
      <c r="D2687" s="469"/>
      <c r="E2687" s="471">
        <f t="shared" si="4"/>
        <v>0.14977054651647892</v>
      </c>
      <c r="F2687" s="480">
        <v>20.38</v>
      </c>
      <c r="G2687">
        <v>23.97</v>
      </c>
    </row>
    <row r="2688" spans="1:7">
      <c r="A2688" s="3536"/>
      <c r="B2688" s="469"/>
      <c r="C2688" s="479" t="s">
        <v>238</v>
      </c>
      <c r="D2688" s="469"/>
      <c r="E2688" s="471">
        <f t="shared" si="4"/>
        <v>0.15026455026455027</v>
      </c>
      <c r="F2688" s="480">
        <v>8.0299999999999994</v>
      </c>
      <c r="G2688">
        <v>9.4499999999999993</v>
      </c>
    </row>
    <row r="2689" spans="1:7">
      <c r="A2689" s="3788"/>
      <c r="B2689" s="469"/>
      <c r="C2689" s="479" t="s">
        <v>71</v>
      </c>
      <c r="D2689" s="469"/>
      <c r="E2689" s="471">
        <f t="shared" si="4"/>
        <v>0.14977054651647892</v>
      </c>
      <c r="F2689" s="480">
        <v>20.38</v>
      </c>
      <c r="G2689">
        <v>23.97</v>
      </c>
    </row>
    <row r="2692" spans="1:7" ht="15.75" thickBot="1"/>
    <row r="2693" spans="1:7" ht="15.75" thickTop="1">
      <c r="A2693" s="3782" t="s">
        <v>0</v>
      </c>
      <c r="B2693" s="3781" t="s">
        <v>1</v>
      </c>
      <c r="C2693" s="3781" t="s">
        <v>2</v>
      </c>
      <c r="D2693" s="3781" t="s">
        <v>3</v>
      </c>
      <c r="E2693" s="3781" t="s">
        <v>4</v>
      </c>
      <c r="F2693" s="3765" t="s">
        <v>5</v>
      </c>
    </row>
    <row r="2694" spans="1:7" ht="15.75" thickBot="1">
      <c r="A2694" s="3783"/>
      <c r="B2694" s="3767"/>
      <c r="C2694" s="3767"/>
      <c r="D2694" s="3767"/>
      <c r="E2694" s="3767"/>
      <c r="F2694" s="3766"/>
    </row>
    <row r="2695" spans="1:7" ht="15.75" thickTop="1">
      <c r="A2695" s="289" t="s">
        <v>1850</v>
      </c>
      <c r="B2695" s="288" t="s">
        <v>120</v>
      </c>
      <c r="C2695" s="481" t="s">
        <v>1851</v>
      </c>
      <c r="D2695" s="288"/>
      <c r="E2695" s="290">
        <f t="shared" ref="E2695:E2700" si="5">(G2695-F2695)/G2695</f>
        <v>0.15000000000000008</v>
      </c>
      <c r="F2695" s="482">
        <v>0.92649999999999999</v>
      </c>
      <c r="G2695">
        <v>1.0900000000000001</v>
      </c>
    </row>
    <row r="2696" spans="1:7">
      <c r="A2696" s="8"/>
      <c r="B2696" s="466" t="s">
        <v>121</v>
      </c>
      <c r="C2696" s="481" t="s">
        <v>1852</v>
      </c>
      <c r="D2696" s="288"/>
      <c r="E2696" s="290">
        <f t="shared" si="5"/>
        <v>0.15000000000000005</v>
      </c>
      <c r="F2696" s="482">
        <v>0.67149999999999999</v>
      </c>
      <c r="G2696">
        <v>0.79</v>
      </c>
    </row>
    <row r="2697" spans="1:7">
      <c r="A2697" s="8"/>
      <c r="B2697" s="466" t="s">
        <v>123</v>
      </c>
      <c r="C2697" s="481" t="s">
        <v>436</v>
      </c>
      <c r="D2697" s="288"/>
      <c r="E2697" s="290">
        <f t="shared" si="5"/>
        <v>0.15</v>
      </c>
      <c r="F2697" s="482">
        <v>1.292</v>
      </c>
      <c r="G2697">
        <v>1.52</v>
      </c>
    </row>
    <row r="2698" spans="1:7">
      <c r="A2698" s="8"/>
      <c r="B2698" s="466" t="s">
        <v>122</v>
      </c>
      <c r="C2698" s="481" t="s">
        <v>153</v>
      </c>
      <c r="D2698" s="288"/>
      <c r="E2698" s="290">
        <f t="shared" si="5"/>
        <v>0.15000000000000002</v>
      </c>
      <c r="F2698" s="482">
        <v>0.93500000000000005</v>
      </c>
      <c r="G2698" s="33">
        <v>1.1000000000000001</v>
      </c>
    </row>
    <row r="2699" spans="1:7">
      <c r="A2699" s="8"/>
      <c r="B2699" s="466"/>
      <c r="C2699" s="481" t="s">
        <v>472</v>
      </c>
      <c r="D2699" s="288"/>
      <c r="E2699" s="290">
        <f t="shared" si="5"/>
        <v>0.15000000000000008</v>
      </c>
      <c r="F2699" s="482">
        <v>0.77349999999999997</v>
      </c>
      <c r="G2699" s="33">
        <v>0.91</v>
      </c>
    </row>
    <row r="2700" spans="1:7">
      <c r="A2700" s="8"/>
      <c r="B2700" s="466"/>
      <c r="C2700" s="481" t="s">
        <v>1413</v>
      </c>
      <c r="D2700" s="288"/>
      <c r="E2700" s="290">
        <f t="shared" si="5"/>
        <v>0.15000000000000005</v>
      </c>
      <c r="F2700" s="482">
        <v>1.4704999999999999</v>
      </c>
      <c r="G2700" s="33">
        <v>1.73</v>
      </c>
    </row>
    <row r="2701" spans="1:7">
      <c r="A2701" s="8"/>
      <c r="B2701" s="466"/>
      <c r="C2701" s="481"/>
      <c r="D2701" s="288"/>
      <c r="E2701" s="290"/>
      <c r="F2701" s="482"/>
    </row>
    <row r="2702" spans="1:7">
      <c r="A2702" s="8"/>
      <c r="B2702" s="466"/>
      <c r="C2702" s="466"/>
      <c r="D2702" s="288"/>
      <c r="E2702" s="290"/>
      <c r="F2702" s="391"/>
    </row>
    <row r="2703" spans="1:7">
      <c r="A2703" s="8"/>
      <c r="B2703" s="466"/>
      <c r="C2703" s="466"/>
      <c r="D2703" s="288"/>
      <c r="E2703" s="290"/>
      <c r="F2703" s="391"/>
    </row>
    <row r="2704" spans="1:7">
      <c r="A2704" s="8"/>
      <c r="B2704" s="466"/>
      <c r="C2704" s="466"/>
      <c r="D2704" s="466"/>
      <c r="E2704" s="471"/>
      <c r="F2704" s="291"/>
    </row>
    <row r="2705" spans="1:7">
      <c r="A2705" s="8"/>
      <c r="B2705" s="469"/>
      <c r="C2705" s="469"/>
      <c r="D2705" s="469"/>
      <c r="E2705" s="471"/>
      <c r="F2705" s="2"/>
    </row>
    <row r="2706" spans="1:7" ht="15.75" thickBot="1">
      <c r="A2706" s="9"/>
      <c r="B2706" s="3"/>
      <c r="C2706" s="3"/>
      <c r="D2706" s="3"/>
      <c r="E2706" s="3"/>
      <c r="F2706" s="4"/>
    </row>
    <row r="2707" spans="1:7" ht="15.75" thickTop="1"/>
    <row r="2708" spans="1:7" ht="15.75" thickBot="1"/>
    <row r="2709" spans="1:7">
      <c r="A2709" s="3614" t="s">
        <v>0</v>
      </c>
      <c r="B2709" s="3693" t="s">
        <v>1</v>
      </c>
      <c r="C2709" s="3693" t="s">
        <v>2</v>
      </c>
      <c r="D2709" s="3693" t="s">
        <v>3</v>
      </c>
      <c r="E2709" s="3522" t="s">
        <v>4</v>
      </c>
      <c r="F2709" s="3763" t="s">
        <v>5</v>
      </c>
    </row>
    <row r="2710" spans="1:7" ht="15.75" thickBot="1">
      <c r="A2710" s="3729"/>
      <c r="B2710" s="3767"/>
      <c r="C2710" s="3767"/>
      <c r="D2710" s="3767"/>
      <c r="E2710" s="3768"/>
      <c r="F2710" s="3769"/>
    </row>
    <row r="2711" spans="1:7" ht="15.75" thickTop="1">
      <c r="A2711" s="3786" t="s">
        <v>1853</v>
      </c>
      <c r="B2711" s="458" t="s">
        <v>181</v>
      </c>
      <c r="C2711" s="459" t="s">
        <v>1283</v>
      </c>
      <c r="D2711" s="5"/>
      <c r="E2711" s="392">
        <f>(G2711-F2711)/G2711</f>
        <v>0.14772727272727273</v>
      </c>
      <c r="F2711" s="483">
        <v>1.5</v>
      </c>
      <c r="G2711">
        <v>1.76</v>
      </c>
    </row>
    <row r="2712" spans="1:7">
      <c r="A2712" s="3536"/>
      <c r="B2712" s="114" t="s">
        <v>366</v>
      </c>
      <c r="C2712" s="459" t="s">
        <v>1058</v>
      </c>
      <c r="D2712" s="5"/>
      <c r="E2712" s="392">
        <f>(G2712-F2712)/G2712</f>
        <v>0.20098039215686281</v>
      </c>
      <c r="F2712" s="432">
        <v>1.63</v>
      </c>
      <c r="G2712">
        <v>2.04</v>
      </c>
    </row>
    <row r="2713" spans="1:7">
      <c r="A2713" s="3536"/>
      <c r="B2713" s="114" t="s">
        <v>180</v>
      </c>
      <c r="C2713" s="459"/>
      <c r="D2713" s="5"/>
      <c r="E2713" s="392"/>
      <c r="F2713" s="432"/>
    </row>
    <row r="2714" spans="1:7" ht="15.75" thickBot="1">
      <c r="A2714" s="460"/>
      <c r="B2714" s="461" t="s">
        <v>135</v>
      </c>
      <c r="C2714" s="462"/>
      <c r="D2714" s="463"/>
      <c r="E2714" s="464"/>
      <c r="F2714" s="465"/>
    </row>
    <row r="2718" spans="1:7">
      <c r="A2718" s="3729" t="s">
        <v>0</v>
      </c>
      <c r="B2718" s="3730" t="s">
        <v>1</v>
      </c>
      <c r="C2718" s="3730" t="s">
        <v>2</v>
      </c>
      <c r="D2718" s="3702" t="s">
        <v>3</v>
      </c>
      <c r="E2718" s="3730" t="s">
        <v>4</v>
      </c>
      <c r="F2718" s="3730" t="s">
        <v>1858</v>
      </c>
    </row>
    <row r="2719" spans="1:7">
      <c r="A2719" s="3669"/>
      <c r="B2719" s="3702"/>
      <c r="C2719" s="3702"/>
      <c r="D2719" s="3670"/>
      <c r="E2719" s="3702"/>
      <c r="F2719" s="3702"/>
    </row>
    <row r="2720" spans="1:7">
      <c r="A2720" s="3700" t="s">
        <v>1859</v>
      </c>
      <c r="B2720" s="502" t="s">
        <v>409</v>
      </c>
      <c r="C2720" s="503" t="s">
        <v>1376</v>
      </c>
      <c r="D2720" s="3700" t="s">
        <v>1860</v>
      </c>
      <c r="E2720" s="392">
        <f>(G2720-F2720)/G2720</f>
        <v>0.14918032786885235</v>
      </c>
      <c r="F2720" s="432">
        <v>5.19</v>
      </c>
      <c r="G2720">
        <v>6.1</v>
      </c>
    </row>
    <row r="2721" spans="1:12">
      <c r="A2721" s="3527"/>
      <c r="B2721" s="504" t="s">
        <v>921</v>
      </c>
      <c r="C2721" s="503" t="s">
        <v>1362</v>
      </c>
      <c r="D2721" s="3527"/>
      <c r="E2721" s="392">
        <f>(G2721-F2721)/G2721</f>
        <v>0.14918032786885235</v>
      </c>
      <c r="F2721" s="432">
        <v>5.19</v>
      </c>
      <c r="G2721">
        <v>6.1</v>
      </c>
    </row>
    <row r="2722" spans="1:12">
      <c r="A2722" s="3527"/>
      <c r="B2722" s="504" t="s">
        <v>534</v>
      </c>
      <c r="C2722" s="503" t="s">
        <v>1661</v>
      </c>
      <c r="D2722" s="3527"/>
      <c r="E2722" s="392">
        <f>(G2722-F2722)/G2722</f>
        <v>0.15075376884422101</v>
      </c>
      <c r="F2722" s="432">
        <v>5.07</v>
      </c>
      <c r="G2722">
        <v>5.97</v>
      </c>
    </row>
    <row r="2723" spans="1:12">
      <c r="A2723" s="3683"/>
      <c r="B2723" s="395" t="s">
        <v>535</v>
      </c>
      <c r="C2723" s="503" t="s">
        <v>1660</v>
      </c>
      <c r="D2723" s="3683"/>
      <c r="E2723" s="392">
        <f>(G2723-F2723)/G2723</f>
        <v>0.15075376884422101</v>
      </c>
      <c r="F2723" s="432">
        <v>5.07</v>
      </c>
      <c r="G2723">
        <v>5.97</v>
      </c>
    </row>
    <row r="2726" spans="1:12">
      <c r="A2726" s="3729" t="s">
        <v>0</v>
      </c>
      <c r="B2726" s="3759" t="s">
        <v>1</v>
      </c>
      <c r="C2726" s="3759" t="s">
        <v>2</v>
      </c>
      <c r="D2726" s="3702" t="s">
        <v>3</v>
      </c>
      <c r="E2726" s="3759" t="s">
        <v>4</v>
      </c>
      <c r="F2726" s="3759" t="s">
        <v>1858</v>
      </c>
    </row>
    <row r="2727" spans="1:12">
      <c r="A2727" s="3669"/>
      <c r="B2727" s="3702"/>
      <c r="C2727" s="3702"/>
      <c r="D2727" s="3670"/>
      <c r="E2727" s="3702"/>
      <c r="F2727" s="3702"/>
    </row>
    <row r="2728" spans="1:12">
      <c r="A2728" s="3700" t="s">
        <v>1878</v>
      </c>
      <c r="B2728" s="3700" t="s">
        <v>202</v>
      </c>
      <c r="C2728" s="516" t="s">
        <v>1316</v>
      </c>
      <c r="D2728" s="3700" t="s">
        <v>1860</v>
      </c>
      <c r="E2728" s="517">
        <f>(G2728-F2728)/G2728</f>
        <v>0.323943661971831</v>
      </c>
      <c r="F2728" s="518">
        <v>0.96</v>
      </c>
      <c r="G2728">
        <v>1.42</v>
      </c>
    </row>
    <row r="2729" spans="1:12">
      <c r="A2729" s="3683"/>
      <c r="B2729" s="3683"/>
      <c r="C2729" s="516" t="s">
        <v>1317</v>
      </c>
      <c r="D2729" s="3683"/>
      <c r="E2729" s="517">
        <f>(G2729-F2729)/G2729</f>
        <v>0.323943661971831</v>
      </c>
      <c r="F2729" s="518">
        <v>0.96</v>
      </c>
      <c r="G2729">
        <v>1.42</v>
      </c>
    </row>
    <row r="2730" spans="1:12" ht="15.75" thickBot="1"/>
    <row r="2731" spans="1:12">
      <c r="A2731" s="3614" t="s">
        <v>0</v>
      </c>
      <c r="B2731" s="3693" t="s">
        <v>1</v>
      </c>
      <c r="C2731" s="3693" t="s">
        <v>2</v>
      </c>
      <c r="D2731" s="3693" t="s">
        <v>3</v>
      </c>
      <c r="E2731" s="3693" t="s">
        <v>4</v>
      </c>
      <c r="F2731" s="3522" t="s">
        <v>5</v>
      </c>
    </row>
    <row r="2732" spans="1:12" ht="15.75" thickBot="1">
      <c r="A2732" s="3750"/>
      <c r="B2732" s="3770"/>
      <c r="C2732" s="3770"/>
      <c r="D2732" s="3770"/>
      <c r="E2732" s="3770"/>
      <c r="F2732" s="3776"/>
    </row>
    <row r="2733" spans="1:12" ht="15.75" thickTop="1">
      <c r="A2733" s="412" t="s">
        <v>1885</v>
      </c>
      <c r="B2733" s="288" t="s">
        <v>120</v>
      </c>
      <c r="C2733" s="537" t="s">
        <v>1886</v>
      </c>
      <c r="D2733" s="538"/>
      <c r="E2733" s="539">
        <f>(G2733-F2733)/G2733</f>
        <v>0.14999999999999997</v>
      </c>
      <c r="F2733" s="540">
        <v>0.54400000000000004</v>
      </c>
      <c r="G2733" s="541">
        <v>0.64</v>
      </c>
    </row>
    <row r="2734" spans="1:12" ht="25.5">
      <c r="A2734" s="302"/>
      <c r="B2734" s="542" t="s">
        <v>121</v>
      </c>
      <c r="C2734" s="707" t="s">
        <v>1887</v>
      </c>
      <c r="D2734" s="538"/>
      <c r="E2734" s="539">
        <f t="shared" ref="E2734:E2741" si="6">(G2734-F2734)/G2734</f>
        <v>0.15000000000000002</v>
      </c>
      <c r="F2734" s="540">
        <v>0.88400000000000001</v>
      </c>
      <c r="G2734" s="541">
        <v>1.04</v>
      </c>
      <c r="J2734">
        <f>(G2734-F2734)*I2734</f>
        <v>0</v>
      </c>
      <c r="K2734">
        <f>SUM(J2734+J2746+J2751)*0.5</f>
        <v>0</v>
      </c>
      <c r="L2734">
        <f>K2734/1.8968</f>
        <v>0</v>
      </c>
    </row>
    <row r="2735" spans="1:12">
      <c r="A2735" s="302"/>
      <c r="B2735" s="542" t="s">
        <v>123</v>
      </c>
      <c r="C2735" s="537" t="s">
        <v>227</v>
      </c>
      <c r="D2735" s="538"/>
      <c r="E2735" s="539">
        <f t="shared" si="6"/>
        <v>0.15</v>
      </c>
      <c r="F2735" s="540">
        <v>0.73099999999999998</v>
      </c>
      <c r="G2735" s="541">
        <v>0.86</v>
      </c>
    </row>
    <row r="2736" spans="1:12">
      <c r="A2736" s="302"/>
      <c r="B2736" s="542" t="s">
        <v>122</v>
      </c>
      <c r="C2736" s="537" t="s">
        <v>1695</v>
      </c>
      <c r="D2736" s="538"/>
      <c r="E2736" s="539">
        <f t="shared" si="6"/>
        <v>0.14999999999999997</v>
      </c>
      <c r="F2736" s="540">
        <v>0.56100000000000005</v>
      </c>
      <c r="G2736" s="528">
        <v>0.66</v>
      </c>
    </row>
    <row r="2737" spans="1:10">
      <c r="A2737" s="302"/>
      <c r="B2737" s="542"/>
      <c r="C2737" s="537" t="s">
        <v>1120</v>
      </c>
      <c r="D2737" s="538"/>
      <c r="E2737" s="539">
        <f t="shared" si="6"/>
        <v>0.15000000000000002</v>
      </c>
      <c r="F2737" s="540">
        <v>0.42499999999999999</v>
      </c>
      <c r="G2737" s="528">
        <v>0.5</v>
      </c>
    </row>
    <row r="2738" spans="1:10">
      <c r="A2738" s="302"/>
      <c r="B2738" s="542"/>
      <c r="C2738" s="537" t="s">
        <v>985</v>
      </c>
      <c r="D2738" s="538"/>
      <c r="E2738" s="539">
        <f t="shared" si="6"/>
        <v>0.15</v>
      </c>
      <c r="F2738" s="540">
        <v>1.0285</v>
      </c>
      <c r="G2738" s="528">
        <v>1.21</v>
      </c>
    </row>
    <row r="2739" spans="1:10">
      <c r="A2739" s="302"/>
      <c r="B2739" s="542"/>
      <c r="C2739" s="537" t="s">
        <v>1888</v>
      </c>
      <c r="D2739" s="538"/>
      <c r="E2739" s="539">
        <f t="shared" si="6"/>
        <v>0.15000000000000002</v>
      </c>
      <c r="F2739" s="540">
        <v>0.86699999999999999</v>
      </c>
      <c r="G2739" s="528">
        <v>1.02</v>
      </c>
    </row>
    <row r="2740" spans="1:10">
      <c r="A2740" s="302"/>
      <c r="B2740" s="542"/>
      <c r="C2740" s="543"/>
      <c r="D2740" s="538"/>
      <c r="E2740" s="539" t="e">
        <f t="shared" si="6"/>
        <v>#DIV/0!</v>
      </c>
      <c r="F2740" s="544"/>
      <c r="G2740" s="545"/>
    </row>
    <row r="2741" spans="1:10" ht="15.75" thickBot="1">
      <c r="A2741" s="460"/>
      <c r="B2741" s="546"/>
      <c r="C2741" s="547"/>
      <c r="D2741" s="548"/>
      <c r="E2741" s="549" t="e">
        <f t="shared" si="6"/>
        <v>#DIV/0!</v>
      </c>
      <c r="F2741" s="550"/>
      <c r="G2741" s="545"/>
    </row>
    <row r="2742" spans="1:10" ht="15.75" thickBot="1"/>
    <row r="2743" spans="1:10">
      <c r="A2743" s="3614" t="s">
        <v>0</v>
      </c>
      <c r="B2743" s="3693" t="s">
        <v>1</v>
      </c>
      <c r="C2743" s="3693" t="s">
        <v>2</v>
      </c>
      <c r="D2743" s="3693" t="s">
        <v>3</v>
      </c>
      <c r="E2743" s="3693" t="s">
        <v>4</v>
      </c>
      <c r="F2743" s="3522" t="s">
        <v>5</v>
      </c>
    </row>
    <row r="2744" spans="1:10" ht="15.75" thickBot="1">
      <c r="A2744" s="3750"/>
      <c r="B2744" s="3770"/>
      <c r="C2744" s="3770"/>
      <c r="D2744" s="3770"/>
      <c r="E2744" s="3770"/>
      <c r="F2744" s="3776"/>
    </row>
    <row r="2745" spans="1:10" ht="15.75" thickTop="1">
      <c r="A2745" s="412" t="s">
        <v>1889</v>
      </c>
      <c r="B2745" s="288" t="s">
        <v>120</v>
      </c>
      <c r="C2745" s="551" t="s">
        <v>1374</v>
      </c>
      <c r="D2745" s="538"/>
      <c r="E2745" s="539">
        <f>(G2745-F2745)/G2745</f>
        <v>0.12999999999999995</v>
      </c>
      <c r="F2745" s="552">
        <v>0.82650000000000001</v>
      </c>
      <c r="G2745" s="541">
        <v>0.95</v>
      </c>
    </row>
    <row r="2746" spans="1:10">
      <c r="A2746" s="302"/>
      <c r="B2746" s="542" t="s">
        <v>121</v>
      </c>
      <c r="C2746" s="706" t="s">
        <v>1890</v>
      </c>
      <c r="D2746" s="538"/>
      <c r="E2746" s="539">
        <f t="shared" ref="E2746:E2753" si="7">(G2746-F2746)/G2746</f>
        <v>0.15000000000000005</v>
      </c>
      <c r="F2746" s="552">
        <v>0.6885</v>
      </c>
      <c r="G2746" s="541">
        <v>0.81</v>
      </c>
      <c r="J2746">
        <f>(G2746-F2746)*I2746</f>
        <v>0</v>
      </c>
    </row>
    <row r="2747" spans="1:10">
      <c r="A2747" s="302"/>
      <c r="B2747" s="542" t="s">
        <v>123</v>
      </c>
      <c r="C2747" s="551" t="s">
        <v>1891</v>
      </c>
      <c r="D2747" s="538"/>
      <c r="E2747" s="539">
        <f t="shared" si="7"/>
        <v>0.15000000000000002</v>
      </c>
      <c r="F2747" s="552">
        <v>0.90100000000000002</v>
      </c>
      <c r="G2747" s="429">
        <v>1.06</v>
      </c>
    </row>
    <row r="2748" spans="1:10">
      <c r="A2748" s="302"/>
      <c r="B2748" s="542" t="s">
        <v>122</v>
      </c>
      <c r="C2748" s="551" t="s">
        <v>1892</v>
      </c>
      <c r="D2748" s="538"/>
      <c r="E2748" s="539">
        <f t="shared" si="7"/>
        <v>0.15000000000000008</v>
      </c>
      <c r="F2748" s="552">
        <v>0.89249999999999996</v>
      </c>
      <c r="G2748" s="528">
        <v>1.05</v>
      </c>
    </row>
    <row r="2749" spans="1:10">
      <c r="A2749" s="302"/>
      <c r="B2749" s="542"/>
      <c r="C2749" s="551" t="s">
        <v>1345</v>
      </c>
      <c r="D2749" s="538"/>
      <c r="E2749" s="539">
        <f t="shared" si="7"/>
        <v>0.15000000000000005</v>
      </c>
      <c r="F2749" s="552">
        <v>1.4704999999999999</v>
      </c>
      <c r="G2749" s="528">
        <v>1.73</v>
      </c>
    </row>
    <row r="2750" spans="1:10">
      <c r="A2750" s="302"/>
      <c r="B2750" s="542"/>
      <c r="C2750" s="551" t="s">
        <v>920</v>
      </c>
      <c r="D2750" s="538"/>
      <c r="E2750" s="539">
        <f t="shared" si="7"/>
        <v>0.15000000000000005</v>
      </c>
      <c r="F2750" s="552">
        <v>0.67149999999999999</v>
      </c>
      <c r="G2750" s="528">
        <v>0.79</v>
      </c>
    </row>
    <row r="2751" spans="1:10">
      <c r="A2751" s="302"/>
      <c r="B2751" s="542"/>
      <c r="C2751" s="706" t="s">
        <v>1893</v>
      </c>
      <c r="D2751" s="538"/>
      <c r="E2751" s="539">
        <f t="shared" si="7"/>
        <v>0.15000000000000002</v>
      </c>
      <c r="F2751" s="552">
        <v>0.42499999999999999</v>
      </c>
      <c r="G2751" s="528">
        <v>0.5</v>
      </c>
      <c r="J2751">
        <f>(G2751-F2751)*I2751</f>
        <v>0</v>
      </c>
    </row>
    <row r="2752" spans="1:10">
      <c r="A2752" s="302"/>
      <c r="B2752" s="542"/>
      <c r="C2752" s="551" t="s">
        <v>1894</v>
      </c>
      <c r="D2752" s="538"/>
      <c r="E2752" s="539">
        <f t="shared" si="7"/>
        <v>9.9999999999999908E-2</v>
      </c>
      <c r="F2752" s="552">
        <v>0.54</v>
      </c>
      <c r="G2752" s="528">
        <v>0.6</v>
      </c>
    </row>
    <row r="2753" spans="1:7" ht="15.75" thickBot="1">
      <c r="A2753" s="460"/>
      <c r="B2753" s="546"/>
      <c r="C2753" s="547"/>
      <c r="D2753" s="548"/>
      <c r="E2753" s="549" t="e">
        <f t="shared" si="7"/>
        <v>#DIV/0!</v>
      </c>
      <c r="F2753" s="550"/>
      <c r="G2753" s="545"/>
    </row>
    <row r="2755" spans="1:7" ht="15.75" thickBot="1"/>
    <row r="2756" spans="1:7">
      <c r="A2756" s="3614" t="s">
        <v>0</v>
      </c>
      <c r="B2756" s="3693" t="s">
        <v>1</v>
      </c>
      <c r="C2756" s="3693" t="s">
        <v>2</v>
      </c>
      <c r="D2756" s="3693" t="s">
        <v>3</v>
      </c>
      <c r="E2756" s="3522" t="s">
        <v>4</v>
      </c>
      <c r="F2756" s="3763" t="s">
        <v>5</v>
      </c>
    </row>
    <row r="2757" spans="1:7" ht="15.75" thickBot="1">
      <c r="A2757" s="3729"/>
      <c r="B2757" s="3775"/>
      <c r="C2757" s="3775"/>
      <c r="D2757" s="3775"/>
      <c r="E2757" s="3751"/>
      <c r="F2757" s="3777"/>
    </row>
    <row r="2758" spans="1:7" ht="15.75" thickTop="1">
      <c r="A2758" s="3771" t="s">
        <v>1900</v>
      </c>
      <c r="B2758" s="458" t="s">
        <v>181</v>
      </c>
      <c r="C2758" s="503" t="s">
        <v>905</v>
      </c>
      <c r="D2758" s="5"/>
      <c r="E2758" s="392">
        <f>(G2758-F2758)/G2758</f>
        <v>0.15384615384615383</v>
      </c>
      <c r="F2758" s="432">
        <v>0.66</v>
      </c>
      <c r="G2758">
        <v>0.78</v>
      </c>
    </row>
    <row r="2759" spans="1:7">
      <c r="A2759" s="3568"/>
      <c r="B2759" s="114" t="s">
        <v>366</v>
      </c>
      <c r="C2759" s="459"/>
      <c r="D2759" s="5"/>
      <c r="E2759" s="392"/>
      <c r="F2759" s="432"/>
    </row>
    <row r="2760" spans="1:7">
      <c r="A2760" s="3568"/>
      <c r="B2760" s="114" t="s">
        <v>180</v>
      </c>
      <c r="C2760" s="459"/>
      <c r="D2760" s="5"/>
      <c r="E2760" s="392"/>
      <c r="F2760" s="432"/>
    </row>
    <row r="2761" spans="1:7" ht="15.75" thickBot="1">
      <c r="A2761" s="3772"/>
      <c r="B2761" s="461" t="s">
        <v>135</v>
      </c>
      <c r="C2761" s="462"/>
      <c r="D2761" s="463"/>
      <c r="E2761" s="464"/>
      <c r="F2761" s="465"/>
    </row>
    <row r="2764" spans="1:7">
      <c r="A2764" s="3729" t="s">
        <v>0</v>
      </c>
      <c r="B2764" s="3730" t="s">
        <v>1</v>
      </c>
      <c r="C2764" s="3730" t="s">
        <v>2</v>
      </c>
      <c r="D2764" s="3702" t="s">
        <v>3</v>
      </c>
      <c r="E2764" s="3730" t="s">
        <v>4</v>
      </c>
      <c r="F2764" s="3730" t="s">
        <v>1858</v>
      </c>
    </row>
    <row r="2765" spans="1:7">
      <c r="A2765" s="3669"/>
      <c r="B2765" s="3702"/>
      <c r="C2765" s="3702"/>
      <c r="D2765" s="3670"/>
      <c r="E2765" s="3702"/>
      <c r="F2765" s="3702"/>
    </row>
    <row r="2766" spans="1:7">
      <c r="A2766" s="3746" t="s">
        <v>1907</v>
      </c>
      <c r="B2766" s="585" t="s">
        <v>409</v>
      </c>
      <c r="C2766" s="586" t="s">
        <v>1650</v>
      </c>
      <c r="D2766" s="3700" t="s">
        <v>1860</v>
      </c>
      <c r="E2766" s="392">
        <f>(G2766-F2766)/G2766</f>
        <v>0.1793400286944046</v>
      </c>
      <c r="F2766" s="432">
        <v>5.72</v>
      </c>
      <c r="G2766">
        <v>6.97</v>
      </c>
    </row>
    <row r="2767" spans="1:7">
      <c r="A2767" s="3747"/>
      <c r="B2767" s="585" t="s">
        <v>921</v>
      </c>
      <c r="C2767" s="586" t="s">
        <v>1651</v>
      </c>
      <c r="D2767" s="3527"/>
      <c r="E2767" s="392">
        <f t="shared" ref="E2767:E2772" si="8">(G2767-F2767)/G2767</f>
        <v>0.1793400286944046</v>
      </c>
      <c r="F2767" s="432">
        <v>5.72</v>
      </c>
      <c r="G2767">
        <v>6.97</v>
      </c>
    </row>
    <row r="2768" spans="1:7">
      <c r="A2768" s="3747"/>
      <c r="B2768" s="585" t="s">
        <v>534</v>
      </c>
      <c r="C2768" s="586" t="s">
        <v>1652</v>
      </c>
      <c r="D2768" s="3527"/>
      <c r="E2768" s="392">
        <f t="shared" si="8"/>
        <v>0.1793400286944046</v>
      </c>
      <c r="F2768" s="432">
        <v>5.72</v>
      </c>
      <c r="G2768">
        <v>6.97</v>
      </c>
    </row>
    <row r="2769" spans="1:7">
      <c r="A2769" s="3747"/>
      <c r="B2769" s="587"/>
      <c r="C2769" s="586" t="s">
        <v>1908</v>
      </c>
      <c r="D2769" s="3527"/>
      <c r="E2769" s="392">
        <f t="shared" si="8"/>
        <v>0.1793400286944046</v>
      </c>
      <c r="F2769" s="432">
        <v>5.72</v>
      </c>
      <c r="G2769">
        <v>6.97</v>
      </c>
    </row>
    <row r="2770" spans="1:7">
      <c r="A2770" s="3747"/>
      <c r="B2770" s="469"/>
      <c r="C2770" s="586" t="s">
        <v>870</v>
      </c>
      <c r="D2770" s="3527"/>
      <c r="E2770" s="392">
        <f t="shared" si="8"/>
        <v>0.17886178861788615</v>
      </c>
      <c r="F2770" s="432">
        <v>1.01</v>
      </c>
      <c r="G2770">
        <v>1.23</v>
      </c>
    </row>
    <row r="2771" spans="1:7">
      <c r="A2771" s="3747"/>
      <c r="B2771" s="469"/>
      <c r="C2771" s="586" t="s">
        <v>858</v>
      </c>
      <c r="D2771" s="3527"/>
      <c r="E2771" s="392">
        <f t="shared" si="8"/>
        <v>0.19999999999999996</v>
      </c>
      <c r="F2771" s="432">
        <v>0.76</v>
      </c>
      <c r="G2771">
        <v>0.95</v>
      </c>
    </row>
    <row r="2772" spans="1:7">
      <c r="A2772" s="3748"/>
      <c r="B2772" s="469"/>
      <c r="C2772" s="586" t="s">
        <v>730</v>
      </c>
      <c r="D2772" s="3683"/>
      <c r="E2772" s="392">
        <f t="shared" si="8"/>
        <v>0.19512195121951212</v>
      </c>
      <c r="F2772" s="432">
        <v>0.66</v>
      </c>
      <c r="G2772">
        <v>0.82</v>
      </c>
    </row>
    <row r="2773" spans="1:7" ht="15.75" thickBot="1"/>
    <row r="2774" spans="1:7">
      <c r="A2774" s="3614" t="s">
        <v>0</v>
      </c>
      <c r="B2774" s="3693" t="s">
        <v>1</v>
      </c>
      <c r="C2774" s="3693" t="s">
        <v>2</v>
      </c>
      <c r="D2774" s="3693" t="s">
        <v>3</v>
      </c>
      <c r="E2774" s="3693" t="s">
        <v>4</v>
      </c>
      <c r="F2774" s="3522" t="s">
        <v>5</v>
      </c>
    </row>
    <row r="2775" spans="1:7">
      <c r="A2775" s="3773"/>
      <c r="B2775" s="3759"/>
      <c r="C2775" s="3759"/>
      <c r="D2775" s="3759"/>
      <c r="E2775" s="3759"/>
      <c r="F2775" s="3761"/>
    </row>
    <row r="2776" spans="1:7">
      <c r="A2776" s="3762" t="s">
        <v>1915</v>
      </c>
      <c r="B2776" s="516" t="s">
        <v>181</v>
      </c>
      <c r="C2776" s="595" t="s">
        <v>868</v>
      </c>
      <c r="D2776" s="516"/>
      <c r="E2776" s="596">
        <f t="shared" ref="E2776:E2781" si="9">(G2776-F2776)/G2776</f>
        <v>0.24957555178268248</v>
      </c>
      <c r="F2776" s="597">
        <v>8.84</v>
      </c>
      <c r="G2776">
        <v>11.78</v>
      </c>
    </row>
    <row r="2777" spans="1:7">
      <c r="A2777" s="3536"/>
      <c r="B2777" s="516" t="s">
        <v>366</v>
      </c>
      <c r="C2777" s="595" t="s">
        <v>1485</v>
      </c>
      <c r="D2777" s="516"/>
      <c r="E2777" s="596">
        <f t="shared" si="9"/>
        <v>0.24991635998661754</v>
      </c>
      <c r="F2777" s="597">
        <v>22.42</v>
      </c>
      <c r="G2777">
        <v>29.89</v>
      </c>
    </row>
    <row r="2778" spans="1:7">
      <c r="A2778" s="3536"/>
      <c r="B2778" s="516" t="s">
        <v>180</v>
      </c>
      <c r="C2778" s="595" t="s">
        <v>239</v>
      </c>
      <c r="D2778" s="516"/>
      <c r="E2778" s="596">
        <f t="shared" si="9"/>
        <v>0.24957555178268248</v>
      </c>
      <c r="F2778" s="597">
        <v>8.84</v>
      </c>
      <c r="G2778">
        <v>11.78</v>
      </c>
    </row>
    <row r="2779" spans="1:7">
      <c r="A2779" s="3536"/>
      <c r="B2779" s="516" t="s">
        <v>135</v>
      </c>
      <c r="C2779" s="595" t="s">
        <v>74</v>
      </c>
      <c r="D2779" s="516"/>
      <c r="E2779" s="596">
        <f t="shared" si="9"/>
        <v>0.24991635998661754</v>
      </c>
      <c r="F2779" s="598">
        <v>22.42</v>
      </c>
      <c r="G2779">
        <v>29.89</v>
      </c>
    </row>
    <row r="2780" spans="1:7">
      <c r="A2780" s="3536"/>
      <c r="B2780" s="516"/>
      <c r="C2780" s="595" t="s">
        <v>238</v>
      </c>
      <c r="D2780" s="516"/>
      <c r="E2780" s="596">
        <f t="shared" si="9"/>
        <v>0.24957555178268248</v>
      </c>
      <c r="F2780" s="599">
        <v>8.84</v>
      </c>
      <c r="G2780">
        <v>11.78</v>
      </c>
    </row>
    <row r="2781" spans="1:7" ht="15.75" thickBot="1">
      <c r="A2781" s="3537"/>
      <c r="B2781" s="600"/>
      <c r="C2781" s="601" t="s">
        <v>71</v>
      </c>
      <c r="D2781" s="600"/>
      <c r="E2781" s="602">
        <f t="shared" si="9"/>
        <v>0.24991635998661754</v>
      </c>
      <c r="F2781" s="475">
        <v>22.42</v>
      </c>
      <c r="G2781">
        <v>29.89</v>
      </c>
    </row>
    <row r="2785" spans="1:13">
      <c r="A2785" s="3744" t="s">
        <v>0</v>
      </c>
      <c r="B2785" s="3774" t="s">
        <v>1</v>
      </c>
      <c r="C2785" s="3774" t="s">
        <v>2</v>
      </c>
      <c r="D2785" s="3742" t="s">
        <v>3</v>
      </c>
      <c r="E2785" s="3774" t="s">
        <v>4</v>
      </c>
      <c r="F2785" s="3774" t="s">
        <v>1858</v>
      </c>
    </row>
    <row r="2786" spans="1:13">
      <c r="A2786" s="3669"/>
      <c r="B2786" s="3742"/>
      <c r="C2786" s="3742"/>
      <c r="D2786" s="3670"/>
      <c r="E2786" s="3742"/>
      <c r="F2786" s="3742"/>
    </row>
    <row r="2787" spans="1:13">
      <c r="A2787" s="3746" t="s">
        <v>1925</v>
      </c>
      <c r="B2787" s="615" t="s">
        <v>409</v>
      </c>
      <c r="C2787" s="616" t="s">
        <v>1655</v>
      </c>
      <c r="D2787" s="3745"/>
      <c r="E2787" s="392">
        <f>(G2787-F2787)/G2787</f>
        <v>0.24822695035460984</v>
      </c>
      <c r="F2787" s="617">
        <v>1.06</v>
      </c>
      <c r="G2787">
        <v>1.41</v>
      </c>
      <c r="K2787">
        <f t="shared" ref="K2787:K2792" si="10">(G2787-F2787)*I2787</f>
        <v>0</v>
      </c>
      <c r="M2787">
        <f>SUM(K2787:K2792)</f>
        <v>0</v>
      </c>
    </row>
    <row r="2788" spans="1:13">
      <c r="A2788" s="3747"/>
      <c r="B2788" s="615" t="s">
        <v>921</v>
      </c>
      <c r="C2788" s="616" t="s">
        <v>1346</v>
      </c>
      <c r="D2788" s="3527"/>
      <c r="E2788" s="392">
        <f t="shared" ref="E2788:E2793" si="11">(G2788-F2788)/G2788</f>
        <v>0.25000000000000006</v>
      </c>
      <c r="F2788" s="617">
        <v>0.24</v>
      </c>
      <c r="G2788">
        <v>0.32</v>
      </c>
      <c r="K2788">
        <f t="shared" si="10"/>
        <v>0</v>
      </c>
      <c r="M2788">
        <f>M2787/2</f>
        <v>0</v>
      </c>
    </row>
    <row r="2789" spans="1:13">
      <c r="A2789" s="3747"/>
      <c r="B2789" s="615" t="s">
        <v>534</v>
      </c>
      <c r="C2789" s="618" t="s">
        <v>1347</v>
      </c>
      <c r="D2789" s="3527"/>
      <c r="E2789" s="392">
        <f t="shared" si="11"/>
        <v>0.25000000000000006</v>
      </c>
      <c r="F2789" s="617">
        <v>0.24</v>
      </c>
      <c r="G2789">
        <v>0.32</v>
      </c>
      <c r="K2789">
        <f t="shared" si="10"/>
        <v>0</v>
      </c>
      <c r="M2789">
        <f>M2788/1.894</f>
        <v>0</v>
      </c>
    </row>
    <row r="2790" spans="1:13">
      <c r="A2790" s="3747"/>
      <c r="B2790" s="619"/>
      <c r="C2790" s="618" t="s">
        <v>1326</v>
      </c>
      <c r="D2790" s="3527"/>
      <c r="E2790" s="392">
        <f t="shared" si="11"/>
        <v>0.25000000000000006</v>
      </c>
      <c r="F2790" s="617">
        <v>0.24</v>
      </c>
      <c r="G2790">
        <v>0.32</v>
      </c>
      <c r="K2790">
        <f t="shared" si="10"/>
        <v>0</v>
      </c>
    </row>
    <row r="2791" spans="1:13">
      <c r="A2791" s="3747"/>
      <c r="B2791" s="620"/>
      <c r="C2791" s="618" t="s">
        <v>1327</v>
      </c>
      <c r="D2791" s="3527"/>
      <c r="E2791" s="392">
        <f t="shared" si="11"/>
        <v>0.25000000000000006</v>
      </c>
      <c r="F2791" s="617">
        <v>0.24</v>
      </c>
      <c r="G2791">
        <v>0.32</v>
      </c>
      <c r="K2791">
        <f t="shared" si="10"/>
        <v>0</v>
      </c>
    </row>
    <row r="2792" spans="1:13">
      <c r="A2792" s="3747"/>
      <c r="B2792" s="620"/>
      <c r="C2792" s="618" t="s">
        <v>1325</v>
      </c>
      <c r="D2792" s="3527"/>
      <c r="E2792" s="392">
        <f t="shared" si="11"/>
        <v>0.25000000000000006</v>
      </c>
      <c r="F2792" s="617">
        <v>0.24</v>
      </c>
      <c r="G2792">
        <v>0.32</v>
      </c>
      <c r="K2792">
        <f t="shared" si="10"/>
        <v>0</v>
      </c>
    </row>
    <row r="2793" spans="1:13">
      <c r="A2793" s="3748"/>
      <c r="B2793" s="620"/>
      <c r="C2793" s="618"/>
      <c r="D2793" s="3683"/>
      <c r="E2793" s="392" t="e">
        <f t="shared" si="11"/>
        <v>#DIV/0!</v>
      </c>
      <c r="F2793" s="617"/>
    </row>
    <row r="2794" spans="1:13" ht="15.75" thickBot="1"/>
    <row r="2795" spans="1:13">
      <c r="A2795" s="3614" t="s">
        <v>0</v>
      </c>
      <c r="B2795" s="3693" t="s">
        <v>1</v>
      </c>
      <c r="C2795" s="3693" t="s">
        <v>2</v>
      </c>
      <c r="D2795" s="3693" t="s">
        <v>3</v>
      </c>
      <c r="E2795" s="3522" t="s">
        <v>4</v>
      </c>
      <c r="F2795" s="3763" t="s">
        <v>5</v>
      </c>
    </row>
    <row r="2796" spans="1:13" ht="15.75" thickBot="1">
      <c r="A2796" s="3744"/>
      <c r="B2796" s="3760"/>
      <c r="C2796" s="3760"/>
      <c r="D2796" s="3760"/>
      <c r="E2796" s="3778"/>
      <c r="F2796" s="3764"/>
    </row>
    <row r="2797" spans="1:13" ht="15.75" thickTop="1">
      <c r="A2797" s="3771" t="s">
        <v>1925</v>
      </c>
      <c r="B2797" s="458" t="s">
        <v>181</v>
      </c>
      <c r="C2797" s="616" t="s">
        <v>1315</v>
      </c>
      <c r="D2797" s="5"/>
      <c r="E2797" s="392">
        <f>(G2797-F2797)/G2797</f>
        <v>0.25000000000000006</v>
      </c>
      <c r="F2797" s="617">
        <v>1.1399999999999999</v>
      </c>
      <c r="G2797">
        <v>1.52</v>
      </c>
    </row>
    <row r="2798" spans="1:13">
      <c r="A2798" s="3568"/>
      <c r="B2798" s="621" t="s">
        <v>366</v>
      </c>
      <c r="C2798" s="616" t="s">
        <v>1316</v>
      </c>
      <c r="D2798" s="5"/>
      <c r="E2798" s="392">
        <f>(G2798-F2798)/G2798</f>
        <v>0.25000000000000006</v>
      </c>
      <c r="F2798" s="617">
        <v>1.1399999999999999</v>
      </c>
      <c r="G2798">
        <v>1.52</v>
      </c>
    </row>
    <row r="2799" spans="1:13">
      <c r="A2799" s="3568"/>
      <c r="B2799" s="621" t="s">
        <v>180</v>
      </c>
      <c r="C2799" s="616" t="s">
        <v>1317</v>
      </c>
      <c r="D2799" s="5"/>
      <c r="E2799" s="392">
        <f>(G2799-F2799)/G2799</f>
        <v>0.25000000000000006</v>
      </c>
      <c r="F2799" s="617">
        <v>1.1399999999999999</v>
      </c>
      <c r="G2799">
        <v>1.52</v>
      </c>
    </row>
    <row r="2800" spans="1:13" ht="15.75" thickBot="1">
      <c r="A2800" s="3772"/>
      <c r="B2800" s="622" t="s">
        <v>135</v>
      </c>
      <c r="C2800" s="623"/>
      <c r="D2800" s="463"/>
      <c r="E2800" s="464"/>
      <c r="F2800" s="465"/>
    </row>
    <row r="2803" spans="1:7" ht="15" customHeight="1">
      <c r="A2803" s="3744" t="s">
        <v>0</v>
      </c>
      <c r="B2803" s="3753" t="s">
        <v>1</v>
      </c>
      <c r="C2803" s="3753" t="s">
        <v>2</v>
      </c>
      <c r="D2803" s="3742" t="s">
        <v>3</v>
      </c>
      <c r="E2803" s="3753" t="s">
        <v>4</v>
      </c>
      <c r="F2803" s="3753" t="s">
        <v>1941</v>
      </c>
    </row>
    <row r="2804" spans="1:7" ht="15" customHeight="1">
      <c r="A2804" s="3669"/>
      <c r="B2804" s="3742"/>
      <c r="C2804" s="3742"/>
      <c r="D2804" s="3670"/>
      <c r="E2804" s="3742"/>
      <c r="F2804" s="3742"/>
    </row>
    <row r="2805" spans="1:7">
      <c r="A2805" s="3745" t="s">
        <v>1942</v>
      </c>
      <c r="B2805" s="3745" t="s">
        <v>1943</v>
      </c>
      <c r="C2805" s="629" t="s">
        <v>1362</v>
      </c>
      <c r="D2805" s="3745" t="s">
        <v>1860</v>
      </c>
      <c r="E2805" s="392">
        <f>(G2805-F2805)/G2805</f>
        <v>0.15061295971978991</v>
      </c>
      <c r="F2805" s="630">
        <v>4.8499999999999996</v>
      </c>
      <c r="G2805">
        <v>5.71</v>
      </c>
    </row>
    <row r="2806" spans="1:7">
      <c r="A2806" s="3527"/>
      <c r="B2806" s="3527"/>
      <c r="C2806" s="629" t="s">
        <v>1376</v>
      </c>
      <c r="D2806" s="3527"/>
      <c r="E2806" s="392">
        <f>(G2806-F2806)/G2806</f>
        <v>0.15061295971978991</v>
      </c>
      <c r="F2806" s="630">
        <v>4.8499999999999996</v>
      </c>
      <c r="G2806">
        <v>5.71</v>
      </c>
    </row>
    <row r="2807" spans="1:7">
      <c r="A2807" s="3683"/>
      <c r="B2807" s="3683"/>
      <c r="C2807" s="629" t="s">
        <v>1363</v>
      </c>
      <c r="D2807" s="3683"/>
      <c r="E2807" s="392">
        <f>(G2807-F2807)/G2807</f>
        <v>0.15061295971978991</v>
      </c>
      <c r="F2807" s="630">
        <v>4.8499999999999996</v>
      </c>
      <c r="G2807">
        <v>5.71</v>
      </c>
    </row>
    <row r="2810" spans="1:7">
      <c r="A2810" s="3744" t="s">
        <v>0</v>
      </c>
      <c r="B2810" s="3753" t="s">
        <v>1</v>
      </c>
      <c r="C2810" s="3753" t="s">
        <v>2</v>
      </c>
      <c r="D2810" s="3742" t="s">
        <v>3</v>
      </c>
      <c r="E2810" s="3753" t="s">
        <v>4</v>
      </c>
      <c r="F2810" s="3753" t="s">
        <v>1941</v>
      </c>
    </row>
    <row r="2811" spans="1:7">
      <c r="A2811" s="3669"/>
      <c r="B2811" s="3742"/>
      <c r="C2811" s="3742"/>
      <c r="D2811" s="3670"/>
      <c r="E2811" s="3742"/>
      <c r="F2811" s="3742"/>
    </row>
    <row r="2812" spans="1:7">
      <c r="A2812" s="3745" t="s">
        <v>1947</v>
      </c>
      <c r="B2812" s="633" t="s">
        <v>409</v>
      </c>
      <c r="C2812" s="634" t="s">
        <v>1315</v>
      </c>
      <c r="D2812" s="3745" t="s">
        <v>1860</v>
      </c>
      <c r="E2812" s="392">
        <f>(G2812-F2812)/G2812</f>
        <v>0.19736842105263161</v>
      </c>
      <c r="F2812" s="630">
        <v>1.22</v>
      </c>
      <c r="G2812">
        <v>1.52</v>
      </c>
    </row>
    <row r="2813" spans="1:7">
      <c r="A2813" s="3527"/>
      <c r="B2813" s="504" t="s">
        <v>921</v>
      </c>
      <c r="C2813" s="634" t="s">
        <v>1316</v>
      </c>
      <c r="D2813" s="3527"/>
      <c r="E2813" s="392">
        <f t="shared" ref="E2813:E2819" si="12">(G2813-F2813)/G2813</f>
        <v>0.19736842105263161</v>
      </c>
      <c r="F2813" s="630">
        <v>1.22</v>
      </c>
      <c r="G2813">
        <v>1.52</v>
      </c>
    </row>
    <row r="2814" spans="1:7">
      <c r="A2814" s="3527"/>
      <c r="B2814" s="504" t="s">
        <v>534</v>
      </c>
      <c r="C2814" s="634" t="s">
        <v>1317</v>
      </c>
      <c r="D2814" s="3527"/>
      <c r="E2814" s="392">
        <f t="shared" si="12"/>
        <v>0.19736842105263161</v>
      </c>
      <c r="F2814" s="630">
        <v>1.22</v>
      </c>
      <c r="G2814">
        <v>1.52</v>
      </c>
    </row>
    <row r="2815" spans="1:7">
      <c r="A2815" s="3527"/>
      <c r="B2815" s="504"/>
      <c r="C2815" s="634" t="s">
        <v>1949</v>
      </c>
      <c r="D2815" s="3527"/>
      <c r="E2815" s="392" t="e">
        <f>(G2815-F2815)/G2815</f>
        <v>#DIV/0!</v>
      </c>
      <c r="F2815" s="630">
        <v>0.73</v>
      </c>
    </row>
    <row r="2816" spans="1:7">
      <c r="A2816" s="3527"/>
      <c r="B2816" s="504"/>
      <c r="C2816" s="634" t="s">
        <v>1950</v>
      </c>
      <c r="D2816" s="3527"/>
      <c r="E2816" s="392" t="e">
        <f>(G2816-F2816)/G2816</f>
        <v>#DIV/0!</v>
      </c>
      <c r="F2816" s="630">
        <v>0.73</v>
      </c>
    </row>
    <row r="2817" spans="1:10">
      <c r="A2817" s="3527"/>
      <c r="B2817" s="504"/>
      <c r="C2817" s="634" t="s">
        <v>226</v>
      </c>
      <c r="D2817" s="3527"/>
      <c r="E2817" s="392">
        <f t="shared" si="12"/>
        <v>0.15116279069767444</v>
      </c>
      <c r="F2817" s="630">
        <v>0.73</v>
      </c>
      <c r="G2817">
        <v>0.86</v>
      </c>
    </row>
    <row r="2818" spans="1:10">
      <c r="A2818" s="3527"/>
      <c r="B2818" s="504"/>
      <c r="C2818" s="634" t="s">
        <v>227</v>
      </c>
      <c r="D2818" s="3527"/>
      <c r="E2818" s="392">
        <f t="shared" si="12"/>
        <v>0.15116279069767444</v>
      </c>
      <c r="F2818" s="630">
        <v>0.73</v>
      </c>
      <c r="G2818">
        <v>0.86</v>
      </c>
    </row>
    <row r="2819" spans="1:10">
      <c r="A2819" s="3683"/>
      <c r="B2819" s="635"/>
      <c r="C2819" s="634" t="s">
        <v>228</v>
      </c>
      <c r="D2819" s="3683"/>
      <c r="E2819" s="392">
        <f t="shared" si="12"/>
        <v>0.15116279069767444</v>
      </c>
      <c r="F2819" s="630">
        <v>0.73</v>
      </c>
      <c r="G2819">
        <v>0.86</v>
      </c>
    </row>
    <row r="2821" spans="1:10" ht="15.75" thickBot="1"/>
    <row r="2822" spans="1:10">
      <c r="A2822" s="3572" t="s">
        <v>0</v>
      </c>
      <c r="B2822" s="3636" t="s">
        <v>1</v>
      </c>
      <c r="C2822" s="3636" t="s">
        <v>2</v>
      </c>
      <c r="D2822" s="3636" t="s">
        <v>3</v>
      </c>
      <c r="E2822" s="3636" t="s">
        <v>4</v>
      </c>
      <c r="F2822" s="3559" t="s">
        <v>5</v>
      </c>
      <c r="G2822" s="429"/>
    </row>
    <row r="2823" spans="1:10" ht="15.75" thickBot="1">
      <c r="A2823" s="3752"/>
      <c r="B2823" s="3734"/>
      <c r="C2823" s="3734"/>
      <c r="D2823" s="3734"/>
      <c r="E2823" s="3734"/>
      <c r="F2823" s="3737"/>
      <c r="G2823" s="429"/>
    </row>
    <row r="2824" spans="1:10" ht="15.75" thickTop="1">
      <c r="A2824" s="636" t="s">
        <v>1948</v>
      </c>
      <c r="B2824" s="388" t="s">
        <v>120</v>
      </c>
      <c r="C2824" s="637" t="s">
        <v>1317</v>
      </c>
      <c r="D2824" s="388"/>
      <c r="E2824" s="638">
        <f>(G2824-F2824)/G2824</f>
        <v>0.15</v>
      </c>
      <c r="F2824" s="639">
        <v>1.292</v>
      </c>
      <c r="G2824" s="429">
        <v>1.52</v>
      </c>
    </row>
    <row r="2825" spans="1:10">
      <c r="A2825" s="491"/>
      <c r="B2825" s="625" t="s">
        <v>121</v>
      </c>
      <c r="C2825" s="637" t="s">
        <v>226</v>
      </c>
      <c r="D2825" s="388"/>
      <c r="E2825" s="638">
        <f t="shared" ref="E2825:E2832" si="13">(G2825-F2825)/G2825</f>
        <v>0.15</v>
      </c>
      <c r="F2825" s="639">
        <v>0.73099999999999998</v>
      </c>
      <c r="G2825" s="429">
        <v>0.86</v>
      </c>
    </row>
    <row r="2826" spans="1:10">
      <c r="A2826" s="491"/>
      <c r="B2826" s="625" t="s">
        <v>123</v>
      </c>
      <c r="C2826" s="637" t="s">
        <v>436</v>
      </c>
      <c r="D2826" s="388"/>
      <c r="E2826" s="638">
        <f t="shared" si="13"/>
        <v>0.19999999999999987</v>
      </c>
      <c r="F2826" s="639">
        <v>1.2160000000000002</v>
      </c>
      <c r="G2826" s="429">
        <v>1.52</v>
      </c>
    </row>
    <row r="2827" spans="1:10">
      <c r="A2827" s="491"/>
      <c r="B2827" s="625" t="s">
        <v>122</v>
      </c>
      <c r="C2827" s="637" t="s">
        <v>1913</v>
      </c>
      <c r="D2827" s="388"/>
      <c r="E2827" s="638">
        <f t="shared" si="13"/>
        <v>0.25</v>
      </c>
      <c r="F2827" s="639">
        <v>0.75</v>
      </c>
      <c r="G2827" s="528">
        <v>1</v>
      </c>
    </row>
    <row r="2828" spans="1:10">
      <c r="A2828" s="491"/>
      <c r="B2828" s="625"/>
      <c r="C2828" s="637" t="s">
        <v>472</v>
      </c>
      <c r="D2828" s="388"/>
      <c r="E2828" s="638">
        <f t="shared" si="13"/>
        <v>9.9999999999999964E-2</v>
      </c>
      <c r="F2828" s="639">
        <v>0.81900000000000006</v>
      </c>
      <c r="G2828" s="528">
        <v>0.91</v>
      </c>
    </row>
    <row r="2829" spans="1:10">
      <c r="A2829" s="491"/>
      <c r="B2829" s="625"/>
      <c r="C2829" s="637" t="s">
        <v>1904</v>
      </c>
      <c r="D2829" s="388"/>
      <c r="E2829" s="638">
        <f t="shared" si="13"/>
        <v>0.15000000000000011</v>
      </c>
      <c r="F2829" s="639">
        <v>1.3174999999999999</v>
      </c>
      <c r="G2829" s="528">
        <v>1.55</v>
      </c>
      <c r="J2829">
        <f>(G2829-F2829)*I2829</f>
        <v>0</v>
      </c>
    </row>
    <row r="2830" spans="1:10">
      <c r="A2830" s="491"/>
      <c r="B2830" s="625"/>
      <c r="C2830" s="640" t="s">
        <v>1914</v>
      </c>
      <c r="D2830" s="388"/>
      <c r="E2830" s="638">
        <f t="shared" si="13"/>
        <v>0.25</v>
      </c>
      <c r="F2830" s="639">
        <v>0.75</v>
      </c>
      <c r="G2830" s="528">
        <v>1</v>
      </c>
    </row>
    <row r="2831" spans="1:10">
      <c r="A2831" s="302"/>
      <c r="B2831" s="641"/>
      <c r="C2831" s="640"/>
      <c r="D2831" s="538"/>
      <c r="E2831" s="539" t="e">
        <f t="shared" si="13"/>
        <v>#DIV/0!</v>
      </c>
      <c r="F2831" s="642"/>
      <c r="G2831" s="528"/>
    </row>
    <row r="2832" spans="1:10" ht="15.75" thickBot="1">
      <c r="A2832" s="460"/>
      <c r="B2832" s="623"/>
      <c r="C2832" s="643"/>
      <c r="D2832" s="548"/>
      <c r="E2832" s="549" t="e">
        <f t="shared" si="13"/>
        <v>#DIV/0!</v>
      </c>
      <c r="F2832" s="550"/>
      <c r="G2832" s="545"/>
    </row>
    <row r="2833" spans="1:9" ht="15.75" thickBot="1"/>
    <row r="2834" spans="1:9">
      <c r="A2834" s="3572" t="s">
        <v>0</v>
      </c>
      <c r="B2834" s="3636" t="s">
        <v>1</v>
      </c>
      <c r="C2834" s="3636" t="s">
        <v>2</v>
      </c>
      <c r="D2834" s="3636" t="s">
        <v>3</v>
      </c>
      <c r="E2834" s="3636" t="s">
        <v>4</v>
      </c>
      <c r="F2834" s="3559" t="s">
        <v>5</v>
      </c>
      <c r="G2834" s="429"/>
    </row>
    <row r="2835" spans="1:9" ht="15.75" thickBot="1">
      <c r="A2835" s="3752"/>
      <c r="B2835" s="3734"/>
      <c r="C2835" s="3734"/>
      <c r="D2835" s="3734"/>
      <c r="E2835" s="3734"/>
      <c r="F2835" s="3737"/>
      <c r="G2835" s="429"/>
    </row>
    <row r="2836" spans="1:9" ht="15.75" thickTop="1">
      <c r="A2836" s="636" t="s">
        <v>1951</v>
      </c>
      <c r="B2836" s="388" t="s">
        <v>120</v>
      </c>
      <c r="C2836" s="644" t="s">
        <v>1952</v>
      </c>
      <c r="D2836" s="388"/>
      <c r="E2836" s="638">
        <f>(G2836-F2836)/G2836</f>
        <v>9.9999999999999936E-2</v>
      </c>
      <c r="F2836" s="642">
        <v>0.63900000000000001</v>
      </c>
      <c r="G2836" s="429">
        <v>0.71</v>
      </c>
    </row>
    <row r="2837" spans="1:9">
      <c r="A2837" s="491"/>
      <c r="B2837" s="625" t="s">
        <v>121</v>
      </c>
      <c r="C2837" s="644" t="s">
        <v>1695</v>
      </c>
      <c r="D2837" s="388"/>
      <c r="E2837" s="638">
        <f t="shared" ref="E2837:E2844" si="14">(G2837-F2837)/G2837</f>
        <v>0.14999999999999997</v>
      </c>
      <c r="F2837" s="642">
        <v>0.56100000000000005</v>
      </c>
      <c r="G2837" s="429">
        <v>0.66</v>
      </c>
    </row>
    <row r="2838" spans="1:9">
      <c r="A2838" s="491"/>
      <c r="B2838" s="625" t="s">
        <v>123</v>
      </c>
      <c r="C2838" s="644" t="s">
        <v>905</v>
      </c>
      <c r="D2838" s="388"/>
      <c r="E2838" s="638">
        <f t="shared" si="14"/>
        <v>0.15</v>
      </c>
      <c r="F2838" s="642">
        <v>0.66300000000000003</v>
      </c>
      <c r="G2838" s="429">
        <v>0.78</v>
      </c>
    </row>
    <row r="2839" spans="1:9">
      <c r="A2839" s="491"/>
      <c r="B2839" s="625" t="s">
        <v>122</v>
      </c>
      <c r="C2839" s="644" t="s">
        <v>465</v>
      </c>
      <c r="D2839" s="388"/>
      <c r="E2839" s="638">
        <f t="shared" si="14"/>
        <v>0.10000000000000002</v>
      </c>
      <c r="F2839" s="642">
        <v>1.2689999999999999</v>
      </c>
      <c r="G2839" s="528">
        <v>1.41</v>
      </c>
    </row>
    <row r="2840" spans="1:9">
      <c r="A2840" s="491"/>
      <c r="B2840" s="625"/>
      <c r="C2840" s="644" t="s">
        <v>730</v>
      </c>
      <c r="D2840" s="388"/>
      <c r="E2840" s="638">
        <f t="shared" si="14"/>
        <v>0.15</v>
      </c>
      <c r="F2840" s="645">
        <v>0.69699999999999995</v>
      </c>
      <c r="G2840" s="528">
        <v>0.82</v>
      </c>
    </row>
    <row r="2841" spans="1:9">
      <c r="A2841" s="491"/>
      <c r="B2841" s="625"/>
      <c r="C2841" s="644" t="s">
        <v>985</v>
      </c>
      <c r="D2841" s="388"/>
      <c r="E2841" s="638">
        <f t="shared" si="14"/>
        <v>0.1</v>
      </c>
      <c r="F2841" s="645">
        <v>1.089</v>
      </c>
      <c r="G2841" s="528">
        <v>1.21</v>
      </c>
    </row>
    <row r="2842" spans="1:9">
      <c r="A2842" s="491"/>
      <c r="B2842" s="625"/>
      <c r="C2842" s="644" t="s">
        <v>385</v>
      </c>
      <c r="D2842" s="388"/>
      <c r="E2842" s="638">
        <f t="shared" si="14"/>
        <v>0.15000000000000002</v>
      </c>
      <c r="F2842" s="645">
        <v>0.86699999999999999</v>
      </c>
      <c r="G2842" s="528">
        <v>1.02</v>
      </c>
      <c r="H2842">
        <v>0.95</v>
      </c>
    </row>
    <row r="2843" spans="1:9">
      <c r="A2843" s="302"/>
      <c r="B2843" s="641"/>
      <c r="C2843" s="644" t="s">
        <v>1301</v>
      </c>
      <c r="D2843" s="538"/>
      <c r="E2843" s="539">
        <f t="shared" si="14"/>
        <v>9.9999999999999978E-2</v>
      </c>
      <c r="F2843" s="645">
        <v>0.85499999999999998</v>
      </c>
      <c r="G2843" s="528">
        <v>0.95</v>
      </c>
    </row>
    <row r="2844" spans="1:9" ht="15.75" thickBot="1">
      <c r="A2844" s="460"/>
      <c r="B2844" s="623"/>
      <c r="C2844" s="643"/>
      <c r="D2844" s="548"/>
      <c r="E2844" s="549" t="e">
        <f t="shared" si="14"/>
        <v>#DIV/0!</v>
      </c>
      <c r="F2844" s="550"/>
      <c r="G2844" s="545"/>
    </row>
    <row r="2846" spans="1:9" s="667" customFormat="1">
      <c r="A2846" s="3757"/>
      <c r="B2846" s="3738"/>
      <c r="C2846" s="3738"/>
      <c r="D2846" s="3739"/>
      <c r="E2846" s="3738"/>
      <c r="F2846" s="3738"/>
      <c r="I2846"/>
    </row>
    <row r="2847" spans="1:9" s="667" customFormat="1">
      <c r="A2847" s="3758"/>
      <c r="B2847" s="3739"/>
      <c r="C2847" s="3739"/>
      <c r="D2847" s="3740"/>
      <c r="E2847" s="3739"/>
      <c r="F2847" s="3739"/>
      <c r="I2847"/>
    </row>
    <row r="2848" spans="1:9" s="667" customFormat="1">
      <c r="A2848" s="3754" t="s">
        <v>1963</v>
      </c>
      <c r="B2848" s="683" t="s">
        <v>409</v>
      </c>
      <c r="C2848" s="684" t="s">
        <v>858</v>
      </c>
      <c r="D2848" s="3754"/>
      <c r="E2848" s="685">
        <f>(G2848-F2848)/G2848</f>
        <v>0.14736842105263148</v>
      </c>
      <c r="F2848" s="686">
        <v>0.81</v>
      </c>
      <c r="G2848" s="667">
        <v>0.95</v>
      </c>
      <c r="I2848"/>
    </row>
    <row r="2849" spans="1:9" s="667" customFormat="1">
      <c r="A2849" s="3755"/>
      <c r="B2849" s="687" t="s">
        <v>921</v>
      </c>
      <c r="C2849" s="667" t="s">
        <v>1269</v>
      </c>
      <c r="D2849" s="3755"/>
      <c r="E2849" s="685">
        <f>(G2849-F2849)/G2849</f>
        <v>0.14736842105263148</v>
      </c>
      <c r="F2849" s="686">
        <v>0.81</v>
      </c>
      <c r="G2849" s="667">
        <v>0.95</v>
      </c>
      <c r="I2849"/>
    </row>
    <row r="2850" spans="1:9" s="667" customFormat="1">
      <c r="A2850" s="3755"/>
      <c r="B2850" s="687" t="s">
        <v>534</v>
      </c>
      <c r="C2850" s="684" t="s">
        <v>730</v>
      </c>
      <c r="D2850" s="3755"/>
      <c r="E2850" s="685">
        <f>(G2850-F2850)/G2850</f>
        <v>0.14634146341463414</v>
      </c>
      <c r="F2850" s="686">
        <v>0.7</v>
      </c>
      <c r="G2850" s="667">
        <v>0.82</v>
      </c>
      <c r="I2850"/>
    </row>
    <row r="2851" spans="1:9" s="667" customFormat="1">
      <c r="A2851" s="3756"/>
      <c r="B2851" s="687"/>
      <c r="C2851" s="684" t="s">
        <v>1058</v>
      </c>
      <c r="D2851" s="3755"/>
      <c r="E2851" s="685">
        <f>(G2851-F2851)/G2851</f>
        <v>0.15196078431372551</v>
      </c>
      <c r="F2851" s="686">
        <v>1.73</v>
      </c>
      <c r="G2851" s="667">
        <v>2.04</v>
      </c>
      <c r="I2851"/>
    </row>
    <row r="2852" spans="1:9" s="667" customFormat="1">
      <c r="A2852" s="687"/>
      <c r="B2852" s="687"/>
      <c r="C2852" s="684" t="s">
        <v>623</v>
      </c>
      <c r="D2852" s="3755"/>
      <c r="E2852" s="685">
        <f>(G2852-F2852)/G2852</f>
        <v>0.15057915057915047</v>
      </c>
      <c r="F2852" s="686">
        <v>2.2000000000000002</v>
      </c>
      <c r="G2852" s="667">
        <v>2.59</v>
      </c>
      <c r="I2852"/>
    </row>
    <row r="2853" spans="1:9" s="667" customFormat="1">
      <c r="A2853" s="688"/>
      <c r="B2853" s="688"/>
      <c r="C2853" s="689"/>
      <c r="D2853" s="3756"/>
      <c r="E2853" s="685"/>
      <c r="F2853" s="686"/>
      <c r="I2853"/>
    </row>
    <row r="2857" spans="1:9">
      <c r="A2857" s="3744"/>
      <c r="B2857" s="3753"/>
      <c r="C2857" s="3753"/>
      <c r="D2857" s="3742"/>
      <c r="E2857" s="3753"/>
      <c r="F2857" s="3753"/>
    </row>
    <row r="2858" spans="1:9">
      <c r="A2858" s="3669"/>
      <c r="B2858" s="3742"/>
      <c r="C2858" s="3742"/>
      <c r="D2858" s="3529"/>
      <c r="E2858" s="3742"/>
      <c r="F2858" s="3742"/>
    </row>
    <row r="2859" spans="1:9">
      <c r="A2859" s="3746" t="s">
        <v>1979</v>
      </c>
      <c r="B2859" s="633" t="s">
        <v>409</v>
      </c>
      <c r="C2859" s="702" t="s">
        <v>905</v>
      </c>
      <c r="D2859" s="3745"/>
      <c r="E2859" s="703">
        <f>(G2859-F2859)/G2859</f>
        <v>0.20512820512820515</v>
      </c>
      <c r="F2859" s="630">
        <v>0.62</v>
      </c>
      <c r="G2859">
        <v>0.78</v>
      </c>
    </row>
    <row r="2860" spans="1:9">
      <c r="A2860" s="3747"/>
      <c r="B2860" s="504" t="s">
        <v>921</v>
      </c>
      <c r="C2860" s="702" t="s">
        <v>1655</v>
      </c>
      <c r="D2860" s="3527"/>
      <c r="E2860" s="703">
        <f t="shared" ref="E2860:E2865" si="15">(G2860-F2860)/G2860</f>
        <v>0.14893617021276595</v>
      </c>
      <c r="F2860" s="630">
        <v>1.2</v>
      </c>
      <c r="G2860">
        <v>1.41</v>
      </c>
    </row>
    <row r="2861" spans="1:9">
      <c r="A2861" s="3747"/>
      <c r="B2861" s="504" t="s">
        <v>534</v>
      </c>
      <c r="C2861" s="702" t="s">
        <v>1346</v>
      </c>
      <c r="D2861" s="3527"/>
      <c r="E2861" s="703">
        <f t="shared" si="15"/>
        <v>0.15624999999999997</v>
      </c>
      <c r="F2861" s="630">
        <v>0.27</v>
      </c>
      <c r="G2861">
        <v>0.32</v>
      </c>
    </row>
    <row r="2862" spans="1:9">
      <c r="A2862" s="3747"/>
      <c r="B2862" s="504"/>
      <c r="C2862" s="702" t="s">
        <v>1347</v>
      </c>
      <c r="D2862" s="3527"/>
      <c r="E2862" s="703">
        <f t="shared" si="15"/>
        <v>0.15624999999999997</v>
      </c>
      <c r="F2862" s="630">
        <v>0.27</v>
      </c>
      <c r="G2862">
        <v>0.32</v>
      </c>
    </row>
    <row r="2863" spans="1:9">
      <c r="A2863" s="3747"/>
      <c r="B2863" s="504"/>
      <c r="C2863" s="702" t="s">
        <v>1326</v>
      </c>
      <c r="D2863" s="3527"/>
      <c r="E2863" s="703">
        <f t="shared" si="15"/>
        <v>0.15624999999999997</v>
      </c>
      <c r="F2863" s="630">
        <v>0.27</v>
      </c>
      <c r="G2863">
        <v>0.32</v>
      </c>
    </row>
    <row r="2864" spans="1:9">
      <c r="A2864" s="3747"/>
      <c r="B2864" s="504"/>
      <c r="C2864" s="704" t="s">
        <v>1327</v>
      </c>
      <c r="D2864" s="3527"/>
      <c r="E2864" s="703">
        <f t="shared" si="15"/>
        <v>0.15624999999999997</v>
      </c>
      <c r="F2864" s="630">
        <v>0.27</v>
      </c>
      <c r="G2864">
        <v>0.32</v>
      </c>
    </row>
    <row r="2865" spans="1:7">
      <c r="A2865" s="3748"/>
      <c r="B2865" s="5"/>
      <c r="C2865" s="705" t="s">
        <v>1325</v>
      </c>
      <c r="D2865" s="5"/>
      <c r="E2865" s="703">
        <f t="shared" si="15"/>
        <v>0.15624999999999997</v>
      </c>
      <c r="F2865" s="630">
        <v>0.27</v>
      </c>
      <c r="G2865">
        <v>0.32</v>
      </c>
    </row>
    <row r="2868" spans="1:7" ht="15.75" thickBot="1"/>
    <row r="2869" spans="1:7">
      <c r="A2869" s="3572" t="s">
        <v>0</v>
      </c>
      <c r="B2869" s="3636" t="s">
        <v>1</v>
      </c>
      <c r="C2869" s="3636" t="s">
        <v>2</v>
      </c>
      <c r="D2869" s="3636" t="s">
        <v>3</v>
      </c>
      <c r="E2869" s="3636" t="s">
        <v>4</v>
      </c>
      <c r="F2869" s="3559" t="s">
        <v>5</v>
      </c>
      <c r="G2869" s="429"/>
    </row>
    <row r="2870" spans="1:7" ht="15.75" thickBot="1">
      <c r="A2870" s="3743"/>
      <c r="B2870" s="3734"/>
      <c r="C2870" s="3734"/>
      <c r="D2870" s="3734"/>
      <c r="E2870" s="3734"/>
      <c r="F2870" s="3737"/>
      <c r="G2870" s="429"/>
    </row>
    <row r="2871" spans="1:7" ht="15.75" thickTop="1">
      <c r="A2871" s="708" t="s">
        <v>1981</v>
      </c>
      <c r="B2871" s="388" t="s">
        <v>120</v>
      </c>
      <c r="C2871" s="644" t="s">
        <v>452</v>
      </c>
      <c r="D2871" s="388"/>
      <c r="E2871" s="638">
        <f>(G2871-F2871)/G2871</f>
        <v>0.2711864406779661</v>
      </c>
      <c r="F2871" s="642">
        <v>0.86</v>
      </c>
      <c r="G2871" s="429">
        <v>1.18</v>
      </c>
    </row>
    <row r="2872" spans="1:7">
      <c r="A2872" s="534"/>
      <c r="B2872" s="625" t="s">
        <v>121</v>
      </c>
      <c r="C2872" s="644" t="s">
        <v>150</v>
      </c>
      <c r="D2872" s="388"/>
      <c r="E2872" s="638">
        <f t="shared" ref="E2872:E2882" si="16">(G2872-F2872)/G2872</f>
        <v>0.25925925925925936</v>
      </c>
      <c r="F2872" s="642">
        <v>0.6</v>
      </c>
      <c r="G2872" s="429">
        <v>0.81</v>
      </c>
    </row>
    <row r="2873" spans="1:7">
      <c r="A2873" s="534"/>
      <c r="B2873" s="625" t="s">
        <v>123</v>
      </c>
      <c r="C2873" s="644" t="s">
        <v>1891</v>
      </c>
      <c r="D2873" s="388"/>
      <c r="E2873" s="638">
        <f t="shared" si="16"/>
        <v>0.15094339622641512</v>
      </c>
      <c r="F2873" s="642">
        <v>0.9</v>
      </c>
      <c r="G2873" s="429">
        <v>1.06</v>
      </c>
    </row>
    <row r="2874" spans="1:7">
      <c r="A2874" s="534"/>
      <c r="B2874" s="625" t="s">
        <v>122</v>
      </c>
      <c r="C2874" s="644" t="s">
        <v>1892</v>
      </c>
      <c r="D2874" s="388"/>
      <c r="E2874" s="638">
        <f t="shared" si="16"/>
        <v>0.15238095238095239</v>
      </c>
      <c r="F2874" s="642">
        <v>0.89</v>
      </c>
      <c r="G2874" s="528">
        <v>1.05</v>
      </c>
    </row>
    <row r="2875" spans="1:7">
      <c r="A2875" s="534"/>
      <c r="B2875" s="625"/>
      <c r="C2875" s="644" t="s">
        <v>732</v>
      </c>
      <c r="D2875" s="388"/>
      <c r="E2875" s="638">
        <f t="shared" si="16"/>
        <v>0.14457831325301204</v>
      </c>
      <c r="F2875" s="645">
        <v>0.71</v>
      </c>
      <c r="G2875" s="528">
        <v>0.83</v>
      </c>
    </row>
    <row r="2876" spans="1:7">
      <c r="A2876" s="534"/>
      <c r="B2876" s="625"/>
      <c r="C2876" s="644" t="s">
        <v>1413</v>
      </c>
      <c r="D2876" s="388"/>
      <c r="E2876" s="638">
        <f t="shared" si="16"/>
        <v>0.15028901734104047</v>
      </c>
      <c r="F2876" s="645">
        <v>1.47</v>
      </c>
      <c r="G2876" s="528">
        <v>1.73</v>
      </c>
    </row>
    <row r="2877" spans="1:7">
      <c r="A2877" s="534"/>
      <c r="B2877" s="625"/>
      <c r="C2877" s="644" t="s">
        <v>1555</v>
      </c>
      <c r="D2877" s="388"/>
      <c r="E2877" s="539">
        <f t="shared" si="16"/>
        <v>0.1394511920827711</v>
      </c>
      <c r="F2877" s="645">
        <v>19.13</v>
      </c>
      <c r="G2877" s="528">
        <v>22.23</v>
      </c>
    </row>
    <row r="2878" spans="1:7">
      <c r="A2878" s="534"/>
      <c r="B2878" s="625"/>
      <c r="C2878" s="644" t="s">
        <v>1763</v>
      </c>
      <c r="D2878" s="388"/>
      <c r="E2878" s="539">
        <f t="shared" si="16"/>
        <v>0.1394511920827711</v>
      </c>
      <c r="F2878" s="645">
        <v>19.13</v>
      </c>
      <c r="G2878" s="528">
        <v>22.23</v>
      </c>
    </row>
    <row r="2879" spans="1:7">
      <c r="A2879" s="534"/>
      <c r="B2879" s="625"/>
      <c r="C2879" s="644" t="s">
        <v>1556</v>
      </c>
      <c r="D2879" s="388"/>
      <c r="E2879" s="539">
        <f t="shared" si="16"/>
        <v>0.1394511920827711</v>
      </c>
      <c r="F2879" s="645">
        <v>19.13</v>
      </c>
      <c r="G2879" s="528">
        <v>22.23</v>
      </c>
    </row>
    <row r="2880" spans="1:7">
      <c r="A2880" s="534"/>
      <c r="B2880" s="625"/>
      <c r="C2880" s="644" t="s">
        <v>1557</v>
      </c>
      <c r="D2880" s="388"/>
      <c r="E2880" s="539">
        <f t="shared" si="16"/>
        <v>0.1394511920827711</v>
      </c>
      <c r="F2880" s="645">
        <v>19.13</v>
      </c>
      <c r="G2880" s="528">
        <v>22.23</v>
      </c>
    </row>
    <row r="2881" spans="1:7">
      <c r="A2881" s="534"/>
      <c r="B2881" s="625"/>
      <c r="C2881" s="644" t="s">
        <v>1316</v>
      </c>
      <c r="D2881" s="388"/>
      <c r="E2881" s="539">
        <f t="shared" si="16"/>
        <v>0.32894736842105265</v>
      </c>
      <c r="F2881" s="645">
        <v>1.02</v>
      </c>
      <c r="G2881" s="528">
        <v>1.52</v>
      </c>
    </row>
    <row r="2882" spans="1:7">
      <c r="A2882" s="534"/>
      <c r="B2882" s="625"/>
      <c r="C2882" s="644" t="s">
        <v>388</v>
      </c>
      <c r="D2882" s="538"/>
      <c r="E2882" s="539">
        <f t="shared" si="16"/>
        <v>0.33333333333333331</v>
      </c>
      <c r="F2882" s="645">
        <v>0.68</v>
      </c>
      <c r="G2882" s="528">
        <v>1.02</v>
      </c>
    </row>
    <row r="2886" spans="1:7" ht="15" customHeight="1">
      <c r="A2886" s="3744" t="s">
        <v>0</v>
      </c>
      <c r="B2886" s="3741" t="s">
        <v>1</v>
      </c>
      <c r="C2886" s="3741" t="s">
        <v>2</v>
      </c>
      <c r="D2886" s="3742" t="s">
        <v>3</v>
      </c>
      <c r="E2886" s="3741" t="s">
        <v>4</v>
      </c>
      <c r="F2886" s="3741" t="s">
        <v>1941</v>
      </c>
      <c r="G2886" s="3742" t="s">
        <v>1989</v>
      </c>
    </row>
    <row r="2887" spans="1:7" ht="23.25" customHeight="1">
      <c r="A2887" s="3669"/>
      <c r="B2887" s="3742"/>
      <c r="C2887" s="3742"/>
      <c r="D2887" s="3670"/>
      <c r="E2887" s="3742"/>
      <c r="F2887" s="3742"/>
      <c r="G2887" s="3670"/>
    </row>
    <row r="2888" spans="1:7" ht="27.75" customHeight="1">
      <c r="A2888" s="3745" t="s">
        <v>1990</v>
      </c>
      <c r="B2888" s="3745" t="s">
        <v>202</v>
      </c>
      <c r="C2888" s="713" t="s">
        <v>1991</v>
      </c>
      <c r="D2888" s="3745" t="s">
        <v>1860</v>
      </c>
      <c r="E2888" s="714">
        <v>0.15</v>
      </c>
      <c r="F2888" s="716">
        <v>0.2</v>
      </c>
      <c r="G2888" s="715">
        <v>0.23</v>
      </c>
    </row>
    <row r="2889" spans="1:7" ht="27.75" customHeight="1">
      <c r="A2889" s="3527"/>
      <c r="B2889" s="3527"/>
      <c r="C2889" s="713" t="s">
        <v>1346</v>
      </c>
      <c r="D2889" s="3527"/>
      <c r="E2889" s="714">
        <v>0.15</v>
      </c>
      <c r="F2889" s="716">
        <v>0.2</v>
      </c>
      <c r="G2889" s="715">
        <v>0.23</v>
      </c>
    </row>
    <row r="2890" spans="1:7" ht="27.75" customHeight="1">
      <c r="A2890" s="3527"/>
      <c r="B2890" s="3527"/>
      <c r="C2890" s="713" t="s">
        <v>1347</v>
      </c>
      <c r="D2890" s="3527"/>
      <c r="E2890" s="714">
        <v>0.15</v>
      </c>
      <c r="F2890" s="716">
        <v>0.2</v>
      </c>
      <c r="G2890" s="715">
        <v>0.23</v>
      </c>
    </row>
    <row r="2891" spans="1:7" ht="27.75" customHeight="1">
      <c r="A2891" s="3527"/>
      <c r="B2891" s="3527"/>
      <c r="C2891" s="713" t="s">
        <v>1326</v>
      </c>
      <c r="D2891" s="3527"/>
      <c r="E2891" s="714">
        <v>0.15</v>
      </c>
      <c r="F2891" s="716">
        <v>0.2</v>
      </c>
      <c r="G2891" s="715">
        <v>0.23</v>
      </c>
    </row>
    <row r="2892" spans="1:7" ht="27.75" customHeight="1">
      <c r="A2892" s="3527"/>
      <c r="B2892" s="3527"/>
      <c r="C2892" s="713" t="s">
        <v>1327</v>
      </c>
      <c r="D2892" s="3527"/>
      <c r="E2892" s="714">
        <v>0.15</v>
      </c>
      <c r="F2892" s="716">
        <v>0.2</v>
      </c>
      <c r="G2892" s="715">
        <v>0.23</v>
      </c>
    </row>
    <row r="2893" spans="1:7" ht="27.75" customHeight="1">
      <c r="A2893" s="3683"/>
      <c r="B2893" s="3683"/>
      <c r="C2893" s="713" t="s">
        <v>1325</v>
      </c>
      <c r="D2893" s="3683"/>
      <c r="E2893" s="714">
        <v>0.15</v>
      </c>
      <c r="F2893" s="716">
        <v>0.2</v>
      </c>
      <c r="G2893" s="715">
        <v>0.23</v>
      </c>
    </row>
    <row r="2896" spans="1:7">
      <c r="A2896" s="3744" t="s">
        <v>0</v>
      </c>
      <c r="B2896" s="3818" t="s">
        <v>1</v>
      </c>
      <c r="C2896" s="3818" t="s">
        <v>2</v>
      </c>
      <c r="D2896" s="3742" t="s">
        <v>3</v>
      </c>
      <c r="E2896" s="3818" t="s">
        <v>4</v>
      </c>
      <c r="F2896" s="3818" t="s">
        <v>1858</v>
      </c>
    </row>
    <row r="2897" spans="1:7">
      <c r="A2897" s="3669"/>
      <c r="B2897" s="3742"/>
      <c r="C2897" s="3742"/>
      <c r="D2897" s="3670"/>
      <c r="E2897" s="3742"/>
      <c r="F2897" s="3742"/>
    </row>
    <row r="2898" spans="1:7">
      <c r="A2898" s="3746" t="s">
        <v>1994</v>
      </c>
      <c r="B2898" s="727" t="s">
        <v>409</v>
      </c>
      <c r="C2898" s="728" t="s">
        <v>1650</v>
      </c>
      <c r="D2898" s="3749" t="s">
        <v>1860</v>
      </c>
      <c r="E2898" s="392">
        <f>(G2898-F2898)/G2898</f>
        <v>0.12195121951219508</v>
      </c>
      <c r="F2898" s="729">
        <v>6.12</v>
      </c>
      <c r="G2898">
        <v>6.97</v>
      </c>
    </row>
    <row r="2899" spans="1:7">
      <c r="A2899" s="3747"/>
      <c r="B2899" s="727" t="s">
        <v>921</v>
      </c>
      <c r="C2899" s="728" t="s">
        <v>1651</v>
      </c>
      <c r="D2899" s="3527"/>
      <c r="E2899" s="392">
        <f>(G2899-F2899)/G2899</f>
        <v>0.12195121951219508</v>
      </c>
      <c r="F2899" s="729">
        <v>6.12</v>
      </c>
      <c r="G2899">
        <v>6.97</v>
      </c>
    </row>
    <row r="2900" spans="1:7">
      <c r="A2900" s="3747"/>
      <c r="B2900" s="727" t="s">
        <v>534</v>
      </c>
      <c r="C2900" s="728" t="s">
        <v>1652</v>
      </c>
      <c r="D2900" s="3527"/>
      <c r="E2900" s="392">
        <f>(G2900-F2900)/G2900</f>
        <v>0.12195121951219508</v>
      </c>
      <c r="F2900" s="729">
        <v>6.12</v>
      </c>
      <c r="G2900">
        <v>6.97</v>
      </c>
    </row>
    <row r="2901" spans="1:7">
      <c r="A2901" s="3747"/>
      <c r="B2901" s="730"/>
      <c r="C2901" s="728"/>
      <c r="D2901" s="3527"/>
      <c r="E2901" s="392"/>
      <c r="F2901" s="729"/>
    </row>
    <row r="2902" spans="1:7">
      <c r="A2902" s="3747"/>
      <c r="B2902" s="731"/>
      <c r="C2902" s="728"/>
      <c r="D2902" s="3527"/>
      <c r="E2902" s="392"/>
      <c r="F2902" s="729"/>
    </row>
    <row r="2903" spans="1:7">
      <c r="A2903" s="3747"/>
      <c r="B2903" s="731"/>
      <c r="C2903" s="728"/>
      <c r="D2903" s="3527"/>
      <c r="E2903" s="392"/>
      <c r="F2903" s="729"/>
    </row>
    <row r="2904" spans="1:7">
      <c r="A2904" s="3748"/>
      <c r="B2904" s="731"/>
      <c r="C2904" s="728"/>
      <c r="D2904" s="3683"/>
      <c r="E2904" s="392"/>
      <c r="F2904" s="729"/>
    </row>
    <row r="2907" spans="1:7" ht="15" customHeight="1">
      <c r="A2907" s="3681" t="s">
        <v>0</v>
      </c>
      <c r="B2907" s="3714" t="s">
        <v>1</v>
      </c>
      <c r="C2907" s="3714" t="s">
        <v>2</v>
      </c>
      <c r="D2907" s="3715" t="s">
        <v>3</v>
      </c>
      <c r="E2907" s="3714" t="s">
        <v>4</v>
      </c>
      <c r="F2907" s="3715" t="s">
        <v>1989</v>
      </c>
      <c r="G2907" s="3714" t="s">
        <v>1941</v>
      </c>
    </row>
    <row r="2908" spans="1:7" ht="23.25" customHeight="1">
      <c r="A2908" s="3669"/>
      <c r="B2908" s="3715"/>
      <c r="C2908" s="3715"/>
      <c r="D2908" s="3670"/>
      <c r="E2908" s="3715"/>
      <c r="F2908" s="3670"/>
      <c r="G2908" s="3715"/>
    </row>
    <row r="2909" spans="1:7" ht="27.75" customHeight="1">
      <c r="A2909" s="3725" t="s">
        <v>1999</v>
      </c>
      <c r="B2909" s="732" t="s">
        <v>409</v>
      </c>
      <c r="C2909" s="733" t="s">
        <v>2000</v>
      </c>
      <c r="D2909" s="3735" t="s">
        <v>1860</v>
      </c>
      <c r="E2909" s="734">
        <v>0.1</v>
      </c>
      <c r="F2909" s="735">
        <v>1.21</v>
      </c>
      <c r="G2909" s="736">
        <v>1.0900000000000001</v>
      </c>
    </row>
    <row r="2910" spans="1:7" ht="27.75" customHeight="1">
      <c r="A2910" s="3725"/>
      <c r="B2910" s="737" t="s">
        <v>921</v>
      </c>
      <c r="C2910" s="733" t="s">
        <v>2001</v>
      </c>
      <c r="D2910" s="3527"/>
      <c r="E2910" s="734">
        <v>0.15</v>
      </c>
      <c r="F2910" s="735">
        <v>0.5</v>
      </c>
      <c r="G2910" s="736">
        <v>0.43</v>
      </c>
    </row>
    <row r="2911" spans="1:7" ht="27.75" customHeight="1">
      <c r="A2911" s="3725"/>
      <c r="B2911" s="737" t="s">
        <v>534</v>
      </c>
      <c r="C2911" s="733" t="s">
        <v>2002</v>
      </c>
      <c r="D2911" s="3527"/>
      <c r="E2911" s="734">
        <v>0.15</v>
      </c>
      <c r="F2911" s="735">
        <v>1.18</v>
      </c>
      <c r="G2911" s="736">
        <v>1</v>
      </c>
    </row>
    <row r="2912" spans="1:7" ht="27.75" customHeight="1">
      <c r="A2912" s="3725"/>
      <c r="B2912" s="737"/>
      <c r="C2912" s="733" t="s">
        <v>2003</v>
      </c>
      <c r="D2912" s="3683"/>
      <c r="E2912" s="734">
        <v>0.1</v>
      </c>
      <c r="F2912" s="735">
        <v>1.9</v>
      </c>
      <c r="G2912" s="736">
        <v>1.71</v>
      </c>
    </row>
    <row r="2913" spans="1:7" ht="27.75" customHeight="1"/>
    <row r="2914" spans="1:7" ht="27.75" customHeight="1"/>
    <row r="2915" spans="1:7" ht="15" customHeight="1">
      <c r="A2915" s="3681" t="s">
        <v>0</v>
      </c>
      <c r="B2915" s="3714" t="s">
        <v>1</v>
      </c>
      <c r="C2915" s="3714" t="s">
        <v>2</v>
      </c>
      <c r="D2915" s="3715" t="s">
        <v>3</v>
      </c>
      <c r="E2915" s="3714" t="s">
        <v>4</v>
      </c>
      <c r="F2915" s="3715" t="s">
        <v>1989</v>
      </c>
      <c r="G2915" s="3714" t="s">
        <v>1941</v>
      </c>
    </row>
    <row r="2916" spans="1:7" ht="23.25" customHeight="1">
      <c r="A2916" s="3669"/>
      <c r="B2916" s="3715"/>
      <c r="C2916" s="3715"/>
      <c r="D2916" s="3670"/>
      <c r="E2916" s="3715"/>
      <c r="F2916" s="3670"/>
      <c r="G2916" s="3715"/>
    </row>
    <row r="2917" spans="1:7" ht="27.75" customHeight="1">
      <c r="A2917" s="3725" t="s">
        <v>2004</v>
      </c>
      <c r="B2917" s="732" t="s">
        <v>409</v>
      </c>
      <c r="C2917" s="733" t="s">
        <v>2005</v>
      </c>
      <c r="D2917" s="3527" t="s">
        <v>1860</v>
      </c>
      <c r="E2917" s="734">
        <v>0.12</v>
      </c>
      <c r="F2917" s="735">
        <v>6.96</v>
      </c>
      <c r="G2917" s="738">
        <v>6.12</v>
      </c>
    </row>
    <row r="2918" spans="1:7" ht="27.75" customHeight="1">
      <c r="A2918" s="3725"/>
      <c r="B2918" s="737" t="s">
        <v>921</v>
      </c>
      <c r="C2918" s="733" t="s">
        <v>2006</v>
      </c>
      <c r="D2918" s="3527"/>
      <c r="E2918" s="734">
        <v>0.12</v>
      </c>
      <c r="F2918" s="735">
        <v>6.96</v>
      </c>
      <c r="G2918" s="738">
        <v>6.12</v>
      </c>
    </row>
    <row r="2919" spans="1:7" ht="27.75" customHeight="1">
      <c r="A2919" s="3725"/>
      <c r="B2919" s="737" t="s">
        <v>534</v>
      </c>
      <c r="C2919" s="733" t="s">
        <v>2007</v>
      </c>
      <c r="D2919" s="3683"/>
      <c r="E2919" s="734">
        <v>0.12</v>
      </c>
      <c r="F2919" s="735">
        <v>6.96</v>
      </c>
      <c r="G2919" s="738">
        <v>6.12</v>
      </c>
    </row>
    <row r="2921" spans="1:7" ht="15.75" thickBot="1"/>
    <row r="2922" spans="1:7">
      <c r="A2922" s="3572" t="s">
        <v>0</v>
      </c>
      <c r="B2922" s="3636" t="s">
        <v>1</v>
      </c>
      <c r="C2922" s="3636" t="s">
        <v>2</v>
      </c>
      <c r="D2922" s="3636" t="s">
        <v>3</v>
      </c>
      <c r="E2922" s="3636" t="s">
        <v>4</v>
      </c>
      <c r="F2922" s="3559" t="s">
        <v>5</v>
      </c>
      <c r="G2922" s="429"/>
    </row>
    <row r="2923" spans="1:7" ht="15.75" thickBot="1">
      <c r="A2923" s="3696"/>
      <c r="B2923" s="3718"/>
      <c r="C2923" s="3718"/>
      <c r="D2923" s="3718"/>
      <c r="E2923" s="3718"/>
      <c r="F2923" s="3727"/>
      <c r="G2923" s="429"/>
    </row>
    <row r="2924" spans="1:7" ht="15.75" thickTop="1">
      <c r="A2924" s="813" t="s">
        <v>2053</v>
      </c>
      <c r="B2924" s="388" t="s">
        <v>120</v>
      </c>
      <c r="C2924" s="814" t="s">
        <v>623</v>
      </c>
      <c r="D2924" s="388"/>
      <c r="E2924" s="638">
        <f>(G2924-F2924)/G2924</f>
        <v>0.14795918367346941</v>
      </c>
      <c r="F2924" s="749">
        <v>1.67</v>
      </c>
      <c r="G2924" s="429">
        <v>1.96</v>
      </c>
    </row>
    <row r="2925" spans="1:7">
      <c r="A2925" s="491"/>
      <c r="B2925" s="781" t="s">
        <v>121</v>
      </c>
      <c r="C2925" s="814" t="s">
        <v>2054</v>
      </c>
      <c r="D2925" s="388"/>
      <c r="E2925" s="638">
        <f t="shared" ref="E2925:E2935" si="17">(G2925-F2925)/G2925</f>
        <v>0.20370370370370378</v>
      </c>
      <c r="F2925" s="749">
        <v>0.43</v>
      </c>
      <c r="G2925" s="429">
        <v>0.54</v>
      </c>
    </row>
    <row r="2926" spans="1:7">
      <c r="A2926" s="491"/>
      <c r="B2926" s="781" t="s">
        <v>123</v>
      </c>
      <c r="C2926" s="814" t="s">
        <v>2055</v>
      </c>
      <c r="D2926" s="388"/>
      <c r="E2926" s="638">
        <f t="shared" si="17"/>
        <v>0.20370370370370378</v>
      </c>
      <c r="F2926" s="749">
        <v>0.43</v>
      </c>
      <c r="G2926" s="429">
        <v>0.54</v>
      </c>
    </row>
    <row r="2927" spans="1:7">
      <c r="A2927" s="491"/>
      <c r="B2927" s="781" t="s">
        <v>122</v>
      </c>
      <c r="C2927" s="814" t="s">
        <v>2056</v>
      </c>
      <c r="D2927" s="388"/>
      <c r="E2927" s="638">
        <f t="shared" si="17"/>
        <v>0.19819819819819826</v>
      </c>
      <c r="F2927" s="749">
        <v>0.89</v>
      </c>
      <c r="G2927" s="528">
        <v>1.1100000000000001</v>
      </c>
    </row>
    <row r="2928" spans="1:7">
      <c r="A2928" s="491"/>
      <c r="B2928" s="781" t="s">
        <v>2057</v>
      </c>
      <c r="C2928" s="766"/>
      <c r="D2928" s="388"/>
      <c r="E2928" s="638" t="e">
        <f t="shared" si="17"/>
        <v>#DIV/0!</v>
      </c>
      <c r="F2928" s="815"/>
      <c r="G2928" s="528"/>
    </row>
    <row r="2929" spans="1:7">
      <c r="A2929" s="491"/>
      <c r="B2929" s="781"/>
      <c r="C2929" s="766"/>
      <c r="D2929" s="388"/>
      <c r="E2929" s="638" t="e">
        <f t="shared" si="17"/>
        <v>#DIV/0!</v>
      </c>
      <c r="F2929" s="815"/>
      <c r="G2929" s="528"/>
    </row>
    <row r="2930" spans="1:7">
      <c r="A2930" s="491"/>
      <c r="B2930" s="781"/>
      <c r="C2930" s="766"/>
      <c r="D2930" s="388"/>
      <c r="E2930" s="539" t="e">
        <f t="shared" si="17"/>
        <v>#DIV/0!</v>
      </c>
      <c r="F2930" s="815"/>
      <c r="G2930" s="528"/>
    </row>
    <row r="2931" spans="1:7">
      <c r="A2931" s="491"/>
      <c r="B2931" s="781"/>
      <c r="C2931" s="766"/>
      <c r="D2931" s="388"/>
      <c r="E2931" s="539" t="e">
        <f t="shared" si="17"/>
        <v>#DIV/0!</v>
      </c>
      <c r="F2931" s="815"/>
      <c r="G2931" s="528"/>
    </row>
    <row r="2932" spans="1:7">
      <c r="A2932" s="491"/>
      <c r="B2932" s="781"/>
      <c r="C2932" s="766"/>
      <c r="D2932" s="388"/>
      <c r="E2932" s="539" t="e">
        <f t="shared" si="17"/>
        <v>#DIV/0!</v>
      </c>
      <c r="F2932" s="815"/>
      <c r="G2932" s="528"/>
    </row>
    <row r="2933" spans="1:7">
      <c r="A2933" s="491"/>
      <c r="B2933" s="781"/>
      <c r="C2933" s="766"/>
      <c r="D2933" s="388"/>
      <c r="E2933" s="539" t="e">
        <f t="shared" si="17"/>
        <v>#DIV/0!</v>
      </c>
      <c r="F2933" s="815"/>
      <c r="G2933" s="528"/>
    </row>
    <row r="2934" spans="1:7">
      <c r="A2934" s="491"/>
      <c r="B2934" s="781"/>
      <c r="C2934" s="766"/>
      <c r="D2934" s="388"/>
      <c r="E2934" s="539" t="e">
        <f t="shared" si="17"/>
        <v>#DIV/0!</v>
      </c>
      <c r="F2934" s="815"/>
      <c r="G2934" s="528"/>
    </row>
    <row r="2935" spans="1:7" ht="15.75" thickBot="1">
      <c r="A2935" s="500"/>
      <c r="B2935" s="816"/>
      <c r="C2935" s="817"/>
      <c r="D2935" s="548"/>
      <c r="E2935" s="549" t="e">
        <f t="shared" si="17"/>
        <v>#DIV/0!</v>
      </c>
      <c r="F2935" s="818"/>
      <c r="G2935" s="528"/>
    </row>
    <row r="2939" spans="1:7">
      <c r="A2939" s="3715" t="s">
        <v>0</v>
      </c>
      <c r="B2939" s="3714" t="s">
        <v>1</v>
      </c>
      <c r="C2939" s="3714" t="s">
        <v>2</v>
      </c>
      <c r="D2939" s="3715" t="s">
        <v>3</v>
      </c>
      <c r="E2939" s="3714" t="s">
        <v>4</v>
      </c>
      <c r="F2939" s="3715" t="s">
        <v>1989</v>
      </c>
      <c r="G2939" s="3714" t="s">
        <v>1941</v>
      </c>
    </row>
    <row r="2940" spans="1:7">
      <c r="A2940" s="3529"/>
      <c r="B2940" s="3715"/>
      <c r="C2940" s="3715"/>
      <c r="D2940" s="3670"/>
      <c r="E2940" s="3715"/>
      <c r="F2940" s="3670"/>
      <c r="G2940" s="3715"/>
    </row>
    <row r="2941" spans="1:7">
      <c r="A2941" s="3735" t="s">
        <v>2060</v>
      </c>
      <c r="B2941" s="3735" t="s">
        <v>356</v>
      </c>
      <c r="C2941" s="733" t="s">
        <v>1660</v>
      </c>
      <c r="D2941" s="3725" t="s">
        <v>1860</v>
      </c>
      <c r="E2941" s="819">
        <f>(F2941-G2941)/F2941</f>
        <v>0.15077989601386468</v>
      </c>
      <c r="F2941" s="820">
        <v>5.77</v>
      </c>
      <c r="G2941" s="821">
        <v>4.9000000000000004</v>
      </c>
    </row>
    <row r="2942" spans="1:7">
      <c r="A2942" s="3527"/>
      <c r="B2942" s="3527"/>
      <c r="C2942" s="733" t="s">
        <v>1661</v>
      </c>
      <c r="D2942" s="3725"/>
      <c r="E2942" s="819">
        <f>(F2942-G2942)/F2942</f>
        <v>0.15077989601386468</v>
      </c>
      <c r="F2942" s="820">
        <v>5.77</v>
      </c>
      <c r="G2942" s="821">
        <v>4.9000000000000004</v>
      </c>
    </row>
    <row r="2943" spans="1:7">
      <c r="A2943" s="3527"/>
      <c r="B2943" s="3527"/>
      <c r="C2943" s="733" t="s">
        <v>1923</v>
      </c>
      <c r="D2943" s="3725"/>
      <c r="E2943" s="819">
        <f>(F2943-G2943)/F2943</f>
        <v>0.15077989601386468</v>
      </c>
      <c r="F2943" s="820">
        <v>5.77</v>
      </c>
      <c r="G2943" s="821">
        <v>4.9000000000000004</v>
      </c>
    </row>
    <row r="2944" spans="1:7">
      <c r="A2944" s="3527"/>
      <c r="B2944" s="3527"/>
      <c r="C2944" s="733" t="s">
        <v>1775</v>
      </c>
      <c r="D2944" s="3725"/>
      <c r="E2944" s="819">
        <f>(F2944-G2944)/F2944</f>
        <v>0.15077989601386468</v>
      </c>
      <c r="F2944" s="820">
        <v>5.77</v>
      </c>
      <c r="G2944" s="821">
        <v>4.9000000000000004</v>
      </c>
    </row>
    <row r="2945" spans="1:7">
      <c r="A2945" s="3683"/>
      <c r="B2945" s="3683"/>
      <c r="C2945" s="733" t="s">
        <v>1521</v>
      </c>
      <c r="D2945" s="3725"/>
      <c r="E2945" s="822">
        <f>(F2945-G2945)/F2945</f>
        <v>0.15077989601386468</v>
      </c>
      <c r="F2945" s="823">
        <v>5.77</v>
      </c>
      <c r="G2945" s="824">
        <v>4.9000000000000004</v>
      </c>
    </row>
    <row r="2947" spans="1:7">
      <c r="A2947" s="3681" t="s">
        <v>0</v>
      </c>
      <c r="B2947" s="3714" t="s">
        <v>1</v>
      </c>
      <c r="C2947" s="3714" t="s">
        <v>2</v>
      </c>
      <c r="D2947" s="3715" t="s">
        <v>3</v>
      </c>
      <c r="E2947" s="3714" t="s">
        <v>4</v>
      </c>
      <c r="F2947" s="3715" t="s">
        <v>1989</v>
      </c>
      <c r="G2947" s="3714" t="s">
        <v>1941</v>
      </c>
    </row>
    <row r="2948" spans="1:7">
      <c r="A2948" s="3544"/>
      <c r="B2948" s="3715"/>
      <c r="C2948" s="3715"/>
      <c r="D2948" s="3670"/>
      <c r="E2948" s="3715"/>
      <c r="F2948" s="3670"/>
      <c r="G2948" s="3715"/>
    </row>
    <row r="2949" spans="1:7">
      <c r="A2949" s="3735" t="s">
        <v>2065</v>
      </c>
      <c r="B2949" s="3735" t="s">
        <v>181</v>
      </c>
      <c r="C2949" s="733" t="s">
        <v>1315</v>
      </c>
      <c r="D2949" s="3725" t="s">
        <v>1860</v>
      </c>
      <c r="E2949" s="3726">
        <v>0.2</v>
      </c>
      <c r="F2949" s="735">
        <v>1.52</v>
      </c>
      <c r="G2949" s="736">
        <v>1.22</v>
      </c>
    </row>
    <row r="2950" spans="1:7">
      <c r="A2950" s="3527"/>
      <c r="B2950" s="3527"/>
      <c r="C2950" s="733" t="s">
        <v>1316</v>
      </c>
      <c r="D2950" s="3725"/>
      <c r="E2950" s="3726"/>
      <c r="F2950" s="735">
        <v>1.52</v>
      </c>
      <c r="G2950" s="736">
        <v>1.22</v>
      </c>
    </row>
    <row r="2951" spans="1:7">
      <c r="A2951" s="3527"/>
      <c r="B2951" s="3527"/>
      <c r="C2951" s="733" t="s">
        <v>2066</v>
      </c>
      <c r="D2951" s="3725"/>
      <c r="E2951" s="3726"/>
      <c r="F2951" s="735">
        <v>1.52</v>
      </c>
      <c r="G2951" s="736">
        <v>1.22</v>
      </c>
    </row>
    <row r="2952" spans="1:7">
      <c r="A2952" s="3527"/>
      <c r="B2952" s="3527"/>
      <c r="C2952" s="837" t="s">
        <v>554</v>
      </c>
      <c r="D2952" s="3725"/>
      <c r="E2952" s="836">
        <v>0.2</v>
      </c>
      <c r="F2952" s="735">
        <v>1.27</v>
      </c>
      <c r="G2952" s="736">
        <v>1.02</v>
      </c>
    </row>
    <row r="2953" spans="1:7">
      <c r="A2953" s="3527"/>
      <c r="B2953" s="3527"/>
      <c r="C2953" s="835" t="s">
        <v>1119</v>
      </c>
      <c r="D2953" s="3725"/>
      <c r="E2953" s="734">
        <v>0.2</v>
      </c>
      <c r="F2953" s="735">
        <v>1.27</v>
      </c>
      <c r="G2953" s="736">
        <v>1.02</v>
      </c>
    </row>
    <row r="2954" spans="1:7">
      <c r="A2954" s="3683"/>
      <c r="B2954" s="3683"/>
      <c r="C2954" s="733" t="s">
        <v>1120</v>
      </c>
      <c r="D2954" s="3725"/>
      <c r="E2954" s="734">
        <v>0.2</v>
      </c>
      <c r="F2954" s="735">
        <v>0.54</v>
      </c>
      <c r="G2954" s="736">
        <v>0.43</v>
      </c>
    </row>
    <row r="2955" spans="1:7" ht="15.75" thickBot="1"/>
    <row r="2956" spans="1:7">
      <c r="A2956" s="3572" t="s">
        <v>0</v>
      </c>
      <c r="B2956" s="3636" t="s">
        <v>1</v>
      </c>
      <c r="C2956" s="3636" t="s">
        <v>2</v>
      </c>
      <c r="D2956" s="3636" t="s">
        <v>3</v>
      </c>
      <c r="E2956" s="3636" t="s">
        <v>4</v>
      </c>
      <c r="F2956" s="3559" t="s">
        <v>5</v>
      </c>
      <c r="G2956" s="429"/>
    </row>
    <row r="2957" spans="1:7" ht="15.75" thickBot="1">
      <c r="A2957" s="3696"/>
      <c r="B2957" s="3718"/>
      <c r="C2957" s="3718"/>
      <c r="D2957" s="3718"/>
      <c r="E2957" s="3718"/>
      <c r="F2957" s="3727"/>
      <c r="G2957" s="429"/>
    </row>
    <row r="2958" spans="1:7" ht="15.75" thickTop="1">
      <c r="A2958" s="813" t="s">
        <v>2092</v>
      </c>
      <c r="B2958" s="388" t="s">
        <v>120</v>
      </c>
      <c r="C2958" s="814" t="s">
        <v>1374</v>
      </c>
      <c r="D2958" s="388"/>
      <c r="E2958" s="638">
        <f>(G2958-F2958)/G2958</f>
        <v>0.14736842105263148</v>
      </c>
      <c r="F2958" s="872">
        <v>0.81</v>
      </c>
      <c r="G2958" s="429">
        <v>0.95</v>
      </c>
    </row>
    <row r="2959" spans="1:7" outlineLevel="1">
      <c r="A2959" s="491"/>
      <c r="B2959" s="781" t="s">
        <v>121</v>
      </c>
      <c r="C2959" s="814" t="s">
        <v>1904</v>
      </c>
      <c r="D2959" s="388"/>
      <c r="E2959" s="638">
        <f>(G2959-F2959)/G2959</f>
        <v>0.14838709677419354</v>
      </c>
      <c r="F2959" s="872">
        <v>1.32</v>
      </c>
      <c r="G2959" s="429">
        <v>1.55</v>
      </c>
    </row>
    <row r="2960" spans="1:7">
      <c r="A2960" s="491"/>
      <c r="B2960" s="781" t="s">
        <v>123</v>
      </c>
      <c r="C2960" s="814" t="s">
        <v>1058</v>
      </c>
      <c r="D2960" s="388"/>
      <c r="E2960" s="638">
        <f>(G2960-F2960)/G2960</f>
        <v>0.20098039215686281</v>
      </c>
      <c r="F2960" s="872">
        <v>1.63</v>
      </c>
      <c r="G2960" s="429">
        <v>2.04</v>
      </c>
    </row>
    <row r="2961" spans="1:7">
      <c r="A2961" s="491"/>
      <c r="B2961" s="781" t="s">
        <v>122</v>
      </c>
      <c r="C2961" s="814" t="s">
        <v>1315</v>
      </c>
      <c r="D2961" s="388"/>
      <c r="E2961" s="638">
        <f>(G2961-F2961)/G2961</f>
        <v>0.19736842105263161</v>
      </c>
      <c r="F2961" s="872">
        <v>1.22</v>
      </c>
      <c r="G2961" s="528">
        <v>1.52</v>
      </c>
    </row>
    <row r="2962" spans="1:7" ht="15.75" thickBot="1">
      <c r="A2962" s="500"/>
      <c r="B2962" s="816" t="s">
        <v>2057</v>
      </c>
      <c r="C2962" s="817"/>
      <c r="D2962" s="873"/>
      <c r="E2962" s="785"/>
      <c r="F2962" s="818"/>
      <c r="G2962" s="528"/>
    </row>
    <row r="2964" spans="1:7">
      <c r="A2964" s="3681" t="s">
        <v>0</v>
      </c>
      <c r="B2964" s="3714" t="s">
        <v>1</v>
      </c>
      <c r="C2964" s="3714" t="s">
        <v>2</v>
      </c>
      <c r="D2964" s="3715" t="s">
        <v>3</v>
      </c>
      <c r="E2964" s="3714" t="s">
        <v>4</v>
      </c>
      <c r="F2964" s="3715" t="s">
        <v>1989</v>
      </c>
      <c r="G2964" s="3714" t="s">
        <v>1941</v>
      </c>
    </row>
    <row r="2965" spans="1:7">
      <c r="A2965" s="3544"/>
      <c r="B2965" s="3715"/>
      <c r="C2965" s="3715"/>
      <c r="D2965" s="3670"/>
      <c r="E2965" s="3715"/>
      <c r="F2965" s="3670"/>
      <c r="G2965" s="3715"/>
    </row>
    <row r="2966" spans="1:7">
      <c r="A2966" s="3725" t="s">
        <v>2093</v>
      </c>
      <c r="B2966" s="3725" t="s">
        <v>181</v>
      </c>
      <c r="C2966" s="733" t="s">
        <v>2080</v>
      </c>
      <c r="D2966" s="3725" t="s">
        <v>1860</v>
      </c>
      <c r="E2966" s="3726">
        <v>0.15</v>
      </c>
      <c r="F2966" s="735">
        <v>0.86</v>
      </c>
      <c r="G2966" s="736">
        <v>0.73</v>
      </c>
    </row>
    <row r="2967" spans="1:7">
      <c r="A2967" s="3725"/>
      <c r="B2967" s="3725"/>
      <c r="C2967" s="733" t="s">
        <v>1949</v>
      </c>
      <c r="D2967" s="3725"/>
      <c r="E2967" s="3726"/>
      <c r="F2967" s="735">
        <v>0.86</v>
      </c>
      <c r="G2967" s="736">
        <v>0.73</v>
      </c>
    </row>
    <row r="2968" spans="1:7">
      <c r="A2968" s="3725"/>
      <c r="B2968" s="3725"/>
      <c r="C2968" s="733" t="s">
        <v>1950</v>
      </c>
      <c r="D2968" s="3725"/>
      <c r="E2968" s="3726"/>
      <c r="F2968" s="735">
        <v>0.86</v>
      </c>
      <c r="G2968" s="736">
        <v>0.73</v>
      </c>
    </row>
    <row r="2971" spans="1:7">
      <c r="A2971" s="3681" t="s">
        <v>0</v>
      </c>
      <c r="B2971" s="3714" t="s">
        <v>1</v>
      </c>
      <c r="C2971" s="3714" t="s">
        <v>2</v>
      </c>
      <c r="D2971" s="3715" t="s">
        <v>3</v>
      </c>
      <c r="E2971" s="3714" t="s">
        <v>4</v>
      </c>
      <c r="F2971" s="3715" t="s">
        <v>1989</v>
      </c>
      <c r="G2971" s="3714" t="s">
        <v>1941</v>
      </c>
    </row>
    <row r="2972" spans="1:7">
      <c r="A2972" s="3544"/>
      <c r="B2972" s="3715"/>
      <c r="C2972" s="3715"/>
      <c r="D2972" s="3670"/>
      <c r="E2972" s="3715"/>
      <c r="F2972" s="3670"/>
      <c r="G2972" s="3715"/>
    </row>
    <row r="2973" spans="1:7">
      <c r="A2973" s="3725" t="s">
        <v>2099</v>
      </c>
      <c r="B2973" s="3725" t="s">
        <v>202</v>
      </c>
      <c r="C2973" s="733" t="s">
        <v>1315</v>
      </c>
      <c r="D2973" s="3725" t="s">
        <v>1860</v>
      </c>
      <c r="E2973" s="3726">
        <v>0.2</v>
      </c>
      <c r="F2973" s="735">
        <v>1.42</v>
      </c>
      <c r="G2973" s="736">
        <v>1.1399999999999999</v>
      </c>
    </row>
    <row r="2974" spans="1:7">
      <c r="A2974" s="3725"/>
      <c r="B2974" s="3725"/>
      <c r="C2974" s="733" t="s">
        <v>1316</v>
      </c>
      <c r="D2974" s="3725"/>
      <c r="E2974" s="3726"/>
      <c r="F2974" s="735">
        <v>1.42</v>
      </c>
      <c r="G2974" s="736">
        <v>1.1399999999999999</v>
      </c>
    </row>
    <row r="2975" spans="1:7">
      <c r="A2975" s="3725"/>
      <c r="B2975" s="3725"/>
      <c r="C2975" s="733" t="s">
        <v>2066</v>
      </c>
      <c r="D2975" s="3725"/>
      <c r="E2975" s="3726"/>
      <c r="F2975" s="735">
        <v>1.42</v>
      </c>
      <c r="G2975" s="736">
        <v>1.1399999999999999</v>
      </c>
    </row>
    <row r="2977" spans="1:7" ht="15.75" thickBot="1"/>
    <row r="2978" spans="1:7">
      <c r="A2978" s="3572" t="s">
        <v>0</v>
      </c>
      <c r="B2978" s="3636" t="s">
        <v>1</v>
      </c>
      <c r="C2978" s="3636" t="s">
        <v>2</v>
      </c>
      <c r="D2978" s="3636" t="s">
        <v>3</v>
      </c>
      <c r="E2978" s="3636" t="s">
        <v>4</v>
      </c>
      <c r="F2978" s="3559" t="s">
        <v>5</v>
      </c>
      <c r="G2978" s="429"/>
    </row>
    <row r="2979" spans="1:7" ht="15.75" thickBot="1">
      <c r="A2979" s="3696"/>
      <c r="B2979" s="3718"/>
      <c r="C2979" s="3718"/>
      <c r="D2979" s="3718"/>
      <c r="E2979" s="3718"/>
      <c r="F2979" s="3727"/>
      <c r="G2979" s="429"/>
    </row>
    <row r="2980" spans="1:7" ht="15.75" thickTop="1">
      <c r="A2980" s="813" t="s">
        <v>2137</v>
      </c>
      <c r="B2980" s="388" t="s">
        <v>120</v>
      </c>
      <c r="C2980" s="814" t="s">
        <v>1975</v>
      </c>
      <c r="D2980" s="388"/>
      <c r="E2980" s="638">
        <f>(G2980-F2980)/G2980</f>
        <v>0.20125786163522016</v>
      </c>
      <c r="F2980" s="749">
        <v>1.27</v>
      </c>
      <c r="G2980" s="429">
        <v>1.59</v>
      </c>
    </row>
    <row r="2981" spans="1:7">
      <c r="A2981" s="491"/>
      <c r="B2981" s="781" t="s">
        <v>121</v>
      </c>
      <c r="C2981" s="814" t="s">
        <v>2124</v>
      </c>
      <c r="D2981" s="388"/>
      <c r="E2981" s="638">
        <f t="shared" ref="E2981:E2991" si="18">(G2981-F2981)/G2981</f>
        <v>0.20062695924764895</v>
      </c>
      <c r="F2981" s="749">
        <v>2.5499999999999998</v>
      </c>
      <c r="G2981" s="429">
        <v>3.19</v>
      </c>
    </row>
    <row r="2982" spans="1:7">
      <c r="A2982" s="491"/>
      <c r="B2982" s="781" t="s">
        <v>123</v>
      </c>
      <c r="C2982" s="814" t="s">
        <v>2021</v>
      </c>
      <c r="D2982" s="388"/>
      <c r="E2982" s="638">
        <f t="shared" si="18"/>
        <v>0.20000000000000004</v>
      </c>
      <c r="F2982" s="749">
        <v>1.24</v>
      </c>
      <c r="G2982" s="429">
        <v>1.55</v>
      </c>
    </row>
    <row r="2983" spans="1:7" ht="28.5">
      <c r="A2983" s="491"/>
      <c r="B2983" s="781" t="s">
        <v>122</v>
      </c>
      <c r="C2983" s="814" t="s">
        <v>2125</v>
      </c>
      <c r="D2983" s="388"/>
      <c r="E2983" s="638">
        <f t="shared" si="18"/>
        <v>0.15384615384615385</v>
      </c>
      <c r="F2983" s="749">
        <v>0.77</v>
      </c>
      <c r="G2983" s="528">
        <v>0.91</v>
      </c>
    </row>
    <row r="2984" spans="1:7">
      <c r="A2984" s="491"/>
      <c r="B2984" s="781" t="s">
        <v>2057</v>
      </c>
      <c r="C2984" s="766" t="s">
        <v>2080</v>
      </c>
      <c r="D2984" s="388"/>
      <c r="E2984" s="638">
        <f t="shared" si="18"/>
        <v>0.15116279069767444</v>
      </c>
      <c r="F2984" s="815">
        <v>0.73</v>
      </c>
      <c r="G2984" s="528">
        <v>0.86</v>
      </c>
    </row>
    <row r="2985" spans="1:7">
      <c r="A2985" s="491"/>
      <c r="B2985" s="781"/>
      <c r="C2985" s="766" t="s">
        <v>1949</v>
      </c>
      <c r="D2985" s="388"/>
      <c r="E2985" s="638">
        <f t="shared" si="18"/>
        <v>0.15116279069767444</v>
      </c>
      <c r="F2985" s="815">
        <v>0.73</v>
      </c>
      <c r="G2985" s="528">
        <v>0.86</v>
      </c>
    </row>
    <row r="2986" spans="1:7">
      <c r="A2986" s="491"/>
      <c r="B2986" s="781"/>
      <c r="C2986" s="766" t="s">
        <v>1950</v>
      </c>
      <c r="D2986" s="388"/>
      <c r="E2986" s="539">
        <f t="shared" si="18"/>
        <v>0.15116279069767444</v>
      </c>
      <c r="F2986" s="815">
        <v>0.73</v>
      </c>
      <c r="G2986" s="528">
        <v>0.86</v>
      </c>
    </row>
    <row r="2987" spans="1:7">
      <c r="A2987" s="491"/>
      <c r="B2987" s="781"/>
      <c r="C2987" s="766" t="s">
        <v>554</v>
      </c>
      <c r="D2987" s="388"/>
      <c r="E2987" s="539">
        <f t="shared" si="18"/>
        <v>0.15254237288135589</v>
      </c>
      <c r="F2987" s="815">
        <v>1</v>
      </c>
      <c r="G2987" s="528">
        <v>1.18</v>
      </c>
    </row>
    <row r="2988" spans="1:7">
      <c r="A2988" s="491"/>
      <c r="B2988" s="781"/>
      <c r="C2988" s="766" t="s">
        <v>1429</v>
      </c>
      <c r="D2988" s="388"/>
      <c r="E2988" s="539">
        <f t="shared" si="18"/>
        <v>0.15028901734104047</v>
      </c>
      <c r="F2988" s="815">
        <v>1.47</v>
      </c>
      <c r="G2988" s="528">
        <v>1.73</v>
      </c>
    </row>
    <row r="2989" spans="1:7">
      <c r="A2989" s="491"/>
      <c r="B2989" s="781"/>
      <c r="C2989" s="766"/>
      <c r="D2989" s="388"/>
      <c r="E2989" s="539" t="e">
        <f t="shared" si="18"/>
        <v>#DIV/0!</v>
      </c>
      <c r="F2989" s="815"/>
      <c r="G2989" s="528"/>
    </row>
    <row r="2990" spans="1:7">
      <c r="A2990" s="491"/>
      <c r="B2990" s="781"/>
      <c r="C2990" s="766"/>
      <c r="D2990" s="388"/>
      <c r="E2990" s="539" t="e">
        <f t="shared" si="18"/>
        <v>#DIV/0!</v>
      </c>
      <c r="F2990" s="815"/>
      <c r="G2990" s="528"/>
    </row>
    <row r="2991" spans="1:7" ht="15.75" thickBot="1">
      <c r="A2991" s="500"/>
      <c r="B2991" s="816"/>
      <c r="C2991" s="817"/>
      <c r="D2991" s="548"/>
      <c r="E2991" s="549" t="e">
        <f t="shared" si="18"/>
        <v>#DIV/0!</v>
      </c>
      <c r="F2991" s="818"/>
      <c r="G2991" s="528"/>
    </row>
    <row r="2995" spans="1:7" ht="15.75" thickBot="1"/>
    <row r="2996" spans="1:7">
      <c r="A2996" s="3572" t="s">
        <v>0</v>
      </c>
      <c r="B2996" s="3636" t="s">
        <v>1</v>
      </c>
      <c r="C2996" s="3636" t="s">
        <v>2</v>
      </c>
      <c r="D2996" s="3636" t="s">
        <v>3</v>
      </c>
      <c r="E2996" s="3636" t="s">
        <v>4</v>
      </c>
      <c r="F2996" s="3559" t="s">
        <v>5</v>
      </c>
      <c r="G2996" s="429"/>
    </row>
    <row r="2997" spans="1:7" ht="15.75" thickBot="1">
      <c r="A2997" s="3696"/>
      <c r="B2997" s="3718"/>
      <c r="C2997" s="3718"/>
      <c r="D2997" s="3718"/>
      <c r="E2997" s="3718"/>
      <c r="F2997" s="3727"/>
      <c r="G2997" s="429"/>
    </row>
    <row r="2998" spans="1:7" ht="15.75" thickTop="1">
      <c r="A2998" s="813" t="s">
        <v>2157</v>
      </c>
      <c r="B2998" s="388" t="s">
        <v>120</v>
      </c>
      <c r="C2998" s="814" t="s">
        <v>1891</v>
      </c>
      <c r="D2998" s="388"/>
      <c r="E2998" s="638">
        <f>(G2998-F2998)/G2998</f>
        <v>0.19811320754716988</v>
      </c>
      <c r="F2998" s="872">
        <v>0.85</v>
      </c>
      <c r="G2998" s="429">
        <v>1.06</v>
      </c>
    </row>
    <row r="2999" spans="1:7">
      <c r="A2999" s="491"/>
      <c r="B2999" s="781" t="s">
        <v>121</v>
      </c>
      <c r="C2999" s="814"/>
      <c r="D2999" s="388"/>
      <c r="E2999" s="638"/>
      <c r="F2999" s="872"/>
      <c r="G2999" s="429"/>
    </row>
    <row r="3000" spans="1:7">
      <c r="A3000" s="491"/>
      <c r="B3000" s="781" t="s">
        <v>123</v>
      </c>
      <c r="C3000" s="814"/>
      <c r="D3000" s="388"/>
      <c r="E3000" s="638"/>
      <c r="F3000" s="872"/>
      <c r="G3000" s="429"/>
    </row>
    <row r="3001" spans="1:7">
      <c r="A3001" s="491"/>
      <c r="B3001" s="781" t="s">
        <v>122</v>
      </c>
      <c r="C3001" s="814"/>
      <c r="D3001" s="388"/>
      <c r="E3001" s="638"/>
      <c r="F3001" s="872"/>
      <c r="G3001" s="528"/>
    </row>
    <row r="3002" spans="1:7" ht="15.75" thickBot="1">
      <c r="A3002" s="500"/>
      <c r="B3002" s="816" t="s">
        <v>2057</v>
      </c>
      <c r="C3002" s="817"/>
      <c r="D3002" s="873"/>
      <c r="E3002" s="785"/>
      <c r="F3002" s="818"/>
      <c r="G3002" s="528"/>
    </row>
    <row r="3004" spans="1:7" ht="15.75" thickBot="1"/>
    <row r="3005" spans="1:7">
      <c r="A3005" s="3572" t="s">
        <v>0</v>
      </c>
      <c r="B3005" s="3636" t="s">
        <v>1</v>
      </c>
      <c r="C3005" s="3636" t="s">
        <v>2</v>
      </c>
      <c r="D3005" s="3636" t="s">
        <v>3</v>
      </c>
      <c r="E3005" s="3636" t="s">
        <v>4</v>
      </c>
      <c r="F3005" s="3559" t="s">
        <v>5</v>
      </c>
      <c r="G3005" s="429"/>
    </row>
    <row r="3006" spans="1:7" ht="15.75" thickBot="1">
      <c r="A3006" s="3696"/>
      <c r="B3006" s="3718"/>
      <c r="C3006" s="3718"/>
      <c r="D3006" s="3718"/>
      <c r="E3006" s="3718"/>
      <c r="F3006" s="3727"/>
      <c r="G3006" s="429"/>
    </row>
    <row r="3007" spans="1:7" ht="15.75" thickTop="1">
      <c r="A3007" s="813" t="s">
        <v>2173</v>
      </c>
      <c r="B3007" s="388" t="s">
        <v>285</v>
      </c>
      <c r="C3007" s="938" t="s">
        <v>1556</v>
      </c>
      <c r="D3007" s="388"/>
      <c r="E3007" s="638">
        <f>(G3007-F3007)/G3007</f>
        <v>0.1769411764705883</v>
      </c>
      <c r="F3007" s="872">
        <v>17.489999999999998</v>
      </c>
      <c r="G3007" s="429">
        <v>21.25</v>
      </c>
    </row>
    <row r="3008" spans="1:7">
      <c r="A3008" s="491"/>
      <c r="B3008" s="939"/>
      <c r="C3008" s="938" t="s">
        <v>1763</v>
      </c>
      <c r="D3008" s="388"/>
      <c r="E3008" s="638">
        <f>(G3008-F3008)/G3008</f>
        <v>0.1769411764705883</v>
      </c>
      <c r="F3008" s="872">
        <v>17.489999999999998</v>
      </c>
      <c r="G3008" s="429">
        <v>21.25</v>
      </c>
    </row>
    <row r="3009" spans="1:7">
      <c r="A3009" s="491"/>
      <c r="B3009" s="939"/>
      <c r="C3009" s="938" t="s">
        <v>1557</v>
      </c>
      <c r="D3009" s="388"/>
      <c r="E3009" s="638">
        <f>(G3009-F3009)/G3009</f>
        <v>0.1769411764705883</v>
      </c>
      <c r="F3009" s="872">
        <v>17.489999999999998</v>
      </c>
      <c r="G3009" s="429">
        <v>21.25</v>
      </c>
    </row>
    <row r="3010" spans="1:7">
      <c r="A3010" s="491"/>
      <c r="B3010" s="939"/>
      <c r="C3010" s="938" t="s">
        <v>1555</v>
      </c>
      <c r="D3010" s="388"/>
      <c r="E3010" s="638">
        <f>(G3010-F3010)/G3010</f>
        <v>0.1769411764705883</v>
      </c>
      <c r="F3010" s="872">
        <v>17.489999999999998</v>
      </c>
      <c r="G3010" s="429">
        <v>21.25</v>
      </c>
    </row>
    <row r="3011" spans="1:7" ht="15.75" thickBot="1">
      <c r="A3011" s="500"/>
      <c r="B3011" s="816"/>
      <c r="C3011" s="817" t="s">
        <v>1810</v>
      </c>
      <c r="D3011" s="873"/>
      <c r="E3011" s="785">
        <f>(G3011-F3011)/G3011</f>
        <v>0.1769411764705883</v>
      </c>
      <c r="F3011" s="872">
        <v>17.489999999999998</v>
      </c>
      <c r="G3011" s="429">
        <v>21.25</v>
      </c>
    </row>
    <row r="3013" spans="1:7">
      <c r="A3013" s="3681" t="s">
        <v>0</v>
      </c>
      <c r="B3013" s="3719" t="s">
        <v>1</v>
      </c>
      <c r="C3013" s="3719" t="s">
        <v>2</v>
      </c>
      <c r="D3013" s="3716" t="s">
        <v>3</v>
      </c>
      <c r="E3013" s="3719" t="s">
        <v>4</v>
      </c>
      <c r="F3013" s="3716" t="s">
        <v>1989</v>
      </c>
      <c r="G3013" s="3719" t="s">
        <v>1941</v>
      </c>
    </row>
    <row r="3014" spans="1:7">
      <c r="A3014" s="3544"/>
      <c r="B3014" s="3716"/>
      <c r="C3014" s="3716"/>
      <c r="D3014" s="3670"/>
      <c r="E3014" s="3716"/>
      <c r="F3014" s="3670"/>
      <c r="G3014" s="3716"/>
    </row>
    <row r="3015" spans="1:7">
      <c r="A3015" s="3722" t="s">
        <v>2184</v>
      </c>
      <c r="B3015" s="3722" t="s">
        <v>2185</v>
      </c>
      <c r="C3015" s="945" t="s">
        <v>623</v>
      </c>
      <c r="D3015" s="3722" t="s">
        <v>1860</v>
      </c>
      <c r="E3015" s="3723">
        <v>0.2</v>
      </c>
      <c r="F3015" s="946">
        <v>1.83</v>
      </c>
      <c r="G3015" s="947">
        <v>1.46</v>
      </c>
    </row>
    <row r="3016" spans="1:7">
      <c r="A3016" s="3722"/>
      <c r="B3016" s="3722"/>
      <c r="C3016" s="945" t="s">
        <v>1772</v>
      </c>
      <c r="D3016" s="3722"/>
      <c r="E3016" s="3723"/>
      <c r="F3016" s="946">
        <v>1.83</v>
      </c>
      <c r="G3016" s="947">
        <v>1.46</v>
      </c>
    </row>
    <row r="3017" spans="1:7">
      <c r="A3017" s="3722"/>
      <c r="B3017" s="3722"/>
      <c r="C3017" s="945"/>
      <c r="D3017" s="3722"/>
      <c r="E3017" s="3723"/>
      <c r="F3017" s="946"/>
      <c r="G3017" s="947"/>
    </row>
    <row r="3020" spans="1:7">
      <c r="A3020" s="3681" t="s">
        <v>0</v>
      </c>
      <c r="B3020" s="3719" t="s">
        <v>1</v>
      </c>
      <c r="C3020" s="3719" t="s">
        <v>2</v>
      </c>
      <c r="D3020" s="3716" t="s">
        <v>3</v>
      </c>
      <c r="E3020" s="3719" t="s">
        <v>4</v>
      </c>
      <c r="F3020" s="3716" t="s">
        <v>1989</v>
      </c>
      <c r="G3020" s="3719" t="s">
        <v>1941</v>
      </c>
    </row>
    <row r="3021" spans="1:7">
      <c r="A3021" s="3544"/>
      <c r="B3021" s="3716"/>
      <c r="C3021" s="3716"/>
      <c r="D3021" s="3670"/>
      <c r="E3021" s="3716"/>
      <c r="F3021" s="3670"/>
      <c r="G3021" s="3716"/>
    </row>
    <row r="3022" spans="1:7">
      <c r="A3022" s="3722" t="s">
        <v>2188</v>
      </c>
      <c r="B3022" s="3722" t="s">
        <v>2189</v>
      </c>
      <c r="C3022" s="945" t="s">
        <v>623</v>
      </c>
      <c r="D3022" s="3722" t="s">
        <v>1860</v>
      </c>
      <c r="E3022" s="3723">
        <v>0.2</v>
      </c>
      <c r="F3022" s="946">
        <v>1.99</v>
      </c>
      <c r="G3022" s="947">
        <v>1.59</v>
      </c>
    </row>
    <row r="3023" spans="1:7">
      <c r="A3023" s="3722"/>
      <c r="B3023" s="3722"/>
      <c r="C3023" s="945"/>
      <c r="D3023" s="3722"/>
      <c r="E3023" s="3723"/>
      <c r="F3023" s="946"/>
      <c r="G3023" s="947"/>
    </row>
    <row r="3024" spans="1:7">
      <c r="A3024" s="3722"/>
      <c r="B3024" s="3722"/>
      <c r="C3024" s="945"/>
      <c r="D3024" s="3722"/>
      <c r="E3024" s="3723"/>
      <c r="F3024" s="946"/>
      <c r="G3024" s="947"/>
    </row>
    <row r="3027" spans="1:7">
      <c r="A3027" s="3681" t="s">
        <v>0</v>
      </c>
      <c r="B3027" s="3719" t="s">
        <v>1</v>
      </c>
      <c r="C3027" s="3719" t="s">
        <v>2</v>
      </c>
      <c r="D3027" s="3716" t="s">
        <v>3</v>
      </c>
      <c r="E3027" s="3719" t="s">
        <v>4</v>
      </c>
      <c r="F3027" s="3716" t="s">
        <v>1989</v>
      </c>
      <c r="G3027" s="3719" t="s">
        <v>1941</v>
      </c>
    </row>
    <row r="3028" spans="1:7">
      <c r="A3028" s="3544"/>
      <c r="B3028" s="3716"/>
      <c r="C3028" s="3716"/>
      <c r="D3028" s="3670"/>
      <c r="E3028" s="3716"/>
      <c r="F3028" s="3670"/>
      <c r="G3028" s="3716"/>
    </row>
    <row r="3029" spans="1:7">
      <c r="A3029" s="3722" t="s">
        <v>2198</v>
      </c>
      <c r="B3029" s="958" t="s">
        <v>409</v>
      </c>
      <c r="C3029" s="945" t="s">
        <v>2115</v>
      </c>
      <c r="D3029" s="3722" t="s">
        <v>1860</v>
      </c>
      <c r="E3029" s="3723">
        <v>0.2</v>
      </c>
      <c r="F3029" s="946">
        <v>1.52</v>
      </c>
      <c r="G3029" s="947">
        <v>1.22</v>
      </c>
    </row>
    <row r="3030" spans="1:7">
      <c r="A3030" s="3722"/>
      <c r="B3030" s="504" t="s">
        <v>534</v>
      </c>
      <c r="C3030" s="945" t="s">
        <v>1315</v>
      </c>
      <c r="D3030" s="3722"/>
      <c r="E3030" s="3723"/>
      <c r="F3030" s="946">
        <v>1.52</v>
      </c>
      <c r="G3030" s="947">
        <v>1.22</v>
      </c>
    </row>
    <row r="3031" spans="1:7">
      <c r="A3031" s="3722"/>
      <c r="B3031" s="504" t="s">
        <v>921</v>
      </c>
      <c r="C3031" s="945" t="s">
        <v>2116</v>
      </c>
      <c r="D3031" s="3722"/>
      <c r="E3031" s="3723"/>
      <c r="F3031" s="946">
        <v>1.52</v>
      </c>
      <c r="G3031" s="947">
        <v>1.22</v>
      </c>
    </row>
    <row r="3032" spans="1:7">
      <c r="A3032" s="3722"/>
      <c r="C3032" s="945" t="s">
        <v>2066</v>
      </c>
      <c r="D3032" s="3722"/>
      <c r="E3032" s="3723"/>
      <c r="F3032" s="946">
        <v>1.52</v>
      </c>
      <c r="G3032" s="947">
        <v>1.22</v>
      </c>
    </row>
    <row r="3033" spans="1:7">
      <c r="A3033" s="3722"/>
      <c r="B3033" s="504"/>
      <c r="C3033" s="945" t="s">
        <v>2080</v>
      </c>
      <c r="D3033" s="3722"/>
      <c r="E3033" s="3723">
        <v>0.15</v>
      </c>
      <c r="F3033" s="946">
        <v>0.86</v>
      </c>
      <c r="G3033" s="947">
        <v>0.73</v>
      </c>
    </row>
    <row r="3034" spans="1:7">
      <c r="A3034" s="3722"/>
      <c r="B3034" s="504"/>
      <c r="C3034" s="945" t="s">
        <v>1949</v>
      </c>
      <c r="D3034" s="3722"/>
      <c r="E3034" s="3723"/>
      <c r="F3034" s="946">
        <v>0.86</v>
      </c>
      <c r="G3034" s="947">
        <v>0.73</v>
      </c>
    </row>
    <row r="3035" spans="1:7">
      <c r="A3035" s="3722"/>
      <c r="B3035" s="504"/>
      <c r="C3035" s="945" t="s">
        <v>1950</v>
      </c>
      <c r="D3035" s="3722"/>
      <c r="E3035" s="3723"/>
      <c r="F3035" s="946">
        <v>0.86</v>
      </c>
      <c r="G3035" s="947">
        <v>0.73</v>
      </c>
    </row>
    <row r="3036" spans="1:7">
      <c r="A3036" s="3722"/>
      <c r="B3036" s="504"/>
      <c r="C3036" s="945" t="s">
        <v>2192</v>
      </c>
      <c r="D3036" s="3722"/>
      <c r="E3036" s="3724">
        <v>0.2</v>
      </c>
      <c r="F3036" s="959">
        <v>6.29</v>
      </c>
      <c r="G3036" s="959">
        <v>5.03</v>
      </c>
    </row>
    <row r="3037" spans="1:7">
      <c r="A3037" s="3722"/>
      <c r="B3037" s="635"/>
      <c r="C3037" s="945" t="s">
        <v>2194</v>
      </c>
      <c r="D3037" s="3722"/>
      <c r="E3037" s="3684"/>
      <c r="F3037" s="959">
        <v>6.29</v>
      </c>
      <c r="G3037" s="959">
        <v>5.03</v>
      </c>
    </row>
    <row r="3038" spans="1:7" ht="15.75" thickBot="1"/>
    <row r="3039" spans="1:7">
      <c r="A3039" s="3572" t="s">
        <v>0</v>
      </c>
      <c r="B3039" s="3636" t="s">
        <v>1</v>
      </c>
      <c r="C3039" s="3636" t="s">
        <v>2</v>
      </c>
      <c r="D3039" s="3636" t="s">
        <v>3</v>
      </c>
      <c r="E3039" s="3636" t="s">
        <v>4</v>
      </c>
      <c r="F3039" s="3559" t="s">
        <v>5</v>
      </c>
      <c r="G3039" s="429"/>
    </row>
    <row r="3040" spans="1:7" ht="15.75" thickBot="1">
      <c r="A3040" s="3696"/>
      <c r="B3040" s="3718"/>
      <c r="C3040" s="3718"/>
      <c r="D3040" s="3718"/>
      <c r="E3040" s="3718"/>
      <c r="F3040" s="3727"/>
      <c r="G3040" s="429"/>
    </row>
    <row r="3041" spans="1:7" ht="15.75" thickTop="1">
      <c r="A3041" s="813" t="s">
        <v>2208</v>
      </c>
      <c r="B3041" s="388" t="s">
        <v>120</v>
      </c>
      <c r="C3041" s="938" t="s">
        <v>436</v>
      </c>
      <c r="D3041" s="388"/>
      <c r="E3041" s="638">
        <f>(G3041-F3041)/G3041</f>
        <v>0.37500000000000006</v>
      </c>
      <c r="F3041" s="872">
        <v>0.95</v>
      </c>
      <c r="G3041" s="429">
        <v>1.52</v>
      </c>
    </row>
    <row r="3042" spans="1:7">
      <c r="A3042" s="491"/>
      <c r="B3042" s="939" t="s">
        <v>121</v>
      </c>
      <c r="C3042" s="938" t="s">
        <v>2206</v>
      </c>
      <c r="D3042" s="388"/>
      <c r="E3042" s="638">
        <f t="shared" ref="E3042:E3049" si="19">(G3042-F3042)/G3042</f>
        <v>0.37500000000000006</v>
      </c>
      <c r="F3042" s="872">
        <v>0.95</v>
      </c>
      <c r="G3042" s="429">
        <v>1.52</v>
      </c>
    </row>
    <row r="3043" spans="1:7">
      <c r="A3043" s="491"/>
      <c r="B3043" s="939" t="s">
        <v>123</v>
      </c>
      <c r="C3043" s="938" t="s">
        <v>53</v>
      </c>
      <c r="D3043" s="388"/>
      <c r="E3043" s="638">
        <f t="shared" si="19"/>
        <v>0.25263157894736843</v>
      </c>
      <c r="F3043" s="872">
        <v>0.71</v>
      </c>
      <c r="G3043" s="429">
        <v>0.95</v>
      </c>
    </row>
    <row r="3044" spans="1:7">
      <c r="A3044" s="491"/>
      <c r="B3044" s="939" t="s">
        <v>122</v>
      </c>
      <c r="C3044" s="938" t="s">
        <v>1120</v>
      </c>
      <c r="D3044" s="388"/>
      <c r="E3044" s="638">
        <f t="shared" si="19"/>
        <v>0.31999999999999995</v>
      </c>
      <c r="F3044" s="872">
        <v>0.34</v>
      </c>
      <c r="G3044" s="528">
        <v>0.5</v>
      </c>
    </row>
    <row r="3045" spans="1:7" ht="15.75" thickBot="1">
      <c r="A3045" s="491"/>
      <c r="B3045" s="816" t="s">
        <v>2057</v>
      </c>
      <c r="C3045" s="960" t="s">
        <v>920</v>
      </c>
      <c r="D3045" s="388"/>
      <c r="E3045" s="638">
        <f t="shared" si="19"/>
        <v>0.25316455696202539</v>
      </c>
      <c r="F3045" s="961">
        <v>0.59</v>
      </c>
      <c r="G3045" s="528">
        <v>0.79</v>
      </c>
    </row>
    <row r="3046" spans="1:7">
      <c r="A3046" s="491"/>
      <c r="B3046" s="962"/>
      <c r="C3046" s="960" t="s">
        <v>905</v>
      </c>
      <c r="D3046" s="388"/>
      <c r="E3046" s="638">
        <f t="shared" si="19"/>
        <v>0.29487179487179482</v>
      </c>
      <c r="F3046" s="961">
        <v>0.55000000000000004</v>
      </c>
      <c r="G3046" s="528">
        <v>0.78</v>
      </c>
    </row>
    <row r="3047" spans="1:7">
      <c r="A3047" s="491"/>
      <c r="B3047" s="962"/>
      <c r="C3047" s="960" t="s">
        <v>1345</v>
      </c>
      <c r="D3047" s="388"/>
      <c r="E3047" s="638">
        <f t="shared" si="19"/>
        <v>0.20689655172413798</v>
      </c>
      <c r="F3047" s="961">
        <v>1.38</v>
      </c>
      <c r="G3047" s="528">
        <v>1.74</v>
      </c>
    </row>
    <row r="3048" spans="1:7">
      <c r="A3048" s="491"/>
      <c r="B3048" s="962"/>
      <c r="C3048" s="960" t="s">
        <v>2207</v>
      </c>
      <c r="D3048" s="388"/>
      <c r="E3048" s="638">
        <f t="shared" si="19"/>
        <v>0.3235294117647059</v>
      </c>
      <c r="F3048" s="961">
        <v>0.46</v>
      </c>
      <c r="G3048" s="528">
        <v>0.68</v>
      </c>
    </row>
    <row r="3049" spans="1:7" ht="15.75" thickBot="1">
      <c r="A3049" s="500"/>
      <c r="B3049" s="816"/>
      <c r="C3049" s="817"/>
      <c r="D3049" s="388"/>
      <c r="E3049" s="638" t="e">
        <f t="shared" si="19"/>
        <v>#DIV/0!</v>
      </c>
      <c r="F3049" s="818"/>
      <c r="G3049" s="528"/>
    </row>
    <row r="3051" spans="1:7" ht="15.75" thickBot="1"/>
    <row r="3052" spans="1:7">
      <c r="A3052" s="3614" t="s">
        <v>0</v>
      </c>
      <c r="B3052" s="3693" t="s">
        <v>1</v>
      </c>
      <c r="C3052" s="3693" t="s">
        <v>2</v>
      </c>
      <c r="D3052" s="3520" t="s">
        <v>3</v>
      </c>
      <c r="E3052" s="3693" t="s">
        <v>4</v>
      </c>
      <c r="F3052" s="3520" t="s">
        <v>1989</v>
      </c>
      <c r="G3052" s="3522" t="s">
        <v>1941</v>
      </c>
    </row>
    <row r="3053" spans="1:7">
      <c r="A3053" s="3721"/>
      <c r="B3053" s="3719"/>
      <c r="C3053" s="3716"/>
      <c r="D3053" s="3670"/>
      <c r="E3053" s="3716"/>
      <c r="F3053" s="3670"/>
      <c r="G3053" s="3717"/>
    </row>
    <row r="3054" spans="1:7">
      <c r="A3054" s="3831" t="s">
        <v>2216</v>
      </c>
      <c r="B3054" s="3722" t="s">
        <v>181</v>
      </c>
      <c r="C3054" s="945" t="s">
        <v>2115</v>
      </c>
      <c r="D3054" s="3722" t="s">
        <v>1860</v>
      </c>
      <c r="E3054" s="3723">
        <v>0.2</v>
      </c>
      <c r="F3054" s="946">
        <v>1.52</v>
      </c>
      <c r="G3054" s="964">
        <v>1.22</v>
      </c>
    </row>
    <row r="3055" spans="1:7">
      <c r="A3055" s="3831"/>
      <c r="B3055" s="3722"/>
      <c r="C3055" s="945" t="s">
        <v>1315</v>
      </c>
      <c r="D3055" s="3722"/>
      <c r="E3055" s="3723"/>
      <c r="F3055" s="946">
        <v>1.52</v>
      </c>
      <c r="G3055" s="964">
        <v>1.22</v>
      </c>
    </row>
    <row r="3056" spans="1:7">
      <c r="A3056" s="3831"/>
      <c r="B3056" s="3722"/>
      <c r="C3056" s="945" t="s">
        <v>2116</v>
      </c>
      <c r="D3056" s="3722"/>
      <c r="E3056" s="3723"/>
      <c r="F3056" s="946">
        <v>1.52</v>
      </c>
      <c r="G3056" s="964">
        <v>1.22</v>
      </c>
    </row>
    <row r="3057" spans="1:8" ht="15.75" thickBot="1">
      <c r="A3057" s="3832"/>
      <c r="B3057" s="3816"/>
      <c r="C3057" s="965" t="s">
        <v>2066</v>
      </c>
      <c r="D3057" s="3816"/>
      <c r="E3057" s="3817"/>
      <c r="F3057" s="966">
        <v>1.52</v>
      </c>
      <c r="G3057" s="967">
        <v>1.22</v>
      </c>
    </row>
    <row r="3060" spans="1:8">
      <c r="A3060" s="3681" t="s">
        <v>0</v>
      </c>
      <c r="B3060" s="3719" t="s">
        <v>1</v>
      </c>
      <c r="C3060" s="3719" t="s">
        <v>2</v>
      </c>
      <c r="D3060" s="3716" t="s">
        <v>3</v>
      </c>
      <c r="E3060" s="3719" t="s">
        <v>4</v>
      </c>
      <c r="F3060" s="3716" t="s">
        <v>1989</v>
      </c>
      <c r="G3060" s="3719" t="s">
        <v>1941</v>
      </c>
    </row>
    <row r="3061" spans="1:8">
      <c r="A3061" s="3544"/>
      <c r="B3061" s="3716"/>
      <c r="C3061" s="3716"/>
      <c r="D3061" s="3670"/>
      <c r="E3061" s="3716"/>
      <c r="F3061" s="3670"/>
      <c r="G3061" s="3716"/>
    </row>
    <row r="3062" spans="1:8">
      <c r="A3062" s="3819" t="s">
        <v>2229</v>
      </c>
      <c r="B3062" s="3722" t="s">
        <v>2189</v>
      </c>
      <c r="C3062" s="945" t="s">
        <v>2116</v>
      </c>
      <c r="D3062" s="3722" t="s">
        <v>1860</v>
      </c>
      <c r="E3062" s="3723">
        <v>0.33</v>
      </c>
      <c r="F3062" s="946">
        <v>1.42</v>
      </c>
      <c r="G3062" s="947">
        <v>0.95</v>
      </c>
    </row>
    <row r="3063" spans="1:8" ht="15.75" thickBot="1">
      <c r="A3063" s="3722"/>
      <c r="B3063" s="3722"/>
      <c r="C3063" s="965" t="s">
        <v>2066</v>
      </c>
      <c r="D3063" s="3722"/>
      <c r="E3063" s="3723"/>
      <c r="F3063" s="946">
        <v>1.42</v>
      </c>
      <c r="G3063" s="947">
        <v>0.95</v>
      </c>
    </row>
    <row r="3064" spans="1:8">
      <c r="A3064" s="3722"/>
      <c r="B3064" s="3722"/>
      <c r="C3064" s="945"/>
      <c r="D3064" s="3722"/>
      <c r="E3064" s="3723"/>
      <c r="F3064" s="946"/>
      <c r="G3064" s="947"/>
    </row>
    <row r="3065" spans="1:8" ht="15.75" thickBot="1"/>
    <row r="3066" spans="1:8">
      <c r="A3066" s="3572" t="s">
        <v>0</v>
      </c>
      <c r="B3066" s="3636" t="s">
        <v>1</v>
      </c>
      <c r="C3066" s="3636" t="s">
        <v>2</v>
      </c>
      <c r="D3066" s="3636" t="s">
        <v>3</v>
      </c>
      <c r="E3066" s="3636" t="s">
        <v>4</v>
      </c>
      <c r="F3066" s="3559" t="s">
        <v>5</v>
      </c>
      <c r="G3066" s="429"/>
    </row>
    <row r="3067" spans="1:8" ht="15.75" thickBot="1">
      <c r="A3067" s="3696"/>
      <c r="B3067" s="3718"/>
      <c r="C3067" s="3718"/>
      <c r="D3067" s="3718"/>
      <c r="E3067" s="3718"/>
      <c r="F3067" s="3727"/>
      <c r="G3067" s="429"/>
    </row>
    <row r="3068" spans="1:8" ht="15.75" thickTop="1">
      <c r="A3068" s="813" t="s">
        <v>2238</v>
      </c>
      <c r="B3068" s="388" t="s">
        <v>120</v>
      </c>
      <c r="C3068" s="981" t="s">
        <v>1374</v>
      </c>
      <c r="D3068" s="388"/>
      <c r="E3068" s="880">
        <f>(G3068-F3068)/G3068</f>
        <v>0.14736842105263148</v>
      </c>
      <c r="F3068" s="872">
        <v>0.81</v>
      </c>
      <c r="G3068" s="429">
        <v>0.95</v>
      </c>
    </row>
    <row r="3069" spans="1:8">
      <c r="A3069" s="491"/>
      <c r="B3069" s="982" t="s">
        <v>121</v>
      </c>
      <c r="C3069" s="981" t="s">
        <v>2115</v>
      </c>
      <c r="D3069" s="388"/>
      <c r="E3069" s="980">
        <f>(G3069-F3069)/G3069</f>
        <v>0.19736842105263161</v>
      </c>
      <c r="F3069" s="872">
        <v>1.22</v>
      </c>
      <c r="G3069" s="429">
        <v>1.52</v>
      </c>
    </row>
    <row r="3070" spans="1:8">
      <c r="A3070" s="491"/>
      <c r="B3070" s="982" t="s">
        <v>123</v>
      </c>
      <c r="C3070" s="981" t="s">
        <v>920</v>
      </c>
      <c r="D3070" s="388"/>
      <c r="E3070" s="980">
        <f>(G3070-F3070)/G3070</f>
        <v>0.15189873417721517</v>
      </c>
      <c r="F3070" s="872">
        <v>0.67</v>
      </c>
      <c r="G3070" s="429">
        <v>0.79</v>
      </c>
      <c r="H3070" t="s">
        <v>2239</v>
      </c>
    </row>
    <row r="3071" spans="1:8">
      <c r="A3071" s="491"/>
      <c r="B3071" s="982" t="s">
        <v>122</v>
      </c>
      <c r="C3071" s="981" t="s">
        <v>1891</v>
      </c>
      <c r="D3071" s="388"/>
      <c r="E3071" s="980">
        <f>(G3071-F3071)/G3071</f>
        <v>0.19811320754716988</v>
      </c>
      <c r="F3071" s="872">
        <v>0.85</v>
      </c>
      <c r="G3071" s="528">
        <v>1.06</v>
      </c>
    </row>
    <row r="3072" spans="1:8" ht="15.75" thickBot="1">
      <c r="A3072" s="491"/>
      <c r="B3072" s="816" t="s">
        <v>2057</v>
      </c>
      <c r="C3072" s="983"/>
      <c r="D3072" s="388"/>
      <c r="E3072" s="883" t="e">
        <f>(G3072-F3072)/G3072</f>
        <v>#DIV/0!</v>
      </c>
      <c r="F3072" s="961"/>
      <c r="G3072" s="528"/>
    </row>
    <row r="3073" spans="1:7">
      <c r="A3073" s="491"/>
      <c r="B3073" s="984"/>
      <c r="C3073" s="983"/>
      <c r="D3073" s="388"/>
      <c r="E3073" s="638"/>
      <c r="F3073" s="961"/>
      <c r="G3073" s="528"/>
    </row>
    <row r="3074" spans="1:7">
      <c r="A3074" s="491"/>
      <c r="B3074" s="984"/>
      <c r="C3074" s="983"/>
      <c r="D3074" s="388"/>
      <c r="E3074" s="638"/>
      <c r="F3074" s="961"/>
      <c r="G3074" s="528"/>
    </row>
    <row r="3075" spans="1:7">
      <c r="A3075" s="491"/>
      <c r="B3075" s="984"/>
      <c r="C3075" s="983"/>
      <c r="D3075" s="388"/>
      <c r="E3075" s="638"/>
      <c r="F3075" s="961"/>
      <c r="G3075" s="528"/>
    </row>
    <row r="3076" spans="1:7" ht="15.75" thickBot="1">
      <c r="A3076" s="500"/>
      <c r="B3076" s="816"/>
      <c r="C3076" s="817"/>
      <c r="D3076" s="388"/>
      <c r="E3076" s="638"/>
      <c r="F3076" s="818"/>
      <c r="G3076" s="528"/>
    </row>
    <row r="3079" spans="1:7">
      <c r="A3079" s="3729" t="s">
        <v>0</v>
      </c>
      <c r="B3079" s="3730" t="s">
        <v>1</v>
      </c>
      <c r="C3079" s="3730" t="s">
        <v>2</v>
      </c>
      <c r="D3079" s="3702" t="s">
        <v>3</v>
      </c>
      <c r="E3079" s="3730" t="s">
        <v>4</v>
      </c>
      <c r="F3079" s="3702" t="s">
        <v>1989</v>
      </c>
      <c r="G3079" s="3730" t="s">
        <v>1941</v>
      </c>
    </row>
    <row r="3080" spans="1:7">
      <c r="A3080" s="3544"/>
      <c r="B3080" s="3702"/>
      <c r="C3080" s="3702"/>
      <c r="D3080" s="3670"/>
      <c r="E3080" s="3702"/>
      <c r="F3080" s="3670"/>
      <c r="G3080" s="3702"/>
    </row>
    <row r="3081" spans="1:7">
      <c r="A3081" s="585" t="s">
        <v>2249</v>
      </c>
      <c r="B3081" s="585" t="s">
        <v>181</v>
      </c>
      <c r="C3081" s="503" t="s">
        <v>1058</v>
      </c>
      <c r="D3081" s="585" t="s">
        <v>1860</v>
      </c>
      <c r="E3081" s="993">
        <v>0.2</v>
      </c>
      <c r="F3081" s="994">
        <v>2.04</v>
      </c>
      <c r="G3081" s="995">
        <v>1.63</v>
      </c>
    </row>
    <row r="3083" spans="1:7">
      <c r="A3083" s="3729" t="s">
        <v>0</v>
      </c>
      <c r="B3083" s="3686" t="s">
        <v>1</v>
      </c>
      <c r="C3083" s="3686" t="s">
        <v>2</v>
      </c>
      <c r="D3083" s="3702" t="s">
        <v>3</v>
      </c>
      <c r="E3083" s="3686" t="s">
        <v>4</v>
      </c>
      <c r="F3083" s="3702" t="s">
        <v>1989</v>
      </c>
      <c r="G3083" s="3686" t="s">
        <v>1941</v>
      </c>
    </row>
    <row r="3084" spans="1:7">
      <c r="A3084" s="3544"/>
      <c r="B3084" s="3702"/>
      <c r="C3084" s="3702"/>
      <c r="D3084" s="3670"/>
      <c r="E3084" s="3702"/>
      <c r="F3084" s="3670"/>
      <c r="G3084" s="3702"/>
    </row>
    <row r="3085" spans="1:7">
      <c r="A3085" s="3568" t="s">
        <v>2254</v>
      </c>
      <c r="B3085" s="998" t="s">
        <v>409</v>
      </c>
      <c r="C3085" s="999" t="s">
        <v>517</v>
      </c>
      <c r="D3085" s="998" t="s">
        <v>1860</v>
      </c>
      <c r="E3085" s="1000">
        <v>0.15</v>
      </c>
      <c r="F3085" s="1001">
        <v>1.21</v>
      </c>
      <c r="G3085" s="1002">
        <v>1.03</v>
      </c>
    </row>
    <row r="3086" spans="1:7">
      <c r="A3086" s="3568"/>
      <c r="B3086" s="998" t="s">
        <v>534</v>
      </c>
      <c r="C3086" s="999" t="s">
        <v>1058</v>
      </c>
      <c r="D3086" s="998" t="s">
        <v>1860</v>
      </c>
      <c r="E3086" s="1000">
        <v>0.15</v>
      </c>
      <c r="F3086" s="1001">
        <v>2.04</v>
      </c>
      <c r="G3086" s="1002">
        <v>1.73</v>
      </c>
    </row>
    <row r="3087" spans="1:7">
      <c r="A3087" s="3680"/>
      <c r="B3087" s="998" t="s">
        <v>921</v>
      </c>
      <c r="C3087" s="999"/>
      <c r="D3087" s="998"/>
      <c r="E3087" s="1000"/>
      <c r="F3087" s="1001"/>
      <c r="G3087" s="1002"/>
    </row>
    <row r="3090" spans="1:7">
      <c r="A3090" s="3729" t="s">
        <v>0</v>
      </c>
      <c r="B3090" s="3730" t="s">
        <v>1</v>
      </c>
      <c r="C3090" s="3730" t="s">
        <v>2</v>
      </c>
      <c r="D3090" s="3702" t="s">
        <v>3</v>
      </c>
      <c r="E3090" s="3730" t="s">
        <v>4</v>
      </c>
      <c r="F3090" s="3702" t="s">
        <v>1989</v>
      </c>
      <c r="G3090" s="3730" t="s">
        <v>1941</v>
      </c>
    </row>
    <row r="3091" spans="1:7">
      <c r="A3091" s="3544"/>
      <c r="B3091" s="3702"/>
      <c r="C3091" s="3702"/>
      <c r="D3091" s="3670"/>
      <c r="E3091" s="3702"/>
      <c r="F3091" s="3670"/>
      <c r="G3091" s="3702"/>
    </row>
    <row r="3092" spans="1:7">
      <c r="A3092" s="3568" t="s">
        <v>2263</v>
      </c>
      <c r="B3092" s="3700" t="s">
        <v>411</v>
      </c>
      <c r="C3092" s="1007" t="s">
        <v>1556</v>
      </c>
      <c r="D3092" s="3700" t="s">
        <v>1860</v>
      </c>
      <c r="E3092" s="3701">
        <v>0.2</v>
      </c>
      <c r="F3092" s="3732">
        <v>23.86</v>
      </c>
      <c r="G3092" s="3820">
        <v>19.09</v>
      </c>
    </row>
    <row r="3093" spans="1:7">
      <c r="A3093" s="3568"/>
      <c r="B3093" s="3527"/>
      <c r="C3093" s="1007" t="s">
        <v>1557</v>
      </c>
      <c r="D3093" s="3527"/>
      <c r="E3093" s="3577"/>
      <c r="F3093" s="3582"/>
      <c r="G3093" s="3648"/>
    </row>
    <row r="3094" spans="1:7">
      <c r="A3094" s="3680"/>
      <c r="B3094" s="3683"/>
      <c r="C3094" s="1007" t="s">
        <v>1763</v>
      </c>
      <c r="D3094" s="3683"/>
      <c r="E3094" s="3684"/>
      <c r="F3094" s="3685"/>
      <c r="G3094" s="3821"/>
    </row>
    <row r="3095" spans="1:7" ht="15.75" thickBot="1"/>
    <row r="3096" spans="1:7">
      <c r="A3096" s="3572" t="s">
        <v>0</v>
      </c>
      <c r="B3096" s="3636" t="s">
        <v>1</v>
      </c>
      <c r="C3096" s="3636" t="s">
        <v>2</v>
      </c>
      <c r="D3096" s="3636" t="s">
        <v>3</v>
      </c>
      <c r="E3096" s="3636" t="s">
        <v>4</v>
      </c>
      <c r="F3096" s="3559" t="s">
        <v>5</v>
      </c>
      <c r="G3096" s="429"/>
    </row>
    <row r="3097" spans="1:7" ht="15.75" thickBot="1">
      <c r="A3097" s="3699"/>
      <c r="B3097" s="3709"/>
      <c r="C3097" s="3709"/>
      <c r="D3097" s="3709"/>
      <c r="E3097" s="3709"/>
      <c r="F3097" s="3712"/>
      <c r="G3097" s="429"/>
    </row>
    <row r="3098" spans="1:7" ht="15.75" thickTop="1">
      <c r="A3098" s="1022" t="s">
        <v>2278</v>
      </c>
      <c r="B3098" s="388" t="s">
        <v>120</v>
      </c>
      <c r="C3098" s="1023" t="s">
        <v>387</v>
      </c>
      <c r="D3098" s="388"/>
      <c r="E3098" s="880">
        <f>(G3098-F3098)/G3098</f>
        <v>0.15178571428571441</v>
      </c>
      <c r="F3098" s="1024">
        <v>0.95</v>
      </c>
      <c r="G3098" s="429">
        <v>1.1200000000000001</v>
      </c>
    </row>
    <row r="3099" spans="1:7">
      <c r="A3099" s="491"/>
      <c r="B3099" s="1025" t="s">
        <v>121</v>
      </c>
      <c r="C3099" s="1023"/>
      <c r="D3099" s="388"/>
      <c r="E3099" s="1026" t="e">
        <f>(G3099-F3099)/G3099</f>
        <v>#DIV/0!</v>
      </c>
      <c r="F3099" s="1024"/>
      <c r="G3099" s="429"/>
    </row>
    <row r="3100" spans="1:7">
      <c r="A3100" s="491"/>
      <c r="B3100" s="1025" t="s">
        <v>123</v>
      </c>
      <c r="C3100" s="1023"/>
      <c r="D3100" s="388"/>
      <c r="E3100" s="1026" t="e">
        <f>(G3100-F3100)/G3100</f>
        <v>#DIV/0!</v>
      </c>
      <c r="F3100" s="1024"/>
      <c r="G3100" s="429"/>
    </row>
    <row r="3101" spans="1:7">
      <c r="A3101" s="491"/>
      <c r="B3101" s="1025" t="s">
        <v>122</v>
      </c>
      <c r="C3101" s="1023"/>
      <c r="D3101" s="388"/>
      <c r="E3101" s="1026" t="e">
        <f>(G3101-F3101)/G3101</f>
        <v>#DIV/0!</v>
      </c>
      <c r="F3101" s="1024"/>
      <c r="G3101" s="528"/>
    </row>
    <row r="3102" spans="1:7" ht="15.75" thickBot="1">
      <c r="A3102" s="500"/>
      <c r="B3102" s="1027" t="s">
        <v>2057</v>
      </c>
      <c r="C3102" s="1028"/>
      <c r="D3102" s="873"/>
      <c r="E3102" s="1029" t="e">
        <f>(G3102-F3102)/G3102</f>
        <v>#DIV/0!</v>
      </c>
      <c r="F3102" s="1030"/>
      <c r="G3102" s="528"/>
    </row>
    <row r="3106" spans="1:7">
      <c r="A3106" s="3828" t="s">
        <v>0</v>
      </c>
      <c r="B3106" s="3707" t="s">
        <v>1</v>
      </c>
      <c r="C3106" s="3707" t="s">
        <v>2</v>
      </c>
      <c r="D3106" s="3702" t="s">
        <v>3</v>
      </c>
      <c r="E3106" s="3707" t="s">
        <v>4</v>
      </c>
      <c r="F3106" s="3702" t="s">
        <v>1989</v>
      </c>
      <c r="G3106" s="3707" t="s">
        <v>1941</v>
      </c>
    </row>
    <row r="3107" spans="1:7">
      <c r="A3107" s="3544"/>
      <c r="B3107" s="3702"/>
      <c r="C3107" s="3702"/>
      <c r="D3107" s="3529"/>
      <c r="E3107" s="3702"/>
      <c r="F3107" s="3529"/>
      <c r="G3107" s="3702"/>
    </row>
    <row r="3108" spans="1:7">
      <c r="A3108" s="3728" t="s">
        <v>2286</v>
      </c>
      <c r="B3108" s="3728" t="s">
        <v>2185</v>
      </c>
      <c r="C3108" s="1042" t="s">
        <v>2207</v>
      </c>
      <c r="D3108" s="3728" t="s">
        <v>1860</v>
      </c>
      <c r="E3108" s="1054">
        <f>(F3108-G3108)/F3108</f>
        <v>0.20754716981132082</v>
      </c>
      <c r="F3108" s="1055">
        <v>0.53</v>
      </c>
      <c r="G3108" s="1056">
        <v>0.42</v>
      </c>
    </row>
    <row r="3109" spans="1:7">
      <c r="A3109" s="3728"/>
      <c r="B3109" s="3728"/>
      <c r="C3109" s="1042" t="s">
        <v>1911</v>
      </c>
      <c r="D3109" s="3728"/>
      <c r="E3109" s="1054">
        <f t="shared" ref="E3109:E3118" si="20">(F3109-G3109)/F3109</f>
        <v>0.20512820512820515</v>
      </c>
      <c r="F3109" s="1055">
        <v>0.78</v>
      </c>
      <c r="G3109" s="1056">
        <v>0.62</v>
      </c>
    </row>
    <row r="3110" spans="1:7">
      <c r="A3110" s="3728"/>
      <c r="B3110" s="3728"/>
      <c r="C3110" s="1042" t="s">
        <v>1911</v>
      </c>
      <c r="D3110" s="3728"/>
      <c r="E3110" s="1054">
        <f t="shared" si="20"/>
        <v>0.20512820512820515</v>
      </c>
      <c r="F3110" s="1055">
        <v>0.78</v>
      </c>
      <c r="G3110" s="1056">
        <v>0.62</v>
      </c>
    </row>
    <row r="3111" spans="1:7">
      <c r="A3111" s="1021"/>
      <c r="B3111" s="1021"/>
      <c r="C3111" s="1021" t="s">
        <v>155</v>
      </c>
      <c r="D3111" s="1021"/>
      <c r="E3111" s="1054">
        <f t="shared" si="20"/>
        <v>0.19801980198019797</v>
      </c>
      <c r="F3111" s="1057">
        <v>1.01</v>
      </c>
      <c r="G3111" s="1058">
        <v>0.81</v>
      </c>
    </row>
    <row r="3112" spans="1:7">
      <c r="A3112" s="1021"/>
      <c r="B3112" s="1021"/>
      <c r="C3112" s="1021" t="s">
        <v>154</v>
      </c>
      <c r="D3112" s="1021"/>
      <c r="E3112" s="1054">
        <f t="shared" si="20"/>
        <v>0.19780219780219785</v>
      </c>
      <c r="F3112" s="1057">
        <v>0.91</v>
      </c>
      <c r="G3112" s="1058">
        <v>0.73</v>
      </c>
    </row>
    <row r="3113" spans="1:7">
      <c r="A3113" s="1021"/>
      <c r="B3113" s="1021"/>
      <c r="C3113" s="1021" t="s">
        <v>452</v>
      </c>
      <c r="D3113" s="1021"/>
      <c r="E3113" s="1054">
        <f t="shared" si="20"/>
        <v>0.20212765957446804</v>
      </c>
      <c r="F3113" s="1057">
        <v>0.94</v>
      </c>
      <c r="G3113" s="1058">
        <v>0.75</v>
      </c>
    </row>
    <row r="3114" spans="1:7">
      <c r="A3114" s="1021"/>
      <c r="B3114" s="1021"/>
      <c r="C3114" s="1021" t="s">
        <v>153</v>
      </c>
      <c r="D3114" s="1021"/>
      <c r="E3114" s="1054">
        <f t="shared" si="20"/>
        <v>0.202247191011236</v>
      </c>
      <c r="F3114" s="1057">
        <v>0.89</v>
      </c>
      <c r="G3114" s="1058">
        <v>0.71</v>
      </c>
    </row>
    <row r="3115" spans="1:7">
      <c r="A3115" s="1021"/>
      <c r="B3115" s="1021"/>
      <c r="C3115" s="1021" t="s">
        <v>273</v>
      </c>
      <c r="D3115" s="1021"/>
      <c r="E3115" s="1054">
        <f t="shared" si="20"/>
        <v>0.20212765957446804</v>
      </c>
      <c r="F3115" s="1057">
        <v>0.94</v>
      </c>
      <c r="G3115" s="1058">
        <v>0.75</v>
      </c>
    </row>
    <row r="3116" spans="1:7">
      <c r="A3116" s="1021"/>
      <c r="B3116" s="1021"/>
      <c r="C3116" s="1021" t="s">
        <v>177</v>
      </c>
      <c r="D3116" s="1021"/>
      <c r="E3116" s="1054">
        <f t="shared" si="20"/>
        <v>0.20212765957446804</v>
      </c>
      <c r="F3116" s="1057">
        <v>0.94</v>
      </c>
      <c r="G3116" s="1058">
        <v>0.75</v>
      </c>
    </row>
    <row r="3117" spans="1:7">
      <c r="A3117" s="1021"/>
      <c r="B3117" s="1021"/>
      <c r="C3117" s="1021" t="s">
        <v>274</v>
      </c>
      <c r="D3117" s="1021"/>
      <c r="E3117" s="1054">
        <f t="shared" si="20"/>
        <v>0.20000000000000007</v>
      </c>
      <c r="F3117" s="1057">
        <v>1.05</v>
      </c>
      <c r="G3117" s="1058">
        <v>0.84</v>
      </c>
    </row>
    <row r="3118" spans="1:7">
      <c r="A3118" s="1021"/>
      <c r="B3118" s="1021"/>
      <c r="C3118" s="1021" t="s">
        <v>1890</v>
      </c>
      <c r="D3118" s="1021"/>
      <c r="E3118" s="1054">
        <f t="shared" si="20"/>
        <v>0.19402985074626866</v>
      </c>
      <c r="F3118" s="1057">
        <v>0.67</v>
      </c>
      <c r="G3118" s="1058">
        <v>0.54</v>
      </c>
    </row>
    <row r="3121" spans="1:9">
      <c r="A3121" s="3731" t="s">
        <v>0</v>
      </c>
      <c r="B3121" s="3731" t="s">
        <v>1</v>
      </c>
      <c r="C3121" s="3731" t="s">
        <v>2</v>
      </c>
      <c r="D3121" s="3731" t="s">
        <v>3</v>
      </c>
      <c r="E3121" s="3731" t="s">
        <v>4</v>
      </c>
      <c r="F3121" s="3731" t="s">
        <v>1989</v>
      </c>
      <c r="G3121" s="3731" t="s">
        <v>1941</v>
      </c>
    </row>
    <row r="3122" spans="1:9">
      <c r="A3122" s="3731"/>
      <c r="B3122" s="3731"/>
      <c r="C3122" s="3731"/>
      <c r="D3122" s="3731"/>
      <c r="E3122" s="3731"/>
      <c r="F3122" s="3731"/>
      <c r="G3122" s="3731"/>
    </row>
    <row r="3123" spans="1:9">
      <c r="A3123" s="3824" t="s">
        <v>2296</v>
      </c>
      <c r="B3123" s="1086" t="s">
        <v>409</v>
      </c>
      <c r="C3123" s="1214" t="s">
        <v>1891</v>
      </c>
      <c r="D3123" s="1087"/>
      <c r="E3123" s="3827">
        <v>0.2</v>
      </c>
      <c r="F3123" s="1085">
        <v>1.07</v>
      </c>
      <c r="G3123" s="1085">
        <v>0.86</v>
      </c>
    </row>
    <row r="3124" spans="1:9">
      <c r="A3124" s="3825"/>
      <c r="B3124" s="1086" t="s">
        <v>921</v>
      </c>
      <c r="C3124" s="1214" t="s">
        <v>2021</v>
      </c>
      <c r="D3124" s="1087"/>
      <c r="E3124" s="3823"/>
      <c r="F3124" s="1085">
        <v>1.57</v>
      </c>
      <c r="G3124" s="1085">
        <v>1.26</v>
      </c>
    </row>
    <row r="3125" spans="1:9">
      <c r="A3125" s="3825"/>
      <c r="B3125" s="1086" t="s">
        <v>534</v>
      </c>
      <c r="C3125" s="1083" t="s">
        <v>2297</v>
      </c>
      <c r="D3125" s="1087"/>
      <c r="E3125" s="3822">
        <v>0.12</v>
      </c>
      <c r="F3125" s="1085">
        <v>24.62</v>
      </c>
      <c r="G3125" s="1085">
        <v>21.67</v>
      </c>
    </row>
    <row r="3126" spans="1:9">
      <c r="A3126" s="3825"/>
      <c r="B3126" s="1086"/>
      <c r="C3126" s="1083" t="s">
        <v>2298</v>
      </c>
      <c r="D3126" s="1087"/>
      <c r="E3126" s="3822"/>
      <c r="F3126" s="1085">
        <v>24.62</v>
      </c>
      <c r="G3126" s="1085">
        <v>21.67</v>
      </c>
    </row>
    <row r="3127" spans="1:9">
      <c r="A3127" s="3826"/>
      <c r="B3127" s="1088"/>
      <c r="C3127" s="1083" t="s">
        <v>2299</v>
      </c>
      <c r="D3127" s="1089"/>
      <c r="E3127" s="3823"/>
      <c r="F3127" s="1085">
        <v>24.62</v>
      </c>
      <c r="G3127" s="1085">
        <v>21.67</v>
      </c>
    </row>
    <row r="3128" spans="1:9">
      <c r="A3128" s="667"/>
      <c r="B3128" s="667"/>
      <c r="C3128" s="667"/>
      <c r="D3128" s="667"/>
      <c r="E3128" s="667"/>
      <c r="F3128" s="667"/>
      <c r="G3128" s="667"/>
    </row>
    <row r="3129" spans="1:9" s="1067" customFormat="1">
      <c r="A3129" s="3731" t="s">
        <v>0</v>
      </c>
      <c r="B3129" s="3731" t="s">
        <v>1</v>
      </c>
      <c r="C3129" s="3731" t="s">
        <v>2</v>
      </c>
      <c r="D3129" s="3731" t="s">
        <v>3</v>
      </c>
      <c r="E3129" s="3731" t="s">
        <v>4</v>
      </c>
      <c r="F3129" s="3731" t="s">
        <v>1989</v>
      </c>
      <c r="G3129" s="3731" t="s">
        <v>1941</v>
      </c>
      <c r="I3129"/>
    </row>
    <row r="3130" spans="1:9" s="1067" customFormat="1">
      <c r="A3130" s="3731"/>
      <c r="B3130" s="3731"/>
      <c r="C3130" s="3731"/>
      <c r="D3130" s="3731"/>
      <c r="E3130" s="3731"/>
      <c r="F3130" s="3731"/>
      <c r="G3130" s="3731"/>
      <c r="I3130"/>
    </row>
    <row r="3131" spans="1:9" s="1067" customFormat="1">
      <c r="A3131" s="3829" t="s">
        <v>2300</v>
      </c>
      <c r="B3131" s="3829" t="s">
        <v>181</v>
      </c>
      <c r="C3131" s="1083" t="s">
        <v>2115</v>
      </c>
      <c r="D3131" s="1084" t="s">
        <v>1860</v>
      </c>
      <c r="E3131" s="3830">
        <v>0.2</v>
      </c>
      <c r="F3131" s="1085">
        <v>1.52</v>
      </c>
      <c r="G3131" s="1085">
        <v>1.22</v>
      </c>
      <c r="I3131"/>
    </row>
    <row r="3132" spans="1:9" s="1067" customFormat="1">
      <c r="A3132" s="3829"/>
      <c r="B3132" s="3829"/>
      <c r="C3132" s="1083" t="s">
        <v>2116</v>
      </c>
      <c r="D3132" s="1084"/>
      <c r="E3132" s="3830"/>
      <c r="F3132" s="1085">
        <v>1.52</v>
      </c>
      <c r="G3132" s="1085">
        <v>1.22</v>
      </c>
      <c r="I3132"/>
    </row>
    <row r="3133" spans="1:9" s="1067" customFormat="1">
      <c r="A3133" s="3829"/>
      <c r="B3133" s="3829"/>
      <c r="C3133" s="1083" t="s">
        <v>2066</v>
      </c>
      <c r="D3133" s="1084"/>
      <c r="E3133" s="3830"/>
      <c r="F3133" s="1085">
        <v>1.52</v>
      </c>
      <c r="G3133" s="1085">
        <v>1.22</v>
      </c>
      <c r="I3133"/>
    </row>
    <row r="3136" spans="1:9" ht="15" customHeight="1">
      <c r="A3136" s="3828" t="s">
        <v>0</v>
      </c>
      <c r="B3136" s="3707" t="s">
        <v>1</v>
      </c>
      <c r="C3136" s="3707" t="s">
        <v>2</v>
      </c>
      <c r="D3136" s="3711" t="s">
        <v>3</v>
      </c>
      <c r="E3136" s="3707" t="s">
        <v>4</v>
      </c>
      <c r="F3136" s="3711" t="s">
        <v>1989</v>
      </c>
      <c r="G3136" s="3707" t="s">
        <v>1941</v>
      </c>
    </row>
    <row r="3137" spans="1:7" ht="23.25" customHeight="1">
      <c r="A3137" s="3669"/>
      <c r="B3137" s="3711"/>
      <c r="C3137" s="3711"/>
      <c r="D3137" s="3670"/>
      <c r="E3137" s="3711"/>
      <c r="F3137" s="3670"/>
      <c r="G3137" s="3711"/>
    </row>
    <row r="3138" spans="1:7" ht="23.25" customHeight="1">
      <c r="A3138" s="1090" t="s">
        <v>2307</v>
      </c>
      <c r="B3138" s="1091" t="s">
        <v>181</v>
      </c>
      <c r="C3138" s="1092" t="s">
        <v>2308</v>
      </c>
      <c r="D3138" s="1091" t="s">
        <v>1860</v>
      </c>
      <c r="E3138" s="1093">
        <v>0.2</v>
      </c>
      <c r="F3138" s="1094">
        <v>0.95</v>
      </c>
      <c r="G3138" s="1094">
        <v>0.76</v>
      </c>
    </row>
    <row r="3141" spans="1:7" ht="15" customHeight="1">
      <c r="A3141" s="3828" t="s">
        <v>0</v>
      </c>
      <c r="B3141" s="3707" t="s">
        <v>1</v>
      </c>
      <c r="C3141" s="3707" t="s">
        <v>2</v>
      </c>
      <c r="D3141" s="3711" t="s">
        <v>3</v>
      </c>
      <c r="E3141" s="3707" t="s">
        <v>4</v>
      </c>
      <c r="F3141" s="3711" t="s">
        <v>1989</v>
      </c>
      <c r="G3141" s="3707" t="s">
        <v>1941</v>
      </c>
    </row>
    <row r="3142" spans="1:7" ht="23.25" customHeight="1">
      <c r="A3142" s="3544"/>
      <c r="B3142" s="3707"/>
      <c r="C3142" s="3711"/>
      <c r="D3142" s="3670"/>
      <c r="E3142" s="3711"/>
      <c r="F3142" s="3670"/>
      <c r="G3142" s="3711"/>
    </row>
    <row r="3143" spans="1:7" ht="23.25" customHeight="1">
      <c r="A3143" s="3733" t="s">
        <v>2309</v>
      </c>
      <c r="B3143" s="504" t="s">
        <v>409</v>
      </c>
      <c r="C3143" s="1215" t="s">
        <v>1892</v>
      </c>
      <c r="D3143" s="3527"/>
      <c r="E3143" s="3720">
        <v>0.25</v>
      </c>
      <c r="F3143" s="1094">
        <v>1.05</v>
      </c>
      <c r="G3143" s="1096">
        <v>0.79</v>
      </c>
    </row>
    <row r="3144" spans="1:7" ht="23.25" customHeight="1">
      <c r="A3144" s="3568"/>
      <c r="B3144" s="504" t="s">
        <v>921</v>
      </c>
      <c r="C3144" s="1215" t="s">
        <v>2024</v>
      </c>
      <c r="D3144" s="3527"/>
      <c r="E3144" s="3684"/>
      <c r="F3144" s="1094">
        <v>0.64</v>
      </c>
      <c r="G3144" s="1096">
        <v>0.48</v>
      </c>
    </row>
    <row r="3145" spans="1:7" ht="23.25" customHeight="1">
      <c r="A3145" s="3568"/>
      <c r="B3145" s="504" t="s">
        <v>534</v>
      </c>
      <c r="C3145" s="1092" t="s">
        <v>2115</v>
      </c>
      <c r="D3145" s="3527"/>
      <c r="E3145" s="3577">
        <v>0.2</v>
      </c>
      <c r="F3145" s="1094">
        <v>1.52</v>
      </c>
      <c r="G3145" s="1096">
        <v>1.22</v>
      </c>
    </row>
    <row r="3146" spans="1:7" ht="23.25" customHeight="1">
      <c r="A3146" s="3568"/>
      <c r="B3146" s="504"/>
      <c r="C3146" s="1092" t="s">
        <v>2116</v>
      </c>
      <c r="D3146" s="3527"/>
      <c r="E3146" s="3577"/>
      <c r="F3146" s="1094">
        <v>1.52</v>
      </c>
      <c r="G3146" s="1096">
        <v>1.22</v>
      </c>
    </row>
    <row r="3147" spans="1:7" ht="23.25" customHeight="1">
      <c r="A3147" s="3680"/>
      <c r="B3147" s="635"/>
      <c r="C3147" s="1092" t="s">
        <v>2066</v>
      </c>
      <c r="D3147" s="3683"/>
      <c r="E3147" s="3684"/>
      <c r="F3147" s="1094">
        <v>1.52</v>
      </c>
      <c r="G3147" s="1096">
        <v>1.22</v>
      </c>
    </row>
    <row r="3150" spans="1:7">
      <c r="A3150" s="3681" t="s">
        <v>0</v>
      </c>
      <c r="B3150" s="3686" t="s">
        <v>1</v>
      </c>
      <c r="C3150" s="3686" t="s">
        <v>2</v>
      </c>
      <c r="D3150" s="3687" t="s">
        <v>3</v>
      </c>
      <c r="E3150" s="3686" t="s">
        <v>4</v>
      </c>
      <c r="F3150" s="3687" t="s">
        <v>1989</v>
      </c>
      <c r="G3150" s="3686" t="s">
        <v>1941</v>
      </c>
    </row>
    <row r="3151" spans="1:7">
      <c r="A3151" s="3544"/>
      <c r="B3151" s="3686"/>
      <c r="C3151" s="3687"/>
      <c r="D3151" s="3670"/>
      <c r="E3151" s="3687"/>
      <c r="F3151" s="3670"/>
      <c r="G3151" s="3687"/>
    </row>
    <row r="3152" spans="1:7">
      <c r="A3152" s="3567" t="s">
        <v>2334</v>
      </c>
      <c r="B3152" s="504" t="s">
        <v>409</v>
      </c>
      <c r="C3152" s="999" t="s">
        <v>730</v>
      </c>
      <c r="D3152" s="3527"/>
      <c r="E3152" s="3698">
        <f>(F3152-G3152)/F3152</f>
        <v>0.32926829268292673</v>
      </c>
      <c r="F3152" s="1126">
        <v>0.82</v>
      </c>
      <c r="G3152" s="1127">
        <v>0.55000000000000004</v>
      </c>
    </row>
    <row r="3153" spans="1:7">
      <c r="A3153" s="3568"/>
      <c r="B3153" s="504" t="s">
        <v>921</v>
      </c>
      <c r="C3153" s="1095"/>
      <c r="D3153" s="3527"/>
      <c r="E3153" s="3577"/>
      <c r="F3153" s="1126"/>
      <c r="G3153" s="1127"/>
    </row>
    <row r="3154" spans="1:7">
      <c r="A3154" s="3568"/>
      <c r="B3154" s="504" t="s">
        <v>534</v>
      </c>
      <c r="C3154" s="1128"/>
      <c r="D3154" s="3527"/>
      <c r="E3154" s="3577"/>
      <c r="F3154" s="1126"/>
      <c r="G3154" s="1127"/>
    </row>
    <row r="3155" spans="1:7">
      <c r="A3155" s="3568"/>
      <c r="B3155" s="504"/>
      <c r="C3155" s="1128"/>
      <c r="D3155" s="3527"/>
      <c r="E3155" s="3577"/>
      <c r="F3155" s="1126"/>
      <c r="G3155" s="1127"/>
    </row>
    <row r="3156" spans="1:7">
      <c r="A3156" s="3680"/>
      <c r="B3156" s="635"/>
      <c r="C3156" s="1128"/>
      <c r="D3156" s="3683"/>
      <c r="E3156" s="3684"/>
      <c r="F3156" s="1126"/>
      <c r="G3156" s="1127"/>
    </row>
    <row r="3159" spans="1:7">
      <c r="A3159" s="3711" t="s">
        <v>0</v>
      </c>
      <c r="B3159" s="3707" t="s">
        <v>1</v>
      </c>
      <c r="C3159" s="3707" t="s">
        <v>2</v>
      </c>
      <c r="D3159" s="3711" t="s">
        <v>3</v>
      </c>
      <c r="E3159" s="3707" t="s">
        <v>4</v>
      </c>
      <c r="F3159" s="3711" t="s">
        <v>1989</v>
      </c>
      <c r="G3159" s="3707" t="s">
        <v>1941</v>
      </c>
    </row>
    <row r="3160" spans="1:7">
      <c r="A3160" s="3529"/>
      <c r="B3160" s="3711"/>
      <c r="C3160" s="3711"/>
      <c r="D3160" s="3670"/>
      <c r="E3160" s="3711"/>
      <c r="F3160" s="3670"/>
      <c r="G3160" s="3711"/>
    </row>
    <row r="3161" spans="1:7">
      <c r="A3161" s="3736" t="s">
        <v>2335</v>
      </c>
      <c r="B3161" s="3736" t="s">
        <v>356</v>
      </c>
      <c r="C3161" s="1216" t="s">
        <v>1975</v>
      </c>
      <c r="D3161" s="3728" t="s">
        <v>1860</v>
      </c>
      <c r="E3161" s="1134" t="e">
        <f>(F3161-G3161)/F3161</f>
        <v>#DIV/0!</v>
      </c>
      <c r="F3161" s="1135"/>
      <c r="G3161" s="1136">
        <v>1.1599999999999999</v>
      </c>
    </row>
    <row r="3162" spans="1:7" ht="24" customHeight="1">
      <c r="A3162" s="3527"/>
      <c r="B3162" s="3527"/>
      <c r="C3162" s="1216" t="s">
        <v>2253</v>
      </c>
      <c r="D3162" s="3728"/>
      <c r="E3162" s="1134" t="e">
        <f>(F3162-G3162)/F3162</f>
        <v>#DIV/0!</v>
      </c>
      <c r="F3162" s="1135"/>
      <c r="G3162" s="1136">
        <v>0.97</v>
      </c>
    </row>
    <row r="3163" spans="1:7">
      <c r="A3163" s="3527"/>
      <c r="B3163" s="3527"/>
      <c r="C3163" s="1042"/>
      <c r="D3163" s="3728"/>
      <c r="E3163" s="1134" t="e">
        <f>(F3163-G3163)/F3163</f>
        <v>#DIV/0!</v>
      </c>
      <c r="F3163" s="1135"/>
      <c r="G3163" s="1136"/>
    </row>
    <row r="3164" spans="1:7">
      <c r="A3164" s="3527"/>
      <c r="B3164" s="3527"/>
      <c r="C3164" s="1042"/>
      <c r="D3164" s="3728"/>
      <c r="E3164" s="1134" t="e">
        <f>(F3164-G3164)/F3164</f>
        <v>#DIV/0!</v>
      </c>
      <c r="F3164" s="1135"/>
      <c r="G3164" s="1136"/>
    </row>
    <row r="3165" spans="1:7">
      <c r="A3165" s="3683"/>
      <c r="B3165" s="3683"/>
      <c r="C3165" s="1042"/>
      <c r="D3165" s="3728"/>
      <c r="E3165" s="1137" t="e">
        <f>(F3165-G3165)/F3165</f>
        <v>#DIV/0!</v>
      </c>
      <c r="F3165" s="1094"/>
      <c r="G3165" s="1096"/>
    </row>
    <row r="3167" spans="1:7" ht="15.75" thickBot="1"/>
    <row r="3168" spans="1:7">
      <c r="A3168" s="3572" t="s">
        <v>0</v>
      </c>
      <c r="B3168" s="3636" t="s">
        <v>1</v>
      </c>
      <c r="C3168" s="3636" t="s">
        <v>2</v>
      </c>
      <c r="D3168" s="3636" t="s">
        <v>3</v>
      </c>
      <c r="E3168" s="3636" t="s">
        <v>4</v>
      </c>
      <c r="F3168" s="3559" t="s">
        <v>5</v>
      </c>
      <c r="G3168" s="429"/>
    </row>
    <row r="3169" spans="1:7" ht="15.75" thickBot="1">
      <c r="A3169" s="3696"/>
      <c r="B3169" s="3676"/>
      <c r="C3169" s="3676"/>
      <c r="D3169" s="3676"/>
      <c r="E3169" s="3676"/>
      <c r="F3169" s="3710"/>
      <c r="G3169" s="429"/>
    </row>
    <row r="3170" spans="1:7" ht="15.75" thickTop="1">
      <c r="A3170" s="813" t="s">
        <v>2344</v>
      </c>
      <c r="B3170" s="388" t="s">
        <v>120</v>
      </c>
      <c r="C3170" s="981" t="s">
        <v>155</v>
      </c>
      <c r="D3170" s="388"/>
      <c r="E3170" s="880">
        <f>(G3170-F3170)/G3170</f>
        <v>0.31851851851851853</v>
      </c>
      <c r="F3170" s="872">
        <v>0.92</v>
      </c>
      <c r="G3170" s="429">
        <v>1.35</v>
      </c>
    </row>
    <row r="3171" spans="1:7">
      <c r="A3171" s="491"/>
      <c r="B3171" s="982" t="s">
        <v>121</v>
      </c>
      <c r="C3171" s="981" t="s">
        <v>452</v>
      </c>
      <c r="D3171" s="388"/>
      <c r="E3171" s="980">
        <f t="shared" ref="E3171:E3178" si="21">(G3171-F3171)/G3171</f>
        <v>0.2711864406779661</v>
      </c>
      <c r="F3171" s="872">
        <v>0.86</v>
      </c>
      <c r="G3171" s="429">
        <v>1.18</v>
      </c>
    </row>
    <row r="3172" spans="1:7">
      <c r="A3172" s="491"/>
      <c r="B3172" s="982" t="s">
        <v>123</v>
      </c>
      <c r="C3172" s="981" t="s">
        <v>1300</v>
      </c>
      <c r="D3172" s="388"/>
      <c r="E3172" s="980">
        <f t="shared" si="21"/>
        <v>0.42307692307692313</v>
      </c>
      <c r="F3172" s="872">
        <v>0.6</v>
      </c>
      <c r="G3172" s="429">
        <v>1.04</v>
      </c>
    </row>
    <row r="3173" spans="1:7">
      <c r="A3173" s="491"/>
      <c r="B3173" s="982" t="s">
        <v>122</v>
      </c>
      <c r="C3173" s="981" t="s">
        <v>1959</v>
      </c>
      <c r="D3173" s="388"/>
      <c r="E3173" s="980">
        <f t="shared" si="21"/>
        <v>0.27272727272727265</v>
      </c>
      <c r="F3173" s="872">
        <v>1.1200000000000001</v>
      </c>
      <c r="G3173" s="528">
        <v>1.54</v>
      </c>
    </row>
    <row r="3174" spans="1:7">
      <c r="A3174" s="491"/>
      <c r="B3174" s="984" t="s">
        <v>2057</v>
      </c>
      <c r="C3174" s="981" t="s">
        <v>1960</v>
      </c>
      <c r="D3174" s="388"/>
      <c r="E3174" s="980">
        <f>(G3174-F3174)/G3174</f>
        <v>0.27272727272727265</v>
      </c>
      <c r="F3174" s="872">
        <v>1.1200000000000001</v>
      </c>
      <c r="G3174" s="528">
        <v>1.54</v>
      </c>
    </row>
    <row r="3175" spans="1:7">
      <c r="A3175" s="491"/>
      <c r="B3175" s="984"/>
      <c r="C3175" s="983" t="s">
        <v>385</v>
      </c>
      <c r="D3175" s="388"/>
      <c r="E3175" s="980">
        <f t="shared" si="21"/>
        <v>5.2631578947368356E-2</v>
      </c>
      <c r="F3175" s="961">
        <v>0.9</v>
      </c>
      <c r="G3175" s="528">
        <v>0.95</v>
      </c>
    </row>
    <row r="3176" spans="1:7">
      <c r="A3176" s="491"/>
      <c r="B3176" s="984"/>
      <c r="C3176" s="983" t="s">
        <v>905</v>
      </c>
      <c r="D3176" s="388"/>
      <c r="E3176" s="980">
        <f t="shared" si="21"/>
        <v>0.20512820512820515</v>
      </c>
      <c r="F3176" s="961">
        <v>0.62</v>
      </c>
      <c r="G3176" s="528">
        <v>0.78</v>
      </c>
    </row>
    <row r="3177" spans="1:7">
      <c r="A3177" s="491"/>
      <c r="B3177" s="984"/>
      <c r="C3177" s="983" t="s">
        <v>1345</v>
      </c>
      <c r="D3177" s="388"/>
      <c r="E3177" s="980">
        <f t="shared" si="21"/>
        <v>0.15028901734104047</v>
      </c>
      <c r="F3177" s="961">
        <v>1.47</v>
      </c>
      <c r="G3177" s="528">
        <v>1.73</v>
      </c>
    </row>
    <row r="3178" spans="1:7" ht="15.75" thickBot="1">
      <c r="A3178" s="500"/>
      <c r="B3178" s="1147"/>
      <c r="C3178" s="1148" t="s">
        <v>1429</v>
      </c>
      <c r="D3178" s="873"/>
      <c r="E3178" s="980">
        <f t="shared" si="21"/>
        <v>0.15028901734104047</v>
      </c>
      <c r="F3178" s="1149">
        <v>1.47</v>
      </c>
      <c r="G3178" s="528">
        <v>1.73</v>
      </c>
    </row>
    <row r="3181" spans="1:7">
      <c r="A3181" s="3681" t="s">
        <v>0</v>
      </c>
      <c r="B3181" s="3704" t="s">
        <v>1</v>
      </c>
      <c r="C3181" s="3704" t="s">
        <v>2</v>
      </c>
      <c r="D3181" s="3687" t="s">
        <v>3</v>
      </c>
      <c r="E3181" s="3704" t="s">
        <v>4</v>
      </c>
      <c r="F3181" s="3687" t="s">
        <v>1989</v>
      </c>
      <c r="G3181" s="3704" t="s">
        <v>1941</v>
      </c>
    </row>
    <row r="3182" spans="1:7">
      <c r="A3182" s="3669"/>
      <c r="B3182" s="3687"/>
      <c r="C3182" s="3687"/>
      <c r="D3182" s="3670"/>
      <c r="E3182" s="3687"/>
      <c r="F3182" s="3670"/>
      <c r="G3182" s="3687"/>
    </row>
    <row r="3183" spans="1:7">
      <c r="A3183" s="3567" t="s">
        <v>2371</v>
      </c>
      <c r="B3183" s="3697" t="s">
        <v>2189</v>
      </c>
      <c r="C3183" s="1092" t="s">
        <v>2116</v>
      </c>
      <c r="D3183" s="3697" t="s">
        <v>1860</v>
      </c>
      <c r="E3183" s="3698">
        <v>0.33</v>
      </c>
      <c r="F3183" s="3706">
        <v>1.42</v>
      </c>
      <c r="G3183" s="3706">
        <v>0.95</v>
      </c>
    </row>
    <row r="3184" spans="1:7">
      <c r="A3184" s="3680"/>
      <c r="B3184" s="3683"/>
      <c r="C3184" s="1092" t="s">
        <v>2066</v>
      </c>
      <c r="D3184" s="3683"/>
      <c r="E3184" s="3684"/>
      <c r="F3184" s="3685"/>
      <c r="G3184" s="3685"/>
    </row>
    <row r="3186" spans="1:7" ht="15" customHeight="1">
      <c r="A3186" s="3681" t="s">
        <v>0</v>
      </c>
      <c r="B3186" s="3707" t="s">
        <v>1</v>
      </c>
      <c r="C3186" s="3707" t="s">
        <v>2</v>
      </c>
      <c r="D3186" s="3687" t="s">
        <v>3</v>
      </c>
      <c r="E3186" s="3707" t="s">
        <v>4</v>
      </c>
      <c r="F3186" s="3687" t="s">
        <v>1989</v>
      </c>
      <c r="G3186" s="3707" t="s">
        <v>1941</v>
      </c>
    </row>
    <row r="3187" spans="1:7" ht="15" customHeight="1">
      <c r="A3187" s="3544"/>
      <c r="B3187" s="3707"/>
      <c r="C3187" s="3687"/>
      <c r="D3187" s="3670"/>
      <c r="E3187" s="3687"/>
      <c r="F3187" s="3670"/>
      <c r="G3187" s="3687"/>
    </row>
    <row r="3188" spans="1:7">
      <c r="A3188" s="3567" t="s">
        <v>2378</v>
      </c>
      <c r="B3188" s="504" t="s">
        <v>409</v>
      </c>
      <c r="C3188" s="1359" t="s">
        <v>2192</v>
      </c>
      <c r="D3188" s="3527" t="s">
        <v>1860</v>
      </c>
      <c r="E3188" s="3698">
        <v>0.2</v>
      </c>
      <c r="F3188" s="1094">
        <v>6.7</v>
      </c>
      <c r="G3188" s="1096">
        <v>5.36</v>
      </c>
    </row>
    <row r="3189" spans="1:7">
      <c r="A3189" s="3568"/>
      <c r="B3189" s="504" t="s">
        <v>921</v>
      </c>
      <c r="C3189" s="1359" t="s">
        <v>2194</v>
      </c>
      <c r="D3189" s="3527"/>
      <c r="E3189" s="3577"/>
      <c r="F3189" s="1094">
        <v>6.7</v>
      </c>
      <c r="G3189" s="1096">
        <v>5.36</v>
      </c>
    </row>
    <row r="3190" spans="1:7">
      <c r="A3190" s="3568"/>
      <c r="B3190" s="504" t="s">
        <v>534</v>
      </c>
      <c r="C3190" s="1360" t="s">
        <v>1660</v>
      </c>
      <c r="D3190" s="3527"/>
      <c r="E3190" s="3577"/>
      <c r="F3190" s="1094">
        <v>6.7</v>
      </c>
      <c r="G3190" s="1096">
        <v>5.36</v>
      </c>
    </row>
    <row r="3191" spans="1:7">
      <c r="A3191" s="3568"/>
      <c r="B3191" s="504"/>
      <c r="C3191" s="1360" t="s">
        <v>1661</v>
      </c>
      <c r="D3191" s="3527"/>
      <c r="E3191" s="3577"/>
      <c r="F3191" s="1094">
        <v>6.7</v>
      </c>
      <c r="G3191" s="1096">
        <v>5.36</v>
      </c>
    </row>
    <row r="3192" spans="1:7">
      <c r="A3192" s="3680"/>
      <c r="B3192" s="635"/>
      <c r="C3192" s="1092" t="s">
        <v>623</v>
      </c>
      <c r="D3192" s="3683"/>
      <c r="E3192" s="1093">
        <v>0.25</v>
      </c>
      <c r="F3192" s="1094">
        <v>2.14</v>
      </c>
      <c r="G3192" s="1096">
        <v>1.61</v>
      </c>
    </row>
    <row r="3193" spans="1:7" ht="15.75" thickBot="1"/>
    <row r="3194" spans="1:7">
      <c r="A3194" s="3572" t="s">
        <v>0</v>
      </c>
      <c r="B3194" s="3557" t="s">
        <v>1</v>
      </c>
      <c r="C3194" s="3557" t="s">
        <v>2</v>
      </c>
      <c r="D3194" s="3557" t="s">
        <v>3</v>
      </c>
      <c r="E3194" s="3557" t="s">
        <v>4</v>
      </c>
      <c r="F3194" s="3559" t="s">
        <v>5</v>
      </c>
      <c r="G3194" s="429"/>
    </row>
    <row r="3195" spans="1:7" ht="15.75" thickBot="1">
      <c r="A3195" s="3699"/>
      <c r="B3195" s="3709"/>
      <c r="C3195" s="3709"/>
      <c r="D3195" s="3709"/>
      <c r="E3195" s="3709"/>
      <c r="F3195" s="3712"/>
      <c r="G3195" s="429"/>
    </row>
    <row r="3196" spans="1:7" ht="15.75" thickTop="1">
      <c r="A3196" s="1022" t="s">
        <v>2381</v>
      </c>
      <c r="B3196" s="388" t="s">
        <v>120</v>
      </c>
      <c r="C3196" s="1023" t="s">
        <v>177</v>
      </c>
      <c r="D3196" s="388"/>
      <c r="E3196" s="1198">
        <f>(G3196-F3196)/G3196</f>
        <v>9.9009900990098987E-2</v>
      </c>
      <c r="F3196" s="1024">
        <v>0.91</v>
      </c>
      <c r="G3196" s="429">
        <v>1.01</v>
      </c>
    </row>
    <row r="3197" spans="1:7">
      <c r="A3197" s="491"/>
      <c r="B3197" s="1025" t="s">
        <v>121</v>
      </c>
      <c r="C3197" s="1023" t="s">
        <v>53</v>
      </c>
      <c r="D3197" s="388"/>
      <c r="E3197" s="1026">
        <f t="shared" ref="E3197:E3203" si="22">(G3197-F3197)/G3197</f>
        <v>0.19999999999999996</v>
      </c>
      <c r="F3197" s="1024">
        <v>0.76</v>
      </c>
      <c r="G3197" s="429">
        <v>0.95</v>
      </c>
    </row>
    <row r="3198" spans="1:7">
      <c r="A3198" s="491"/>
      <c r="B3198" s="1025" t="s">
        <v>123</v>
      </c>
      <c r="C3198" s="1023" t="s">
        <v>2066</v>
      </c>
      <c r="D3198" s="388"/>
      <c r="E3198" s="1026">
        <f t="shared" si="22"/>
        <v>0.19736842105263161</v>
      </c>
      <c r="F3198" s="1024">
        <v>1.22</v>
      </c>
      <c r="G3198" s="429">
        <v>1.52</v>
      </c>
    </row>
    <row r="3199" spans="1:7">
      <c r="A3199" s="491"/>
      <c r="B3199" s="1025" t="s">
        <v>122</v>
      </c>
      <c r="C3199" s="1023" t="s">
        <v>920</v>
      </c>
      <c r="D3199" s="388"/>
      <c r="E3199" s="1026">
        <f t="shared" si="22"/>
        <v>0.20253164556962028</v>
      </c>
      <c r="F3199" s="1024">
        <v>0.63</v>
      </c>
      <c r="G3199" s="528">
        <v>0.79</v>
      </c>
    </row>
    <row r="3200" spans="1:7">
      <c r="A3200" s="491"/>
      <c r="B3200" s="1199" t="s">
        <v>2057</v>
      </c>
      <c r="C3200" s="1216" t="s">
        <v>1891</v>
      </c>
      <c r="D3200" s="388"/>
      <c r="E3200" s="1026">
        <f t="shared" si="22"/>
        <v>0.19811320754716988</v>
      </c>
      <c r="F3200" s="961">
        <v>0.85</v>
      </c>
      <c r="G3200" s="528">
        <v>1.06</v>
      </c>
    </row>
    <row r="3201" spans="1:7">
      <c r="A3201" s="491"/>
      <c r="B3201" s="1199"/>
      <c r="C3201" s="1200"/>
      <c r="D3201" s="388"/>
      <c r="E3201" s="1026" t="e">
        <f t="shared" si="22"/>
        <v>#DIV/0!</v>
      </c>
      <c r="F3201" s="961"/>
      <c r="G3201" s="528"/>
    </row>
    <row r="3202" spans="1:7">
      <c r="A3202" s="491"/>
      <c r="B3202" s="1199"/>
      <c r="C3202" s="1200"/>
      <c r="D3202" s="388"/>
      <c r="E3202" s="1026" t="e">
        <f t="shared" si="22"/>
        <v>#DIV/0!</v>
      </c>
      <c r="F3202" s="961"/>
      <c r="G3202" s="528"/>
    </row>
    <row r="3203" spans="1:7" ht="15.75" thickBot="1">
      <c r="A3203" s="500"/>
      <c r="B3203" s="1027"/>
      <c r="C3203" s="1028"/>
      <c r="D3203" s="873"/>
      <c r="E3203" s="1026" t="e">
        <f t="shared" si="22"/>
        <v>#DIV/0!</v>
      </c>
      <c r="F3203" s="1030"/>
      <c r="G3203" s="528"/>
    </row>
    <row r="3206" spans="1:7">
      <c r="A3206" s="3681" t="s">
        <v>0</v>
      </c>
      <c r="B3206" s="3708" t="s">
        <v>1</v>
      </c>
      <c r="C3206" s="3708" t="s">
        <v>2</v>
      </c>
      <c r="D3206" s="3702" t="s">
        <v>3</v>
      </c>
      <c r="E3206" s="3708" t="s">
        <v>4</v>
      </c>
      <c r="F3206" s="3702" t="s">
        <v>1989</v>
      </c>
      <c r="G3206" s="3708" t="s">
        <v>1941</v>
      </c>
    </row>
    <row r="3207" spans="1:7">
      <c r="A3207" s="3669"/>
      <c r="B3207" s="3702"/>
      <c r="C3207" s="3702"/>
      <c r="D3207" s="3670"/>
      <c r="E3207" s="3702"/>
      <c r="F3207" s="3670"/>
      <c r="G3207" s="3702"/>
    </row>
    <row r="3208" spans="1:7">
      <c r="A3208" s="3567" t="s">
        <v>2397</v>
      </c>
      <c r="B3208" s="3700" t="s">
        <v>2398</v>
      </c>
      <c r="C3208" s="1361" t="s">
        <v>2192</v>
      </c>
      <c r="D3208" s="3700" t="s">
        <v>1860</v>
      </c>
      <c r="E3208" s="3701">
        <v>0.2</v>
      </c>
      <c r="F3208" s="3732">
        <v>6.65</v>
      </c>
      <c r="G3208" s="3732">
        <v>5.32</v>
      </c>
    </row>
    <row r="3209" spans="1:7">
      <c r="A3209" s="3568"/>
      <c r="B3209" s="3527"/>
      <c r="C3209" s="1361" t="s">
        <v>2194</v>
      </c>
      <c r="D3209" s="3527"/>
      <c r="E3209" s="3577"/>
      <c r="F3209" s="3582"/>
      <c r="G3209" s="3582"/>
    </row>
    <row r="3210" spans="1:7">
      <c r="A3210" s="3568"/>
      <c r="B3210" s="3527"/>
      <c r="C3210" s="1361" t="s">
        <v>1660</v>
      </c>
      <c r="D3210" s="3527"/>
      <c r="E3210" s="3577"/>
      <c r="F3210" s="3582"/>
      <c r="G3210" s="3582"/>
    </row>
    <row r="3211" spans="1:7">
      <c r="A3211" s="3680"/>
      <c r="B3211" s="3683"/>
      <c r="C3211" s="1361" t="s">
        <v>1661</v>
      </c>
      <c r="D3211" s="3683"/>
      <c r="E3211" s="3684"/>
      <c r="F3211" s="3685"/>
      <c r="G3211" s="3685"/>
    </row>
    <row r="3214" spans="1:7">
      <c r="A3214" s="3681" t="s">
        <v>0</v>
      </c>
      <c r="B3214" s="3708" t="s">
        <v>1</v>
      </c>
      <c r="C3214" s="3708" t="s">
        <v>2</v>
      </c>
      <c r="D3214" s="3687" t="s">
        <v>3</v>
      </c>
      <c r="E3214" s="3708" t="s">
        <v>4</v>
      </c>
      <c r="F3214" s="3687" t="s">
        <v>1989</v>
      </c>
      <c r="G3214" s="3708" t="s">
        <v>1941</v>
      </c>
    </row>
    <row r="3215" spans="1:7">
      <c r="A3215" s="3669"/>
      <c r="B3215" s="3687"/>
      <c r="C3215" s="3687"/>
      <c r="D3215" s="3670"/>
      <c r="E3215" s="3687"/>
      <c r="F3215" s="3670"/>
      <c r="G3215" s="3687"/>
    </row>
    <row r="3216" spans="1:7">
      <c r="A3216" s="3567" t="s">
        <v>2402</v>
      </c>
      <c r="B3216" s="1244" t="s">
        <v>2185</v>
      </c>
      <c r="C3216" s="1092" t="s">
        <v>623</v>
      </c>
      <c r="D3216" s="3697" t="s">
        <v>1860</v>
      </c>
      <c r="E3216" s="3698">
        <v>0.2</v>
      </c>
      <c r="F3216" s="3706">
        <v>1.83</v>
      </c>
      <c r="G3216" s="3706">
        <v>1.46</v>
      </c>
    </row>
    <row r="3217" spans="1:8">
      <c r="A3217" s="3568"/>
      <c r="B3217" s="1244" t="s">
        <v>2438</v>
      </c>
      <c r="C3217" s="1243" t="s">
        <v>1772</v>
      </c>
      <c r="D3217" s="3527"/>
      <c r="E3217" s="3577"/>
      <c r="F3217" s="3582"/>
      <c r="G3217" s="3582"/>
    </row>
    <row r="3218" spans="1:8">
      <c r="A3218" s="3680"/>
      <c r="B3218" s="1244" t="s">
        <v>2403</v>
      </c>
      <c r="C3218" s="1243"/>
      <c r="D3218" s="3683"/>
      <c r="E3218" s="3684"/>
      <c r="F3218" s="3685"/>
      <c r="G3218" s="3685"/>
    </row>
    <row r="3220" spans="1:8">
      <c r="A3220" s="3681" t="s">
        <v>0</v>
      </c>
      <c r="B3220" s="3708" t="s">
        <v>1</v>
      </c>
      <c r="C3220" s="3708" t="s">
        <v>2</v>
      </c>
      <c r="D3220" s="3687" t="s">
        <v>3</v>
      </c>
      <c r="E3220" s="3708" t="s">
        <v>4</v>
      </c>
      <c r="F3220" s="3687" t="s">
        <v>1989</v>
      </c>
      <c r="G3220" s="3708" t="s">
        <v>1941</v>
      </c>
    </row>
    <row r="3221" spans="1:8">
      <c r="A3221" s="3544"/>
      <c r="B3221" s="3708"/>
      <c r="C3221" s="3687"/>
      <c r="D3221" s="3670"/>
      <c r="E3221" s="3687"/>
      <c r="F3221" s="3670"/>
      <c r="G3221" s="3687"/>
    </row>
    <row r="3222" spans="1:8">
      <c r="A3222" s="3567" t="s">
        <v>2413</v>
      </c>
      <c r="B3222" s="504" t="s">
        <v>409</v>
      </c>
      <c r="C3222" s="1095" t="s">
        <v>1413</v>
      </c>
      <c r="D3222" s="3527" t="s">
        <v>1860</v>
      </c>
      <c r="E3222" s="1255">
        <v>0.2</v>
      </c>
      <c r="F3222" s="1256">
        <v>1.82</v>
      </c>
      <c r="G3222" s="1257">
        <v>1.46</v>
      </c>
    </row>
    <row r="3223" spans="1:8">
      <c r="A3223" s="3568"/>
      <c r="B3223" s="504" t="s">
        <v>921</v>
      </c>
      <c r="C3223" s="1095" t="s">
        <v>1429</v>
      </c>
      <c r="D3223" s="3527"/>
      <c r="E3223" s="1255">
        <v>0.2</v>
      </c>
      <c r="F3223" s="1256">
        <v>1.82</v>
      </c>
      <c r="G3223" s="1257">
        <v>1.46</v>
      </c>
    </row>
    <row r="3224" spans="1:8">
      <c r="A3224" s="3568"/>
      <c r="B3224" s="504" t="s">
        <v>534</v>
      </c>
      <c r="C3224" s="1243" t="s">
        <v>1058</v>
      </c>
      <c r="D3224" s="3527"/>
      <c r="E3224" s="1255">
        <v>0.2</v>
      </c>
      <c r="F3224" s="1256">
        <v>2.15</v>
      </c>
      <c r="G3224" s="1257">
        <v>1.72</v>
      </c>
    </row>
    <row r="3225" spans="1:8">
      <c r="A3225" s="3680"/>
      <c r="B3225" s="635"/>
      <c r="C3225" s="1216" t="s">
        <v>1892</v>
      </c>
      <c r="D3225" s="3683"/>
      <c r="E3225" s="1255">
        <v>0.2</v>
      </c>
      <c r="F3225" s="1256">
        <v>1.06</v>
      </c>
      <c r="G3225" s="1257">
        <v>0.85</v>
      </c>
    </row>
    <row r="3226" spans="1:8" ht="15.75" thickBot="1"/>
    <row r="3227" spans="1:8">
      <c r="A3227" s="3572" t="s">
        <v>0</v>
      </c>
      <c r="B3227" s="3636" t="s">
        <v>1</v>
      </c>
      <c r="C3227" s="3636" t="s">
        <v>2</v>
      </c>
      <c r="D3227" s="3636" t="s">
        <v>3</v>
      </c>
      <c r="E3227" s="3636" t="s">
        <v>4</v>
      </c>
      <c r="F3227" s="3559" t="s">
        <v>5</v>
      </c>
      <c r="G3227" s="429"/>
    </row>
    <row r="3228" spans="1:8" ht="15.75" thickBot="1">
      <c r="A3228" s="3696"/>
      <c r="B3228" s="3709"/>
      <c r="C3228" s="3709"/>
      <c r="D3228" s="3709"/>
      <c r="E3228" s="3709"/>
      <c r="F3228" s="3712"/>
      <c r="G3228" s="429"/>
    </row>
    <row r="3229" spans="1:8" ht="15.75" thickTop="1">
      <c r="A3229" s="813" t="s">
        <v>2421</v>
      </c>
      <c r="B3229" s="388" t="s">
        <v>120</v>
      </c>
      <c r="C3229" s="1405" t="s">
        <v>2021</v>
      </c>
      <c r="D3229" s="388"/>
      <c r="E3229" s="880">
        <f>(G3229-F3229)/G3229</f>
        <v>0.25161290322580654</v>
      </c>
      <c r="F3229" s="1024">
        <v>1.1599999999999999</v>
      </c>
      <c r="G3229" s="429">
        <v>1.55</v>
      </c>
    </row>
    <row r="3230" spans="1:8">
      <c r="A3230" s="491"/>
      <c r="B3230" s="1281" t="s">
        <v>121</v>
      </c>
      <c r="C3230" s="1405" t="s">
        <v>1975</v>
      </c>
      <c r="D3230" s="388"/>
      <c r="E3230" s="1282">
        <f t="shared" ref="E3230:E3236" si="23">(G3230-F3230)/G3230</f>
        <v>0.20125786163522016</v>
      </c>
      <c r="F3230" s="1024">
        <v>1.27</v>
      </c>
      <c r="G3230" s="429">
        <v>1.59</v>
      </c>
    </row>
    <row r="3231" spans="1:8">
      <c r="A3231" s="491"/>
      <c r="B3231" s="1281" t="s">
        <v>123</v>
      </c>
      <c r="C3231" s="1280" t="s">
        <v>985</v>
      </c>
      <c r="D3231" s="388"/>
      <c r="E3231" s="1282">
        <f t="shared" si="23"/>
        <v>0.14925373134328371</v>
      </c>
      <c r="F3231" s="1024">
        <v>1.1399999999999999</v>
      </c>
      <c r="G3231" s="429">
        <v>1.34</v>
      </c>
      <c r="H3231">
        <v>1.21</v>
      </c>
    </row>
    <row r="3232" spans="1:8">
      <c r="A3232" s="491"/>
      <c r="B3232" s="1281" t="s">
        <v>122</v>
      </c>
      <c r="C3232" s="1405" t="s">
        <v>2422</v>
      </c>
      <c r="D3232" s="388"/>
      <c r="E3232" s="1282">
        <f t="shared" si="23"/>
        <v>0.1666666666666666</v>
      </c>
      <c r="F3232" s="1024">
        <v>0.1</v>
      </c>
      <c r="G3232" s="528">
        <v>0.12</v>
      </c>
    </row>
    <row r="3233" spans="1:8">
      <c r="A3233" s="491"/>
      <c r="B3233" s="1199" t="s">
        <v>2057</v>
      </c>
      <c r="C3233" s="1200" t="s">
        <v>1301</v>
      </c>
      <c r="D3233" s="388"/>
      <c r="E3233" s="1282">
        <f t="shared" si="23"/>
        <v>9.708737864077667E-2</v>
      </c>
      <c r="F3233" s="961">
        <v>0.93</v>
      </c>
      <c r="G3233" s="528">
        <v>1.03</v>
      </c>
      <c r="H3233">
        <v>0.95</v>
      </c>
    </row>
    <row r="3234" spans="1:8">
      <c r="A3234" s="491"/>
      <c r="B3234" s="1199"/>
      <c r="C3234" s="1200" t="s">
        <v>465</v>
      </c>
      <c r="D3234" s="388"/>
      <c r="E3234" s="1282">
        <f t="shared" si="23"/>
        <v>0.14864864864864863</v>
      </c>
      <c r="F3234" s="961">
        <v>1.26</v>
      </c>
      <c r="G3234" s="528">
        <v>1.48</v>
      </c>
      <c r="H3234">
        <v>1.41</v>
      </c>
    </row>
    <row r="3235" spans="1:8">
      <c r="A3235" s="491"/>
      <c r="B3235" s="1199"/>
      <c r="C3235" s="1200"/>
      <c r="D3235" s="388"/>
      <c r="E3235" s="1282" t="e">
        <f t="shared" si="23"/>
        <v>#DIV/0!</v>
      </c>
      <c r="F3235" s="961"/>
      <c r="G3235" s="528"/>
    </row>
    <row r="3236" spans="1:8" ht="15.75" thickBot="1">
      <c r="A3236" s="500"/>
      <c r="B3236" s="1283"/>
      <c r="C3236" s="1284"/>
      <c r="D3236" s="873"/>
      <c r="E3236" s="1282" t="e">
        <f t="shared" si="23"/>
        <v>#DIV/0!</v>
      </c>
      <c r="F3236" s="1285"/>
      <c r="G3236" s="528"/>
    </row>
    <row r="3239" spans="1:8">
      <c r="A3239" s="3681" t="s">
        <v>0</v>
      </c>
      <c r="B3239" s="3708" t="s">
        <v>1</v>
      </c>
      <c r="C3239" s="3708" t="s">
        <v>2</v>
      </c>
      <c r="D3239" s="3687" t="s">
        <v>3</v>
      </c>
      <c r="E3239" s="3708" t="s">
        <v>4</v>
      </c>
      <c r="F3239" s="3687" t="s">
        <v>1989</v>
      </c>
      <c r="G3239" s="3708" t="s">
        <v>1941</v>
      </c>
    </row>
    <row r="3240" spans="1:8">
      <c r="A3240" s="3669"/>
      <c r="B3240" s="3687"/>
      <c r="C3240" s="3687"/>
      <c r="D3240" s="3670"/>
      <c r="E3240" s="3687"/>
      <c r="F3240" s="3670"/>
      <c r="G3240" s="3687"/>
    </row>
    <row r="3241" spans="1:8">
      <c r="A3241" s="3567" t="s">
        <v>2423</v>
      </c>
      <c r="B3241" s="3697" t="s">
        <v>2398</v>
      </c>
      <c r="C3241" s="983" t="s">
        <v>1345</v>
      </c>
      <c r="D3241" s="3697" t="s">
        <v>1860</v>
      </c>
      <c r="E3241" s="3698">
        <v>0.2</v>
      </c>
      <c r="F3241" s="3706">
        <v>1.82</v>
      </c>
      <c r="G3241" s="3706">
        <v>1.46</v>
      </c>
    </row>
    <row r="3242" spans="1:8">
      <c r="A3242" s="3568"/>
      <c r="B3242" s="3527"/>
      <c r="C3242" s="1243" t="s">
        <v>1355</v>
      </c>
      <c r="D3242" s="3527"/>
      <c r="E3242" s="3577"/>
      <c r="F3242" s="3582"/>
      <c r="G3242" s="3582"/>
    </row>
    <row r="3243" spans="1:8">
      <c r="A3243" s="3568"/>
      <c r="B3243" s="3527"/>
      <c r="C3243" s="1095" t="s">
        <v>1413</v>
      </c>
      <c r="D3243" s="3527"/>
      <c r="E3243" s="3577"/>
      <c r="F3243" s="3582"/>
      <c r="G3243" s="3582"/>
    </row>
    <row r="3244" spans="1:8">
      <c r="A3244" s="3568"/>
      <c r="B3244" s="3527"/>
      <c r="C3244" s="1095" t="s">
        <v>1429</v>
      </c>
      <c r="D3244" s="3527"/>
      <c r="E3244" s="3577"/>
      <c r="F3244" s="3685"/>
      <c r="G3244" s="3582"/>
    </row>
    <row r="3245" spans="1:8">
      <c r="A3245" s="3680"/>
      <c r="B3245" s="3683"/>
      <c r="C3245" s="999" t="s">
        <v>1058</v>
      </c>
      <c r="D3245" s="3683"/>
      <c r="E3245" s="3684"/>
      <c r="F3245" s="1286">
        <v>2.14</v>
      </c>
      <c r="G3245" s="1286">
        <v>1.71</v>
      </c>
    </row>
    <row r="3247" spans="1:8">
      <c r="A3247" s="3681" t="s">
        <v>0</v>
      </c>
      <c r="B3247" s="3708" t="s">
        <v>1</v>
      </c>
      <c r="C3247" s="3708" t="s">
        <v>2</v>
      </c>
      <c r="D3247" s="3687" t="s">
        <v>3</v>
      </c>
      <c r="E3247" s="3708" t="s">
        <v>4</v>
      </c>
      <c r="F3247" s="3687" t="s">
        <v>1989</v>
      </c>
      <c r="G3247" s="3708" t="s">
        <v>1941</v>
      </c>
    </row>
    <row r="3248" spans="1:8">
      <c r="A3248" s="3544"/>
      <c r="B3248" s="3708"/>
      <c r="C3248" s="3687"/>
      <c r="D3248" s="3670"/>
      <c r="E3248" s="3687"/>
      <c r="F3248" s="3670"/>
      <c r="G3248" s="3687"/>
    </row>
    <row r="3249" spans="1:7">
      <c r="A3249" s="3567" t="s">
        <v>2437</v>
      </c>
      <c r="B3249" s="504" t="s">
        <v>409</v>
      </c>
      <c r="C3249" s="983" t="s">
        <v>1345</v>
      </c>
      <c r="D3249" s="3527" t="s">
        <v>1860</v>
      </c>
      <c r="E3249" s="1255">
        <v>0.15</v>
      </c>
      <c r="F3249" s="1256">
        <v>1.82</v>
      </c>
      <c r="G3249" s="1257">
        <v>1.55</v>
      </c>
    </row>
    <row r="3250" spans="1:7">
      <c r="A3250" s="3568"/>
      <c r="B3250" s="504" t="s">
        <v>921</v>
      </c>
      <c r="C3250" s="1243" t="s">
        <v>1355</v>
      </c>
      <c r="D3250" s="3527"/>
      <c r="E3250" s="1255">
        <v>0.15</v>
      </c>
      <c r="F3250" s="1256">
        <v>1.82</v>
      </c>
      <c r="G3250" s="1257">
        <v>1.55</v>
      </c>
    </row>
    <row r="3251" spans="1:7">
      <c r="A3251" s="3568"/>
      <c r="B3251" s="504" t="s">
        <v>534</v>
      </c>
      <c r="C3251" s="1291" t="s">
        <v>730</v>
      </c>
      <c r="D3251" s="3527"/>
      <c r="E3251" s="1255">
        <v>0.2</v>
      </c>
      <c r="F3251" s="1256">
        <v>0.86</v>
      </c>
      <c r="G3251" s="1257">
        <v>0.69</v>
      </c>
    </row>
    <row r="3252" spans="1:7">
      <c r="A3252" s="3568"/>
      <c r="B3252" s="504"/>
      <c r="C3252" s="1292" t="s">
        <v>2210</v>
      </c>
      <c r="D3252" s="3527"/>
      <c r="E3252" s="1255">
        <v>0.2</v>
      </c>
      <c r="F3252" s="1256">
        <v>0.86</v>
      </c>
      <c r="G3252" s="1257">
        <v>0.69</v>
      </c>
    </row>
    <row r="3253" spans="1:7">
      <c r="A3253" s="3568"/>
      <c r="B3253" s="504"/>
      <c r="C3253" s="1292" t="s">
        <v>554</v>
      </c>
      <c r="D3253" s="3527"/>
      <c r="E3253" s="1255">
        <v>0.2</v>
      </c>
      <c r="F3253" s="1256">
        <v>1.23</v>
      </c>
      <c r="G3253" s="1257">
        <v>0.98</v>
      </c>
    </row>
    <row r="3254" spans="1:7">
      <c r="A3254" s="3568"/>
      <c r="B3254" s="504"/>
      <c r="C3254" s="1243" t="s">
        <v>905</v>
      </c>
      <c r="D3254" s="3527"/>
      <c r="E3254" s="1255">
        <v>0.2</v>
      </c>
      <c r="F3254" s="1256">
        <v>0.82</v>
      </c>
      <c r="G3254" s="1257">
        <v>0.66</v>
      </c>
    </row>
    <row r="3255" spans="1:7">
      <c r="A3255" s="3680"/>
      <c r="B3255" s="635"/>
      <c r="C3255" s="1243" t="s">
        <v>920</v>
      </c>
      <c r="D3255" s="3683"/>
      <c r="E3255" s="1255">
        <v>0.2</v>
      </c>
      <c r="F3255" s="1256">
        <v>0.83</v>
      </c>
      <c r="G3255" s="1257">
        <v>0.66</v>
      </c>
    </row>
    <row r="3257" spans="1:7">
      <c r="A3257" s="3681" t="s">
        <v>0</v>
      </c>
      <c r="B3257" s="3708" t="s">
        <v>1</v>
      </c>
      <c r="C3257" s="3708" t="s">
        <v>2</v>
      </c>
      <c r="D3257" s="3687" t="s">
        <v>3</v>
      </c>
      <c r="E3257" s="3708" t="s">
        <v>4</v>
      </c>
      <c r="F3257" s="3687" t="s">
        <v>1989</v>
      </c>
      <c r="G3257" s="3708" t="s">
        <v>1941</v>
      </c>
    </row>
    <row r="3258" spans="1:7">
      <c r="A3258" s="3544"/>
      <c r="B3258" s="3708"/>
      <c r="C3258" s="3687"/>
      <c r="D3258" s="3670"/>
      <c r="E3258" s="3687"/>
      <c r="F3258" s="3670"/>
      <c r="G3258" s="3687"/>
    </row>
    <row r="3259" spans="1:7">
      <c r="A3259" s="3567" t="s">
        <v>2445</v>
      </c>
      <c r="B3259" s="504" t="s">
        <v>2398</v>
      </c>
      <c r="C3259" s="983" t="s">
        <v>2115</v>
      </c>
      <c r="D3259" s="3527" t="s">
        <v>1860</v>
      </c>
      <c r="E3259" s="1255">
        <v>0.36</v>
      </c>
      <c r="F3259" s="1256">
        <v>1.6</v>
      </c>
      <c r="G3259" s="1257">
        <v>1.02</v>
      </c>
    </row>
    <row r="3260" spans="1:7">
      <c r="A3260" s="3568"/>
      <c r="B3260" s="504"/>
      <c r="C3260" s="1243" t="s">
        <v>2116</v>
      </c>
      <c r="D3260" s="3527"/>
      <c r="E3260" s="1255">
        <v>0.36</v>
      </c>
      <c r="F3260" s="1256">
        <v>1.6</v>
      </c>
      <c r="G3260" s="1257">
        <v>1.02</v>
      </c>
    </row>
    <row r="3261" spans="1:7">
      <c r="A3261" s="3568"/>
      <c r="B3261" s="504"/>
      <c r="C3261" s="1291" t="s">
        <v>2066</v>
      </c>
      <c r="D3261" s="3527"/>
      <c r="E3261" s="1255">
        <v>0.36</v>
      </c>
      <c r="F3261" s="1256">
        <v>1.6</v>
      </c>
      <c r="G3261" s="1257">
        <v>1.02</v>
      </c>
    </row>
    <row r="3262" spans="1:7">
      <c r="A3262" s="3568"/>
      <c r="B3262" s="504"/>
      <c r="C3262" s="1292"/>
      <c r="D3262" s="3527"/>
      <c r="E3262" s="1255"/>
      <c r="F3262" s="1256"/>
      <c r="G3262" s="1257"/>
    </row>
    <row r="3263" spans="1:7">
      <c r="A3263" s="3568"/>
      <c r="B3263" s="504"/>
      <c r="C3263" s="1292"/>
      <c r="D3263" s="3527"/>
      <c r="E3263" s="1255"/>
      <c r="F3263" s="1256"/>
      <c r="G3263" s="1257"/>
    </row>
    <row r="3264" spans="1:7">
      <c r="A3264" s="3568"/>
      <c r="B3264" s="504"/>
      <c r="C3264" s="1243"/>
      <c r="D3264" s="3527"/>
      <c r="E3264" s="1255"/>
      <c r="F3264" s="1256"/>
      <c r="G3264" s="1257"/>
    </row>
    <row r="3265" spans="1:7">
      <c r="A3265" s="3680"/>
      <c r="B3265" s="635"/>
      <c r="C3265" s="1243"/>
      <c r="D3265" s="3683"/>
      <c r="E3265" s="1255"/>
      <c r="F3265" s="1256"/>
      <c r="G3265" s="1257"/>
    </row>
    <row r="3267" spans="1:7">
      <c r="A3267" s="3681" t="s">
        <v>0</v>
      </c>
      <c r="B3267" s="3687" t="s">
        <v>1</v>
      </c>
      <c r="C3267" s="3687" t="s">
        <v>2</v>
      </c>
      <c r="D3267" s="3687" t="s">
        <v>3</v>
      </c>
      <c r="E3267" s="3687" t="s">
        <v>4</v>
      </c>
      <c r="F3267" s="3687" t="s">
        <v>1989</v>
      </c>
      <c r="G3267" s="3687" t="s">
        <v>1941</v>
      </c>
    </row>
    <row r="3268" spans="1:7">
      <c r="A3268" s="3669"/>
      <c r="B3268" s="3670"/>
      <c r="C3268" s="3833"/>
      <c r="D3268" s="3670"/>
      <c r="E3268" s="3670"/>
      <c r="F3268" s="3670"/>
      <c r="G3268" s="3670"/>
    </row>
    <row r="3269" spans="1:7">
      <c r="A3269" s="3567" t="s">
        <v>2446</v>
      </c>
      <c r="B3269" s="504" t="s">
        <v>2185</v>
      </c>
      <c r="C3269" s="1095" t="s">
        <v>155</v>
      </c>
      <c r="D3269" s="3567" t="s">
        <v>1860</v>
      </c>
      <c r="E3269" s="1305">
        <v>0.2</v>
      </c>
      <c r="F3269" s="1306">
        <v>1.01</v>
      </c>
      <c r="G3269" s="1307">
        <v>0.81</v>
      </c>
    </row>
    <row r="3270" spans="1:7">
      <c r="A3270" s="3568"/>
      <c r="B3270" s="504" t="s">
        <v>2403</v>
      </c>
      <c r="C3270" s="1095" t="s">
        <v>154</v>
      </c>
      <c r="D3270" s="3568"/>
      <c r="E3270" s="1305">
        <v>0.2</v>
      </c>
      <c r="F3270" s="1306">
        <v>0.91</v>
      </c>
      <c r="G3270" s="1307">
        <v>0.73</v>
      </c>
    </row>
    <row r="3271" spans="1:7">
      <c r="A3271" s="3568"/>
      <c r="B3271" s="504" t="s">
        <v>2438</v>
      </c>
      <c r="C3271" s="1291" t="s">
        <v>452</v>
      </c>
      <c r="D3271" s="3568"/>
      <c r="E3271" s="1305">
        <v>0.2</v>
      </c>
      <c r="F3271" s="1306">
        <v>0.94</v>
      </c>
      <c r="G3271" s="1307">
        <v>0.75</v>
      </c>
    </row>
    <row r="3272" spans="1:7">
      <c r="A3272" s="3568"/>
      <c r="B3272" s="504" t="s">
        <v>2447</v>
      </c>
      <c r="C3272" s="1292" t="s">
        <v>183</v>
      </c>
      <c r="D3272" s="3568"/>
      <c r="E3272" s="1305">
        <v>0.2</v>
      </c>
      <c r="F3272" s="1306">
        <v>1.21</v>
      </c>
      <c r="G3272" s="1307">
        <v>0.97</v>
      </c>
    </row>
    <row r="3273" spans="1:7">
      <c r="A3273" s="3568"/>
      <c r="B3273" s="504" t="s">
        <v>2448</v>
      </c>
      <c r="C3273" s="1308"/>
      <c r="D3273" s="3568"/>
      <c r="E3273" s="1305"/>
      <c r="F3273" s="1306"/>
      <c r="G3273" s="1307"/>
    </row>
    <row r="3274" spans="1:7">
      <c r="A3274" s="3568"/>
      <c r="B3274" s="504" t="s">
        <v>2449</v>
      </c>
      <c r="C3274" s="1308"/>
      <c r="D3274" s="3568"/>
      <c r="E3274" s="1305"/>
      <c r="F3274" s="1306"/>
      <c r="G3274" s="1307"/>
    </row>
    <row r="3275" spans="1:7">
      <c r="A3275" s="3568"/>
      <c r="B3275" s="504" t="s">
        <v>2450</v>
      </c>
      <c r="C3275" s="1308"/>
      <c r="D3275" s="3568"/>
      <c r="E3275" s="1305"/>
      <c r="F3275" s="1306"/>
      <c r="G3275" s="1307"/>
    </row>
    <row r="3276" spans="1:7">
      <c r="A3276" s="3680"/>
      <c r="B3276" s="635" t="s">
        <v>2451</v>
      </c>
      <c r="C3276" s="1308"/>
      <c r="D3276" s="3680"/>
      <c r="E3276" s="1305"/>
      <c r="F3276" s="1306"/>
      <c r="G3276" s="1307"/>
    </row>
    <row r="3278" spans="1:7">
      <c r="A3278" s="3681" t="s">
        <v>0</v>
      </c>
      <c r="B3278" s="3708" t="s">
        <v>1</v>
      </c>
      <c r="C3278" s="3708" t="s">
        <v>2</v>
      </c>
      <c r="D3278" s="3687" t="s">
        <v>3</v>
      </c>
      <c r="E3278" s="3708" t="s">
        <v>4</v>
      </c>
      <c r="F3278" s="3687" t="s">
        <v>1989</v>
      </c>
      <c r="G3278" s="3708" t="s">
        <v>1941</v>
      </c>
    </row>
    <row r="3279" spans="1:7">
      <c r="A3279" s="3544"/>
      <c r="B3279" s="3708"/>
      <c r="C3279" s="3687"/>
      <c r="D3279" s="3670"/>
      <c r="E3279" s="3687"/>
      <c r="F3279" s="3670"/>
      <c r="G3279" s="3687"/>
    </row>
    <row r="3280" spans="1:7">
      <c r="A3280" s="3567" t="s">
        <v>2464</v>
      </c>
      <c r="B3280" s="504" t="s">
        <v>409</v>
      </c>
      <c r="C3280" s="1406" t="s">
        <v>2024</v>
      </c>
      <c r="D3280" s="3527" t="s">
        <v>1860</v>
      </c>
      <c r="E3280" s="1255">
        <v>0.25</v>
      </c>
      <c r="F3280" s="1256">
        <v>0.64</v>
      </c>
      <c r="G3280" s="1257">
        <v>0.48</v>
      </c>
    </row>
    <row r="3281" spans="1:7">
      <c r="A3281" s="3568"/>
      <c r="B3281" s="504" t="s">
        <v>921</v>
      </c>
      <c r="C3281" s="1407" t="s">
        <v>1891</v>
      </c>
      <c r="D3281" s="3527"/>
      <c r="E3281" s="1255">
        <v>0.25</v>
      </c>
      <c r="F3281" s="1256">
        <v>1.07</v>
      </c>
      <c r="G3281" s="1257">
        <v>0.8</v>
      </c>
    </row>
    <row r="3282" spans="1:7">
      <c r="A3282" s="3568"/>
      <c r="B3282" s="504" t="s">
        <v>534</v>
      </c>
      <c r="C3282" s="1408" t="s">
        <v>2021</v>
      </c>
      <c r="D3282" s="3527"/>
      <c r="E3282" s="1255">
        <v>0.25</v>
      </c>
      <c r="F3282" s="1256">
        <v>1.57</v>
      </c>
      <c r="G3282" s="1257">
        <v>1.18</v>
      </c>
    </row>
    <row r="3283" spans="1:7" ht="30">
      <c r="A3283" s="3568"/>
      <c r="B3283" s="504"/>
      <c r="C3283" s="1409" t="s">
        <v>2467</v>
      </c>
      <c r="D3283" s="3527"/>
      <c r="E3283" s="1255">
        <v>0.2</v>
      </c>
      <c r="F3283" s="1256">
        <v>0.82</v>
      </c>
      <c r="G3283" s="1257">
        <v>0.66</v>
      </c>
    </row>
    <row r="3284" spans="1:7" ht="30">
      <c r="A3284" s="3568"/>
      <c r="B3284" s="504"/>
      <c r="C3284" s="1409" t="s">
        <v>2465</v>
      </c>
      <c r="D3284" s="3527"/>
      <c r="E3284" s="1255">
        <v>0.2</v>
      </c>
      <c r="F3284" s="1256">
        <v>0.82</v>
      </c>
      <c r="G3284" s="1257">
        <v>0.66</v>
      </c>
    </row>
    <row r="3285" spans="1:7" ht="30">
      <c r="A3285" s="3568"/>
      <c r="B3285" s="504"/>
      <c r="C3285" s="1407" t="s">
        <v>2466</v>
      </c>
      <c r="D3285" s="3527"/>
      <c r="E3285" s="1255">
        <v>0.2</v>
      </c>
      <c r="F3285" s="1256">
        <v>0.82</v>
      </c>
      <c r="G3285" s="1257">
        <v>0.66</v>
      </c>
    </row>
    <row r="3286" spans="1:7">
      <c r="A3286" s="3680"/>
      <c r="B3286" s="635"/>
      <c r="C3286" s="1243"/>
      <c r="D3286" s="3683"/>
      <c r="E3286" s="1255"/>
      <c r="F3286" s="1256"/>
      <c r="G3286" s="1257"/>
    </row>
    <row r="3287" spans="1:7" ht="15.75" thickBot="1"/>
    <row r="3288" spans="1:7">
      <c r="A3288" s="3572" t="s">
        <v>0</v>
      </c>
      <c r="B3288" s="3636" t="s">
        <v>1</v>
      </c>
      <c r="C3288" s="3636" t="s">
        <v>2</v>
      </c>
      <c r="D3288" s="3636" t="s">
        <v>3</v>
      </c>
      <c r="E3288" s="3636" t="s">
        <v>4</v>
      </c>
      <c r="F3288" s="3559" t="s">
        <v>5</v>
      </c>
      <c r="G3288" s="429"/>
    </row>
    <row r="3289" spans="1:7" ht="15.75" thickBot="1">
      <c r="A3289" s="3696"/>
      <c r="B3289" s="3692"/>
      <c r="C3289" s="3692"/>
      <c r="D3289" s="3692"/>
      <c r="E3289" s="3692"/>
      <c r="F3289" s="3705"/>
      <c r="G3289" s="429"/>
    </row>
    <row r="3290" spans="1:7" ht="15.75" thickTop="1">
      <c r="A3290" s="813" t="s">
        <v>2470</v>
      </c>
      <c r="B3290" s="388" t="s">
        <v>120</v>
      </c>
      <c r="C3290" s="1340" t="s">
        <v>2116</v>
      </c>
      <c r="D3290" s="388"/>
      <c r="E3290" s="880">
        <f t="shared" ref="E3290:E3295" si="24">(G3290-F3290)/G3290</f>
        <v>0.20125786163522016</v>
      </c>
      <c r="F3290" s="1341">
        <v>1.27</v>
      </c>
      <c r="G3290" s="429">
        <v>1.59</v>
      </c>
    </row>
    <row r="3291" spans="1:7">
      <c r="A3291" s="491"/>
      <c r="B3291" s="1342" t="s">
        <v>121</v>
      </c>
      <c r="C3291" s="1340" t="s">
        <v>1058</v>
      </c>
      <c r="D3291" s="388"/>
      <c r="E3291" s="1343">
        <f t="shared" si="24"/>
        <v>0.20093457943925239</v>
      </c>
      <c r="F3291" s="1341">
        <v>1.71</v>
      </c>
      <c r="G3291" s="429">
        <v>2.14</v>
      </c>
    </row>
    <row r="3292" spans="1:7">
      <c r="A3292" s="491"/>
      <c r="B3292" s="1342" t="s">
        <v>123</v>
      </c>
      <c r="C3292" s="1340"/>
      <c r="D3292" s="388"/>
      <c r="E3292" s="1343" t="e">
        <f t="shared" si="24"/>
        <v>#DIV/0!</v>
      </c>
      <c r="F3292" s="1341"/>
      <c r="G3292" s="429"/>
    </row>
    <row r="3293" spans="1:7">
      <c r="A3293" s="491"/>
      <c r="B3293" s="1342" t="s">
        <v>122</v>
      </c>
      <c r="C3293" s="1340"/>
      <c r="D3293" s="388"/>
      <c r="E3293" s="1343" t="e">
        <f t="shared" si="24"/>
        <v>#DIV/0!</v>
      </c>
      <c r="F3293" s="1341"/>
      <c r="G3293" s="528"/>
    </row>
    <row r="3294" spans="1:7">
      <c r="A3294" s="491"/>
      <c r="B3294" s="1199" t="s">
        <v>2057</v>
      </c>
      <c r="C3294" s="1200"/>
      <c r="D3294" s="388"/>
      <c r="E3294" s="1343" t="e">
        <f t="shared" si="24"/>
        <v>#DIV/0!</v>
      </c>
      <c r="F3294" s="961"/>
      <c r="G3294" s="528"/>
    </row>
    <row r="3295" spans="1:7" ht="15.75" thickBot="1">
      <c r="A3295" s="500"/>
      <c r="B3295" s="1344"/>
      <c r="C3295" s="1345"/>
      <c r="D3295" s="873"/>
      <c r="E3295" s="1346" t="e">
        <f t="shared" si="24"/>
        <v>#DIV/0!</v>
      </c>
      <c r="F3295" s="1347"/>
      <c r="G3295" s="528"/>
    </row>
    <row r="3296" spans="1:7" ht="15.75" thickBot="1"/>
    <row r="3297" spans="1:7">
      <c r="A3297" s="3572" t="s">
        <v>0</v>
      </c>
      <c r="B3297" s="3636" t="s">
        <v>1</v>
      </c>
      <c r="C3297" s="3636" t="s">
        <v>2</v>
      </c>
      <c r="D3297" s="3636" t="s">
        <v>3</v>
      </c>
      <c r="E3297" s="3636" t="s">
        <v>4</v>
      </c>
      <c r="F3297" s="3559" t="s">
        <v>5</v>
      </c>
      <c r="G3297" s="429"/>
    </row>
    <row r="3298" spans="1:7" ht="15.75" thickBot="1">
      <c r="A3298" s="3696"/>
      <c r="B3298" s="3692"/>
      <c r="C3298" s="3692"/>
      <c r="D3298" s="3692"/>
      <c r="E3298" s="3692"/>
      <c r="F3298" s="3705"/>
      <c r="G3298" s="429"/>
    </row>
    <row r="3299" spans="1:7" ht="15.75" thickTop="1">
      <c r="A3299" s="813" t="s">
        <v>2507</v>
      </c>
      <c r="B3299" s="388" t="s">
        <v>120</v>
      </c>
      <c r="C3299" s="1340" t="s">
        <v>1345</v>
      </c>
      <c r="D3299" s="388"/>
      <c r="E3299" s="880">
        <f t="shared" ref="E3299:E3304" si="25">(G3299-F3299)/G3299</f>
        <v>0.14917127071823205</v>
      </c>
      <c r="F3299" s="1341">
        <v>1.54</v>
      </c>
      <c r="G3299" s="429">
        <v>1.81</v>
      </c>
    </row>
    <row r="3300" spans="1:7">
      <c r="A3300" s="491"/>
      <c r="B3300" s="1342" t="s">
        <v>121</v>
      </c>
      <c r="C3300" s="1340" t="s">
        <v>554</v>
      </c>
      <c r="D3300" s="388"/>
      <c r="E3300" s="1343">
        <f t="shared" si="25"/>
        <v>0.2032520325203252</v>
      </c>
      <c r="F3300" s="1341">
        <v>0.98</v>
      </c>
      <c r="G3300" s="429">
        <v>1.23</v>
      </c>
    </row>
    <row r="3301" spans="1:7">
      <c r="A3301" s="491"/>
      <c r="B3301" s="1342" t="s">
        <v>123</v>
      </c>
      <c r="C3301" s="1340" t="s">
        <v>730</v>
      </c>
      <c r="D3301" s="388"/>
      <c r="E3301" s="1343">
        <f t="shared" si="25"/>
        <v>0.19540229885057475</v>
      </c>
      <c r="F3301" s="1341">
        <v>0.7</v>
      </c>
      <c r="G3301" s="429">
        <v>0.87</v>
      </c>
    </row>
    <row r="3302" spans="1:7">
      <c r="A3302" s="491"/>
      <c r="B3302" s="1342" t="s">
        <v>122</v>
      </c>
      <c r="C3302" s="1407" t="s">
        <v>2387</v>
      </c>
      <c r="D3302" s="388"/>
      <c r="E3302" s="1343">
        <f t="shared" si="25"/>
        <v>0.20114942528735638</v>
      </c>
      <c r="F3302" s="1341">
        <v>1.39</v>
      </c>
      <c r="G3302" s="528">
        <v>1.74</v>
      </c>
    </row>
    <row r="3303" spans="1:7">
      <c r="A3303" s="491"/>
      <c r="B3303" s="1199" t="s">
        <v>2057</v>
      </c>
      <c r="C3303" s="1200"/>
      <c r="D3303" s="388"/>
      <c r="E3303" s="1343" t="e">
        <f t="shared" si="25"/>
        <v>#DIV/0!</v>
      </c>
      <c r="F3303" s="961"/>
      <c r="G3303" s="528"/>
    </row>
    <row r="3304" spans="1:7" ht="15.75" thickBot="1">
      <c r="A3304" s="500"/>
      <c r="B3304" s="1344"/>
      <c r="C3304" s="1345"/>
      <c r="D3304" s="873"/>
      <c r="E3304" s="1346" t="e">
        <f t="shared" si="25"/>
        <v>#DIV/0!</v>
      </c>
      <c r="F3304" s="1347"/>
      <c r="G3304" s="528"/>
    </row>
    <row r="3306" spans="1:7">
      <c r="A3306" s="3681" t="s">
        <v>0</v>
      </c>
      <c r="B3306" s="3694" t="s">
        <v>1</v>
      </c>
      <c r="C3306" s="3694" t="s">
        <v>2</v>
      </c>
      <c r="D3306" s="3687" t="s">
        <v>3</v>
      </c>
      <c r="E3306" s="3694" t="s">
        <v>4</v>
      </c>
      <c r="F3306" s="3687" t="s">
        <v>1989</v>
      </c>
      <c r="G3306" s="3694" t="s">
        <v>1941</v>
      </c>
    </row>
    <row r="3307" spans="1:7">
      <c r="A3307" s="3669"/>
      <c r="B3307" s="3687"/>
      <c r="C3307" s="3687"/>
      <c r="D3307" s="3670"/>
      <c r="E3307" s="3687"/>
      <c r="F3307" s="3670"/>
      <c r="G3307" s="3687"/>
    </row>
    <row r="3308" spans="1:7">
      <c r="A3308" s="3567" t="s">
        <v>2511</v>
      </c>
      <c r="B3308" s="3697" t="s">
        <v>2512</v>
      </c>
      <c r="C3308" s="1308" t="s">
        <v>730</v>
      </c>
      <c r="D3308" s="3697" t="s">
        <v>1860</v>
      </c>
      <c r="E3308" s="3698">
        <v>0.2</v>
      </c>
      <c r="F3308" s="1306">
        <v>0.93</v>
      </c>
      <c r="G3308" s="1306">
        <v>0.74</v>
      </c>
    </row>
    <row r="3309" spans="1:7">
      <c r="A3309" s="3568"/>
      <c r="B3309" s="3527"/>
      <c r="C3309" s="1308" t="s">
        <v>554</v>
      </c>
      <c r="D3309" s="3527"/>
      <c r="E3309" s="3577"/>
      <c r="F3309" s="1306">
        <v>1.34</v>
      </c>
      <c r="G3309" s="1306">
        <v>1.07</v>
      </c>
    </row>
    <row r="3310" spans="1:7">
      <c r="A3310" s="3680"/>
      <c r="B3310" s="3683"/>
      <c r="C3310" s="1308" t="s">
        <v>2210</v>
      </c>
      <c r="D3310" s="3683"/>
      <c r="E3310" s="3684"/>
      <c r="F3310" s="1306">
        <v>0.93</v>
      </c>
      <c r="G3310" s="1306">
        <v>0.74</v>
      </c>
    </row>
    <row r="3313" spans="1:7">
      <c r="A3313" s="3681" t="s">
        <v>0</v>
      </c>
      <c r="B3313" s="3694" t="s">
        <v>1</v>
      </c>
      <c r="C3313" s="3694" t="s">
        <v>2</v>
      </c>
      <c r="D3313" s="3687" t="s">
        <v>3</v>
      </c>
      <c r="E3313" s="3694" t="s">
        <v>4</v>
      </c>
      <c r="F3313" s="3687" t="s">
        <v>1989</v>
      </c>
      <c r="G3313" s="3694" t="s">
        <v>1941</v>
      </c>
    </row>
    <row r="3314" spans="1:7">
      <c r="A3314" s="3544"/>
      <c r="B3314" s="3694"/>
      <c r="C3314" s="3687"/>
      <c r="D3314" s="3670"/>
      <c r="E3314" s="3687"/>
      <c r="F3314" s="3670"/>
      <c r="G3314" s="3687"/>
    </row>
    <row r="3315" spans="1:7">
      <c r="A3315" s="3567" t="s">
        <v>2520</v>
      </c>
      <c r="B3315" s="504" t="s">
        <v>409</v>
      </c>
      <c r="C3315" s="1095" t="s">
        <v>2115</v>
      </c>
      <c r="D3315" s="3527" t="s">
        <v>1860</v>
      </c>
      <c r="E3315" s="1305">
        <v>0.2</v>
      </c>
      <c r="F3315" s="1306">
        <v>1.6</v>
      </c>
      <c r="G3315" s="1307">
        <v>1.28</v>
      </c>
    </row>
    <row r="3316" spans="1:7">
      <c r="A3316" s="3568"/>
      <c r="B3316" s="504" t="s">
        <v>921</v>
      </c>
      <c r="C3316" s="1095" t="s">
        <v>2116</v>
      </c>
      <c r="D3316" s="3527"/>
      <c r="E3316" s="1305">
        <v>0.2</v>
      </c>
      <c r="F3316" s="1306">
        <v>1.6</v>
      </c>
      <c r="G3316" s="1307">
        <v>1.28</v>
      </c>
    </row>
    <row r="3317" spans="1:7">
      <c r="A3317" s="3568"/>
      <c r="B3317" s="504" t="s">
        <v>534</v>
      </c>
      <c r="C3317" s="1291" t="s">
        <v>2066</v>
      </c>
      <c r="D3317" s="3527"/>
      <c r="E3317" s="1305">
        <v>0.2</v>
      </c>
      <c r="F3317" s="1306">
        <v>1.6</v>
      </c>
      <c r="G3317" s="1307">
        <v>1.28</v>
      </c>
    </row>
    <row r="3318" spans="1:7">
      <c r="A3318" s="3568"/>
      <c r="B3318" s="504"/>
      <c r="C3318" s="888" t="s">
        <v>730</v>
      </c>
      <c r="D3318" s="3527"/>
      <c r="E3318" s="1305">
        <v>0.2</v>
      </c>
      <c r="F3318" s="1306">
        <v>0.86</v>
      </c>
      <c r="G3318" s="1307">
        <v>0.69</v>
      </c>
    </row>
    <row r="3319" spans="1:7">
      <c r="A3319" s="3568"/>
      <c r="B3319" s="504"/>
      <c r="C3319" s="888" t="s">
        <v>2210</v>
      </c>
      <c r="D3319" s="3527"/>
      <c r="E3319" s="1305">
        <v>0.2</v>
      </c>
      <c r="F3319" s="1306">
        <v>0.86</v>
      </c>
      <c r="G3319" s="1307">
        <v>0.69</v>
      </c>
    </row>
    <row r="3320" spans="1:7">
      <c r="A3320" s="3568"/>
      <c r="B3320" s="504"/>
      <c r="C3320" s="1308" t="s">
        <v>554</v>
      </c>
      <c r="D3320" s="3527"/>
      <c r="E3320" s="1305">
        <v>0.2</v>
      </c>
      <c r="F3320" s="1306">
        <v>1.23</v>
      </c>
      <c r="G3320" s="1307">
        <v>0.98</v>
      </c>
    </row>
    <row r="3321" spans="1:7">
      <c r="A3321" s="3680"/>
      <c r="B3321" s="635"/>
      <c r="C3321" s="1469" t="s">
        <v>1891</v>
      </c>
      <c r="D3321" s="3683"/>
      <c r="E3321" s="1305">
        <v>0.2</v>
      </c>
      <c r="F3321" s="1306">
        <v>1.07</v>
      </c>
      <c r="G3321" s="1307">
        <v>0.86</v>
      </c>
    </row>
    <row r="3323" spans="1:7">
      <c r="A3323" s="3681" t="s">
        <v>0</v>
      </c>
      <c r="B3323" s="3694" t="s">
        <v>1</v>
      </c>
      <c r="C3323" s="3694" t="s">
        <v>2</v>
      </c>
      <c r="D3323" s="3687" t="s">
        <v>3</v>
      </c>
      <c r="E3323" s="3694" t="s">
        <v>4</v>
      </c>
      <c r="F3323" s="3687" t="s">
        <v>1989</v>
      </c>
      <c r="G3323" s="3694" t="s">
        <v>1941</v>
      </c>
    </row>
    <row r="3324" spans="1:7">
      <c r="A3324" s="3669"/>
      <c r="B3324" s="3687"/>
      <c r="C3324" s="3687"/>
      <c r="D3324" s="3670"/>
      <c r="E3324" s="3687"/>
      <c r="F3324" s="3670"/>
      <c r="G3324" s="3687"/>
    </row>
    <row r="3325" spans="1:7">
      <c r="A3325" s="3567" t="s">
        <v>2521</v>
      </c>
      <c r="B3325" s="3697" t="s">
        <v>2512</v>
      </c>
      <c r="C3325" s="1308" t="s">
        <v>2115</v>
      </c>
      <c r="D3325" s="3697" t="s">
        <v>1860</v>
      </c>
      <c r="E3325" s="3698">
        <v>0.35</v>
      </c>
      <c r="F3325" s="1306">
        <v>1.6</v>
      </c>
      <c r="G3325" s="1306">
        <v>1.04</v>
      </c>
    </row>
    <row r="3326" spans="1:7">
      <c r="A3326" s="3568"/>
      <c r="B3326" s="3527"/>
      <c r="C3326" s="1308" t="s">
        <v>2116</v>
      </c>
      <c r="D3326" s="3527"/>
      <c r="E3326" s="3577"/>
      <c r="F3326" s="1306">
        <v>1.6</v>
      </c>
      <c r="G3326" s="1306">
        <v>1.04</v>
      </c>
    </row>
    <row r="3327" spans="1:7">
      <c r="A3327" s="3680"/>
      <c r="B3327" s="3683"/>
      <c r="C3327" s="1308" t="s">
        <v>2066</v>
      </c>
      <c r="D3327" s="3683"/>
      <c r="E3327" s="3684"/>
      <c r="F3327" s="1306">
        <v>1.6</v>
      </c>
      <c r="G3327" s="1306">
        <v>1.04</v>
      </c>
    </row>
    <row r="3328" spans="1:7" ht="15.75" thickBot="1"/>
    <row r="3329" spans="1:7">
      <c r="A3329" s="3572" t="s">
        <v>0</v>
      </c>
      <c r="B3329" s="3636" t="s">
        <v>1</v>
      </c>
      <c r="C3329" s="3636" t="s">
        <v>2</v>
      </c>
      <c r="D3329" s="3636" t="s">
        <v>3</v>
      </c>
      <c r="E3329" s="3636" t="s">
        <v>4</v>
      </c>
      <c r="F3329" s="3559" t="s">
        <v>5</v>
      </c>
      <c r="G3329" s="429"/>
    </row>
    <row r="3330" spans="1:7" ht="15.75" thickBot="1">
      <c r="A3330" s="3696"/>
      <c r="B3330" s="3692"/>
      <c r="C3330" s="3692"/>
      <c r="D3330" s="3692"/>
      <c r="E3330" s="3692"/>
      <c r="F3330" s="3705"/>
      <c r="G3330" s="429"/>
    </row>
    <row r="3331" spans="1:7" ht="15.75" thickTop="1">
      <c r="A3331" s="813" t="s">
        <v>2527</v>
      </c>
      <c r="B3331" s="388" t="s">
        <v>120</v>
      </c>
      <c r="C3331" s="1465" t="s">
        <v>2021</v>
      </c>
      <c r="D3331" s="388"/>
      <c r="E3331" s="880">
        <f t="shared" ref="E3331:E3336" si="26">(G3331-F3331)/G3331</f>
        <v>0.20000000000000004</v>
      </c>
      <c r="F3331" s="1341">
        <v>1.24</v>
      </c>
      <c r="G3331" s="429">
        <v>1.55</v>
      </c>
    </row>
    <row r="3332" spans="1:7">
      <c r="A3332" s="491"/>
      <c r="B3332" s="1342" t="s">
        <v>121</v>
      </c>
      <c r="C3332" s="1465" t="s">
        <v>1975</v>
      </c>
      <c r="D3332" s="388"/>
      <c r="E3332" s="1343">
        <f t="shared" si="26"/>
        <v>0.20125786163522016</v>
      </c>
      <c r="F3332" s="1341">
        <v>1.27</v>
      </c>
      <c r="G3332" s="429">
        <v>1.59</v>
      </c>
    </row>
    <row r="3333" spans="1:7">
      <c r="A3333" s="491"/>
      <c r="B3333" s="1342" t="s">
        <v>123</v>
      </c>
      <c r="C3333" s="1340" t="s">
        <v>2066</v>
      </c>
      <c r="D3333" s="388"/>
      <c r="E3333" s="1343">
        <f t="shared" si="26"/>
        <v>0.20125786163522016</v>
      </c>
      <c r="F3333" s="1341">
        <v>1.27</v>
      </c>
      <c r="G3333" s="429">
        <v>1.59</v>
      </c>
    </row>
    <row r="3334" spans="1:7">
      <c r="A3334" s="491"/>
      <c r="B3334" s="1342" t="s">
        <v>122</v>
      </c>
      <c r="C3334" s="1340" t="s">
        <v>1429</v>
      </c>
      <c r="D3334" s="388"/>
      <c r="E3334" s="1343">
        <f t="shared" si="26"/>
        <v>0.19889502762430944</v>
      </c>
      <c r="F3334" s="1341">
        <v>1.45</v>
      </c>
      <c r="G3334" s="528">
        <v>1.81</v>
      </c>
    </row>
    <row r="3335" spans="1:7">
      <c r="A3335" s="491"/>
      <c r="B3335" s="1199" t="s">
        <v>2057</v>
      </c>
      <c r="C3335" s="1200" t="s">
        <v>387</v>
      </c>
      <c r="D3335" s="388"/>
      <c r="E3335" s="1343">
        <f t="shared" si="26"/>
        <v>0.1538461538461538</v>
      </c>
      <c r="F3335" s="961">
        <v>0.99</v>
      </c>
      <c r="G3335" s="528">
        <v>1.17</v>
      </c>
    </row>
    <row r="3336" spans="1:7" ht="15.75" thickBot="1">
      <c r="A3336" s="500"/>
      <c r="B3336" s="1344"/>
      <c r="C3336" s="1345"/>
      <c r="D3336" s="873"/>
      <c r="E3336" s="1346" t="e">
        <f t="shared" si="26"/>
        <v>#DIV/0!</v>
      </c>
      <c r="F3336" s="1347"/>
      <c r="G3336" s="528"/>
    </row>
    <row r="3338" spans="1:7">
      <c r="A3338" s="3681" t="s">
        <v>0</v>
      </c>
      <c r="B3338" s="3694" t="s">
        <v>1</v>
      </c>
      <c r="C3338" s="3694" t="s">
        <v>2</v>
      </c>
      <c r="D3338" s="3687" t="s">
        <v>3</v>
      </c>
      <c r="E3338" s="3694" t="s">
        <v>4</v>
      </c>
      <c r="F3338" s="3687" t="s">
        <v>1989</v>
      </c>
      <c r="G3338" s="3694" t="s">
        <v>1941</v>
      </c>
    </row>
    <row r="3339" spans="1:7">
      <c r="A3339" s="3669"/>
      <c r="B3339" s="3687"/>
      <c r="C3339" s="3687"/>
      <c r="D3339" s="3670"/>
      <c r="E3339" s="3687"/>
      <c r="F3339" s="3670"/>
      <c r="G3339" s="3687"/>
    </row>
    <row r="3340" spans="1:7">
      <c r="A3340" s="3567" t="s">
        <v>2532</v>
      </c>
      <c r="B3340" s="3697" t="s">
        <v>2512</v>
      </c>
      <c r="C3340" s="1340" t="s">
        <v>1058</v>
      </c>
      <c r="D3340" s="3697" t="s">
        <v>1860</v>
      </c>
      <c r="E3340" s="3698">
        <v>0.2</v>
      </c>
      <c r="F3340" s="1306">
        <v>2.14</v>
      </c>
      <c r="G3340" s="1306">
        <v>1.71</v>
      </c>
    </row>
    <row r="3341" spans="1:7">
      <c r="A3341" s="3568"/>
      <c r="B3341" s="3527"/>
      <c r="C3341" s="1308"/>
      <c r="D3341" s="3527"/>
      <c r="E3341" s="3577"/>
      <c r="F3341" s="1306"/>
      <c r="G3341" s="1306"/>
    </row>
    <row r="3342" spans="1:7">
      <c r="A3342" s="3680"/>
      <c r="B3342" s="3683"/>
      <c r="C3342" s="1308"/>
      <c r="D3342" s="3683"/>
      <c r="E3342" s="3684"/>
      <c r="F3342" s="1306"/>
      <c r="G3342" s="1306"/>
    </row>
    <row r="3345" spans="1:7">
      <c r="A3345" s="3681" t="s">
        <v>0</v>
      </c>
      <c r="B3345" s="3686" t="s">
        <v>1</v>
      </c>
      <c r="C3345" s="3686" t="s">
        <v>2</v>
      </c>
      <c r="D3345" s="3687" t="s">
        <v>3</v>
      </c>
      <c r="E3345" s="3686" t="s">
        <v>4</v>
      </c>
      <c r="F3345" s="3687" t="s">
        <v>1989</v>
      </c>
      <c r="G3345" s="3686" t="s">
        <v>1941</v>
      </c>
    </row>
    <row r="3346" spans="1:7">
      <c r="A3346" s="3544"/>
      <c r="B3346" s="3686"/>
      <c r="C3346" s="3687"/>
      <c r="D3346" s="3670"/>
      <c r="E3346" s="3687"/>
      <c r="F3346" s="3670"/>
      <c r="G3346" s="3687"/>
    </row>
    <row r="3347" spans="1:7">
      <c r="A3347" s="3567" t="s">
        <v>2538</v>
      </c>
      <c r="B3347" s="504" t="s">
        <v>409</v>
      </c>
      <c r="C3347" s="1470" t="s">
        <v>1904</v>
      </c>
      <c r="D3347" s="3527" t="s">
        <v>1860</v>
      </c>
      <c r="E3347" s="1000">
        <v>0.2</v>
      </c>
      <c r="F3347" s="1126">
        <v>1.55</v>
      </c>
      <c r="G3347" s="1127">
        <v>1.24</v>
      </c>
    </row>
    <row r="3348" spans="1:7">
      <c r="A3348" s="3568"/>
      <c r="B3348" s="504" t="s">
        <v>921</v>
      </c>
      <c r="C3348" s="1471" t="s">
        <v>2024</v>
      </c>
      <c r="D3348" s="3527"/>
      <c r="E3348" s="1000">
        <v>0.2</v>
      </c>
      <c r="F3348" s="1126">
        <v>0.64</v>
      </c>
      <c r="G3348" s="1127">
        <v>0.51</v>
      </c>
    </row>
    <row r="3349" spans="1:7">
      <c r="A3349" s="3568"/>
      <c r="B3349" s="504" t="s">
        <v>534</v>
      </c>
      <c r="C3349" s="1472" t="s">
        <v>2386</v>
      </c>
      <c r="D3349" s="3527"/>
      <c r="E3349" s="1000">
        <v>0.2</v>
      </c>
      <c r="F3349" s="1126">
        <v>0.16</v>
      </c>
      <c r="G3349" s="1127">
        <v>0.13</v>
      </c>
    </row>
    <row r="3350" spans="1:7">
      <c r="A3350" s="3568"/>
      <c r="B3350" s="504"/>
      <c r="C3350" s="1292" t="s">
        <v>517</v>
      </c>
      <c r="D3350" s="3527"/>
      <c r="E3350" s="1000">
        <v>0.15</v>
      </c>
      <c r="F3350" s="1126">
        <v>1.27</v>
      </c>
      <c r="G3350" s="1127">
        <v>1.08</v>
      </c>
    </row>
    <row r="3351" spans="1:7">
      <c r="A3351" s="3568"/>
      <c r="B3351" s="504"/>
      <c r="C3351" s="1128" t="s">
        <v>905</v>
      </c>
      <c r="D3351" s="3527"/>
      <c r="E3351" s="1000">
        <v>0.2</v>
      </c>
      <c r="F3351" s="1126">
        <v>0.83</v>
      </c>
      <c r="G3351" s="1127">
        <v>0.66</v>
      </c>
    </row>
    <row r="3352" spans="1:7">
      <c r="A3352" s="3680"/>
      <c r="B3352" s="635"/>
      <c r="C3352" s="1128"/>
      <c r="D3352" s="3683"/>
      <c r="E3352" s="1000"/>
      <c r="F3352" s="1126"/>
      <c r="G3352" s="1127"/>
    </row>
    <row r="3356" spans="1:7" ht="15" customHeight="1">
      <c r="A3356" s="3681" t="s">
        <v>0</v>
      </c>
      <c r="B3356" s="3694" t="s">
        <v>1</v>
      </c>
      <c r="C3356" s="3694" t="s">
        <v>2</v>
      </c>
      <c r="D3356" s="3702" t="s">
        <v>3</v>
      </c>
      <c r="E3356" s="3694" t="s">
        <v>4</v>
      </c>
      <c r="F3356" s="3702" t="s">
        <v>1989</v>
      </c>
      <c r="G3356" s="3694" t="s">
        <v>1941</v>
      </c>
    </row>
    <row r="3357" spans="1:7" ht="15" customHeight="1">
      <c r="A3357" s="3544"/>
      <c r="B3357" s="3694"/>
      <c r="C3357" s="3702"/>
      <c r="D3357" s="3670"/>
      <c r="E3357" s="3702"/>
      <c r="F3357" s="3670"/>
      <c r="G3357" s="3702"/>
    </row>
    <row r="3358" spans="1:7">
      <c r="A3358" s="3567" t="s">
        <v>2571</v>
      </c>
      <c r="B3358" s="504" t="s">
        <v>409</v>
      </c>
      <c r="C3358" s="1095" t="s">
        <v>1345</v>
      </c>
      <c r="D3358" s="3527" t="s">
        <v>1860</v>
      </c>
      <c r="E3358" s="1305">
        <v>0.17</v>
      </c>
      <c r="F3358" s="1306">
        <v>1.82</v>
      </c>
      <c r="G3358" s="1307">
        <v>1.51</v>
      </c>
    </row>
    <row r="3359" spans="1:7">
      <c r="A3359" s="3568"/>
      <c r="B3359" s="504" t="s">
        <v>921</v>
      </c>
      <c r="C3359" s="1095" t="s">
        <v>1355</v>
      </c>
      <c r="D3359" s="3527"/>
      <c r="E3359" s="1305">
        <v>0.17</v>
      </c>
      <c r="F3359" s="1306">
        <v>1.82</v>
      </c>
      <c r="G3359" s="1307">
        <v>1.51</v>
      </c>
    </row>
    <row r="3360" spans="1:7">
      <c r="A3360" s="3568"/>
      <c r="B3360" s="504" t="s">
        <v>534</v>
      </c>
      <c r="C3360" s="1291" t="s">
        <v>1413</v>
      </c>
      <c r="D3360" s="3527"/>
      <c r="E3360" s="1305">
        <v>0.17</v>
      </c>
      <c r="F3360" s="1306">
        <v>1.82</v>
      </c>
      <c r="G3360" s="1307">
        <v>1.51</v>
      </c>
    </row>
    <row r="3361" spans="1:7">
      <c r="A3361" s="3568"/>
      <c r="B3361" s="504"/>
      <c r="C3361" s="1292" t="s">
        <v>1429</v>
      </c>
      <c r="D3361" s="3527"/>
      <c r="E3361" s="1305">
        <v>0.17</v>
      </c>
      <c r="F3361" s="1306">
        <v>1.82</v>
      </c>
      <c r="G3361" s="1307">
        <v>1.51</v>
      </c>
    </row>
    <row r="3362" spans="1:7">
      <c r="A3362" s="3568"/>
      <c r="B3362" s="504"/>
      <c r="C3362" s="1469" t="s">
        <v>1892</v>
      </c>
      <c r="D3362" s="3527"/>
      <c r="E3362" s="1305">
        <v>0.2</v>
      </c>
      <c r="F3362" s="1306">
        <v>1.06</v>
      </c>
      <c r="G3362" s="1307">
        <v>0.85</v>
      </c>
    </row>
    <row r="3363" spans="1:7">
      <c r="A3363" s="3680"/>
      <c r="B3363" s="635"/>
      <c r="C3363" s="1308"/>
      <c r="D3363" s="3683"/>
      <c r="E3363" s="1305"/>
      <c r="F3363" s="1306"/>
      <c r="G3363" s="1307"/>
    </row>
    <row r="3364" spans="1:7" ht="15.75" thickBot="1"/>
    <row r="3365" spans="1:7">
      <c r="A3365" s="3572" t="s">
        <v>0</v>
      </c>
      <c r="B3365" s="3636" t="s">
        <v>1</v>
      </c>
      <c r="C3365" s="3636" t="s">
        <v>2</v>
      </c>
      <c r="D3365" s="3636" t="s">
        <v>3</v>
      </c>
      <c r="E3365" s="3636" t="s">
        <v>4</v>
      </c>
      <c r="F3365" s="3559" t="s">
        <v>5</v>
      </c>
      <c r="G3365" s="429"/>
    </row>
    <row r="3366" spans="1:7" ht="15.75" thickBot="1">
      <c r="A3366" s="3696"/>
      <c r="B3366" s="3692"/>
      <c r="C3366" s="3692"/>
      <c r="D3366" s="3692"/>
      <c r="E3366" s="3692"/>
      <c r="F3366" s="3705"/>
      <c r="G3366" s="429"/>
    </row>
    <row r="3367" spans="1:7" ht="15.75" thickTop="1">
      <c r="A3367" s="813" t="s">
        <v>2570</v>
      </c>
      <c r="B3367" s="388" t="s">
        <v>120</v>
      </c>
      <c r="C3367" s="1340" t="s">
        <v>53</v>
      </c>
      <c r="D3367" s="388"/>
      <c r="E3367" s="880">
        <f t="shared" ref="E3367:E3372" si="27">(G3367-F3367)/G3367</f>
        <v>9.9999999999999978E-2</v>
      </c>
      <c r="F3367" s="1341">
        <v>0.9</v>
      </c>
      <c r="G3367" s="436">
        <v>1</v>
      </c>
    </row>
    <row r="3368" spans="1:7">
      <c r="A3368" s="491"/>
      <c r="B3368" s="1342" t="s">
        <v>121</v>
      </c>
      <c r="C3368" s="1340" t="s">
        <v>905</v>
      </c>
      <c r="D3368" s="388"/>
      <c r="E3368" s="1343">
        <f t="shared" si="27"/>
        <v>0.19753086419753088</v>
      </c>
      <c r="F3368" s="1341">
        <v>0.65</v>
      </c>
      <c r="G3368" s="429">
        <v>0.81</v>
      </c>
    </row>
    <row r="3369" spans="1:7">
      <c r="A3369" s="491"/>
      <c r="B3369" s="1342" t="s">
        <v>123</v>
      </c>
      <c r="C3369" s="1340" t="s">
        <v>1301</v>
      </c>
      <c r="D3369" s="388"/>
      <c r="E3369" s="1343">
        <f t="shared" si="27"/>
        <v>0.14563106796116507</v>
      </c>
      <c r="F3369" s="1341">
        <v>0.88</v>
      </c>
      <c r="G3369" s="429">
        <v>1.03</v>
      </c>
    </row>
    <row r="3370" spans="1:7">
      <c r="A3370" s="491"/>
      <c r="B3370" s="1342" t="s">
        <v>122</v>
      </c>
      <c r="C3370" s="1340" t="s">
        <v>1891</v>
      </c>
      <c r="D3370" s="388"/>
      <c r="E3370" s="1343">
        <f t="shared" si="27"/>
        <v>0.19811320754716988</v>
      </c>
      <c r="F3370" s="1341">
        <v>0.85</v>
      </c>
      <c r="G3370" s="528">
        <v>1.06</v>
      </c>
    </row>
    <row r="3371" spans="1:7">
      <c r="A3371" s="491"/>
      <c r="B3371" s="1199" t="s">
        <v>2057</v>
      </c>
      <c r="C3371" s="1200"/>
      <c r="D3371" s="388"/>
      <c r="E3371" s="1343" t="e">
        <f t="shared" si="27"/>
        <v>#DIV/0!</v>
      </c>
      <c r="F3371" s="961"/>
      <c r="G3371" s="528"/>
    </row>
    <row r="3372" spans="1:7" ht="15.75" thickBot="1">
      <c r="A3372" s="500"/>
      <c r="B3372" s="1344"/>
      <c r="C3372" s="1345"/>
      <c r="D3372" s="873"/>
      <c r="E3372" s="1346" t="e">
        <f t="shared" si="27"/>
        <v>#DIV/0!</v>
      </c>
      <c r="F3372" s="1347"/>
      <c r="G3372" s="528"/>
    </row>
    <row r="3376" spans="1:7">
      <c r="A3376" s="3682" t="s">
        <v>0</v>
      </c>
      <c r="B3376" s="3694" t="s">
        <v>1</v>
      </c>
      <c r="C3376" s="3694" t="s">
        <v>2</v>
      </c>
      <c r="D3376" s="3678" t="s">
        <v>3</v>
      </c>
      <c r="E3376" s="3694" t="s">
        <v>4</v>
      </c>
      <c r="F3376" s="3678" t="s">
        <v>1989</v>
      </c>
      <c r="G3376" s="3694" t="s">
        <v>1941</v>
      </c>
    </row>
    <row r="3377" spans="1:7">
      <c r="A3377" s="3669"/>
      <c r="B3377" s="3678"/>
      <c r="C3377" s="3678"/>
      <c r="D3377" s="3670"/>
      <c r="E3377" s="3678"/>
      <c r="F3377" s="3670"/>
      <c r="G3377" s="3678"/>
    </row>
    <row r="3378" spans="1:7">
      <c r="A3378" s="3679" t="s">
        <v>2572</v>
      </c>
      <c r="B3378" s="3690" t="s">
        <v>2512</v>
      </c>
      <c r="C3378" s="1308" t="s">
        <v>2192</v>
      </c>
      <c r="D3378" s="3690" t="s">
        <v>1860</v>
      </c>
      <c r="E3378" s="3691">
        <v>0.2</v>
      </c>
      <c r="F3378" s="1306">
        <v>7.29</v>
      </c>
      <c r="G3378" s="1306">
        <v>5.83</v>
      </c>
    </row>
    <row r="3379" spans="1:7">
      <c r="A3379" s="3568"/>
      <c r="B3379" s="3527"/>
      <c r="C3379" s="1308" t="s">
        <v>2194</v>
      </c>
      <c r="D3379" s="3527"/>
      <c r="E3379" s="3577"/>
      <c r="F3379" s="1306">
        <v>7.29</v>
      </c>
      <c r="G3379" s="1306">
        <v>5.83</v>
      </c>
    </row>
    <row r="3380" spans="1:7">
      <c r="A3380" s="3568"/>
      <c r="B3380" s="3527"/>
      <c r="C3380" s="1308" t="s">
        <v>1660</v>
      </c>
      <c r="D3380" s="3527"/>
      <c r="E3380" s="3577"/>
      <c r="F3380" s="1306">
        <v>7.29</v>
      </c>
      <c r="G3380" s="1306">
        <v>5.83</v>
      </c>
    </row>
    <row r="3381" spans="1:7">
      <c r="A3381" s="3680"/>
      <c r="B3381" s="3683"/>
      <c r="C3381" s="1308" t="s">
        <v>1661</v>
      </c>
      <c r="D3381" s="3683"/>
      <c r="E3381" s="3684"/>
      <c r="F3381" s="1306">
        <v>7.29</v>
      </c>
      <c r="G3381" s="1306">
        <v>5.83</v>
      </c>
    </row>
    <row r="3385" spans="1:7">
      <c r="A3385" s="3681" t="s">
        <v>0</v>
      </c>
      <c r="B3385" s="3694" t="s">
        <v>1</v>
      </c>
      <c r="C3385" s="3694" t="s">
        <v>2</v>
      </c>
      <c r="D3385" s="3702" t="s">
        <v>3</v>
      </c>
      <c r="E3385" s="3694" t="s">
        <v>4</v>
      </c>
      <c r="F3385" s="3702" t="s">
        <v>1989</v>
      </c>
      <c r="G3385" s="3694" t="s">
        <v>1941</v>
      </c>
    </row>
    <row r="3386" spans="1:7">
      <c r="A3386" s="3669"/>
      <c r="B3386" s="3702"/>
      <c r="C3386" s="3702"/>
      <c r="D3386" s="3670"/>
      <c r="E3386" s="3702"/>
      <c r="F3386" s="3670"/>
      <c r="G3386" s="3702"/>
    </row>
    <row r="3387" spans="1:7">
      <c r="A3387" s="3567" t="s">
        <v>2589</v>
      </c>
      <c r="B3387" s="3700" t="s">
        <v>2512</v>
      </c>
      <c r="C3387" s="1308" t="s">
        <v>2115</v>
      </c>
      <c r="D3387" s="3700" t="s">
        <v>1860</v>
      </c>
      <c r="E3387" s="3701">
        <v>0.2</v>
      </c>
      <c r="F3387" s="1306">
        <v>1.6</v>
      </c>
      <c r="G3387" s="1306">
        <v>1.28</v>
      </c>
    </row>
    <row r="3388" spans="1:7">
      <c r="A3388" s="3568"/>
      <c r="B3388" s="3527"/>
      <c r="C3388" s="1308" t="s">
        <v>2116</v>
      </c>
      <c r="D3388" s="3527"/>
      <c r="E3388" s="3577"/>
      <c r="F3388" s="1306">
        <v>1.6</v>
      </c>
      <c r="G3388" s="1306">
        <v>1.28</v>
      </c>
    </row>
    <row r="3389" spans="1:7">
      <c r="A3389" s="3680"/>
      <c r="B3389" s="3683"/>
      <c r="C3389" s="1308" t="s">
        <v>2066</v>
      </c>
      <c r="D3389" s="3683"/>
      <c r="E3389" s="3684"/>
      <c r="F3389" s="1306">
        <v>1.6</v>
      </c>
      <c r="G3389" s="1306">
        <v>1.28</v>
      </c>
    </row>
    <row r="3391" spans="1:7" ht="15.75" thickBot="1"/>
    <row r="3392" spans="1:7">
      <c r="A3392" s="3572" t="s">
        <v>0</v>
      </c>
      <c r="B3392" s="3636" t="s">
        <v>1</v>
      </c>
      <c r="C3392" s="3636" t="s">
        <v>2</v>
      </c>
      <c r="D3392" s="3636" t="s">
        <v>3</v>
      </c>
      <c r="E3392" s="3636" t="s">
        <v>4</v>
      </c>
      <c r="F3392" s="3559" t="s">
        <v>5</v>
      </c>
      <c r="G3392" s="429"/>
    </row>
    <row r="3393" spans="1:8" ht="15.75" thickBot="1">
      <c r="A3393" s="3699"/>
      <c r="B3393" s="3692"/>
      <c r="C3393" s="3692"/>
      <c r="D3393" s="3692"/>
      <c r="E3393" s="3692"/>
      <c r="F3393" s="3705"/>
      <c r="G3393" s="429"/>
    </row>
    <row r="3394" spans="1:8" ht="15.75" thickTop="1">
      <c r="A3394" s="1022" t="s">
        <v>2600</v>
      </c>
      <c r="B3394" s="388" t="s">
        <v>120</v>
      </c>
      <c r="C3394" s="1280" t="s">
        <v>554</v>
      </c>
      <c r="D3394" s="388"/>
      <c r="E3394" s="880">
        <f t="shared" ref="E3394:E3399" si="28">(G3394-F3394)/G3394</f>
        <v>0.2032520325203252</v>
      </c>
      <c r="F3394" s="1024">
        <v>0.98</v>
      </c>
      <c r="G3394" s="436">
        <v>1.23</v>
      </c>
    </row>
    <row r="3395" spans="1:8">
      <c r="A3395" s="491"/>
      <c r="B3395" s="1281" t="s">
        <v>121</v>
      </c>
      <c r="C3395" s="1280" t="s">
        <v>730</v>
      </c>
      <c r="D3395" s="388"/>
      <c r="E3395" s="1282">
        <f t="shared" si="28"/>
        <v>0.19540229885057475</v>
      </c>
      <c r="F3395" s="1024">
        <v>0.7</v>
      </c>
      <c r="G3395" s="429">
        <v>0.87</v>
      </c>
    </row>
    <row r="3396" spans="1:8">
      <c r="A3396" s="491"/>
      <c r="B3396" s="1281" t="s">
        <v>123</v>
      </c>
      <c r="C3396" s="1610" t="s">
        <v>1975</v>
      </c>
      <c r="D3396" s="388"/>
      <c r="E3396" s="1282">
        <f t="shared" si="28"/>
        <v>0.20125786163522016</v>
      </c>
      <c r="F3396" s="1024">
        <v>1.27</v>
      </c>
      <c r="G3396" s="429">
        <v>1.59</v>
      </c>
    </row>
    <row r="3397" spans="1:8">
      <c r="A3397" s="491"/>
      <c r="B3397" s="1281" t="s">
        <v>122</v>
      </c>
      <c r="C3397" s="1280" t="s">
        <v>1522</v>
      </c>
      <c r="D3397" s="388"/>
      <c r="E3397" s="1282">
        <f t="shared" si="28"/>
        <v>0.1538461538461538</v>
      </c>
      <c r="F3397" s="1024">
        <v>0.99</v>
      </c>
      <c r="G3397" s="528">
        <v>1.17</v>
      </c>
    </row>
    <row r="3398" spans="1:8">
      <c r="A3398" s="491"/>
      <c r="B3398" s="1199" t="s">
        <v>2057</v>
      </c>
      <c r="C3398" s="1200"/>
      <c r="D3398" s="388"/>
      <c r="E3398" s="1282" t="e">
        <f t="shared" si="28"/>
        <v>#DIV/0!</v>
      </c>
      <c r="F3398" s="961"/>
      <c r="G3398" s="528"/>
    </row>
    <row r="3399" spans="1:8" ht="15.75" thickBot="1">
      <c r="A3399" s="500"/>
      <c r="B3399" s="1458"/>
      <c r="C3399" s="1459"/>
      <c r="D3399" s="873"/>
      <c r="E3399" s="1460" t="e">
        <f t="shared" si="28"/>
        <v>#DIV/0!</v>
      </c>
      <c r="F3399" s="1347"/>
      <c r="G3399" s="528"/>
    </row>
    <row r="3401" spans="1:8" ht="15" customHeight="1">
      <c r="A3401" s="3681" t="s">
        <v>0</v>
      </c>
      <c r="B3401" s="3694" t="s">
        <v>1</v>
      </c>
      <c r="C3401" s="3694" t="s">
        <v>2</v>
      </c>
      <c r="D3401" s="3702" t="s">
        <v>3</v>
      </c>
      <c r="E3401" s="3694" t="s">
        <v>4</v>
      </c>
      <c r="F3401" s="3702" t="s">
        <v>1989</v>
      </c>
      <c r="G3401" s="3694" t="s">
        <v>1941</v>
      </c>
    </row>
    <row r="3402" spans="1:8" ht="15" customHeight="1">
      <c r="A3402" s="3544"/>
      <c r="B3402" s="3694"/>
      <c r="C3402" s="3702"/>
      <c r="D3402" s="3670"/>
      <c r="E3402" s="3702"/>
      <c r="F3402" s="3670"/>
      <c r="G3402" s="3702"/>
    </row>
    <row r="3403" spans="1:8">
      <c r="A3403" s="3567" t="s">
        <v>2617</v>
      </c>
      <c r="B3403" s="504" t="s">
        <v>409</v>
      </c>
      <c r="C3403" s="1095" t="s">
        <v>2606</v>
      </c>
      <c r="D3403" s="3527" t="s">
        <v>1860</v>
      </c>
      <c r="E3403" s="1305"/>
      <c r="F3403" s="1306"/>
      <c r="G3403" s="1307">
        <v>0.6</v>
      </c>
      <c r="H3403">
        <v>0.6</v>
      </c>
    </row>
    <row r="3404" spans="1:8">
      <c r="A3404" s="3568"/>
      <c r="B3404" s="504" t="s">
        <v>921</v>
      </c>
      <c r="C3404" s="1095" t="s">
        <v>2607</v>
      </c>
      <c r="D3404" s="3527"/>
      <c r="E3404" s="1305"/>
      <c r="F3404" s="1306"/>
      <c r="G3404" s="1307">
        <v>0.6</v>
      </c>
      <c r="H3404">
        <v>0.6</v>
      </c>
    </row>
    <row r="3405" spans="1:8">
      <c r="A3405" s="3568"/>
      <c r="B3405" s="504" t="s">
        <v>534</v>
      </c>
      <c r="C3405" s="1291" t="s">
        <v>2615</v>
      </c>
      <c r="D3405" s="3527"/>
      <c r="E3405" s="1305"/>
      <c r="F3405" s="1306"/>
      <c r="G3405" s="1307">
        <v>0.6</v>
      </c>
      <c r="H3405">
        <v>0.6</v>
      </c>
    </row>
    <row r="3406" spans="1:8">
      <c r="A3406" s="3568"/>
      <c r="B3406" s="504"/>
      <c r="C3406" s="1292"/>
      <c r="D3406" s="3527"/>
      <c r="E3406" s="1305"/>
      <c r="F3406" s="1306"/>
      <c r="G3406" s="1307"/>
    </row>
    <row r="3407" spans="1:8">
      <c r="A3407" s="3568"/>
      <c r="B3407" s="504"/>
      <c r="C3407" s="1308"/>
      <c r="D3407" s="3527"/>
      <c r="E3407" s="1305"/>
      <c r="F3407" s="1306"/>
      <c r="G3407" s="1307"/>
    </row>
    <row r="3408" spans="1:8">
      <c r="A3408" s="3680"/>
      <c r="B3408" s="635"/>
      <c r="C3408" s="1308"/>
      <c r="D3408" s="3683"/>
      <c r="E3408" s="1305"/>
      <c r="F3408" s="1306"/>
      <c r="G3408" s="1307"/>
    </row>
    <row r="3410" spans="1:7" ht="15.75" thickBot="1"/>
    <row r="3411" spans="1:7">
      <c r="A3411" s="3516" t="s">
        <v>0</v>
      </c>
      <c r="B3411" s="3693" t="s">
        <v>1</v>
      </c>
      <c r="C3411" s="3693" t="s">
        <v>2</v>
      </c>
      <c r="D3411" s="3520" t="s">
        <v>3</v>
      </c>
      <c r="E3411" s="3693" t="s">
        <v>4</v>
      </c>
      <c r="F3411" s="3520" t="s">
        <v>1989</v>
      </c>
      <c r="G3411" s="3522" t="s">
        <v>1941</v>
      </c>
    </row>
    <row r="3412" spans="1:7">
      <c r="A3412" s="3544"/>
      <c r="B3412" s="3694"/>
      <c r="C3412" s="3702"/>
      <c r="D3412" s="3670"/>
      <c r="E3412" s="3702"/>
      <c r="F3412" s="3670"/>
      <c r="G3412" s="3717"/>
    </row>
    <row r="3413" spans="1:7">
      <c r="A3413" s="3713" t="s">
        <v>2627</v>
      </c>
      <c r="B3413" s="504" t="s">
        <v>409</v>
      </c>
      <c r="C3413" s="1309" t="s">
        <v>2115</v>
      </c>
      <c r="D3413" s="3527" t="s">
        <v>1860</v>
      </c>
      <c r="E3413" s="1305">
        <v>0.2</v>
      </c>
      <c r="F3413" s="1306">
        <v>1.6</v>
      </c>
      <c r="G3413" s="1490">
        <v>1.28</v>
      </c>
    </row>
    <row r="3414" spans="1:7">
      <c r="A3414" s="3536"/>
      <c r="B3414" s="504" t="s">
        <v>921</v>
      </c>
      <c r="C3414" s="37" t="s">
        <v>2116</v>
      </c>
      <c r="D3414" s="3527"/>
      <c r="E3414" s="1305">
        <v>0.2</v>
      </c>
      <c r="F3414" s="1306">
        <v>1.6</v>
      </c>
      <c r="G3414" s="1490">
        <v>1.28</v>
      </c>
    </row>
    <row r="3415" spans="1:7">
      <c r="A3415" s="3536"/>
      <c r="B3415" s="504" t="s">
        <v>534</v>
      </c>
      <c r="C3415" s="37" t="s">
        <v>2066</v>
      </c>
      <c r="D3415" s="3527"/>
      <c r="E3415" s="1305">
        <v>0.2</v>
      </c>
      <c r="F3415" s="1306">
        <v>1.6</v>
      </c>
      <c r="G3415" s="1490">
        <v>1.28</v>
      </c>
    </row>
    <row r="3416" spans="1:7" ht="15.75">
      <c r="A3416" s="3536"/>
      <c r="B3416" s="504"/>
      <c r="C3416" s="1143" t="s">
        <v>858</v>
      </c>
      <c r="D3416" s="3527"/>
      <c r="E3416" s="1305">
        <v>0.26</v>
      </c>
      <c r="F3416" s="1306">
        <v>1</v>
      </c>
      <c r="G3416" s="1490">
        <v>0.74</v>
      </c>
    </row>
    <row r="3417" spans="1:7">
      <c r="A3417" s="3536"/>
      <c r="B3417" s="504"/>
      <c r="C3417" s="1392" t="s">
        <v>1268</v>
      </c>
      <c r="D3417" s="3527"/>
      <c r="E3417" s="1305">
        <v>0.26</v>
      </c>
      <c r="F3417" s="1306">
        <v>1.1299999999999999</v>
      </c>
      <c r="G3417" s="1490">
        <v>0.84</v>
      </c>
    </row>
    <row r="3418" spans="1:7" ht="15.75" thickBot="1">
      <c r="A3418" s="3537"/>
      <c r="B3418" s="1491"/>
      <c r="C3418" s="591"/>
      <c r="D3418" s="3528"/>
      <c r="E3418" s="1492"/>
      <c r="F3418" s="1493"/>
      <c r="G3418" s="1494"/>
    </row>
    <row r="3420" spans="1:7" ht="15.75" thickBot="1"/>
    <row r="3421" spans="1:7">
      <c r="A3421" s="3572"/>
      <c r="B3421" s="3636"/>
      <c r="C3421" s="3636"/>
      <c r="D3421" s="3636"/>
      <c r="E3421" s="3636"/>
      <c r="F3421" s="3559"/>
      <c r="G3421" s="429"/>
    </row>
    <row r="3422" spans="1:7" ht="15.75" thickBot="1">
      <c r="A3422" s="3695"/>
      <c r="B3422" s="3692"/>
      <c r="C3422" s="3692"/>
      <c r="D3422" s="3692"/>
      <c r="E3422" s="3692"/>
      <c r="F3422" s="3705"/>
      <c r="G3422" s="429"/>
    </row>
    <row r="3423" spans="1:7" ht="16.5" thickTop="1" thickBot="1">
      <c r="A3423" s="1495" t="s">
        <v>2628</v>
      </c>
      <c r="B3423" s="388" t="s">
        <v>120</v>
      </c>
      <c r="C3423" s="1340" t="s">
        <v>1695</v>
      </c>
      <c r="D3423" s="388"/>
      <c r="E3423" s="880">
        <f>(G3423-F3423)/G3423</f>
        <v>0.14285714285714282</v>
      </c>
      <c r="F3423" s="1341">
        <v>0.6</v>
      </c>
      <c r="G3423" s="436">
        <v>0.7</v>
      </c>
    </row>
    <row r="3424" spans="1:7">
      <c r="A3424" s="491"/>
      <c r="B3424" s="1281" t="s">
        <v>121</v>
      </c>
      <c r="C3424" s="1340" t="s">
        <v>920</v>
      </c>
      <c r="D3424" s="388"/>
      <c r="E3424" s="880">
        <f>(G3424-F3424)/G3424</f>
        <v>0.19512195121951212</v>
      </c>
      <c r="F3424" s="1341">
        <v>0.66</v>
      </c>
      <c r="G3424" s="429">
        <v>0.82</v>
      </c>
    </row>
    <row r="3425" spans="1:7">
      <c r="A3425" s="491"/>
      <c r="B3425" s="1281" t="s">
        <v>123</v>
      </c>
      <c r="C3425" s="1340"/>
      <c r="D3425" s="388"/>
      <c r="E3425" s="1343"/>
      <c r="F3425" s="1341"/>
      <c r="G3425" s="429"/>
    </row>
    <row r="3426" spans="1:7">
      <c r="A3426" s="491"/>
      <c r="B3426" s="1281" t="s">
        <v>122</v>
      </c>
      <c r="C3426" s="1340"/>
      <c r="D3426" s="388"/>
      <c r="E3426" s="1343"/>
      <c r="F3426" s="1341"/>
      <c r="G3426" s="528"/>
    </row>
    <row r="3427" spans="1:7">
      <c r="A3427" s="491"/>
      <c r="B3427" s="1199" t="s">
        <v>2057</v>
      </c>
      <c r="C3427" s="1200"/>
      <c r="D3427" s="388"/>
      <c r="E3427" s="1343"/>
      <c r="F3427" s="961"/>
      <c r="G3427" s="528"/>
    </row>
    <row r="3428" spans="1:7" ht="15.75" thickBot="1">
      <c r="A3428" s="500"/>
      <c r="B3428" s="1344"/>
      <c r="C3428" s="1345"/>
      <c r="D3428" s="873"/>
      <c r="E3428" s="1346"/>
      <c r="F3428" s="1347"/>
      <c r="G3428" s="528"/>
    </row>
    <row r="3431" spans="1:7" ht="15.75" thickBot="1"/>
    <row r="3432" spans="1:7">
      <c r="A3432" s="3572"/>
      <c r="B3432" s="3636"/>
      <c r="C3432" s="3636"/>
      <c r="D3432" s="3636"/>
      <c r="E3432" s="3636"/>
      <c r="F3432" s="3559"/>
      <c r="G3432" s="429"/>
    </row>
    <row r="3433" spans="1:7" ht="15.75" thickBot="1">
      <c r="A3433" s="3696"/>
      <c r="B3433" s="3676"/>
      <c r="C3433" s="3676"/>
      <c r="D3433" s="3676"/>
      <c r="E3433" s="3676"/>
      <c r="F3433" s="3710"/>
      <c r="G3433" s="429"/>
    </row>
    <row r="3434" spans="1:7" ht="16.5" thickTop="1" thickBot="1">
      <c r="A3434" s="813" t="s">
        <v>2646</v>
      </c>
      <c r="B3434" s="388" t="s">
        <v>120</v>
      </c>
      <c r="C3434" s="981" t="s">
        <v>2647</v>
      </c>
      <c r="D3434" s="388"/>
      <c r="E3434" s="880">
        <f>(G3434-F3434)/G3434</f>
        <v>0.20091324200913241</v>
      </c>
      <c r="F3434" s="872">
        <v>1.75</v>
      </c>
      <c r="G3434" s="436">
        <v>2.19</v>
      </c>
    </row>
    <row r="3435" spans="1:7">
      <c r="A3435" s="491"/>
      <c r="B3435" s="982" t="s">
        <v>121</v>
      </c>
      <c r="C3435" s="981"/>
      <c r="D3435" s="388"/>
      <c r="E3435" s="880" t="e">
        <f>(G3435-F3435)/G3435</f>
        <v>#DIV/0!</v>
      </c>
      <c r="F3435" s="872"/>
      <c r="G3435" s="429"/>
    </row>
    <row r="3436" spans="1:7">
      <c r="A3436" s="491"/>
      <c r="B3436" s="982" t="s">
        <v>123</v>
      </c>
      <c r="C3436" s="981"/>
      <c r="D3436" s="388"/>
      <c r="E3436" s="980"/>
      <c r="F3436" s="872"/>
      <c r="G3436" s="429"/>
    </row>
    <row r="3437" spans="1:7">
      <c r="A3437" s="491"/>
      <c r="B3437" s="982" t="s">
        <v>122</v>
      </c>
      <c r="C3437" s="981"/>
      <c r="D3437" s="388"/>
      <c r="E3437" s="980"/>
      <c r="F3437" s="872"/>
      <c r="G3437" s="528"/>
    </row>
    <row r="3438" spans="1:7">
      <c r="A3438" s="491"/>
      <c r="B3438" s="1199" t="s">
        <v>2057</v>
      </c>
      <c r="C3438" s="1200"/>
      <c r="D3438" s="388"/>
      <c r="E3438" s="980"/>
      <c r="F3438" s="961"/>
      <c r="G3438" s="528"/>
    </row>
    <row r="3439" spans="1:7" ht="15.75" thickBot="1">
      <c r="A3439" s="500"/>
      <c r="B3439" s="1500"/>
      <c r="C3439" s="1501"/>
      <c r="D3439" s="873"/>
      <c r="E3439" s="1502"/>
      <c r="F3439" s="1149"/>
      <c r="G3439" s="528"/>
    </row>
    <row r="3441" spans="1:7">
      <c r="A3441" s="3681" t="s">
        <v>0</v>
      </c>
      <c r="B3441" s="3686" t="s">
        <v>1</v>
      </c>
      <c r="C3441" s="3686" t="s">
        <v>2</v>
      </c>
      <c r="D3441" s="3702" t="s">
        <v>3</v>
      </c>
      <c r="E3441" s="3686" t="s">
        <v>4</v>
      </c>
      <c r="F3441" s="3702" t="s">
        <v>1989</v>
      </c>
      <c r="G3441" s="3686" t="s">
        <v>1941</v>
      </c>
    </row>
    <row r="3442" spans="1:7">
      <c r="A3442" s="3669"/>
      <c r="B3442" s="3702"/>
      <c r="C3442" s="3702"/>
      <c r="D3442" s="3670"/>
      <c r="E3442" s="3702"/>
      <c r="F3442" s="3670"/>
      <c r="G3442" s="3702"/>
    </row>
    <row r="3443" spans="1:7" ht="30">
      <c r="A3443" s="3567" t="s">
        <v>2650</v>
      </c>
      <c r="B3443" s="3700" t="s">
        <v>2512</v>
      </c>
      <c r="C3443" s="1128" t="s">
        <v>2651</v>
      </c>
      <c r="D3443" s="3700" t="s">
        <v>1860</v>
      </c>
      <c r="E3443" s="3701">
        <v>0.22</v>
      </c>
      <c r="F3443" s="1126">
        <v>1.6</v>
      </c>
      <c r="G3443" s="1126">
        <v>1.25</v>
      </c>
    </row>
    <row r="3444" spans="1:7" ht="30">
      <c r="A3444" s="3568"/>
      <c r="B3444" s="3527"/>
      <c r="C3444" s="1128" t="s">
        <v>2652</v>
      </c>
      <c r="D3444" s="3527"/>
      <c r="E3444" s="3577"/>
      <c r="F3444" s="1126">
        <v>1.6</v>
      </c>
      <c r="G3444" s="1126">
        <v>1.25</v>
      </c>
    </row>
    <row r="3445" spans="1:7" ht="30">
      <c r="A3445" s="3680"/>
      <c r="B3445" s="3683"/>
      <c r="C3445" s="1128" t="s">
        <v>2653</v>
      </c>
      <c r="D3445" s="3683"/>
      <c r="E3445" s="3684"/>
      <c r="F3445" s="1126">
        <v>1.6</v>
      </c>
      <c r="G3445" s="1126">
        <v>1.25</v>
      </c>
    </row>
    <row r="3447" spans="1:7">
      <c r="A3447" s="3682" t="s">
        <v>0</v>
      </c>
      <c r="B3447" s="3703" t="s">
        <v>1</v>
      </c>
      <c r="C3447" s="3703" t="s">
        <v>2</v>
      </c>
      <c r="D3447" s="3702" t="s">
        <v>3</v>
      </c>
      <c r="E3447" s="3703" t="s">
        <v>4</v>
      </c>
      <c r="F3447" s="3702" t="s">
        <v>1989</v>
      </c>
      <c r="G3447" s="3703" t="s">
        <v>1941</v>
      </c>
    </row>
    <row r="3448" spans="1:7">
      <c r="A3448" s="3669"/>
      <c r="B3448" s="3702"/>
      <c r="C3448" s="3702"/>
      <c r="D3448" s="3670"/>
      <c r="E3448" s="3702"/>
      <c r="F3448" s="3670"/>
      <c r="G3448" s="3702"/>
    </row>
    <row r="3449" spans="1:7">
      <c r="A3449" s="3567" t="s">
        <v>2675</v>
      </c>
      <c r="B3449" s="3700" t="s">
        <v>2512</v>
      </c>
      <c r="C3449" s="1507" t="s">
        <v>1058</v>
      </c>
      <c r="D3449" s="3700" t="s">
        <v>1860</v>
      </c>
      <c r="E3449" s="3701">
        <v>0.22</v>
      </c>
      <c r="F3449" s="1542">
        <v>2.14</v>
      </c>
      <c r="G3449" s="1542">
        <v>1.67</v>
      </c>
    </row>
    <row r="3450" spans="1:7">
      <c r="A3450" s="3568"/>
      <c r="B3450" s="3527"/>
      <c r="C3450" s="1543"/>
      <c r="D3450" s="3527"/>
      <c r="E3450" s="3577"/>
      <c r="F3450" s="1542"/>
      <c r="G3450" s="1542"/>
    </row>
    <row r="3451" spans="1:7">
      <c r="A3451" s="3680"/>
      <c r="B3451" s="3683"/>
      <c r="C3451" s="1543"/>
      <c r="D3451" s="3683"/>
      <c r="E3451" s="3684"/>
      <c r="F3451" s="1542"/>
      <c r="G3451" s="1542"/>
    </row>
    <row r="3452" spans="1:7" ht="15.75" thickBot="1"/>
    <row r="3453" spans="1:7">
      <c r="A3453" s="3572"/>
      <c r="B3453" s="3636"/>
      <c r="C3453" s="3636"/>
      <c r="D3453" s="3636"/>
      <c r="E3453" s="3636"/>
      <c r="F3453" s="3559"/>
      <c r="G3453" s="429"/>
    </row>
    <row r="3454" spans="1:7" ht="15.75" thickBot="1">
      <c r="A3454" s="3695"/>
      <c r="B3454" s="3692"/>
      <c r="C3454" s="3692"/>
      <c r="D3454" s="3692"/>
      <c r="E3454" s="3692"/>
      <c r="F3454" s="3705"/>
      <c r="G3454" s="429"/>
    </row>
    <row r="3455" spans="1:7" ht="16.5" thickTop="1" thickBot="1">
      <c r="A3455" s="1495" t="s">
        <v>2672</v>
      </c>
      <c r="B3455" s="388" t="s">
        <v>120</v>
      </c>
      <c r="C3455" s="1505" t="s">
        <v>636</v>
      </c>
      <c r="D3455" s="388"/>
      <c r="E3455" s="1429">
        <f t="shared" ref="E3455:E3460" si="29">(G3455-F3455)/G3455</f>
        <v>0.19811320754716988</v>
      </c>
      <c r="F3455" s="1503">
        <v>0.85</v>
      </c>
      <c r="G3455" s="436">
        <v>1.06</v>
      </c>
    </row>
    <row r="3456" spans="1:7" ht="15.75" thickBot="1">
      <c r="A3456" s="491"/>
      <c r="B3456" s="1504" t="s">
        <v>121</v>
      </c>
      <c r="C3456" s="1505" t="s">
        <v>1120</v>
      </c>
      <c r="D3456" s="388"/>
      <c r="E3456" s="1429">
        <f t="shared" si="29"/>
        <v>0.19230769230769237</v>
      </c>
      <c r="F3456" s="1503">
        <v>0.42</v>
      </c>
      <c r="G3456" s="429">
        <v>0.52</v>
      </c>
    </row>
    <row r="3457" spans="1:7" ht="15.75" thickBot="1">
      <c r="A3457" s="491"/>
      <c r="B3457" s="1504" t="s">
        <v>123</v>
      </c>
      <c r="C3457" s="1505" t="s">
        <v>732</v>
      </c>
      <c r="D3457" s="388"/>
      <c r="E3457" s="1429">
        <f t="shared" si="29"/>
        <v>0.24999999999999997</v>
      </c>
      <c r="F3457" s="1503">
        <v>0.66</v>
      </c>
      <c r="G3457" s="429">
        <v>0.88</v>
      </c>
    </row>
    <row r="3458" spans="1:7" ht="15.75" thickBot="1">
      <c r="A3458" s="491"/>
      <c r="B3458" s="1504" t="s">
        <v>122</v>
      </c>
      <c r="C3458" s="1505" t="s">
        <v>2329</v>
      </c>
      <c r="D3458" s="388"/>
      <c r="E3458" s="1429">
        <f t="shared" si="29"/>
        <v>0.20000000000000004</v>
      </c>
      <c r="F3458" s="1503">
        <v>0.6</v>
      </c>
      <c r="G3458" s="528">
        <v>0.75</v>
      </c>
    </row>
    <row r="3459" spans="1:7" ht="15.75" thickBot="1">
      <c r="A3459" s="491"/>
      <c r="B3459" s="1199" t="s">
        <v>2057</v>
      </c>
      <c r="C3459" s="1200" t="s">
        <v>2673</v>
      </c>
      <c r="D3459" s="388"/>
      <c r="E3459" s="1429">
        <f t="shared" si="29"/>
        <v>0.20000000000000004</v>
      </c>
      <c r="F3459" s="961">
        <v>0.6</v>
      </c>
      <c r="G3459" s="528">
        <v>0.75</v>
      </c>
    </row>
    <row r="3460" spans="1:7" ht="15.75" thickBot="1">
      <c r="A3460" s="500"/>
      <c r="B3460" s="1344"/>
      <c r="C3460" s="1345"/>
      <c r="D3460" s="873"/>
      <c r="E3460" s="1429" t="e">
        <f t="shared" si="29"/>
        <v>#DIV/0!</v>
      </c>
      <c r="F3460" s="1347"/>
      <c r="G3460" s="528"/>
    </row>
    <row r="3462" spans="1:7" ht="15" customHeight="1">
      <c r="A3462" s="3682" t="s">
        <v>0</v>
      </c>
      <c r="B3462" s="3675" t="s">
        <v>1</v>
      </c>
      <c r="C3462" s="3675" t="s">
        <v>2</v>
      </c>
      <c r="D3462" s="3622" t="s">
        <v>3</v>
      </c>
      <c r="E3462" s="3675" t="s">
        <v>4</v>
      </c>
      <c r="F3462" s="3622" t="s">
        <v>1989</v>
      </c>
      <c r="G3462" s="3675" t="s">
        <v>1941</v>
      </c>
    </row>
    <row r="3463" spans="1:7" ht="15" customHeight="1">
      <c r="A3463" s="3669"/>
      <c r="B3463" s="3622"/>
      <c r="C3463" s="3622"/>
      <c r="D3463" s="3670"/>
      <c r="E3463" s="3622"/>
      <c r="F3463" s="3670"/>
      <c r="G3463" s="3622"/>
    </row>
    <row r="3464" spans="1:7">
      <c r="A3464" s="3679" t="s">
        <v>2678</v>
      </c>
      <c r="B3464" s="3632" t="s">
        <v>356</v>
      </c>
      <c r="C3464" s="1550" t="s">
        <v>1763</v>
      </c>
      <c r="D3464" s="3632" t="s">
        <v>1860</v>
      </c>
      <c r="E3464" s="3634">
        <v>0.17</v>
      </c>
      <c r="F3464" s="1551">
        <v>24.51</v>
      </c>
      <c r="G3464" s="1551">
        <v>20.34</v>
      </c>
    </row>
    <row r="3465" spans="1:7">
      <c r="A3465" s="3568"/>
      <c r="B3465" s="3527"/>
      <c r="C3465" s="1550" t="s">
        <v>1556</v>
      </c>
      <c r="D3465" s="3527"/>
      <c r="E3465" s="3577"/>
      <c r="F3465" s="1551">
        <v>24.51</v>
      </c>
      <c r="G3465" s="1551">
        <v>20.34</v>
      </c>
    </row>
    <row r="3466" spans="1:7">
      <c r="A3466" s="3568"/>
      <c r="B3466" s="3527"/>
      <c r="C3466" s="1550" t="s">
        <v>1557</v>
      </c>
      <c r="D3466" s="3527"/>
      <c r="E3466" s="3577"/>
      <c r="F3466" s="1551">
        <v>24.51</v>
      </c>
      <c r="G3466" s="1551">
        <v>20.34</v>
      </c>
    </row>
    <row r="3467" spans="1:7">
      <c r="A3467" s="3568"/>
      <c r="B3467" s="3527"/>
      <c r="C3467" s="1550" t="s">
        <v>1555</v>
      </c>
      <c r="D3467" s="3527"/>
      <c r="E3467" s="3577"/>
      <c r="F3467" s="1551">
        <v>24.51</v>
      </c>
      <c r="G3467" s="1551">
        <v>20.34</v>
      </c>
    </row>
    <row r="3468" spans="1:7">
      <c r="A3468" s="3680"/>
      <c r="B3468" s="3683"/>
      <c r="C3468" s="1550" t="s">
        <v>2359</v>
      </c>
      <c r="D3468" s="3683"/>
      <c r="E3468" s="1552">
        <v>0.2</v>
      </c>
      <c r="F3468" s="1551">
        <v>6.72</v>
      </c>
      <c r="G3468" s="1551">
        <v>5.38</v>
      </c>
    </row>
    <row r="3471" spans="1:7">
      <c r="A3471" s="3682" t="s">
        <v>0</v>
      </c>
      <c r="B3471" s="3675" t="s">
        <v>1</v>
      </c>
      <c r="C3471" s="3675" t="s">
        <v>2</v>
      </c>
      <c r="D3471" s="3678" t="s">
        <v>3</v>
      </c>
      <c r="E3471" s="3675" t="s">
        <v>4</v>
      </c>
      <c r="F3471" s="3678" t="s">
        <v>1989</v>
      </c>
      <c r="G3471" s="3675" t="s">
        <v>1941</v>
      </c>
    </row>
    <row r="3472" spans="1:7">
      <c r="A3472" s="3544"/>
      <c r="B3472" s="3675"/>
      <c r="C3472" s="3678"/>
      <c r="D3472" s="3670"/>
      <c r="E3472" s="3678"/>
      <c r="F3472" s="3670"/>
      <c r="G3472" s="3678"/>
    </row>
    <row r="3473" spans="1:7">
      <c r="A3473" s="3567" t="s">
        <v>2681</v>
      </c>
      <c r="B3473" s="504" t="s">
        <v>409</v>
      </c>
      <c r="C3473" s="1546" t="s">
        <v>1345</v>
      </c>
      <c r="D3473" s="3527" t="s">
        <v>1860</v>
      </c>
      <c r="E3473" s="1558">
        <v>0.15</v>
      </c>
      <c r="F3473" s="1551">
        <v>1.82</v>
      </c>
      <c r="G3473" s="1559">
        <v>1.55</v>
      </c>
    </row>
    <row r="3474" spans="1:7">
      <c r="A3474" s="3568"/>
      <c r="B3474" s="504" t="s">
        <v>921</v>
      </c>
      <c r="C3474" s="1546" t="s">
        <v>1355</v>
      </c>
      <c r="D3474" s="3527"/>
      <c r="E3474" s="1558">
        <v>0.15</v>
      </c>
      <c r="F3474" s="1551">
        <v>1.82</v>
      </c>
      <c r="G3474" s="1559">
        <v>1.55</v>
      </c>
    </row>
    <row r="3475" spans="1:7">
      <c r="A3475" s="3568"/>
      <c r="B3475" s="504" t="s">
        <v>534</v>
      </c>
      <c r="C3475" s="1546" t="s">
        <v>1413</v>
      </c>
      <c r="D3475" s="3527"/>
      <c r="E3475" s="1558">
        <v>0.15</v>
      </c>
      <c r="F3475" s="1551">
        <v>1.82</v>
      </c>
      <c r="G3475" s="1559">
        <v>1.55</v>
      </c>
    </row>
    <row r="3476" spans="1:7" ht="15.75" thickBot="1">
      <c r="A3476" s="3568"/>
      <c r="B3476" s="504"/>
      <c r="C3476" s="1356" t="s">
        <v>1429</v>
      </c>
      <c r="D3476" s="3527"/>
      <c r="E3476" s="1558">
        <v>0.15</v>
      </c>
      <c r="F3476" s="1551">
        <v>1.82</v>
      </c>
      <c r="G3476" s="1559">
        <v>1.55</v>
      </c>
    </row>
    <row r="3477" spans="1:7">
      <c r="A3477" s="3568"/>
      <c r="B3477" s="504"/>
      <c r="C3477" s="1292" t="s">
        <v>2682</v>
      </c>
      <c r="D3477" s="3527"/>
      <c r="E3477" s="1558">
        <v>0.2</v>
      </c>
      <c r="F3477" s="1551">
        <v>0.45</v>
      </c>
      <c r="G3477" s="1559">
        <v>0.36</v>
      </c>
    </row>
    <row r="3478" spans="1:7">
      <c r="A3478" s="3568"/>
      <c r="B3478" s="504"/>
      <c r="C3478" s="1550" t="s">
        <v>2329</v>
      </c>
      <c r="D3478" s="3527"/>
      <c r="E3478" s="1558">
        <v>0.2</v>
      </c>
      <c r="F3478" s="1551">
        <v>0.75</v>
      </c>
      <c r="G3478" s="1559">
        <v>0.6</v>
      </c>
    </row>
    <row r="3479" spans="1:7">
      <c r="A3479" s="3680"/>
      <c r="B3479" s="635"/>
      <c r="C3479" s="1550" t="s">
        <v>788</v>
      </c>
      <c r="D3479" s="3683"/>
      <c r="E3479" s="1558">
        <v>0.15</v>
      </c>
      <c r="F3479" s="1551">
        <v>0.66</v>
      </c>
      <c r="G3479" s="1559">
        <v>0.56000000000000005</v>
      </c>
    </row>
    <row r="3481" spans="1:7">
      <c r="A3481" s="3682" t="s">
        <v>0</v>
      </c>
      <c r="B3481" s="3675" t="s">
        <v>1</v>
      </c>
      <c r="C3481" s="3675" t="s">
        <v>2</v>
      </c>
      <c r="D3481" s="3678" t="s">
        <v>3</v>
      </c>
      <c r="E3481" s="3675" t="s">
        <v>4</v>
      </c>
      <c r="F3481" s="3678" t="s">
        <v>1989</v>
      </c>
      <c r="G3481" s="3675" t="s">
        <v>1941</v>
      </c>
    </row>
    <row r="3482" spans="1:7">
      <c r="A3482" s="3669"/>
      <c r="B3482" s="3678"/>
      <c r="C3482" s="3678"/>
      <c r="D3482" s="3670"/>
      <c r="E3482" s="3678"/>
      <c r="F3482" s="3670"/>
      <c r="G3482" s="3678"/>
    </row>
    <row r="3483" spans="1:7">
      <c r="A3483" s="3567" t="s">
        <v>2683</v>
      </c>
      <c r="B3483" s="3690" t="s">
        <v>2512</v>
      </c>
      <c r="C3483" s="1560" t="s">
        <v>554</v>
      </c>
      <c r="D3483" s="3690" t="s">
        <v>1860</v>
      </c>
      <c r="E3483" s="3691">
        <v>0.22</v>
      </c>
      <c r="F3483" s="1551">
        <v>1.34</v>
      </c>
      <c r="G3483" s="1551">
        <v>1.05</v>
      </c>
    </row>
    <row r="3484" spans="1:7">
      <c r="A3484" s="3568"/>
      <c r="B3484" s="3527"/>
      <c r="C3484" s="1550"/>
      <c r="D3484" s="3527"/>
      <c r="E3484" s="3577"/>
      <c r="F3484" s="1551"/>
      <c r="G3484" s="1551"/>
    </row>
    <row r="3485" spans="1:7">
      <c r="A3485" s="3680"/>
      <c r="B3485" s="3683"/>
      <c r="C3485" s="1550"/>
      <c r="D3485" s="3683"/>
      <c r="E3485" s="3684"/>
      <c r="F3485" s="1551"/>
      <c r="G3485" s="1551"/>
    </row>
    <row r="3487" spans="1:7">
      <c r="A3487" s="3682" t="s">
        <v>0</v>
      </c>
      <c r="B3487" s="3675" t="s">
        <v>1</v>
      </c>
      <c r="C3487" s="3675" t="s">
        <v>2</v>
      </c>
      <c r="D3487" s="3678" t="s">
        <v>3</v>
      </c>
      <c r="E3487" s="3675" t="s">
        <v>4</v>
      </c>
      <c r="F3487" s="3678" t="s">
        <v>1989</v>
      </c>
      <c r="G3487" s="3675" t="s">
        <v>1941</v>
      </c>
    </row>
    <row r="3488" spans="1:7">
      <c r="A3488" s="3669"/>
      <c r="B3488" s="3678"/>
      <c r="C3488" s="3678"/>
      <c r="D3488" s="3670"/>
      <c r="E3488" s="3678"/>
      <c r="F3488" s="3670"/>
      <c r="G3488" s="3678"/>
    </row>
    <row r="3489" spans="1:7">
      <c r="A3489" s="3567" t="s">
        <v>2684</v>
      </c>
      <c r="B3489" s="3690" t="s">
        <v>2512</v>
      </c>
      <c r="C3489" s="1550" t="s">
        <v>2685</v>
      </c>
      <c r="D3489" s="3690" t="s">
        <v>1860</v>
      </c>
      <c r="E3489" s="3691">
        <v>0.4</v>
      </c>
      <c r="F3489" s="1551">
        <v>19.93</v>
      </c>
      <c r="G3489" s="1551">
        <v>11.9</v>
      </c>
    </row>
    <row r="3490" spans="1:7">
      <c r="A3490" s="3568"/>
      <c r="B3490" s="3527"/>
      <c r="C3490" s="1550"/>
      <c r="D3490" s="3527"/>
      <c r="E3490" s="3577"/>
      <c r="F3490" s="1551"/>
      <c r="G3490" s="1551"/>
    </row>
    <row r="3491" spans="1:7">
      <c r="A3491" s="3680"/>
      <c r="B3491" s="3683"/>
      <c r="C3491" s="1550"/>
      <c r="D3491" s="3683"/>
      <c r="E3491" s="3684"/>
      <c r="F3491" s="1551"/>
      <c r="G3491" s="1551"/>
    </row>
    <row r="3494" spans="1:7">
      <c r="A3494" s="3682" t="s">
        <v>0</v>
      </c>
      <c r="B3494" s="3675" t="s">
        <v>1</v>
      </c>
      <c r="C3494" s="3675" t="s">
        <v>2</v>
      </c>
      <c r="D3494" s="3622" t="s">
        <v>3</v>
      </c>
      <c r="E3494" s="3675" t="s">
        <v>4</v>
      </c>
      <c r="F3494" s="3622" t="s">
        <v>1989</v>
      </c>
      <c r="G3494" s="3675" t="s">
        <v>1941</v>
      </c>
    </row>
    <row r="3495" spans="1:7">
      <c r="A3495" s="3669"/>
      <c r="B3495" s="3622"/>
      <c r="C3495" s="3622"/>
      <c r="D3495" s="3670"/>
      <c r="E3495" s="3622"/>
      <c r="F3495" s="3670"/>
      <c r="G3495" s="3622"/>
    </row>
    <row r="3496" spans="1:7">
      <c r="A3496" s="3567" t="s">
        <v>2700</v>
      </c>
      <c r="B3496" s="3632" t="s">
        <v>2701</v>
      </c>
      <c r="C3496" s="1550" t="s">
        <v>2192</v>
      </c>
      <c r="D3496" s="3632" t="s">
        <v>1860</v>
      </c>
      <c r="E3496" s="3634">
        <v>0.2</v>
      </c>
      <c r="F3496" s="3644">
        <v>6.74</v>
      </c>
      <c r="G3496" s="3644">
        <v>5.39</v>
      </c>
    </row>
    <row r="3497" spans="1:7">
      <c r="A3497" s="3568"/>
      <c r="B3497" s="3527"/>
      <c r="C3497" s="1550" t="s">
        <v>2194</v>
      </c>
      <c r="D3497" s="3527"/>
      <c r="E3497" s="3577"/>
      <c r="F3497" s="3582"/>
      <c r="G3497" s="3582"/>
    </row>
    <row r="3498" spans="1:7">
      <c r="A3498" s="3568"/>
      <c r="B3498" s="3527"/>
      <c r="C3498" s="1550" t="s">
        <v>2266</v>
      </c>
      <c r="D3498" s="3527"/>
      <c r="E3498" s="3577"/>
      <c r="F3498" s="3582"/>
      <c r="G3498" s="3582"/>
    </row>
    <row r="3499" spans="1:7">
      <c r="A3499" s="3568"/>
      <c r="B3499" s="3527"/>
      <c r="C3499" s="1550" t="s">
        <v>2359</v>
      </c>
      <c r="D3499" s="3527"/>
      <c r="E3499" s="3684"/>
      <c r="F3499" s="3685"/>
      <c r="G3499" s="3685"/>
    </row>
    <row r="3500" spans="1:7">
      <c r="A3500" s="3568"/>
      <c r="B3500" s="3527"/>
      <c r="C3500" s="1550" t="s">
        <v>2297</v>
      </c>
      <c r="D3500" s="3527"/>
      <c r="E3500" s="3634">
        <v>0.17</v>
      </c>
      <c r="F3500" s="3644">
        <v>24.81</v>
      </c>
      <c r="G3500" s="3644">
        <v>20.59</v>
      </c>
    </row>
    <row r="3501" spans="1:7">
      <c r="A3501" s="3568"/>
      <c r="B3501" s="3527"/>
      <c r="C3501" s="1550" t="s">
        <v>2298</v>
      </c>
      <c r="D3501" s="3527"/>
      <c r="E3501" s="3577"/>
      <c r="F3501" s="3582"/>
      <c r="G3501" s="3582"/>
    </row>
    <row r="3502" spans="1:7">
      <c r="A3502" s="3568"/>
      <c r="B3502" s="3527"/>
      <c r="C3502" s="1550" t="s">
        <v>2299</v>
      </c>
      <c r="D3502" s="3527"/>
      <c r="E3502" s="3577"/>
      <c r="F3502" s="3582"/>
      <c r="G3502" s="3582"/>
    </row>
    <row r="3503" spans="1:7">
      <c r="A3503" s="3568"/>
      <c r="B3503" s="3527"/>
      <c r="C3503" s="1550" t="s">
        <v>2702</v>
      </c>
      <c r="D3503" s="3527"/>
      <c r="E3503" s="3577"/>
      <c r="F3503" s="3582"/>
      <c r="G3503" s="3582"/>
    </row>
    <row r="3504" spans="1:7">
      <c r="A3504" s="3680"/>
      <c r="B3504" s="3683"/>
      <c r="C3504" s="1550" t="s">
        <v>2703</v>
      </c>
      <c r="D3504" s="3683"/>
      <c r="E3504" s="3684"/>
      <c r="F3504" s="3685"/>
      <c r="G3504" s="3685"/>
    </row>
    <row r="3507" spans="1:7">
      <c r="A3507" s="3682" t="s">
        <v>0</v>
      </c>
      <c r="B3507" s="3675" t="s">
        <v>1</v>
      </c>
      <c r="C3507" s="3675" t="s">
        <v>2</v>
      </c>
      <c r="D3507" s="3622" t="s">
        <v>3</v>
      </c>
      <c r="E3507" s="3675" t="s">
        <v>4</v>
      </c>
      <c r="F3507" s="3622" t="s">
        <v>1989</v>
      </c>
      <c r="G3507" s="3675" t="s">
        <v>1941</v>
      </c>
    </row>
    <row r="3508" spans="1:7">
      <c r="A3508" s="3669"/>
      <c r="B3508" s="3622"/>
      <c r="C3508" s="3622"/>
      <c r="D3508" s="3670"/>
      <c r="E3508" s="3622"/>
      <c r="F3508" s="3670"/>
      <c r="G3508" s="3622"/>
    </row>
    <row r="3509" spans="1:7">
      <c r="A3509" s="3567" t="s">
        <v>2713</v>
      </c>
      <c r="B3509" s="3632" t="s">
        <v>2701</v>
      </c>
      <c r="C3509" s="1550" t="s">
        <v>1439</v>
      </c>
      <c r="D3509" s="3632" t="s">
        <v>1860</v>
      </c>
      <c r="E3509" s="1558">
        <f>(F3509-G3509)/F3509</f>
        <v>0.21977052074139455</v>
      </c>
      <c r="F3509" s="1551">
        <v>11.33</v>
      </c>
      <c r="G3509" s="1551">
        <v>8.84</v>
      </c>
    </row>
    <row r="3510" spans="1:7">
      <c r="A3510" s="3568"/>
      <c r="B3510" s="3527"/>
      <c r="C3510" s="1550" t="s">
        <v>1773</v>
      </c>
      <c r="D3510" s="3527"/>
      <c r="E3510" s="1558">
        <f>(F3510-G3510)/F3510</f>
        <v>0.21977052074139455</v>
      </c>
      <c r="F3510" s="1551">
        <v>11.33</v>
      </c>
      <c r="G3510" s="1551">
        <v>8.84</v>
      </c>
    </row>
    <row r="3511" spans="1:7">
      <c r="A3511" s="3568"/>
      <c r="B3511" s="3527"/>
      <c r="C3511" s="1550" t="s">
        <v>1660</v>
      </c>
      <c r="D3511" s="3527"/>
      <c r="E3511" s="1558">
        <f>(F3511-G3511)/F3511</f>
        <v>0.21958456973293775</v>
      </c>
      <c r="F3511" s="1551">
        <v>6.74</v>
      </c>
      <c r="G3511" s="1551">
        <v>5.26</v>
      </c>
    </row>
    <row r="3512" spans="1:7">
      <c r="A3512" s="3568"/>
      <c r="B3512" s="3527"/>
      <c r="C3512" s="1550" t="s">
        <v>1661</v>
      </c>
      <c r="D3512" s="3527"/>
      <c r="E3512" s="1558">
        <f>(F3512-G3512)/F3512</f>
        <v>0.21958456973293775</v>
      </c>
      <c r="F3512" s="1551">
        <v>6.74</v>
      </c>
      <c r="G3512" s="1551">
        <v>5.26</v>
      </c>
    </row>
    <row r="3513" spans="1:7">
      <c r="A3513" s="3568"/>
      <c r="B3513" s="3527"/>
      <c r="C3513" s="1550"/>
      <c r="D3513" s="3527"/>
      <c r="E3513" s="1558"/>
      <c r="F3513" s="1551"/>
      <c r="G3513" s="1551"/>
    </row>
    <row r="3514" spans="1:7">
      <c r="A3514" s="3568"/>
      <c r="B3514" s="3527"/>
      <c r="C3514" s="1550"/>
      <c r="D3514" s="3527"/>
      <c r="E3514" s="1558"/>
      <c r="F3514" s="1551"/>
      <c r="G3514" s="1551"/>
    </row>
    <row r="3515" spans="1:7">
      <c r="A3515" s="3568"/>
      <c r="B3515" s="3527"/>
      <c r="C3515" s="1550"/>
      <c r="D3515" s="3527"/>
      <c r="E3515" s="1558"/>
      <c r="F3515" s="1551"/>
      <c r="G3515" s="1551"/>
    </row>
    <row r="3516" spans="1:7">
      <c r="A3516" s="3568"/>
      <c r="B3516" s="3527"/>
      <c r="C3516" s="1550"/>
      <c r="D3516" s="3527"/>
      <c r="E3516" s="1558"/>
      <c r="F3516" s="1551"/>
      <c r="G3516" s="1551"/>
    </row>
    <row r="3517" spans="1:7">
      <c r="A3517" s="3680"/>
      <c r="B3517" s="3683"/>
      <c r="C3517" s="1550"/>
      <c r="D3517" s="3683"/>
      <c r="E3517" s="1558"/>
      <c r="F3517" s="1551"/>
      <c r="G3517" s="1551"/>
    </row>
    <row r="3519" spans="1:7" ht="15.75" thickBot="1"/>
    <row r="3520" spans="1:7">
      <c r="A3520" s="3572"/>
      <c r="B3520" s="3636"/>
      <c r="C3520" s="3636"/>
      <c r="D3520" s="3636"/>
      <c r="E3520" s="3636"/>
      <c r="F3520" s="3559"/>
      <c r="G3520" s="429"/>
    </row>
    <row r="3521" spans="1:7" ht="15.75" thickBot="1">
      <c r="A3521" s="3695"/>
      <c r="B3521" s="3692"/>
      <c r="C3521" s="3692"/>
      <c r="D3521" s="3692"/>
      <c r="E3521" s="3692"/>
      <c r="F3521" s="3705"/>
      <c r="G3521" s="429"/>
    </row>
    <row r="3522" spans="1:7" ht="16.5" thickTop="1" thickBot="1">
      <c r="A3522" s="1495" t="s">
        <v>2718</v>
      </c>
      <c r="B3522" s="388" t="s">
        <v>120</v>
      </c>
      <c r="C3522" s="1555" t="s">
        <v>1772</v>
      </c>
      <c r="D3522" s="388"/>
      <c r="E3522" s="1429">
        <f t="shared" ref="E3522:E3527" si="30">(G3522-F3522)/G3522</f>
        <v>0.19879518072289148</v>
      </c>
      <c r="F3522" s="1503">
        <v>1.33</v>
      </c>
      <c r="G3522" s="436">
        <v>1.66</v>
      </c>
    </row>
    <row r="3523" spans="1:7" ht="15.75" thickBot="1">
      <c r="A3523" s="491"/>
      <c r="B3523" s="1554" t="s">
        <v>121</v>
      </c>
      <c r="C3523" s="1555" t="s">
        <v>2462</v>
      </c>
      <c r="D3523" s="388"/>
      <c r="E3523" s="1429">
        <f t="shared" si="30"/>
        <v>0.20279720279720284</v>
      </c>
      <c r="F3523" s="1503">
        <v>1.1399999999999999</v>
      </c>
      <c r="G3523" s="429">
        <v>1.43</v>
      </c>
    </row>
    <row r="3524" spans="1:7" ht="15.75" thickBot="1">
      <c r="A3524" s="491"/>
      <c r="B3524" s="1554" t="s">
        <v>123</v>
      </c>
      <c r="C3524" s="1555" t="s">
        <v>2115</v>
      </c>
      <c r="D3524" s="388"/>
      <c r="E3524" s="1429">
        <f t="shared" si="30"/>
        <v>0.20125786163522016</v>
      </c>
      <c r="F3524" s="1503">
        <v>1.27</v>
      </c>
      <c r="G3524" s="429">
        <v>1.59</v>
      </c>
    </row>
    <row r="3525" spans="1:7" ht="15.75" thickBot="1">
      <c r="A3525" s="491"/>
      <c r="B3525" s="1554" t="s">
        <v>122</v>
      </c>
      <c r="C3525" s="1636" t="s">
        <v>1891</v>
      </c>
      <c r="D3525" s="388"/>
      <c r="E3525" s="1429">
        <f t="shared" si="30"/>
        <v>0.22314049586776863</v>
      </c>
      <c r="F3525" s="1503">
        <v>0.94</v>
      </c>
      <c r="G3525" s="528">
        <v>1.21</v>
      </c>
    </row>
    <row r="3526" spans="1:7" ht="29.25" thickBot="1">
      <c r="A3526" s="491"/>
      <c r="B3526" s="1585"/>
      <c r="C3526" s="1586" t="s">
        <v>1090</v>
      </c>
      <c r="D3526" s="388"/>
      <c r="E3526" s="1429">
        <f t="shared" si="30"/>
        <v>0.20000000000000004</v>
      </c>
      <c r="F3526" s="1587">
        <v>1.2</v>
      </c>
      <c r="G3526" s="528">
        <v>1.5</v>
      </c>
    </row>
    <row r="3527" spans="1:7" ht="15.75" thickBot="1">
      <c r="A3527" s="500"/>
      <c r="B3527" s="1344"/>
      <c r="C3527" s="1345"/>
      <c r="D3527" s="873"/>
      <c r="E3527" s="1429" t="e">
        <f t="shared" si="30"/>
        <v>#DIV/0!</v>
      </c>
      <c r="F3527" s="1347"/>
      <c r="G3527" s="528"/>
    </row>
    <row r="3530" spans="1:7">
      <c r="A3530" s="3682" t="s">
        <v>0</v>
      </c>
      <c r="B3530" s="3675" t="s">
        <v>1</v>
      </c>
      <c r="C3530" s="3675" t="s">
        <v>2</v>
      </c>
      <c r="D3530" s="3622" t="s">
        <v>3</v>
      </c>
      <c r="E3530" s="3675" t="s">
        <v>4</v>
      </c>
      <c r="F3530" s="3622" t="s">
        <v>1989</v>
      </c>
      <c r="G3530" s="3675" t="s">
        <v>1941</v>
      </c>
    </row>
    <row r="3531" spans="1:7">
      <c r="A3531" s="3669"/>
      <c r="B3531" s="3622"/>
      <c r="C3531" s="3622"/>
      <c r="D3531" s="3670"/>
      <c r="E3531" s="3622"/>
      <c r="F3531" s="3670"/>
      <c r="G3531" s="3622"/>
    </row>
    <row r="3532" spans="1:7">
      <c r="A3532" s="3567" t="s">
        <v>2726</v>
      </c>
      <c r="B3532" s="3632" t="s">
        <v>2701</v>
      </c>
      <c r="C3532" s="1550" t="s">
        <v>2192</v>
      </c>
      <c r="D3532" s="3632" t="s">
        <v>1860</v>
      </c>
      <c r="E3532" s="1558">
        <f>(F3532-G3532)/F3532</f>
        <v>0.20029673590504457</v>
      </c>
      <c r="F3532" s="1551">
        <v>6.74</v>
      </c>
      <c r="G3532" s="1551">
        <v>5.39</v>
      </c>
    </row>
    <row r="3533" spans="1:7">
      <c r="A3533" s="3568"/>
      <c r="B3533" s="3527"/>
      <c r="C3533" s="1550" t="s">
        <v>2194</v>
      </c>
      <c r="D3533" s="3527"/>
      <c r="E3533" s="1558">
        <f>(F3533-G3533)/F3533</f>
        <v>0.20029673590504457</v>
      </c>
      <c r="F3533" s="1551">
        <v>6.74</v>
      </c>
      <c r="G3533" s="1551">
        <v>5.39</v>
      </c>
    </row>
    <row r="3534" spans="1:7">
      <c r="A3534" s="3568"/>
      <c r="B3534" s="3527"/>
      <c r="C3534" s="1550" t="s">
        <v>2266</v>
      </c>
      <c r="D3534" s="3527"/>
      <c r="E3534" s="1558">
        <f>(F3534-G3534)/F3534</f>
        <v>0.20029673590504457</v>
      </c>
      <c r="F3534" s="1551">
        <v>6.74</v>
      </c>
      <c r="G3534" s="1551">
        <v>5.39</v>
      </c>
    </row>
    <row r="3535" spans="1:7">
      <c r="A3535" s="3568"/>
      <c r="B3535" s="3527"/>
      <c r="C3535" s="1550" t="s">
        <v>2359</v>
      </c>
      <c r="D3535" s="3527"/>
      <c r="E3535" s="1558">
        <f>(F3535-G3535)/F3535</f>
        <v>0.20029673590504457</v>
      </c>
      <c r="F3535" s="1551">
        <v>6.74</v>
      </c>
      <c r="G3535" s="1551">
        <v>5.39</v>
      </c>
    </row>
    <row r="3536" spans="1:7">
      <c r="A3536" s="3568"/>
      <c r="B3536" s="3527"/>
      <c r="C3536" s="1550"/>
      <c r="D3536" s="3527"/>
      <c r="E3536" s="1558"/>
      <c r="F3536" s="1551"/>
      <c r="G3536" s="1551"/>
    </row>
    <row r="3537" spans="1:7">
      <c r="A3537" s="3568"/>
      <c r="B3537" s="3527"/>
      <c r="C3537" s="1550"/>
      <c r="D3537" s="3527"/>
      <c r="E3537" s="1558"/>
      <c r="F3537" s="1551"/>
      <c r="G3537" s="1551"/>
    </row>
    <row r="3538" spans="1:7">
      <c r="A3538" s="3568"/>
      <c r="B3538" s="3527"/>
      <c r="C3538" s="1550"/>
      <c r="D3538" s="3527"/>
      <c r="E3538" s="1558"/>
      <c r="F3538" s="1551"/>
      <c r="G3538" s="1551"/>
    </row>
    <row r="3539" spans="1:7">
      <c r="A3539" s="3568"/>
      <c r="B3539" s="3527"/>
      <c r="C3539" s="1550"/>
      <c r="D3539" s="3527"/>
      <c r="E3539" s="1558"/>
      <c r="F3539" s="1551"/>
      <c r="G3539" s="1551"/>
    </row>
    <row r="3540" spans="1:7">
      <c r="A3540" s="3680"/>
      <c r="B3540" s="3683"/>
      <c r="C3540" s="1550"/>
      <c r="D3540" s="3683"/>
      <c r="E3540" s="1558"/>
      <c r="F3540" s="1551"/>
      <c r="G3540" s="1551"/>
    </row>
    <row r="3543" spans="1:7">
      <c r="A3543" s="3682" t="s">
        <v>0</v>
      </c>
      <c r="B3543" s="3675" t="s">
        <v>1</v>
      </c>
      <c r="C3543" s="3675" t="s">
        <v>2</v>
      </c>
      <c r="D3543" s="3622" t="s">
        <v>3</v>
      </c>
      <c r="E3543" s="3675" t="s">
        <v>4</v>
      </c>
      <c r="F3543" s="3622" t="s">
        <v>1989</v>
      </c>
      <c r="G3543" s="3675" t="s">
        <v>1941</v>
      </c>
    </row>
    <row r="3544" spans="1:7">
      <c r="A3544" s="3544"/>
      <c r="B3544" s="3675"/>
      <c r="C3544" s="3622"/>
      <c r="D3544" s="3670"/>
      <c r="E3544" s="3622"/>
      <c r="F3544" s="3670"/>
      <c r="G3544" s="3622"/>
    </row>
    <row r="3545" spans="1:7">
      <c r="A3545" s="3567" t="s">
        <v>2731</v>
      </c>
      <c r="B3545" s="504" t="s">
        <v>409</v>
      </c>
      <c r="C3545" s="1095" t="s">
        <v>517</v>
      </c>
      <c r="D3545" s="3527" t="s">
        <v>1860</v>
      </c>
      <c r="E3545" s="1558">
        <v>0.18</v>
      </c>
      <c r="F3545" s="1551">
        <v>1.27</v>
      </c>
      <c r="G3545" s="1559">
        <v>1.04</v>
      </c>
    </row>
    <row r="3546" spans="1:7">
      <c r="A3546" s="3568"/>
      <c r="B3546" s="504" t="s">
        <v>921</v>
      </c>
      <c r="C3546" s="1095"/>
      <c r="D3546" s="3527"/>
      <c r="E3546" s="1558"/>
      <c r="F3546" s="1551"/>
      <c r="G3546" s="1559"/>
    </row>
    <row r="3547" spans="1:7">
      <c r="A3547" s="3568"/>
      <c r="B3547" s="504" t="s">
        <v>534</v>
      </c>
      <c r="C3547" s="1291"/>
      <c r="D3547" s="3527"/>
      <c r="E3547" s="1558"/>
      <c r="F3547" s="1551"/>
      <c r="G3547" s="1559"/>
    </row>
    <row r="3548" spans="1:7">
      <c r="A3548" s="3568"/>
      <c r="B3548" s="504"/>
      <c r="C3548" s="1292"/>
      <c r="D3548" s="3527"/>
      <c r="E3548" s="1558"/>
      <c r="F3548" s="1551"/>
      <c r="G3548" s="1559"/>
    </row>
    <row r="3549" spans="1:7">
      <c r="A3549" s="3568"/>
      <c r="B3549" s="504"/>
      <c r="C3549" s="1292"/>
      <c r="D3549" s="3527"/>
      <c r="E3549" s="1558"/>
      <c r="F3549" s="1551"/>
      <c r="G3549" s="1559"/>
    </row>
    <row r="3550" spans="1:7">
      <c r="A3550" s="3568"/>
      <c r="B3550" s="504"/>
      <c r="C3550" s="1550"/>
      <c r="D3550" s="3527"/>
      <c r="E3550" s="1558"/>
      <c r="F3550" s="1551"/>
      <c r="G3550" s="1559"/>
    </row>
    <row r="3551" spans="1:7">
      <c r="A3551" s="3680"/>
      <c r="B3551" s="635"/>
      <c r="C3551" s="1550"/>
      <c r="D3551" s="3683"/>
      <c r="E3551" s="1558"/>
      <c r="F3551" s="1551"/>
      <c r="G3551" s="1559"/>
    </row>
    <row r="3554" spans="1:7">
      <c r="A3554" s="3682" t="s">
        <v>0</v>
      </c>
      <c r="B3554" s="3675" t="s">
        <v>1</v>
      </c>
      <c r="C3554" s="3675" t="s">
        <v>2</v>
      </c>
      <c r="D3554" s="3622" t="s">
        <v>3</v>
      </c>
      <c r="E3554" s="3675" t="s">
        <v>4</v>
      </c>
      <c r="F3554" s="3622" t="s">
        <v>1989</v>
      </c>
      <c r="G3554" s="3675" t="s">
        <v>1941</v>
      </c>
    </row>
    <row r="3555" spans="1:7">
      <c r="A3555" s="3544"/>
      <c r="B3555" s="3675"/>
      <c r="C3555" s="3622"/>
      <c r="D3555" s="3670"/>
      <c r="E3555" s="3622"/>
      <c r="F3555" s="3670"/>
      <c r="G3555" s="3622"/>
    </row>
    <row r="3556" spans="1:7">
      <c r="A3556" s="3567" t="s">
        <v>2736</v>
      </c>
      <c r="B3556" s="504" t="s">
        <v>2185</v>
      </c>
      <c r="C3556" s="1843" t="s">
        <v>2737</v>
      </c>
      <c r="D3556" s="3527" t="s">
        <v>1860</v>
      </c>
      <c r="E3556" s="1558">
        <v>0.2</v>
      </c>
      <c r="F3556" s="1551">
        <v>1.64</v>
      </c>
      <c r="G3556" s="1559">
        <v>1.31</v>
      </c>
    </row>
    <row r="3557" spans="1:7" ht="30">
      <c r="A3557" s="3568"/>
      <c r="B3557" s="504" t="s">
        <v>2403</v>
      </c>
      <c r="C3557" s="1095" t="s">
        <v>2738</v>
      </c>
      <c r="D3557" s="3527"/>
      <c r="E3557" s="1558">
        <v>0.2</v>
      </c>
      <c r="F3557" s="1551">
        <v>2.88</v>
      </c>
      <c r="G3557" s="1559">
        <v>2.2999999999999998</v>
      </c>
    </row>
    <row r="3558" spans="1:7">
      <c r="A3558" s="3568"/>
      <c r="B3558" s="504" t="s">
        <v>2438</v>
      </c>
      <c r="C3558" s="1291" t="s">
        <v>2739</v>
      </c>
      <c r="D3558" s="3527"/>
      <c r="E3558" s="1558">
        <v>0.2</v>
      </c>
      <c r="F3558" s="1551">
        <v>3.2</v>
      </c>
      <c r="G3558" s="1559">
        <v>2.56</v>
      </c>
    </row>
    <row r="3559" spans="1:7">
      <c r="A3559" s="3568"/>
      <c r="B3559" s="504"/>
      <c r="C3559" s="1292" t="s">
        <v>2740</v>
      </c>
      <c r="D3559" s="3527"/>
      <c r="E3559" s="1558">
        <v>0.2</v>
      </c>
      <c r="F3559" s="1551">
        <v>3.2</v>
      </c>
      <c r="G3559" s="1559">
        <v>2.56</v>
      </c>
    </row>
    <row r="3560" spans="1:7">
      <c r="A3560" s="3568"/>
      <c r="B3560" s="504"/>
      <c r="C3560" s="1550" t="s">
        <v>2741</v>
      </c>
      <c r="D3560" s="3527"/>
      <c r="E3560" s="1558">
        <v>0.2</v>
      </c>
      <c r="F3560" s="1551">
        <v>3.2</v>
      </c>
      <c r="G3560" s="1559">
        <v>2.56</v>
      </c>
    </row>
    <row r="3561" spans="1:7">
      <c r="A3561" s="3568"/>
      <c r="B3561" s="504"/>
      <c r="C3561" s="1550"/>
      <c r="D3561" s="3527"/>
      <c r="E3561" s="1558"/>
      <c r="F3561" s="1551"/>
      <c r="G3561" s="1559"/>
    </row>
    <row r="3562" spans="1:7">
      <c r="A3562" s="3568"/>
      <c r="B3562" s="504"/>
      <c r="C3562" s="1550"/>
      <c r="D3562" s="3527"/>
      <c r="E3562" s="1558"/>
      <c r="F3562" s="1551"/>
      <c r="G3562" s="1559"/>
    </row>
    <row r="3563" spans="1:7">
      <c r="A3563" s="3680"/>
      <c r="B3563" s="635"/>
      <c r="C3563" s="1550"/>
      <c r="D3563" s="3683"/>
      <c r="E3563" s="1558"/>
      <c r="F3563" s="1551"/>
      <c r="G3563" s="1559"/>
    </row>
    <row r="3564" spans="1:7" ht="15.75" thickBot="1"/>
    <row r="3565" spans="1:7">
      <c r="A3565" s="3572"/>
      <c r="B3565" s="3636"/>
      <c r="C3565" s="3636"/>
      <c r="D3565" s="3636"/>
      <c r="E3565" s="3636"/>
      <c r="F3565" s="3559"/>
      <c r="G3565" s="429"/>
    </row>
    <row r="3566" spans="1:7">
      <c r="A3566" s="3695"/>
      <c r="B3566" s="3626"/>
      <c r="C3566" s="3626"/>
      <c r="D3566" s="3626"/>
      <c r="E3566" s="3626"/>
      <c r="F3566" s="3627"/>
      <c r="G3566" s="429"/>
    </row>
    <row r="3567" spans="1:7">
      <c r="A3567" s="1495" t="s">
        <v>2749</v>
      </c>
      <c r="B3567" s="1554" t="s">
        <v>120</v>
      </c>
      <c r="C3567" s="1555" t="s">
        <v>2207</v>
      </c>
      <c r="D3567" s="1554"/>
      <c r="E3567" s="1567">
        <f t="shared" ref="E3567:E3574" si="31">(G3567-F3567)/G3567</f>
        <v>0.19298245614035078</v>
      </c>
      <c r="F3567" s="1503">
        <v>0.46</v>
      </c>
      <c r="G3567" s="436">
        <v>0.56999999999999995</v>
      </c>
    </row>
    <row r="3568" spans="1:7">
      <c r="A3568" s="491"/>
      <c r="B3568" s="1554" t="s">
        <v>121</v>
      </c>
      <c r="C3568" s="1555" t="s">
        <v>906</v>
      </c>
      <c r="D3568" s="1554"/>
      <c r="E3568" s="1567">
        <f t="shared" si="31"/>
        <v>0.20353982300884946</v>
      </c>
      <c r="F3568" s="1503">
        <v>0.9</v>
      </c>
      <c r="G3568" s="429">
        <v>1.1299999999999999</v>
      </c>
    </row>
    <row r="3569" spans="1:8">
      <c r="A3569" s="491"/>
      <c r="B3569" s="1554" t="s">
        <v>123</v>
      </c>
      <c r="C3569" s="1555" t="s">
        <v>554</v>
      </c>
      <c r="D3569" s="1554"/>
      <c r="E3569" s="1567">
        <f t="shared" si="31"/>
        <v>0.2032520325203252</v>
      </c>
      <c r="F3569" s="1503">
        <v>0.98</v>
      </c>
      <c r="G3569" s="429">
        <v>1.23</v>
      </c>
    </row>
    <row r="3570" spans="1:8">
      <c r="A3570" s="491"/>
      <c r="B3570" s="1554" t="s">
        <v>122</v>
      </c>
      <c r="C3570" s="1555" t="s">
        <v>1413</v>
      </c>
      <c r="D3570" s="1554"/>
      <c r="E3570" s="1567">
        <f t="shared" si="31"/>
        <v>0.14917127071823205</v>
      </c>
      <c r="F3570" s="1503">
        <v>1.54</v>
      </c>
      <c r="G3570" s="528">
        <v>1.81</v>
      </c>
    </row>
    <row r="3571" spans="1:8">
      <c r="A3571" s="491"/>
      <c r="B3571" s="1554"/>
      <c r="C3571" s="1555" t="s">
        <v>1355</v>
      </c>
      <c r="D3571" s="1554"/>
      <c r="E3571" s="1567">
        <f t="shared" si="31"/>
        <v>0.14917127071823205</v>
      </c>
      <c r="F3571" s="1503">
        <v>1.54</v>
      </c>
      <c r="G3571" s="528">
        <v>1.81</v>
      </c>
    </row>
    <row r="3572" spans="1:8">
      <c r="A3572" s="491"/>
      <c r="B3572" s="1554"/>
      <c r="C3572" s="1555" t="s">
        <v>387</v>
      </c>
      <c r="D3572" s="1554"/>
      <c r="E3572" s="1567">
        <f t="shared" si="31"/>
        <v>0.19658119658119658</v>
      </c>
      <c r="F3572" s="1503">
        <v>0.94</v>
      </c>
      <c r="G3572" s="528">
        <v>1.17</v>
      </c>
    </row>
    <row r="3573" spans="1:8">
      <c r="A3573" s="491"/>
      <c r="B3573" s="1554"/>
      <c r="C3573" s="1636" t="s">
        <v>1904</v>
      </c>
      <c r="D3573" s="1554"/>
      <c r="E3573" s="1567">
        <f t="shared" si="31"/>
        <v>0.20121951219512188</v>
      </c>
      <c r="F3573" s="1503">
        <v>1.31</v>
      </c>
      <c r="G3573" s="528">
        <v>1.64</v>
      </c>
      <c r="H3573">
        <v>1.55</v>
      </c>
    </row>
    <row r="3574" spans="1:8" ht="15.75" thickBot="1">
      <c r="A3574" s="500"/>
      <c r="B3574" s="1344"/>
      <c r="C3574" s="1345"/>
      <c r="D3574" s="1344"/>
      <c r="E3574" s="1429" t="e">
        <f t="shared" si="31"/>
        <v>#DIV/0!</v>
      </c>
      <c r="F3574" s="1347"/>
      <c r="G3574" s="528"/>
    </row>
    <row r="3577" spans="1:8">
      <c r="A3577" s="3682" t="s">
        <v>0</v>
      </c>
      <c r="B3577" s="3675" t="s">
        <v>1</v>
      </c>
      <c r="C3577" s="3675" t="s">
        <v>2</v>
      </c>
      <c r="D3577" s="3622" t="s">
        <v>3</v>
      </c>
      <c r="E3577" s="3675" t="s">
        <v>4</v>
      </c>
      <c r="F3577" s="3622" t="s">
        <v>1989</v>
      </c>
      <c r="G3577" s="3675" t="s">
        <v>1941</v>
      </c>
    </row>
    <row r="3578" spans="1:8">
      <c r="A3578" s="3669"/>
      <c r="B3578" s="3622"/>
      <c r="C3578" s="3622"/>
      <c r="D3578" s="3670"/>
      <c r="E3578" s="3622"/>
      <c r="F3578" s="3670"/>
      <c r="G3578" s="3622"/>
    </row>
    <row r="3579" spans="1:8">
      <c r="A3579" s="3567" t="s">
        <v>2764</v>
      </c>
      <c r="B3579" s="3632" t="s">
        <v>356</v>
      </c>
      <c r="C3579" s="1550" t="s">
        <v>2765</v>
      </c>
      <c r="D3579" s="3632" t="s">
        <v>1860</v>
      </c>
      <c r="E3579" s="3634">
        <v>0.17</v>
      </c>
      <c r="F3579" s="1551">
        <v>24.51</v>
      </c>
      <c r="G3579" s="1551">
        <v>20.34</v>
      </c>
    </row>
    <row r="3580" spans="1:8">
      <c r="A3580" s="3568"/>
      <c r="B3580" s="3527"/>
      <c r="C3580" s="1550" t="s">
        <v>2766</v>
      </c>
      <c r="D3580" s="3527"/>
      <c r="E3580" s="3577"/>
      <c r="F3580" s="1551">
        <v>24.51</v>
      </c>
      <c r="G3580" s="1551">
        <v>20.34</v>
      </c>
    </row>
    <row r="3581" spans="1:8">
      <c r="A3581" s="3568"/>
      <c r="B3581" s="3527"/>
      <c r="C3581" s="1550" t="s">
        <v>2767</v>
      </c>
      <c r="D3581" s="3527"/>
      <c r="E3581" s="3577"/>
      <c r="F3581" s="1551">
        <v>24.51</v>
      </c>
      <c r="G3581" s="1551">
        <v>20.34</v>
      </c>
    </row>
    <row r="3582" spans="1:8">
      <c r="A3582" s="3568"/>
      <c r="B3582" s="3527"/>
      <c r="C3582" s="1550" t="s">
        <v>2768</v>
      </c>
      <c r="D3582" s="3527"/>
      <c r="E3582" s="3684"/>
      <c r="F3582" s="1551">
        <v>24.51</v>
      </c>
      <c r="G3582" s="1551">
        <v>20.34</v>
      </c>
    </row>
    <row r="3583" spans="1:8" ht="30">
      <c r="A3583" s="3568"/>
      <c r="B3583" s="3527"/>
      <c r="C3583" s="1550" t="s">
        <v>2769</v>
      </c>
      <c r="D3583" s="3527"/>
      <c r="E3583" s="3577">
        <v>0.2</v>
      </c>
      <c r="F3583" s="1551">
        <v>6.72</v>
      </c>
      <c r="G3583" s="1551">
        <v>5.38</v>
      </c>
    </row>
    <row r="3584" spans="1:8" ht="30">
      <c r="A3584" s="3568"/>
      <c r="B3584" s="3527"/>
      <c r="C3584" s="1550" t="s">
        <v>2770</v>
      </c>
      <c r="D3584" s="3527"/>
      <c r="E3584" s="3577"/>
      <c r="F3584" s="1551">
        <v>6.72</v>
      </c>
      <c r="G3584" s="1551">
        <v>5.38</v>
      </c>
    </row>
    <row r="3585" spans="1:7" ht="30">
      <c r="A3585" s="3568"/>
      <c r="B3585" s="3527"/>
      <c r="C3585" s="1550" t="s">
        <v>2771</v>
      </c>
      <c r="D3585" s="3527"/>
      <c r="E3585" s="3577"/>
      <c r="F3585" s="1551">
        <v>6.72</v>
      </c>
      <c r="G3585" s="1551">
        <v>5.38</v>
      </c>
    </row>
    <row r="3586" spans="1:7" ht="30">
      <c r="A3586" s="3680"/>
      <c r="B3586" s="3683"/>
      <c r="C3586" s="1550" t="s">
        <v>2772</v>
      </c>
      <c r="D3586" s="3683"/>
      <c r="E3586" s="3684"/>
      <c r="F3586" s="1551">
        <v>6.72</v>
      </c>
      <c r="G3586" s="1551">
        <v>5.38</v>
      </c>
    </row>
    <row r="3588" spans="1:7">
      <c r="A3588" s="3682" t="s">
        <v>0</v>
      </c>
      <c r="B3588" s="3675" t="s">
        <v>1</v>
      </c>
      <c r="C3588" s="3675" t="s">
        <v>2</v>
      </c>
      <c r="D3588" s="3622" t="s">
        <v>3</v>
      </c>
      <c r="E3588" s="3675" t="s">
        <v>4</v>
      </c>
      <c r="F3588" s="3622" t="s">
        <v>1989</v>
      </c>
      <c r="G3588" s="3675" t="s">
        <v>1941</v>
      </c>
    </row>
    <row r="3589" spans="1:7">
      <c r="A3589" s="3544"/>
      <c r="B3589" s="3675"/>
      <c r="C3589" s="3622"/>
      <c r="D3589" s="3670"/>
      <c r="E3589" s="3622"/>
      <c r="F3589" s="3670"/>
      <c r="G3589" s="3622"/>
    </row>
    <row r="3590" spans="1:7">
      <c r="A3590" s="3567" t="s">
        <v>2731</v>
      </c>
      <c r="B3590" s="504" t="s">
        <v>202</v>
      </c>
      <c r="C3590" s="1095" t="s">
        <v>2779</v>
      </c>
      <c r="D3590" s="3527" t="s">
        <v>1860</v>
      </c>
      <c r="E3590" s="1558">
        <v>0.28999999999999998</v>
      </c>
      <c r="F3590" s="1551">
        <v>1.99</v>
      </c>
      <c r="G3590" s="1559">
        <v>1.42</v>
      </c>
    </row>
    <row r="3591" spans="1:7">
      <c r="A3591" s="3568"/>
      <c r="B3591" s="504"/>
      <c r="C3591" s="1095"/>
      <c r="D3591" s="3527"/>
      <c r="E3591" s="1558"/>
      <c r="F3591" s="1551"/>
      <c r="G3591" s="1559"/>
    </row>
    <row r="3592" spans="1:7">
      <c r="A3592" s="3568"/>
      <c r="B3592" s="504"/>
      <c r="C3592" s="1291"/>
      <c r="D3592" s="3527"/>
      <c r="E3592" s="1558"/>
      <c r="F3592" s="1551"/>
      <c r="G3592" s="1559"/>
    </row>
    <row r="3593" spans="1:7">
      <c r="A3593" s="3568"/>
      <c r="B3593" s="504"/>
      <c r="C3593" s="1292"/>
      <c r="D3593" s="3527"/>
      <c r="E3593" s="1558"/>
      <c r="F3593" s="1551"/>
      <c r="G3593" s="1559"/>
    </row>
    <row r="3594" spans="1:7">
      <c r="A3594" s="3568"/>
      <c r="B3594" s="504"/>
      <c r="C3594" s="1292"/>
      <c r="D3594" s="3527"/>
      <c r="E3594" s="1558"/>
      <c r="F3594" s="1551"/>
      <c r="G3594" s="1559"/>
    </row>
    <row r="3595" spans="1:7">
      <c r="A3595" s="3568"/>
      <c r="B3595" s="504"/>
      <c r="C3595" s="1550"/>
      <c r="D3595" s="3527"/>
      <c r="E3595" s="1558"/>
      <c r="F3595" s="1551"/>
      <c r="G3595" s="1559"/>
    </row>
    <row r="3596" spans="1:7">
      <c r="A3596" s="3680"/>
      <c r="B3596" s="635"/>
      <c r="C3596" s="1550"/>
      <c r="D3596" s="3683"/>
      <c r="E3596" s="1558"/>
      <c r="F3596" s="1551"/>
      <c r="G3596" s="1559"/>
    </row>
    <row r="3599" spans="1:7">
      <c r="A3599" s="3682" t="s">
        <v>0</v>
      </c>
      <c r="B3599" s="3675" t="s">
        <v>1</v>
      </c>
      <c r="C3599" s="3675" t="s">
        <v>2</v>
      </c>
      <c r="D3599" s="3622" t="s">
        <v>3</v>
      </c>
      <c r="E3599" s="3675" t="s">
        <v>4</v>
      </c>
      <c r="F3599" s="3622" t="s">
        <v>1989</v>
      </c>
      <c r="G3599" s="3675" t="s">
        <v>1941</v>
      </c>
    </row>
    <row r="3600" spans="1:7">
      <c r="A3600" s="3669"/>
      <c r="B3600" s="3622"/>
      <c r="C3600" s="3622"/>
      <c r="D3600" s="3670"/>
      <c r="E3600" s="3622"/>
      <c r="F3600" s="3670"/>
      <c r="G3600" s="3622"/>
    </row>
    <row r="3601" spans="1:7">
      <c r="A3601" s="3567" t="s">
        <v>2793</v>
      </c>
      <c r="B3601" s="3632" t="s">
        <v>2512</v>
      </c>
      <c r="C3601" s="1550" t="s">
        <v>2794</v>
      </c>
      <c r="D3601" s="3632" t="s">
        <v>1860</v>
      </c>
      <c r="E3601" s="3634">
        <v>0.22</v>
      </c>
      <c r="F3601" s="1551">
        <v>0.82</v>
      </c>
      <c r="G3601" s="1551">
        <v>0.64</v>
      </c>
    </row>
    <row r="3602" spans="1:7">
      <c r="A3602" s="3568"/>
      <c r="B3602" s="3527"/>
      <c r="C3602" s="1550"/>
      <c r="D3602" s="3527"/>
      <c r="E3602" s="3577"/>
      <c r="F3602" s="1551"/>
      <c r="G3602" s="1551"/>
    </row>
    <row r="3603" spans="1:7">
      <c r="A3603" s="3680"/>
      <c r="B3603" s="3683"/>
      <c r="C3603" s="1550"/>
      <c r="D3603" s="3683"/>
      <c r="E3603" s="3684"/>
      <c r="F3603" s="1551"/>
      <c r="G3603" s="1551"/>
    </row>
    <row r="3605" spans="1:7" ht="15.75" thickBot="1"/>
    <row r="3606" spans="1:7">
      <c r="A3606" s="3516" t="s">
        <v>0</v>
      </c>
      <c r="B3606" s="3693" t="s">
        <v>1</v>
      </c>
      <c r="C3606" s="3693" t="s">
        <v>2</v>
      </c>
      <c r="D3606" s="3520" t="s">
        <v>3</v>
      </c>
      <c r="E3606" s="3693" t="s">
        <v>4</v>
      </c>
      <c r="F3606" s="3520" t="s">
        <v>1989</v>
      </c>
      <c r="G3606" s="3522" t="s">
        <v>1941</v>
      </c>
    </row>
    <row r="3607" spans="1:7">
      <c r="A3607" s="3544"/>
      <c r="B3607" s="3675"/>
      <c r="C3607" s="3622"/>
      <c r="D3607" s="3670"/>
      <c r="E3607" s="3622"/>
      <c r="F3607" s="3670"/>
      <c r="G3607" s="3846"/>
    </row>
    <row r="3608" spans="1:7" ht="30">
      <c r="A3608" s="3847" t="s">
        <v>2803</v>
      </c>
      <c r="B3608" s="1658" t="s">
        <v>202</v>
      </c>
      <c r="C3608" s="1095" t="s">
        <v>2804</v>
      </c>
      <c r="D3608" s="1659" t="s">
        <v>1860</v>
      </c>
      <c r="E3608" s="1558">
        <v>0.35</v>
      </c>
      <c r="F3608" s="1551">
        <v>1.42</v>
      </c>
      <c r="G3608" s="1660">
        <v>0.96</v>
      </c>
    </row>
    <row r="3609" spans="1:7" ht="30">
      <c r="A3609" s="3536"/>
      <c r="B3609" s="1661"/>
      <c r="C3609" s="1291" t="s">
        <v>2805</v>
      </c>
      <c r="D3609" s="1662"/>
      <c r="E3609" s="1558">
        <v>0.35</v>
      </c>
      <c r="F3609" s="1551">
        <v>1.42</v>
      </c>
      <c r="G3609" s="1660">
        <v>0.96</v>
      </c>
    </row>
    <row r="3610" spans="1:7" ht="30.75" thickBot="1">
      <c r="A3610" s="3537"/>
      <c r="B3610" s="1663"/>
      <c r="C3610" s="1664" t="s">
        <v>2653</v>
      </c>
      <c r="D3610" s="1665"/>
      <c r="E3610" s="1492">
        <v>0.35</v>
      </c>
      <c r="F3610" s="1493">
        <v>1.42</v>
      </c>
      <c r="G3610" s="1494">
        <v>0.96</v>
      </c>
    </row>
    <row r="3611" spans="1:7" ht="15.75" thickBot="1"/>
    <row r="3612" spans="1:7">
      <c r="A3612" s="3516" t="s">
        <v>0</v>
      </c>
      <c r="B3612" s="3693" t="s">
        <v>1</v>
      </c>
      <c r="C3612" s="3693" t="s">
        <v>2</v>
      </c>
      <c r="D3612" s="3520" t="s">
        <v>3</v>
      </c>
      <c r="E3612" s="3693" t="s">
        <v>4</v>
      </c>
      <c r="F3612" s="3520" t="s">
        <v>1989</v>
      </c>
      <c r="G3612" s="3522" t="s">
        <v>1941</v>
      </c>
    </row>
    <row r="3613" spans="1:7">
      <c r="A3613" s="3544"/>
      <c r="B3613" s="3675"/>
      <c r="C3613" s="3622"/>
      <c r="D3613" s="3670"/>
      <c r="E3613" s="3622"/>
      <c r="F3613" s="3670"/>
      <c r="G3613" s="3846"/>
    </row>
    <row r="3614" spans="1:7" ht="15.75" thickBot="1">
      <c r="A3614" s="1666" t="s">
        <v>2806</v>
      </c>
      <c r="B3614" s="1667" t="s">
        <v>202</v>
      </c>
      <c r="C3614" s="1668" t="s">
        <v>2807</v>
      </c>
      <c r="D3614" s="1669" t="s">
        <v>1860</v>
      </c>
      <c r="E3614" s="1492">
        <v>0.28999999999999998</v>
      </c>
      <c r="F3614" s="1493">
        <v>1.99</v>
      </c>
      <c r="G3614" s="1494">
        <v>1.42</v>
      </c>
    </row>
    <row r="3615" spans="1:7" ht="15.75" thickBot="1"/>
    <row r="3616" spans="1:7">
      <c r="A3616" s="3516" t="s">
        <v>0</v>
      </c>
      <c r="B3616" s="3693" t="s">
        <v>1</v>
      </c>
      <c r="C3616" s="3693" t="s">
        <v>2</v>
      </c>
      <c r="D3616" s="3520" t="s">
        <v>3</v>
      </c>
      <c r="E3616" s="3693" t="s">
        <v>4</v>
      </c>
      <c r="F3616" s="3520" t="s">
        <v>1989</v>
      </c>
      <c r="G3616" s="3522" t="s">
        <v>1941</v>
      </c>
    </row>
    <row r="3617" spans="1:7">
      <c r="A3617" s="3544"/>
      <c r="B3617" s="3675"/>
      <c r="C3617" s="3622"/>
      <c r="D3617" s="3670"/>
      <c r="E3617" s="3622"/>
      <c r="F3617" s="3670"/>
      <c r="G3617" s="3846"/>
    </row>
    <row r="3618" spans="1:7">
      <c r="A3618" s="3847" t="s">
        <v>2808</v>
      </c>
      <c r="B3618" s="504" t="s">
        <v>409</v>
      </c>
      <c r="C3618" s="1095" t="s">
        <v>2809</v>
      </c>
      <c r="D3618" s="3527" t="s">
        <v>1860</v>
      </c>
      <c r="E3618" s="1558">
        <v>0.25</v>
      </c>
      <c r="F3618" s="1551">
        <v>1.82</v>
      </c>
      <c r="G3618" s="1660">
        <v>1.37</v>
      </c>
    </row>
    <row r="3619" spans="1:7">
      <c r="A3619" s="3536"/>
      <c r="B3619" s="504" t="s">
        <v>921</v>
      </c>
      <c r="C3619" s="1095" t="s">
        <v>2810</v>
      </c>
      <c r="D3619" s="3527"/>
      <c r="E3619" s="1558">
        <v>0.2</v>
      </c>
      <c r="F3619" s="1551">
        <v>1.6</v>
      </c>
      <c r="G3619" s="1660">
        <v>1.28</v>
      </c>
    </row>
    <row r="3620" spans="1:7">
      <c r="A3620" s="3536"/>
      <c r="B3620" s="504" t="s">
        <v>534</v>
      </c>
      <c r="C3620" s="1291" t="s">
        <v>2811</v>
      </c>
      <c r="D3620" s="3527"/>
      <c r="E3620" s="1558">
        <v>0.2</v>
      </c>
      <c r="F3620" s="1551">
        <v>1.6</v>
      </c>
      <c r="G3620" s="1660">
        <v>1.28</v>
      </c>
    </row>
    <row r="3621" spans="1:7">
      <c r="A3621" s="3536"/>
      <c r="B3621" s="504"/>
      <c r="C3621" s="1292" t="s">
        <v>2812</v>
      </c>
      <c r="D3621" s="3527"/>
      <c r="E3621" s="1558">
        <v>0.2</v>
      </c>
      <c r="F3621" s="1551">
        <v>1.6</v>
      </c>
      <c r="G3621" s="1660">
        <v>1.28</v>
      </c>
    </row>
    <row r="3622" spans="1:7">
      <c r="A3622" s="3536"/>
      <c r="B3622" s="504"/>
      <c r="C3622" s="1292" t="s">
        <v>2813</v>
      </c>
      <c r="D3622" s="3527"/>
      <c r="E3622" s="1558">
        <v>0.16</v>
      </c>
      <c r="F3622" s="1551">
        <v>0.9</v>
      </c>
      <c r="G3622" s="1660">
        <v>0.76</v>
      </c>
    </row>
    <row r="3623" spans="1:7">
      <c r="A3623" s="3536"/>
      <c r="B3623" s="504"/>
      <c r="C3623" s="1550" t="s">
        <v>2814</v>
      </c>
      <c r="D3623" s="3527"/>
      <c r="E3623" s="1558">
        <v>0.16</v>
      </c>
      <c r="F3623" s="1551">
        <v>0.9</v>
      </c>
      <c r="G3623" s="1660">
        <v>0.76</v>
      </c>
    </row>
    <row r="3624" spans="1:7" ht="15.75" thickBot="1">
      <c r="A3624" s="3537"/>
      <c r="B3624" s="1491"/>
      <c r="C3624" s="1670" t="s">
        <v>2815</v>
      </c>
      <c r="D3624" s="3528"/>
      <c r="E3624" s="1492">
        <v>0.16</v>
      </c>
      <c r="F3624" s="1493">
        <v>0.9</v>
      </c>
      <c r="G3624" s="1494">
        <v>0.76</v>
      </c>
    </row>
    <row r="3626" spans="1:7">
      <c r="A3626" s="3622" t="s">
        <v>0</v>
      </c>
      <c r="B3626" s="3842" t="s">
        <v>1</v>
      </c>
      <c r="C3626" s="3842" t="s">
        <v>2</v>
      </c>
      <c r="D3626" s="3622" t="s">
        <v>3</v>
      </c>
      <c r="E3626" s="3842" t="s">
        <v>4</v>
      </c>
      <c r="F3626" s="3622" t="s">
        <v>1989</v>
      </c>
      <c r="G3626" s="3842" t="s">
        <v>1941</v>
      </c>
    </row>
    <row r="3627" spans="1:7">
      <c r="A3627" s="3670"/>
      <c r="B3627" s="3622"/>
      <c r="C3627" s="3622"/>
      <c r="D3627" s="3670"/>
      <c r="E3627" s="3622"/>
      <c r="F3627" s="3670"/>
      <c r="G3627" s="3622"/>
    </row>
    <row r="3628" spans="1:7">
      <c r="A3628" s="1722" t="s">
        <v>2834</v>
      </c>
      <c r="B3628" s="1723" t="s">
        <v>2512</v>
      </c>
      <c r="C3628" s="1724" t="s">
        <v>2835</v>
      </c>
      <c r="D3628" s="1723" t="s">
        <v>1860</v>
      </c>
      <c r="E3628" s="1725">
        <v>0.2</v>
      </c>
      <c r="F3628" s="1726">
        <v>1.27</v>
      </c>
      <c r="G3628" s="1726">
        <v>1.01</v>
      </c>
    </row>
    <row r="3630" spans="1:7">
      <c r="A3630" s="3852" t="s">
        <v>0</v>
      </c>
      <c r="B3630" s="3842" t="s">
        <v>1</v>
      </c>
      <c r="C3630" s="3842" t="s">
        <v>2</v>
      </c>
      <c r="D3630" s="3843" t="s">
        <v>3</v>
      </c>
      <c r="E3630" s="3842" t="s">
        <v>4</v>
      </c>
      <c r="F3630" s="3843" t="s">
        <v>1989</v>
      </c>
      <c r="G3630" s="3842" t="s">
        <v>1941</v>
      </c>
    </row>
    <row r="3631" spans="1:7">
      <c r="A3631" s="3669"/>
      <c r="B3631" s="3843"/>
      <c r="C3631" s="3843"/>
      <c r="D3631" s="3670"/>
      <c r="E3631" s="3843"/>
      <c r="F3631" s="3670"/>
      <c r="G3631" s="3843"/>
    </row>
    <row r="3632" spans="1:7">
      <c r="A3632" s="1727" t="s">
        <v>2836</v>
      </c>
      <c r="B3632" s="1728" t="s">
        <v>2512</v>
      </c>
      <c r="C3632" s="1724" t="s">
        <v>2837</v>
      </c>
      <c r="D3632" s="1728" t="s">
        <v>1860</v>
      </c>
      <c r="E3632" s="1729">
        <v>0.2</v>
      </c>
      <c r="F3632" s="1726">
        <v>1.34</v>
      </c>
      <c r="G3632" s="1726">
        <v>1.07</v>
      </c>
    </row>
    <row r="3633" spans="1:7">
      <c r="A3633" s="1720"/>
      <c r="B3633" s="504"/>
      <c r="C3633" s="1724"/>
      <c r="D3633" s="504"/>
      <c r="E3633" s="1730"/>
      <c r="F3633" s="1726"/>
      <c r="G3633" s="1726"/>
    </row>
    <row r="3634" spans="1:7">
      <c r="A3634" s="1720"/>
      <c r="B3634" s="504"/>
      <c r="C3634" s="1724"/>
      <c r="D3634" s="504"/>
      <c r="E3634" s="1730"/>
      <c r="F3634" s="1726"/>
      <c r="G3634" s="1726"/>
    </row>
    <row r="3635" spans="1:7">
      <c r="A3635" s="1721"/>
      <c r="B3635" s="635"/>
      <c r="C3635" s="1724"/>
      <c r="D3635" s="635"/>
      <c r="E3635" s="1731"/>
      <c r="F3635" s="1726"/>
      <c r="G3635" s="1726"/>
    </row>
    <row r="3637" spans="1:7">
      <c r="A3637" s="3841" t="s">
        <v>0</v>
      </c>
      <c r="B3637" s="3834" t="s">
        <v>1</v>
      </c>
      <c r="C3637" s="3834" t="s">
        <v>2</v>
      </c>
      <c r="D3637" s="3622" t="s">
        <v>3</v>
      </c>
      <c r="E3637" s="3834" t="s">
        <v>4</v>
      </c>
      <c r="F3637" s="3622" t="s">
        <v>1989</v>
      </c>
      <c r="G3637" s="3834" t="s">
        <v>1941</v>
      </c>
    </row>
    <row r="3638" spans="1:7">
      <c r="A3638" s="3669"/>
      <c r="B3638" s="3622"/>
      <c r="C3638" s="3622"/>
      <c r="D3638" s="3670"/>
      <c r="E3638" s="3622"/>
      <c r="F3638" s="3670"/>
      <c r="G3638" s="3622"/>
    </row>
    <row r="3639" spans="1:7">
      <c r="A3639" s="3567" t="s">
        <v>2852</v>
      </c>
      <c r="B3639" s="3632" t="s">
        <v>2512</v>
      </c>
      <c r="C3639" s="1769" t="s">
        <v>2080</v>
      </c>
      <c r="D3639" s="3632" t="s">
        <v>1860</v>
      </c>
      <c r="E3639" s="3634">
        <v>0.15</v>
      </c>
      <c r="F3639" s="1770">
        <v>0.91</v>
      </c>
      <c r="G3639" s="1770">
        <v>0.77</v>
      </c>
    </row>
    <row r="3640" spans="1:7">
      <c r="A3640" s="3568"/>
      <c r="B3640" s="3527"/>
      <c r="C3640" s="1769" t="s">
        <v>1949</v>
      </c>
      <c r="D3640" s="3527"/>
      <c r="E3640" s="3577"/>
      <c r="F3640" s="1770">
        <v>0.91</v>
      </c>
      <c r="G3640" s="1770">
        <v>0.77</v>
      </c>
    </row>
    <row r="3641" spans="1:7">
      <c r="A3641" s="3680"/>
      <c r="B3641" s="3527"/>
      <c r="C3641" s="1769" t="s">
        <v>1950</v>
      </c>
      <c r="D3641" s="3527"/>
      <c r="E3641" s="3577"/>
      <c r="F3641" s="1770">
        <v>0.91</v>
      </c>
      <c r="G3641" s="1770">
        <v>0.77</v>
      </c>
    </row>
    <row r="3642" spans="1:7">
      <c r="A3642" s="1750"/>
      <c r="B3642" s="3527"/>
      <c r="C3642" s="1769"/>
      <c r="D3642" s="3527"/>
      <c r="E3642" s="3577"/>
      <c r="F3642" s="1770"/>
      <c r="G3642" s="1770"/>
    </row>
    <row r="3643" spans="1:7">
      <c r="A3643" s="1751"/>
      <c r="B3643" s="3683"/>
      <c r="C3643" s="1769"/>
      <c r="D3643" s="3683"/>
      <c r="E3643" s="3684"/>
      <c r="F3643" s="1770"/>
      <c r="G3643" s="1770"/>
    </row>
    <row r="3644" spans="1:7" ht="15.75" thickBot="1"/>
    <row r="3645" spans="1:7">
      <c r="A3645" s="3572"/>
      <c r="B3645" s="3636"/>
      <c r="C3645" s="3636"/>
      <c r="D3645" s="3636"/>
      <c r="E3645" s="3636"/>
      <c r="F3645" s="3559"/>
      <c r="G3645" s="429"/>
    </row>
    <row r="3646" spans="1:7">
      <c r="A3646" s="3840"/>
      <c r="B3646" s="3626"/>
      <c r="C3646" s="3626"/>
      <c r="D3646" s="3626"/>
      <c r="E3646" s="3626"/>
      <c r="F3646" s="3850"/>
      <c r="G3646" s="429"/>
    </row>
    <row r="3647" spans="1:7">
      <c r="A3647" s="1778" t="s">
        <v>2863</v>
      </c>
      <c r="B3647" s="1779" t="s">
        <v>120</v>
      </c>
      <c r="C3647" s="1780" t="s">
        <v>2662</v>
      </c>
      <c r="D3647" s="1781"/>
      <c r="E3647" s="1782">
        <f t="shared" ref="E3647:E3654" si="32">(G3647-F3647)/G3647</f>
        <v>0.35135135135135143</v>
      </c>
      <c r="F3647" s="1783">
        <v>0.72</v>
      </c>
      <c r="G3647" s="436">
        <v>1.1100000000000001</v>
      </c>
    </row>
    <row r="3648" spans="1:7">
      <c r="A3648" s="491"/>
      <c r="B3648" s="1784" t="s">
        <v>121</v>
      </c>
      <c r="C3648" s="1780" t="s">
        <v>1851</v>
      </c>
      <c r="D3648" s="1781"/>
      <c r="E3648" s="1782">
        <f t="shared" si="32"/>
        <v>0.35135135135135143</v>
      </c>
      <c r="F3648" s="1783">
        <v>0.72</v>
      </c>
      <c r="G3648" s="429">
        <v>1.1100000000000001</v>
      </c>
    </row>
    <row r="3649" spans="1:8">
      <c r="A3649" s="491"/>
      <c r="B3649" s="1784" t="s">
        <v>123</v>
      </c>
      <c r="C3649" s="1780" t="s">
        <v>1913</v>
      </c>
      <c r="D3649" s="1781"/>
      <c r="E3649" s="1782">
        <f t="shared" si="32"/>
        <v>0.19767441860465121</v>
      </c>
      <c r="F3649" s="1783">
        <v>0.69</v>
      </c>
      <c r="G3649" s="429">
        <v>0.86</v>
      </c>
    </row>
    <row r="3650" spans="1:8">
      <c r="A3650" s="491"/>
      <c r="B3650" s="1784" t="s">
        <v>122</v>
      </c>
      <c r="C3650" s="1780" t="s">
        <v>473</v>
      </c>
      <c r="D3650" s="1781"/>
      <c r="E3650" s="1782">
        <f t="shared" si="32"/>
        <v>0.19801980198019797</v>
      </c>
      <c r="F3650" s="1783">
        <v>0.81</v>
      </c>
      <c r="G3650" s="528">
        <v>1.01</v>
      </c>
    </row>
    <row r="3651" spans="1:8">
      <c r="A3651" s="491"/>
      <c r="B3651" s="1784"/>
      <c r="C3651" s="2208" t="s">
        <v>1892</v>
      </c>
      <c r="D3651" s="1781"/>
      <c r="E3651" s="1782">
        <f t="shared" si="32"/>
        <v>0.19834710743801653</v>
      </c>
      <c r="F3651" s="1783">
        <v>0.97</v>
      </c>
      <c r="G3651" s="528">
        <v>1.21</v>
      </c>
      <c r="H3651">
        <v>1.05</v>
      </c>
    </row>
    <row r="3652" spans="1:8">
      <c r="A3652" s="491"/>
      <c r="B3652" s="1784"/>
      <c r="C3652" s="1785"/>
      <c r="D3652" s="1784"/>
      <c r="E3652" s="1782" t="e">
        <f t="shared" si="32"/>
        <v>#DIV/0!</v>
      </c>
      <c r="F3652" s="1786"/>
      <c r="G3652" s="528"/>
    </row>
    <row r="3653" spans="1:8">
      <c r="A3653" s="491"/>
      <c r="B3653" s="1784"/>
      <c r="C3653" s="1785"/>
      <c r="D3653" s="1784"/>
      <c r="E3653" s="1782" t="e">
        <f t="shared" si="32"/>
        <v>#DIV/0!</v>
      </c>
      <c r="F3653" s="1786"/>
      <c r="G3653" s="528"/>
    </row>
    <row r="3654" spans="1:8" ht="15.75" thickBot="1">
      <c r="A3654" s="500"/>
      <c r="B3654" s="1787"/>
      <c r="C3654" s="1788"/>
      <c r="D3654" s="1787"/>
      <c r="E3654" s="1789" t="e">
        <f t="shared" si="32"/>
        <v>#DIV/0!</v>
      </c>
      <c r="F3654" s="1790"/>
      <c r="G3654" s="528"/>
    </row>
    <row r="3656" spans="1:8" ht="15.75" thickBot="1"/>
    <row r="3657" spans="1:8">
      <c r="A3657" s="3572" t="s">
        <v>0</v>
      </c>
      <c r="B3657" s="3636" t="s">
        <v>1</v>
      </c>
      <c r="C3657" s="3636" t="s">
        <v>2</v>
      </c>
      <c r="D3657" s="3636" t="s">
        <v>3</v>
      </c>
      <c r="E3657" s="3636" t="s">
        <v>4</v>
      </c>
      <c r="F3657" s="3636" t="s">
        <v>1989</v>
      </c>
      <c r="G3657" s="3559" t="s">
        <v>1941</v>
      </c>
    </row>
    <row r="3658" spans="1:8" ht="15.75" thickBot="1">
      <c r="A3658" s="3844"/>
      <c r="B3658" s="3851"/>
      <c r="C3658" s="3851"/>
      <c r="D3658" s="3851"/>
      <c r="E3658" s="3851"/>
      <c r="F3658" s="3851"/>
      <c r="G3658" s="3848"/>
    </row>
    <row r="3659" spans="1:8">
      <c r="A3659" s="3835" t="s">
        <v>2866</v>
      </c>
      <c r="B3659" s="1806" t="s">
        <v>409</v>
      </c>
      <c r="C3659" s="1807" t="s">
        <v>2662</v>
      </c>
      <c r="D3659" s="3854" t="s">
        <v>1860</v>
      </c>
      <c r="E3659" s="1808">
        <f>(F3659-G3659)/F3659</f>
        <v>0.25225225225225234</v>
      </c>
      <c r="F3659" s="1809">
        <v>1.1100000000000001</v>
      </c>
      <c r="G3659" s="1810">
        <v>0.83</v>
      </c>
    </row>
    <row r="3660" spans="1:8">
      <c r="A3660" s="3853"/>
      <c r="B3660" s="1811" t="s">
        <v>921</v>
      </c>
      <c r="C3660" s="1812" t="s">
        <v>1851</v>
      </c>
      <c r="D3660" s="3855"/>
      <c r="E3660" s="1813">
        <f t="shared" ref="E3660:E3665" si="33">(F3660-G3660)/F3660</f>
        <v>0.25225225225225234</v>
      </c>
      <c r="F3660" s="1814">
        <v>1.1100000000000001</v>
      </c>
      <c r="G3660" s="1815">
        <v>0.83</v>
      </c>
    </row>
    <row r="3661" spans="1:8">
      <c r="A3661" s="3853"/>
      <c r="B3661" s="1811" t="s">
        <v>534</v>
      </c>
      <c r="C3661" s="1812" t="s">
        <v>905</v>
      </c>
      <c r="D3661" s="3855"/>
      <c r="E3661" s="1813">
        <f t="shared" si="33"/>
        <v>0.19512195121951212</v>
      </c>
      <c r="F3661" s="1814">
        <v>0.82</v>
      </c>
      <c r="G3661" s="1815">
        <v>0.66</v>
      </c>
    </row>
    <row r="3662" spans="1:8">
      <c r="A3662" s="3853"/>
      <c r="B3662" s="1811"/>
      <c r="C3662" s="1812" t="s">
        <v>730</v>
      </c>
      <c r="D3662" s="3855"/>
      <c r="E3662" s="1813">
        <f t="shared" si="33"/>
        <v>0.23255813953488366</v>
      </c>
      <c r="F3662" s="1814">
        <v>0.86</v>
      </c>
      <c r="G3662" s="1815">
        <v>0.66</v>
      </c>
    </row>
    <row r="3663" spans="1:8">
      <c r="A3663" s="3853"/>
      <c r="B3663" s="1811"/>
      <c r="C3663" s="1812" t="s">
        <v>554</v>
      </c>
      <c r="D3663" s="3855"/>
      <c r="E3663" s="1813">
        <f t="shared" si="33"/>
        <v>0.22764227642276424</v>
      </c>
      <c r="F3663" s="1814">
        <v>1.23</v>
      </c>
      <c r="G3663" s="1815">
        <v>0.95</v>
      </c>
    </row>
    <row r="3664" spans="1:8">
      <c r="A3664" s="3853"/>
      <c r="B3664" s="1811"/>
      <c r="C3664" s="1816"/>
      <c r="D3664" s="3855"/>
      <c r="E3664" s="1813" t="e">
        <f t="shared" si="33"/>
        <v>#DIV/0!</v>
      </c>
      <c r="F3664" s="1814"/>
      <c r="G3664" s="1817"/>
    </row>
    <row r="3665" spans="1:7" ht="15.75" thickBot="1">
      <c r="A3665" s="3654"/>
      <c r="B3665" s="1818"/>
      <c r="C3665" s="1819"/>
      <c r="D3665" s="3856"/>
      <c r="E3665" s="1820" t="e">
        <f t="shared" si="33"/>
        <v>#DIV/0!</v>
      </c>
      <c r="F3665" s="1821"/>
      <c r="G3665" s="1494"/>
    </row>
    <row r="3667" spans="1:7" ht="15.75" thickBot="1"/>
    <row r="3668" spans="1:7">
      <c r="A3668" s="3572" t="s">
        <v>0</v>
      </c>
      <c r="B3668" s="3636" t="s">
        <v>1</v>
      </c>
      <c r="C3668" s="3636" t="s">
        <v>2</v>
      </c>
      <c r="D3668" s="3636" t="s">
        <v>3</v>
      </c>
      <c r="E3668" s="3636" t="s">
        <v>4</v>
      </c>
      <c r="F3668" s="3636" t="s">
        <v>1989</v>
      </c>
      <c r="G3668" s="3559" t="s">
        <v>1941</v>
      </c>
    </row>
    <row r="3669" spans="1:7" ht="15.75" thickBot="1">
      <c r="A3669" s="3844"/>
      <c r="B3669" s="3845"/>
      <c r="C3669" s="3845"/>
      <c r="D3669" s="3845"/>
      <c r="E3669" s="3845"/>
      <c r="F3669" s="3845"/>
      <c r="G3669" s="3848"/>
    </row>
    <row r="3670" spans="1:7">
      <c r="A3670" s="3835" t="s">
        <v>2883</v>
      </c>
      <c r="B3670" s="1806" t="s">
        <v>2701</v>
      </c>
      <c r="C3670" s="2015" t="s">
        <v>1892</v>
      </c>
      <c r="D3670" s="3837" t="s">
        <v>1860</v>
      </c>
      <c r="E3670" s="1888">
        <f>(F3670-G3670)/F3670</f>
        <v>0.2990654205607477</v>
      </c>
      <c r="F3670" s="1889">
        <v>1.07</v>
      </c>
      <c r="G3670" s="1890">
        <v>0.75</v>
      </c>
    </row>
    <row r="3671" spans="1:7">
      <c r="A3671" s="3836"/>
      <c r="B3671" s="1891"/>
      <c r="C3671" s="2015" t="s">
        <v>2387</v>
      </c>
      <c r="D3671" s="3838"/>
      <c r="E3671" s="1892">
        <f>(F3671-G3671)/F3671</f>
        <v>0.11976047904191614</v>
      </c>
      <c r="F3671" s="1893">
        <v>1.67</v>
      </c>
      <c r="G3671" s="1890">
        <v>1.47</v>
      </c>
    </row>
    <row r="3672" spans="1:7">
      <c r="A3672" s="3836"/>
      <c r="B3672" s="1891"/>
      <c r="C3672" s="2015" t="s">
        <v>2743</v>
      </c>
      <c r="D3672" s="3838"/>
      <c r="E3672" s="1892">
        <f>(F3672-G3672)/F3672</f>
        <v>0.25352112676056332</v>
      </c>
      <c r="F3672" s="1893">
        <v>0.71</v>
      </c>
      <c r="G3672" s="1890">
        <v>0.53</v>
      </c>
    </row>
    <row r="3673" spans="1:7" ht="15.75" thickBot="1">
      <c r="A3673" s="3654"/>
      <c r="B3673" s="1894"/>
      <c r="C3673" s="1895"/>
      <c r="D3673" s="3839"/>
      <c r="E3673" s="1896" t="e">
        <f>(F3673-G3673)/F3673</f>
        <v>#DIV/0!</v>
      </c>
      <c r="F3673" s="1897"/>
      <c r="G3673" s="1898"/>
    </row>
    <row r="3676" spans="1:7">
      <c r="A3676" s="3857" t="s">
        <v>0</v>
      </c>
      <c r="B3676" s="3834" t="s">
        <v>1</v>
      </c>
      <c r="C3676" s="3834" t="s">
        <v>2</v>
      </c>
      <c r="D3676" s="3622" t="s">
        <v>3</v>
      </c>
      <c r="E3676" s="3834" t="s">
        <v>4</v>
      </c>
      <c r="F3676" s="3622" t="s">
        <v>1989</v>
      </c>
      <c r="G3676" s="3834" t="s">
        <v>1941</v>
      </c>
    </row>
    <row r="3677" spans="1:7">
      <c r="A3677" s="3669"/>
      <c r="B3677" s="3622"/>
      <c r="C3677" s="3622"/>
      <c r="D3677" s="3670"/>
      <c r="E3677" s="3622"/>
      <c r="F3677" s="3670"/>
      <c r="G3677" s="3622"/>
    </row>
    <row r="3678" spans="1:7">
      <c r="A3678" s="3567" t="s">
        <v>2889</v>
      </c>
      <c r="B3678" s="3632" t="s">
        <v>2512</v>
      </c>
      <c r="C3678" s="1769" t="s">
        <v>2827</v>
      </c>
      <c r="D3678" s="3632" t="s">
        <v>1860</v>
      </c>
      <c r="E3678" s="3634">
        <v>0.2</v>
      </c>
      <c r="F3678" s="1770">
        <v>1.6</v>
      </c>
      <c r="G3678" s="1770">
        <v>1.28</v>
      </c>
    </row>
    <row r="3679" spans="1:7">
      <c r="A3679" s="3568"/>
      <c r="B3679" s="3527"/>
      <c r="C3679" s="1769" t="s">
        <v>2115</v>
      </c>
      <c r="D3679" s="3527"/>
      <c r="E3679" s="3577"/>
      <c r="F3679" s="1770">
        <v>1.6</v>
      </c>
      <c r="G3679" s="1770">
        <v>1.28</v>
      </c>
    </row>
    <row r="3680" spans="1:7">
      <c r="A3680" s="3680"/>
      <c r="B3680" s="3527"/>
      <c r="C3680" s="1769" t="s">
        <v>2890</v>
      </c>
      <c r="D3680" s="3527"/>
      <c r="E3680" s="3577"/>
      <c r="F3680" s="1770">
        <v>1.6</v>
      </c>
      <c r="G3680" s="1770">
        <v>1.28</v>
      </c>
    </row>
    <row r="3681" spans="1:7">
      <c r="A3681" s="1915"/>
      <c r="B3681" s="3527"/>
      <c r="C3681" s="1769" t="s">
        <v>2116</v>
      </c>
      <c r="D3681" s="3527"/>
      <c r="E3681" s="3577"/>
      <c r="F3681" s="1770">
        <v>1.6</v>
      </c>
      <c r="G3681" s="1770">
        <v>1.28</v>
      </c>
    </row>
    <row r="3682" spans="1:7">
      <c r="A3682" s="1915"/>
      <c r="B3682" s="3527"/>
      <c r="C3682" s="1769" t="s">
        <v>2871</v>
      </c>
      <c r="D3682" s="3527"/>
      <c r="E3682" s="3577"/>
      <c r="F3682" s="1770">
        <v>1.6</v>
      </c>
      <c r="G3682" s="1770">
        <v>1.28</v>
      </c>
    </row>
    <row r="3683" spans="1:7">
      <c r="A3683" s="1916"/>
      <c r="B3683" s="3683"/>
      <c r="C3683" s="1769" t="s">
        <v>2066</v>
      </c>
      <c r="D3683" s="3683"/>
      <c r="E3683" s="3684"/>
      <c r="F3683" s="1770">
        <v>1.6</v>
      </c>
      <c r="G3683" s="1770">
        <v>1.28</v>
      </c>
    </row>
    <row r="3686" spans="1:7">
      <c r="A3686" s="3860" t="s">
        <v>0</v>
      </c>
      <c r="B3686" s="3849" t="s">
        <v>1</v>
      </c>
      <c r="C3686" s="3849" t="s">
        <v>2</v>
      </c>
      <c r="D3686" s="3622" t="s">
        <v>3</v>
      </c>
      <c r="E3686" s="3849" t="s">
        <v>4</v>
      </c>
      <c r="F3686" s="3622" t="s">
        <v>1989</v>
      </c>
      <c r="G3686" s="3849" t="s">
        <v>1941</v>
      </c>
    </row>
    <row r="3687" spans="1:7">
      <c r="A3687" s="3669"/>
      <c r="B3687" s="3622"/>
      <c r="C3687" s="3622"/>
      <c r="D3687" s="3670"/>
      <c r="E3687" s="3622"/>
      <c r="F3687" s="3670"/>
      <c r="G3687" s="3622"/>
    </row>
    <row r="3688" spans="1:7">
      <c r="A3688" s="3567" t="s">
        <v>2901</v>
      </c>
      <c r="B3688" s="3632" t="s">
        <v>2701</v>
      </c>
      <c r="C3688" s="1950" t="s">
        <v>2902</v>
      </c>
      <c r="D3688" s="3632" t="s">
        <v>1860</v>
      </c>
      <c r="E3688" s="3688">
        <v>0.2</v>
      </c>
      <c r="F3688" s="3644">
        <v>7.49</v>
      </c>
      <c r="G3688" s="3644">
        <v>5.39</v>
      </c>
    </row>
    <row r="3689" spans="1:7">
      <c r="A3689" s="3568"/>
      <c r="B3689" s="3527"/>
      <c r="C3689" s="1950" t="s">
        <v>2903</v>
      </c>
      <c r="D3689" s="3527"/>
      <c r="E3689" s="3634"/>
      <c r="F3689" s="3582"/>
      <c r="G3689" s="3582"/>
    </row>
    <row r="3690" spans="1:7">
      <c r="A3690" s="3568"/>
      <c r="B3690" s="3527"/>
      <c r="C3690" s="1950" t="s">
        <v>2904</v>
      </c>
      <c r="D3690" s="3527"/>
      <c r="E3690" s="1951">
        <v>0.19</v>
      </c>
      <c r="F3690" s="1952">
        <v>16.079999999999998</v>
      </c>
      <c r="G3690" s="1952">
        <v>13.02</v>
      </c>
    </row>
    <row r="3691" spans="1:7">
      <c r="A3691" s="3568"/>
      <c r="B3691" s="3527"/>
      <c r="C3691" s="1950" t="s">
        <v>2905</v>
      </c>
      <c r="D3691" s="3527"/>
      <c r="E3691" s="3688">
        <v>0.19</v>
      </c>
      <c r="F3691" s="3689">
        <v>11.33</v>
      </c>
      <c r="G3691" s="3689">
        <v>9.18</v>
      </c>
    </row>
    <row r="3692" spans="1:7">
      <c r="A3692" s="3568"/>
      <c r="B3692" s="3527"/>
      <c r="C3692" s="1950" t="s">
        <v>2906</v>
      </c>
      <c r="D3692" s="3527"/>
      <c r="E3692" s="3688"/>
      <c r="F3692" s="3689"/>
      <c r="G3692" s="3689"/>
    </row>
    <row r="3693" spans="1:7">
      <c r="A3693" s="3568"/>
      <c r="B3693" s="3527"/>
      <c r="C3693" s="1950" t="s">
        <v>2907</v>
      </c>
      <c r="D3693" s="3527"/>
      <c r="E3693" s="3634">
        <v>0.17</v>
      </c>
      <c r="F3693" s="3644">
        <v>6.74</v>
      </c>
      <c r="G3693" s="3644">
        <v>5.59</v>
      </c>
    </row>
    <row r="3694" spans="1:7">
      <c r="A3694" s="3568"/>
      <c r="B3694" s="3527"/>
      <c r="C3694" s="1950" t="s">
        <v>2908</v>
      </c>
      <c r="D3694" s="3527"/>
      <c r="E3694" s="3577"/>
      <c r="F3694" s="3582"/>
      <c r="G3694" s="3582"/>
    </row>
    <row r="3695" spans="1:7">
      <c r="A3695" s="3568"/>
      <c r="B3695" s="3527"/>
      <c r="C3695" s="1950" t="s">
        <v>2192</v>
      </c>
      <c r="D3695" s="3527"/>
      <c r="E3695" s="3577"/>
      <c r="F3695" s="3582"/>
      <c r="G3695" s="3582"/>
    </row>
    <row r="3696" spans="1:7">
      <c r="A3696" s="3568"/>
      <c r="B3696" s="3527"/>
      <c r="C3696" s="1950" t="s">
        <v>2194</v>
      </c>
      <c r="D3696" s="3527"/>
      <c r="E3696" s="3577"/>
      <c r="F3696" s="3582"/>
      <c r="G3696" s="3582"/>
    </row>
    <row r="3697" spans="1:7">
      <c r="A3697" s="3568"/>
      <c r="B3697" s="3527"/>
      <c r="C3697" s="1950" t="s">
        <v>2266</v>
      </c>
      <c r="D3697" s="3527"/>
      <c r="E3697" s="3577"/>
      <c r="F3697" s="3582"/>
      <c r="G3697" s="3582"/>
    </row>
    <row r="3698" spans="1:7">
      <c r="A3698" s="3568"/>
      <c r="B3698" s="3527"/>
      <c r="C3698" s="1950" t="s">
        <v>2359</v>
      </c>
      <c r="D3698" s="3527"/>
      <c r="E3698" s="3684"/>
      <c r="F3698" s="3685"/>
      <c r="G3698" s="3685"/>
    </row>
    <row r="3699" spans="1:7">
      <c r="A3699" s="3568"/>
      <c r="B3699" s="3527"/>
      <c r="C3699" s="1950" t="s">
        <v>2297</v>
      </c>
      <c r="D3699" s="3527"/>
      <c r="E3699" s="3634">
        <v>0.18</v>
      </c>
      <c r="F3699" s="3644">
        <v>24.81</v>
      </c>
      <c r="G3699" s="3644">
        <v>20.34</v>
      </c>
    </row>
    <row r="3700" spans="1:7">
      <c r="A3700" s="3568"/>
      <c r="B3700" s="3527"/>
      <c r="C3700" s="1950" t="s">
        <v>2298</v>
      </c>
      <c r="D3700" s="3527"/>
      <c r="E3700" s="3577"/>
      <c r="F3700" s="3582"/>
      <c r="G3700" s="3582"/>
    </row>
    <row r="3701" spans="1:7">
      <c r="A3701" s="3568"/>
      <c r="B3701" s="3527"/>
      <c r="C3701" s="1950" t="s">
        <v>2299</v>
      </c>
      <c r="D3701" s="3527"/>
      <c r="E3701" s="3577"/>
      <c r="F3701" s="3582"/>
      <c r="G3701" s="3582"/>
    </row>
    <row r="3702" spans="1:7">
      <c r="A3702" s="3568"/>
      <c r="B3702" s="3527"/>
      <c r="C3702" s="1950" t="s">
        <v>2702</v>
      </c>
      <c r="D3702" s="3527"/>
      <c r="E3702" s="3577"/>
      <c r="F3702" s="3582"/>
      <c r="G3702" s="3582"/>
    </row>
    <row r="3703" spans="1:7">
      <c r="A3703" s="3680"/>
      <c r="B3703" s="3683"/>
      <c r="C3703" s="1950" t="s">
        <v>2703</v>
      </c>
      <c r="D3703" s="3683"/>
      <c r="E3703" s="3684"/>
      <c r="F3703" s="3685"/>
      <c r="G3703" s="3685"/>
    </row>
    <row r="3704" spans="1:7" ht="15.75" thickBot="1"/>
    <row r="3705" spans="1:7">
      <c r="A3705" s="3572"/>
      <c r="B3705" s="3636"/>
      <c r="C3705" s="3636"/>
      <c r="D3705" s="3636"/>
      <c r="E3705" s="3636"/>
      <c r="F3705" s="3559"/>
      <c r="G3705" s="429"/>
    </row>
    <row r="3706" spans="1:7">
      <c r="A3706" s="3859"/>
      <c r="B3706" s="3626"/>
      <c r="C3706" s="3626"/>
      <c r="D3706" s="3626"/>
      <c r="E3706" s="3626"/>
      <c r="F3706" s="3627"/>
      <c r="G3706" s="429"/>
    </row>
    <row r="3707" spans="1:7">
      <c r="A3707" s="1927" t="s">
        <v>2899</v>
      </c>
      <c r="B3707" s="1928" t="s">
        <v>120</v>
      </c>
      <c r="C3707" s="1929" t="s">
        <v>623</v>
      </c>
      <c r="D3707" s="1930"/>
      <c r="E3707" s="1931">
        <f t="shared" ref="E3707:E3714" si="34">(G3707-F3707)/G3707</f>
        <v>0.19879518072289148</v>
      </c>
      <c r="F3707" s="1930">
        <v>1.33</v>
      </c>
      <c r="G3707" s="436">
        <v>1.66</v>
      </c>
    </row>
    <row r="3708" spans="1:7">
      <c r="A3708" s="491"/>
      <c r="B3708" s="1932" t="s">
        <v>121</v>
      </c>
      <c r="C3708" s="1929" t="s">
        <v>906</v>
      </c>
      <c r="D3708" s="1930"/>
      <c r="E3708" s="1931">
        <f t="shared" si="34"/>
        <v>0.20353982300884946</v>
      </c>
      <c r="F3708" s="1930">
        <v>0.9</v>
      </c>
      <c r="G3708" s="429">
        <v>1.1299999999999999</v>
      </c>
    </row>
    <row r="3709" spans="1:7">
      <c r="A3709" s="491"/>
      <c r="B3709" s="1932" t="s">
        <v>123</v>
      </c>
      <c r="C3709" s="1929" t="s">
        <v>2560</v>
      </c>
      <c r="D3709" s="1930"/>
      <c r="E3709" s="1931">
        <f t="shared" si="34"/>
        <v>0.20138888888888892</v>
      </c>
      <c r="F3709" s="1930">
        <v>2.2999999999999998</v>
      </c>
      <c r="G3709" s="429">
        <v>2.88</v>
      </c>
    </row>
    <row r="3710" spans="1:7">
      <c r="A3710" s="491"/>
      <c r="B3710" s="1932" t="s">
        <v>122</v>
      </c>
      <c r="C3710" s="1929" t="s">
        <v>1067</v>
      </c>
      <c r="D3710" s="1930"/>
      <c r="E3710" s="1931">
        <f t="shared" si="34"/>
        <v>0.20000000000000004</v>
      </c>
      <c r="F3710" s="1930">
        <v>1.44</v>
      </c>
      <c r="G3710" s="528">
        <v>1.8</v>
      </c>
    </row>
    <row r="3711" spans="1:7">
      <c r="A3711" s="491"/>
      <c r="B3711" s="1932"/>
      <c r="C3711" s="1929" t="s">
        <v>2748</v>
      </c>
      <c r="D3711" s="1930"/>
      <c r="E3711" s="1931">
        <f t="shared" si="34"/>
        <v>0.19607843137254907</v>
      </c>
      <c r="F3711" s="1930">
        <v>0.41</v>
      </c>
      <c r="G3711" s="528">
        <v>0.51</v>
      </c>
    </row>
    <row r="3712" spans="1:7">
      <c r="A3712" s="491"/>
      <c r="B3712" s="1932"/>
      <c r="C3712" s="1929" t="s">
        <v>554</v>
      </c>
      <c r="D3712" s="1930"/>
      <c r="E3712" s="1931">
        <f t="shared" si="34"/>
        <v>0.2032520325203252</v>
      </c>
      <c r="F3712" s="1930">
        <v>0.98</v>
      </c>
      <c r="G3712" s="528">
        <v>1.23</v>
      </c>
    </row>
    <row r="3713" spans="1:7">
      <c r="A3713" s="491"/>
      <c r="B3713" s="1932"/>
      <c r="C3713" s="1933"/>
      <c r="D3713" s="1933"/>
      <c r="E3713" s="1931" t="e">
        <f t="shared" si="34"/>
        <v>#DIV/0!</v>
      </c>
      <c r="F3713" s="1934"/>
      <c r="G3713" s="528"/>
    </row>
    <row r="3714" spans="1:7" ht="15.75" thickBot="1">
      <c r="A3714" s="500"/>
      <c r="B3714" s="1935"/>
      <c r="C3714" s="1936"/>
      <c r="D3714" s="1935"/>
      <c r="E3714" s="1937" t="e">
        <f t="shared" si="34"/>
        <v>#DIV/0!</v>
      </c>
      <c r="F3714" s="1790"/>
      <c r="G3714" s="528"/>
    </row>
    <row r="3715" spans="1:7" ht="15.75" thickBot="1"/>
    <row r="3716" spans="1:7">
      <c r="A3716" s="3516" t="s">
        <v>0</v>
      </c>
      <c r="B3716" s="3518" t="s">
        <v>1</v>
      </c>
      <c r="C3716" s="3518" t="s">
        <v>2</v>
      </c>
      <c r="D3716" s="3520" t="s">
        <v>3</v>
      </c>
      <c r="E3716" s="3518" t="s">
        <v>4</v>
      </c>
      <c r="F3716" s="3520" t="s">
        <v>1989</v>
      </c>
      <c r="G3716" s="3522" t="s">
        <v>1941</v>
      </c>
    </row>
    <row r="3717" spans="1:7">
      <c r="A3717" s="3669"/>
      <c r="B3717" s="3608"/>
      <c r="C3717" s="3608"/>
      <c r="D3717" s="3670"/>
      <c r="E3717" s="3608"/>
      <c r="F3717" s="3670"/>
      <c r="G3717" s="3607"/>
    </row>
    <row r="3718" spans="1:7">
      <c r="A3718" s="3671" t="s">
        <v>2930</v>
      </c>
      <c r="B3718" s="3613" t="s">
        <v>2701</v>
      </c>
      <c r="C3718" s="1769" t="s">
        <v>2931</v>
      </c>
      <c r="D3718" s="3613" t="s">
        <v>1860</v>
      </c>
      <c r="E3718" s="3867">
        <v>0.25</v>
      </c>
      <c r="F3718" s="3869">
        <v>3.07</v>
      </c>
      <c r="G3718" s="3672">
        <v>2.2999999999999998</v>
      </c>
    </row>
    <row r="3719" spans="1:7">
      <c r="A3719" s="3536"/>
      <c r="B3719" s="3527"/>
      <c r="C3719" s="2013" t="s">
        <v>2740</v>
      </c>
      <c r="D3719" s="3527"/>
      <c r="E3719" s="3645"/>
      <c r="F3719" s="3651"/>
      <c r="G3719" s="3672"/>
    </row>
    <row r="3720" spans="1:7">
      <c r="A3720" s="3536"/>
      <c r="B3720" s="3527"/>
      <c r="C3720" s="2013" t="s">
        <v>2741</v>
      </c>
      <c r="D3720" s="3527"/>
      <c r="E3720" s="3645"/>
      <c r="F3720" s="3651"/>
      <c r="G3720" s="3672"/>
    </row>
    <row r="3721" spans="1:7" ht="15.75" thickBot="1">
      <c r="A3721" s="3537"/>
      <c r="B3721" s="3528"/>
      <c r="C3721" s="2014" t="s">
        <v>2932</v>
      </c>
      <c r="D3721" s="3528"/>
      <c r="E3721" s="3868"/>
      <c r="F3721" s="3870"/>
      <c r="G3721" s="3664"/>
    </row>
    <row r="3722" spans="1:7" ht="15.75" thickBot="1"/>
    <row r="3723" spans="1:7">
      <c r="A3723" s="3572"/>
      <c r="B3723" s="3636"/>
      <c r="C3723" s="3636"/>
      <c r="D3723" s="3636"/>
      <c r="E3723" s="3636"/>
      <c r="F3723" s="3559"/>
      <c r="G3723" s="429"/>
    </row>
    <row r="3724" spans="1:7">
      <c r="A3724" s="3677"/>
      <c r="B3724" s="3628"/>
      <c r="C3724" s="3628"/>
      <c r="D3724" s="3628"/>
      <c r="E3724" s="3628"/>
      <c r="F3724" s="3629"/>
      <c r="G3724" s="429"/>
    </row>
    <row r="3725" spans="1:7">
      <c r="A3725" s="2037" t="s">
        <v>2936</v>
      </c>
      <c r="B3725" s="1779" t="s">
        <v>120</v>
      </c>
      <c r="C3725" s="2005" t="s">
        <v>1891</v>
      </c>
      <c r="D3725" s="2038"/>
      <c r="E3725" s="2039">
        <f t="shared" ref="E3725:E3732" si="35">(G3725-F3725)/G3725</f>
        <v>0.19834710743801653</v>
      </c>
      <c r="F3725" s="2038">
        <v>0.97</v>
      </c>
      <c r="G3725" s="436">
        <v>1.21</v>
      </c>
    </row>
    <row r="3726" spans="1:7">
      <c r="A3726" s="491"/>
      <c r="B3726" s="2040" t="s">
        <v>121</v>
      </c>
      <c r="C3726" s="2005" t="s">
        <v>1904</v>
      </c>
      <c r="D3726" s="2038"/>
      <c r="E3726" s="2039">
        <f t="shared" si="35"/>
        <v>0.15483870967741933</v>
      </c>
      <c r="F3726" s="2038">
        <v>1.31</v>
      </c>
      <c r="G3726" s="429">
        <v>1.55</v>
      </c>
    </row>
    <row r="3727" spans="1:7">
      <c r="A3727" s="491"/>
      <c r="B3727" s="2040" t="s">
        <v>123</v>
      </c>
      <c r="C3727" s="1642" t="s">
        <v>1091</v>
      </c>
      <c r="D3727" s="2038"/>
      <c r="E3727" s="2039">
        <f t="shared" si="35"/>
        <v>0.20000000000000004</v>
      </c>
      <c r="F3727" s="2038">
        <v>1.2</v>
      </c>
      <c r="G3727" s="429">
        <v>1.5</v>
      </c>
    </row>
    <row r="3728" spans="1:7">
      <c r="A3728" s="491"/>
      <c r="B3728" s="2040" t="s">
        <v>122</v>
      </c>
      <c r="C3728" s="1642" t="s">
        <v>572</v>
      </c>
      <c r="D3728" s="2038"/>
      <c r="E3728" s="2039">
        <f t="shared" si="35"/>
        <v>0.203125</v>
      </c>
      <c r="F3728" s="2038">
        <v>1.02</v>
      </c>
      <c r="G3728" s="528">
        <v>1.28</v>
      </c>
    </row>
    <row r="3729" spans="1:7">
      <c r="A3729" s="491"/>
      <c r="B3729" s="2040" t="s">
        <v>2057</v>
      </c>
      <c r="C3729" s="1642" t="s">
        <v>730</v>
      </c>
      <c r="D3729" s="2038"/>
      <c r="E3729" s="2039">
        <f t="shared" si="35"/>
        <v>0.19540229885057475</v>
      </c>
      <c r="F3729" s="2038">
        <v>0.7</v>
      </c>
      <c r="G3729" s="528">
        <v>0.87</v>
      </c>
    </row>
    <row r="3730" spans="1:7">
      <c r="A3730" s="491"/>
      <c r="B3730" s="2040"/>
      <c r="C3730" s="1642" t="s">
        <v>470</v>
      </c>
      <c r="D3730" s="2038"/>
      <c r="E3730" s="2039">
        <f t="shared" si="35"/>
        <v>0.19801980198019797</v>
      </c>
      <c r="F3730" s="2038">
        <v>0.81</v>
      </c>
      <c r="G3730" s="528">
        <v>1.01</v>
      </c>
    </row>
    <row r="3731" spans="1:7">
      <c r="A3731" s="491"/>
      <c r="B3731" s="2040"/>
      <c r="C3731" s="1642" t="s">
        <v>2462</v>
      </c>
      <c r="D3731" s="1933"/>
      <c r="E3731" s="2039">
        <f t="shared" si="35"/>
        <v>0.20279720279720284</v>
      </c>
      <c r="F3731" s="2038">
        <v>1.1399999999999999</v>
      </c>
      <c r="G3731" s="528">
        <v>1.43</v>
      </c>
    </row>
    <row r="3732" spans="1:7" ht="15.75" thickBot="1">
      <c r="A3732" s="500"/>
      <c r="B3732" s="2041"/>
      <c r="C3732" s="2042"/>
      <c r="D3732" s="2041"/>
      <c r="E3732" s="2043" t="e">
        <f t="shared" si="35"/>
        <v>#DIV/0!</v>
      </c>
      <c r="F3732" s="1790"/>
      <c r="G3732" s="528"/>
    </row>
    <row r="3735" spans="1:7">
      <c r="A3735" s="3673" t="s">
        <v>0</v>
      </c>
      <c r="B3735" s="3674" t="s">
        <v>1</v>
      </c>
      <c r="C3735" s="3674" t="s">
        <v>2</v>
      </c>
      <c r="D3735" s="3622" t="s">
        <v>3</v>
      </c>
      <c r="E3735" s="3674" t="s">
        <v>4</v>
      </c>
      <c r="F3735" s="3622" t="s">
        <v>1989</v>
      </c>
      <c r="G3735" s="3674" t="s">
        <v>1941</v>
      </c>
    </row>
    <row r="3736" spans="1:7">
      <c r="A3736" s="3517"/>
      <c r="B3736" s="3622"/>
      <c r="C3736" s="3622"/>
      <c r="D3736" s="3521"/>
      <c r="E3736" s="3622"/>
      <c r="F3736" s="3521"/>
      <c r="G3736" s="3622"/>
    </row>
    <row r="3737" spans="1:7">
      <c r="A3737" s="3567" t="s">
        <v>2942</v>
      </c>
      <c r="B3737" s="3632" t="s">
        <v>2512</v>
      </c>
      <c r="C3737" s="2069" t="s">
        <v>2943</v>
      </c>
      <c r="D3737" s="3632" t="s">
        <v>1860</v>
      </c>
      <c r="E3737" s="3634">
        <v>0.15</v>
      </c>
      <c r="F3737" s="2070">
        <v>33.909999999999997</v>
      </c>
      <c r="G3737" s="2070">
        <v>28.82</v>
      </c>
    </row>
    <row r="3738" spans="1:7">
      <c r="A3738" s="3568"/>
      <c r="B3738" s="3527"/>
      <c r="C3738" s="2069" t="s">
        <v>2944</v>
      </c>
      <c r="D3738" s="3527"/>
      <c r="E3738" s="3577"/>
      <c r="F3738" s="2070">
        <v>29.01</v>
      </c>
      <c r="G3738" s="2070">
        <v>24.66</v>
      </c>
    </row>
    <row r="3739" spans="1:7">
      <c r="A3739" s="3568"/>
      <c r="B3739" s="3527"/>
      <c r="C3739" s="2069" t="s">
        <v>2945</v>
      </c>
      <c r="D3739" s="3527"/>
      <c r="E3739" s="3577"/>
      <c r="F3739" s="2070">
        <v>11.96</v>
      </c>
      <c r="G3739" s="2070">
        <v>10.17</v>
      </c>
    </row>
    <row r="3740" spans="1:7">
      <c r="A3740" s="3568"/>
      <c r="B3740" s="3527"/>
      <c r="C3740" s="2069" t="s">
        <v>2946</v>
      </c>
      <c r="D3740" s="3527"/>
      <c r="E3740" s="3577"/>
      <c r="F3740" s="2070">
        <v>10.01</v>
      </c>
      <c r="G3740" s="2070">
        <v>8.51</v>
      </c>
    </row>
    <row r="3741" spans="1:7" ht="30">
      <c r="A3741" s="3568"/>
      <c r="B3741" s="3527"/>
      <c r="C3741" s="2069" t="s">
        <v>2947</v>
      </c>
      <c r="D3741" s="3527"/>
      <c r="E3741" s="3659">
        <v>0.2</v>
      </c>
      <c r="F3741" s="2070">
        <v>1.82</v>
      </c>
      <c r="G3741" s="2070">
        <v>1.46</v>
      </c>
    </row>
    <row r="3742" spans="1:7" ht="30">
      <c r="A3742" s="3568"/>
      <c r="B3742" s="3527"/>
      <c r="C3742" s="2069" t="s">
        <v>2948</v>
      </c>
      <c r="D3742" s="3527"/>
      <c r="E3742" s="3659"/>
      <c r="F3742" s="2070">
        <v>1.82</v>
      </c>
      <c r="G3742" s="2070">
        <v>1.46</v>
      </c>
    </row>
    <row r="3743" spans="1:7" ht="30">
      <c r="A3743" s="3568"/>
      <c r="B3743" s="3527"/>
      <c r="C3743" s="2069" t="s">
        <v>2949</v>
      </c>
      <c r="D3743" s="3527"/>
      <c r="E3743" s="3659"/>
      <c r="F3743" s="2070">
        <v>1.82</v>
      </c>
      <c r="G3743" s="2070">
        <v>1.46</v>
      </c>
    </row>
    <row r="3744" spans="1:7" ht="30">
      <c r="A3744" s="3569"/>
      <c r="B3744" s="3534"/>
      <c r="C3744" s="2069" t="s">
        <v>2950</v>
      </c>
      <c r="D3744" s="3534"/>
      <c r="E3744" s="3659"/>
      <c r="F3744" s="2070">
        <v>1.82</v>
      </c>
      <c r="G3744" s="2070">
        <v>1.46</v>
      </c>
    </row>
    <row r="3747" spans="1:8">
      <c r="A3747" s="3878" t="s">
        <v>0</v>
      </c>
      <c r="B3747" s="3666" t="s">
        <v>1</v>
      </c>
      <c r="C3747" s="3666" t="s">
        <v>2</v>
      </c>
      <c r="D3747" s="3622" t="s">
        <v>3</v>
      </c>
      <c r="E3747" s="3666" t="s">
        <v>4</v>
      </c>
      <c r="F3747" s="3622" t="s">
        <v>1989</v>
      </c>
      <c r="G3747" s="3666" t="s">
        <v>1941</v>
      </c>
    </row>
    <row r="3748" spans="1:8">
      <c r="A3748" s="3544"/>
      <c r="B3748" s="3666"/>
      <c r="C3748" s="3622"/>
      <c r="D3748" s="3670"/>
      <c r="E3748" s="3622"/>
      <c r="F3748" s="3670"/>
      <c r="G3748" s="3622"/>
    </row>
    <row r="3749" spans="1:8" ht="30">
      <c r="A3749" s="3668" t="s">
        <v>2963</v>
      </c>
      <c r="B3749" s="3668" t="s">
        <v>202</v>
      </c>
      <c r="C3749" s="2103" t="s">
        <v>2804</v>
      </c>
      <c r="D3749" s="2104" t="s">
        <v>1860</v>
      </c>
      <c r="E3749" s="2105">
        <f>(F3749-G3749)/F3749</f>
        <v>0.35135135135135137</v>
      </c>
      <c r="F3749" s="2106">
        <v>1.48</v>
      </c>
      <c r="G3749" s="2107">
        <v>0.96</v>
      </c>
      <c r="H3749">
        <v>0.7</v>
      </c>
    </row>
    <row r="3750" spans="1:8" ht="30">
      <c r="A3750" s="3668"/>
      <c r="B3750" s="3668"/>
      <c r="C3750" s="2108" t="s">
        <v>2805</v>
      </c>
      <c r="D3750" s="2109"/>
      <c r="E3750" s="2105">
        <f>(F3750-G3750)/F3750</f>
        <v>0.35135135135135137</v>
      </c>
      <c r="F3750" s="2106">
        <v>1.48</v>
      </c>
      <c r="G3750" s="2107">
        <v>0.96</v>
      </c>
      <c r="H3750">
        <v>0.7</v>
      </c>
    </row>
    <row r="3751" spans="1:8" ht="30">
      <c r="A3751" s="3668"/>
      <c r="B3751" s="3668"/>
      <c r="C3751" s="888" t="s">
        <v>2653</v>
      </c>
      <c r="D3751" s="2110"/>
      <c r="E3751" s="2105">
        <f>(F3751-G3751)/F3751</f>
        <v>0.35135135135135137</v>
      </c>
      <c r="F3751" s="2106">
        <v>1.48</v>
      </c>
      <c r="G3751" s="2107">
        <v>0.96</v>
      </c>
      <c r="H3751">
        <v>0.7</v>
      </c>
    </row>
    <row r="3753" spans="1:8" ht="15.75" thickBot="1"/>
    <row r="3754" spans="1:8">
      <c r="A3754" s="3572" t="s">
        <v>0</v>
      </c>
      <c r="B3754" s="3636" t="s">
        <v>1</v>
      </c>
      <c r="C3754" s="3636" t="s">
        <v>2</v>
      </c>
      <c r="D3754" s="3636" t="s">
        <v>3</v>
      </c>
      <c r="E3754" s="3636" t="s">
        <v>4</v>
      </c>
      <c r="F3754" s="3636" t="s">
        <v>1989</v>
      </c>
      <c r="G3754" s="3559" t="s">
        <v>1941</v>
      </c>
    </row>
    <row r="3755" spans="1:8">
      <c r="A3755" s="3665"/>
      <c r="B3755" s="3667"/>
      <c r="C3755" s="3667"/>
      <c r="D3755" s="3667"/>
      <c r="E3755" s="3667"/>
      <c r="F3755" s="3667"/>
      <c r="G3755" s="3652"/>
    </row>
    <row r="3756" spans="1:8">
      <c r="A3756" s="3653" t="s">
        <v>2969</v>
      </c>
      <c r="B3756" s="3655" t="s">
        <v>2701</v>
      </c>
      <c r="C3756" s="2314" t="s">
        <v>1892</v>
      </c>
      <c r="D3756" s="3656" t="s">
        <v>1860</v>
      </c>
      <c r="E3756" s="2144">
        <f>(F3756-G3756)/F3756</f>
        <v>0.2990654205607477</v>
      </c>
      <c r="F3756" s="2145">
        <v>1.07</v>
      </c>
      <c r="G3756" s="2146">
        <v>0.75</v>
      </c>
    </row>
    <row r="3757" spans="1:8">
      <c r="A3757" s="3653"/>
      <c r="B3757" s="3639"/>
      <c r="C3757" s="2314" t="s">
        <v>2387</v>
      </c>
      <c r="D3757" s="3656"/>
      <c r="E3757" s="2144">
        <f>(F3757-G3757)/F3757</f>
        <v>0.11976047904191614</v>
      </c>
      <c r="F3757" s="2145">
        <v>1.67</v>
      </c>
      <c r="G3757" s="2146">
        <v>1.47</v>
      </c>
    </row>
    <row r="3758" spans="1:8">
      <c r="A3758" s="3653"/>
      <c r="B3758" s="3639"/>
      <c r="C3758" s="2314" t="s">
        <v>2743</v>
      </c>
      <c r="D3758" s="3656"/>
      <c r="E3758" s="2144">
        <f>(F3758-G3758)/F3758</f>
        <v>0.25352112676056332</v>
      </c>
      <c r="F3758" s="2145">
        <v>0.71</v>
      </c>
      <c r="G3758" s="2146">
        <v>0.53</v>
      </c>
    </row>
    <row r="3759" spans="1:8">
      <c r="A3759" s="3653"/>
      <c r="B3759" s="3639"/>
      <c r="C3759" s="2069" t="s">
        <v>2931</v>
      </c>
      <c r="D3759" s="3657" t="s">
        <v>1860</v>
      </c>
      <c r="E3759" s="3659">
        <v>0.25</v>
      </c>
      <c r="F3759" s="3661">
        <v>3.07</v>
      </c>
      <c r="G3759" s="3663">
        <v>2.2999999999999998</v>
      </c>
    </row>
    <row r="3760" spans="1:8">
      <c r="A3760" s="3653"/>
      <c r="B3760" s="3639"/>
      <c r="C3760" s="2069" t="s">
        <v>2740</v>
      </c>
      <c r="D3760" s="3657"/>
      <c r="E3760" s="3659"/>
      <c r="F3760" s="3661"/>
      <c r="G3760" s="3663"/>
    </row>
    <row r="3761" spans="1:8">
      <c r="A3761" s="3653"/>
      <c r="B3761" s="3639"/>
      <c r="C3761" s="2069" t="s">
        <v>2741</v>
      </c>
      <c r="D3761" s="3657"/>
      <c r="E3761" s="3659"/>
      <c r="F3761" s="3661"/>
      <c r="G3761" s="3663"/>
    </row>
    <row r="3762" spans="1:8" ht="15.75" thickBot="1">
      <c r="A3762" s="3654"/>
      <c r="B3762" s="3640"/>
      <c r="C3762" s="2147" t="s">
        <v>2932</v>
      </c>
      <c r="D3762" s="3658"/>
      <c r="E3762" s="3660"/>
      <c r="F3762" s="3662"/>
      <c r="G3762" s="3664"/>
    </row>
    <row r="3765" spans="1:8">
      <c r="A3765" s="3865" t="s">
        <v>0</v>
      </c>
      <c r="B3765" s="3666" t="s">
        <v>1</v>
      </c>
      <c r="C3765" s="3666" t="s">
        <v>2</v>
      </c>
      <c r="D3765" s="3622" t="s">
        <v>3</v>
      </c>
      <c r="E3765" s="3666" t="s">
        <v>4</v>
      </c>
      <c r="F3765" s="3622" t="s">
        <v>1989</v>
      </c>
      <c r="G3765" s="3666" t="s">
        <v>1941</v>
      </c>
    </row>
    <row r="3766" spans="1:8">
      <c r="A3766" s="3517"/>
      <c r="B3766" s="3622"/>
      <c r="C3766" s="3622"/>
      <c r="D3766" s="3521"/>
      <c r="E3766" s="3622"/>
      <c r="F3766" s="3521"/>
      <c r="G3766" s="3622"/>
    </row>
    <row r="3767" spans="1:8" ht="30">
      <c r="A3767" s="3567" t="s">
        <v>2972</v>
      </c>
      <c r="B3767" s="3632" t="s">
        <v>2398</v>
      </c>
      <c r="C3767" s="2160" t="s">
        <v>2651</v>
      </c>
      <c r="D3767" s="3632" t="s">
        <v>1860</v>
      </c>
      <c r="E3767" s="3634">
        <v>0.35</v>
      </c>
      <c r="F3767" s="2161">
        <v>1.6</v>
      </c>
      <c r="G3767" s="2161">
        <v>1.04</v>
      </c>
    </row>
    <row r="3768" spans="1:8" ht="30">
      <c r="A3768" s="3568"/>
      <c r="B3768" s="3527"/>
      <c r="C3768" s="2160" t="s">
        <v>2652</v>
      </c>
      <c r="D3768" s="3527"/>
      <c r="E3768" s="3577"/>
      <c r="F3768" s="2161">
        <v>1.6</v>
      </c>
      <c r="G3768" s="2161">
        <v>1.04</v>
      </c>
    </row>
    <row r="3769" spans="1:8" ht="30">
      <c r="A3769" s="3568"/>
      <c r="B3769" s="3527"/>
      <c r="C3769" s="2160" t="s">
        <v>2653</v>
      </c>
      <c r="D3769" s="3527"/>
      <c r="E3769" s="3577"/>
      <c r="F3769" s="2161">
        <v>1.6</v>
      </c>
      <c r="G3769" s="2161">
        <v>1.04</v>
      </c>
    </row>
    <row r="3770" spans="1:8" ht="30">
      <c r="A3770" s="3568"/>
      <c r="B3770" s="3527"/>
      <c r="C3770" s="2162" t="s">
        <v>2769</v>
      </c>
      <c r="D3770" s="3527"/>
      <c r="E3770" s="3861">
        <v>0.2</v>
      </c>
      <c r="F3770" s="2161">
        <v>7.69</v>
      </c>
      <c r="G3770" s="2161">
        <v>6.15</v>
      </c>
    </row>
    <row r="3771" spans="1:8" ht="30">
      <c r="A3771" s="3568"/>
      <c r="B3771" s="3527"/>
      <c r="C3771" s="2162" t="s">
        <v>2770</v>
      </c>
      <c r="D3771" s="3527"/>
      <c r="E3771" s="3861"/>
      <c r="F3771" s="2161">
        <v>7.69</v>
      </c>
      <c r="G3771" s="2161">
        <v>6.15</v>
      </c>
    </row>
    <row r="3772" spans="1:8">
      <c r="A3772" s="3568"/>
      <c r="B3772" s="3527"/>
      <c r="C3772" s="2162" t="s">
        <v>2973</v>
      </c>
      <c r="D3772" s="3527"/>
      <c r="E3772" s="3861"/>
      <c r="F3772" s="2161">
        <v>7.69</v>
      </c>
      <c r="G3772" s="2161">
        <v>6.15</v>
      </c>
    </row>
    <row r="3773" spans="1:8">
      <c r="A3773" s="3569"/>
      <c r="B3773" s="3534"/>
      <c r="C3773" s="2162" t="s">
        <v>2974</v>
      </c>
      <c r="D3773" s="3534"/>
      <c r="E3773" s="3861"/>
      <c r="F3773" s="2161">
        <v>7.69</v>
      </c>
      <c r="G3773" s="2161">
        <v>6.15</v>
      </c>
    </row>
    <row r="3775" spans="1:8" ht="15.75" thickBot="1"/>
    <row r="3776" spans="1:8">
      <c r="A3776" s="3572"/>
      <c r="B3776" s="3636"/>
      <c r="C3776" s="3636"/>
      <c r="D3776" s="3636"/>
      <c r="E3776" s="3636"/>
      <c r="F3776" s="3559"/>
      <c r="G3776" s="429"/>
      <c r="H3776" t="s">
        <v>2987</v>
      </c>
    </row>
    <row r="3777" spans="1:8" ht="15.75" thickBot="1">
      <c r="A3777" s="3677"/>
      <c r="B3777" s="3626"/>
      <c r="C3777" s="3626"/>
      <c r="D3777" s="3626"/>
      <c r="E3777" s="3626"/>
      <c r="F3777" s="3627"/>
      <c r="G3777" s="429"/>
    </row>
    <row r="3778" spans="1:8">
      <c r="A3778" s="1675" t="s">
        <v>2988</v>
      </c>
      <c r="B3778" s="451" t="s">
        <v>120</v>
      </c>
      <c r="C3778" s="1791" t="s">
        <v>273</v>
      </c>
      <c r="D3778" s="1792"/>
      <c r="E3778" s="1772">
        <f t="shared" ref="E3778:E3785" si="36">(G3778-F3778)/G3778</f>
        <v>0.19753086419753088</v>
      </c>
      <c r="F3778" s="1793">
        <v>0.65</v>
      </c>
      <c r="G3778" s="436">
        <v>0.81</v>
      </c>
      <c r="H3778">
        <v>1.01</v>
      </c>
    </row>
    <row r="3779" spans="1:8">
      <c r="A3779" s="2187"/>
      <c r="B3779" s="2188" t="s">
        <v>121</v>
      </c>
      <c r="C3779" s="2189" t="s">
        <v>177</v>
      </c>
      <c r="D3779" s="2193"/>
      <c r="E3779" s="2168">
        <f t="shared" si="36"/>
        <v>0.19753086419753088</v>
      </c>
      <c r="F3779" s="2191">
        <v>0.65</v>
      </c>
      <c r="G3779" s="429">
        <v>0.81</v>
      </c>
      <c r="H3779">
        <v>1.01</v>
      </c>
    </row>
    <row r="3780" spans="1:8">
      <c r="A3780" s="2187"/>
      <c r="B3780" s="2188" t="s">
        <v>123</v>
      </c>
      <c r="C3780" s="2189" t="s">
        <v>178</v>
      </c>
      <c r="D3780" s="2193"/>
      <c r="E3780" s="2168">
        <f t="shared" si="36"/>
        <v>0.19753086419753088</v>
      </c>
      <c r="F3780" s="2191">
        <v>0.65</v>
      </c>
      <c r="G3780" s="429">
        <v>0.81</v>
      </c>
      <c r="H3780">
        <v>1.01</v>
      </c>
    </row>
    <row r="3781" spans="1:8">
      <c r="A3781" s="2187"/>
      <c r="B3781" s="2188" t="s">
        <v>122</v>
      </c>
      <c r="C3781" s="2189" t="s">
        <v>1914</v>
      </c>
      <c r="D3781" s="2193"/>
      <c r="E3781" s="2168">
        <f t="shared" si="36"/>
        <v>0.19767441860465121</v>
      </c>
      <c r="F3781" s="2191">
        <v>0.69</v>
      </c>
      <c r="G3781" s="528">
        <v>0.86</v>
      </c>
    </row>
    <row r="3782" spans="1:8">
      <c r="A3782" s="2187"/>
      <c r="B3782" s="2188" t="s">
        <v>2057</v>
      </c>
      <c r="C3782" s="2189" t="s">
        <v>906</v>
      </c>
      <c r="D3782" s="2193"/>
      <c r="E3782" s="2168">
        <f t="shared" si="36"/>
        <v>0.20353982300884946</v>
      </c>
      <c r="F3782" s="2191">
        <v>0.9</v>
      </c>
      <c r="G3782" s="528">
        <v>1.1299999999999999</v>
      </c>
    </row>
    <row r="3783" spans="1:8">
      <c r="A3783" s="2187"/>
      <c r="B3783" s="2188"/>
      <c r="C3783" s="2189" t="s">
        <v>1120</v>
      </c>
      <c r="D3783" s="2193"/>
      <c r="E3783" s="2168">
        <f t="shared" si="36"/>
        <v>0.19230769230769237</v>
      </c>
      <c r="F3783" s="2191">
        <v>0.42</v>
      </c>
      <c r="G3783" s="528">
        <v>0.52</v>
      </c>
    </row>
    <row r="3784" spans="1:8">
      <c r="A3784" s="2187"/>
      <c r="B3784" s="2188"/>
      <c r="C3784" s="2189" t="s">
        <v>858</v>
      </c>
      <c r="D3784" s="2194"/>
      <c r="E3784" s="2168">
        <f t="shared" si="36"/>
        <v>0.19999999999999996</v>
      </c>
      <c r="F3784" s="2191">
        <v>0.8</v>
      </c>
      <c r="G3784" s="2195">
        <v>1</v>
      </c>
    </row>
    <row r="3785" spans="1:8" ht="15.75" thickBot="1">
      <c r="A3785" s="2051"/>
      <c r="B3785" s="2074"/>
      <c r="C3785" s="2427" t="s">
        <v>1892</v>
      </c>
      <c r="D3785" s="2074"/>
      <c r="E3785" s="2036">
        <f t="shared" si="36"/>
        <v>0.28099173553719009</v>
      </c>
      <c r="F3785" s="1358">
        <v>0.87</v>
      </c>
      <c r="G3785" s="528">
        <v>1.21</v>
      </c>
      <c r="H3785">
        <v>1.05</v>
      </c>
    </row>
    <row r="3788" spans="1:8">
      <c r="A3788" s="3875" t="s">
        <v>0</v>
      </c>
      <c r="B3788" s="3633" t="s">
        <v>1</v>
      </c>
      <c r="C3788" s="3633" t="s">
        <v>2</v>
      </c>
      <c r="D3788" s="3622" t="s">
        <v>3</v>
      </c>
      <c r="E3788" s="3633" t="s">
        <v>4</v>
      </c>
      <c r="F3788" s="3622" t="s">
        <v>1989</v>
      </c>
      <c r="G3788" s="3633" t="s">
        <v>1941</v>
      </c>
    </row>
    <row r="3789" spans="1:8">
      <c r="A3789" s="3517"/>
      <c r="B3789" s="3622"/>
      <c r="C3789" s="3622"/>
      <c r="D3789" s="3521"/>
      <c r="E3789" s="3622"/>
      <c r="F3789" s="3521"/>
      <c r="G3789" s="3622"/>
    </row>
    <row r="3790" spans="1:8">
      <c r="A3790" s="3567" t="s">
        <v>3008</v>
      </c>
      <c r="B3790" s="3632" t="s">
        <v>2701</v>
      </c>
      <c r="C3790" s="2013" t="s">
        <v>2931</v>
      </c>
      <c r="D3790" s="3632" t="s">
        <v>1860</v>
      </c>
      <c r="E3790" s="3645">
        <v>0.25</v>
      </c>
      <c r="F3790" s="3651">
        <v>3.07</v>
      </c>
      <c r="G3790" s="3651">
        <v>2.2999999999999998</v>
      </c>
    </row>
    <row r="3791" spans="1:8">
      <c r="A3791" s="3568"/>
      <c r="B3791" s="3527"/>
      <c r="C3791" s="2013" t="s">
        <v>2740</v>
      </c>
      <c r="D3791" s="3527"/>
      <c r="E3791" s="3645"/>
      <c r="F3791" s="3651"/>
      <c r="G3791" s="3651"/>
    </row>
    <row r="3792" spans="1:8">
      <c r="A3792" s="3568"/>
      <c r="B3792" s="3527"/>
      <c r="C3792" s="2013" t="s">
        <v>2741</v>
      </c>
      <c r="D3792" s="3527"/>
      <c r="E3792" s="3645"/>
      <c r="F3792" s="3651"/>
      <c r="G3792" s="3651"/>
    </row>
    <row r="3793" spans="1:7">
      <c r="A3793" s="3568"/>
      <c r="B3793" s="3527"/>
      <c r="C3793" s="2013" t="s">
        <v>2932</v>
      </c>
      <c r="D3793" s="3527"/>
      <c r="E3793" s="3645"/>
      <c r="F3793" s="3651"/>
      <c r="G3793" s="3651"/>
    </row>
    <row r="3794" spans="1:7">
      <c r="A3794" s="3568"/>
      <c r="B3794" s="3527"/>
      <c r="C3794" s="2013" t="s">
        <v>3009</v>
      </c>
      <c r="D3794" s="3527"/>
      <c r="E3794" s="2247">
        <v>0.38</v>
      </c>
      <c r="F3794" s="2248">
        <v>14.99</v>
      </c>
      <c r="G3794" s="351">
        <v>9.2899999999999991</v>
      </c>
    </row>
    <row r="3795" spans="1:7" ht="30">
      <c r="A3795" s="3568"/>
      <c r="B3795" s="3527"/>
      <c r="C3795" s="2013" t="s">
        <v>2769</v>
      </c>
      <c r="D3795" s="3527"/>
      <c r="E3795" s="3634">
        <v>0.14000000000000001</v>
      </c>
      <c r="F3795" s="3644">
        <v>6.74</v>
      </c>
      <c r="G3795" s="3644">
        <v>5.8</v>
      </c>
    </row>
    <row r="3796" spans="1:7" ht="30">
      <c r="A3796" s="3568"/>
      <c r="B3796" s="3527"/>
      <c r="C3796" s="2013" t="s">
        <v>2770</v>
      </c>
      <c r="D3796" s="3527"/>
      <c r="E3796" s="3577"/>
      <c r="F3796" s="3582"/>
      <c r="G3796" s="3582"/>
    </row>
    <row r="3797" spans="1:7" ht="30">
      <c r="A3797" s="3568"/>
      <c r="B3797" s="3527"/>
      <c r="C3797" s="2013" t="s">
        <v>3010</v>
      </c>
      <c r="D3797" s="3527"/>
      <c r="E3797" s="3577"/>
      <c r="F3797" s="3582"/>
      <c r="G3797" s="3582"/>
    </row>
    <row r="3798" spans="1:7" ht="30">
      <c r="A3798" s="3568"/>
      <c r="B3798" s="3527"/>
      <c r="C3798" s="2013" t="s">
        <v>3011</v>
      </c>
      <c r="D3798" s="3527"/>
      <c r="E3798" s="3586"/>
      <c r="F3798" s="3589"/>
      <c r="G3798" s="3589"/>
    </row>
    <row r="3799" spans="1:7" ht="30">
      <c r="A3799" s="3568"/>
      <c r="B3799" s="3527"/>
      <c r="C3799" s="2013" t="s">
        <v>3012</v>
      </c>
      <c r="D3799" s="3527"/>
      <c r="E3799" s="3645">
        <v>0.14000000000000001</v>
      </c>
      <c r="F3799" s="3651">
        <v>11.33</v>
      </c>
      <c r="G3799" s="3651">
        <v>9.74</v>
      </c>
    </row>
    <row r="3800" spans="1:7" ht="30">
      <c r="A3800" s="3568"/>
      <c r="B3800" s="3527"/>
      <c r="C3800" s="2013" t="s">
        <v>3013</v>
      </c>
      <c r="D3800" s="3527"/>
      <c r="E3800" s="3645"/>
      <c r="F3800" s="3651"/>
      <c r="G3800" s="3651"/>
    </row>
    <row r="3801" spans="1:7" ht="30">
      <c r="A3801" s="3568"/>
      <c r="B3801" s="3527"/>
      <c r="C3801" s="2013" t="s">
        <v>3014</v>
      </c>
      <c r="D3801" s="3527"/>
      <c r="E3801" s="2245">
        <v>0.14000000000000001</v>
      </c>
      <c r="F3801" s="2246">
        <v>16.079999999999998</v>
      </c>
      <c r="G3801" s="2246">
        <v>13.83</v>
      </c>
    </row>
    <row r="3802" spans="1:7">
      <c r="A3802" s="3568"/>
      <c r="B3802" s="3527"/>
      <c r="C3802" s="2013" t="s">
        <v>2973</v>
      </c>
      <c r="D3802" s="3527"/>
      <c r="E3802" s="3634">
        <v>0.14000000000000001</v>
      </c>
      <c r="F3802" s="3644">
        <v>6.74</v>
      </c>
      <c r="G3802" s="3644">
        <v>5.8</v>
      </c>
    </row>
    <row r="3803" spans="1:7">
      <c r="A3803" s="3568"/>
      <c r="B3803" s="3527"/>
      <c r="C3803" s="2013" t="s">
        <v>2974</v>
      </c>
      <c r="D3803" s="3527"/>
      <c r="E3803" s="3586"/>
      <c r="F3803" s="3589"/>
      <c r="G3803" s="3589"/>
    </row>
    <row r="3804" spans="1:7" ht="30">
      <c r="A3804" s="3568"/>
      <c r="B3804" s="3527"/>
      <c r="C3804" s="2013" t="s">
        <v>3015</v>
      </c>
      <c r="D3804" s="3527"/>
      <c r="E3804" s="3634">
        <v>0.14000000000000001</v>
      </c>
      <c r="F3804" s="3644">
        <v>7.49</v>
      </c>
      <c r="G3804" s="3644">
        <v>6.44</v>
      </c>
    </row>
    <row r="3805" spans="1:7" ht="30">
      <c r="A3805" s="3568"/>
      <c r="B3805" s="3527"/>
      <c r="C3805" s="2013" t="s">
        <v>3016</v>
      </c>
      <c r="D3805" s="3527"/>
      <c r="E3805" s="3586"/>
      <c r="F3805" s="3589"/>
      <c r="G3805" s="3589"/>
    </row>
    <row r="3806" spans="1:7">
      <c r="A3806" s="3568"/>
      <c r="B3806" s="3527"/>
      <c r="C3806" s="2013" t="s">
        <v>2765</v>
      </c>
      <c r="D3806" s="3527"/>
      <c r="E3806" s="3634">
        <v>0.13</v>
      </c>
      <c r="F3806" s="3644">
        <v>24.81</v>
      </c>
      <c r="G3806" s="3644">
        <v>21.58</v>
      </c>
    </row>
    <row r="3807" spans="1:7">
      <c r="A3807" s="3568"/>
      <c r="B3807" s="3527"/>
      <c r="C3807" s="2013" t="s">
        <v>2766</v>
      </c>
      <c r="D3807" s="3527"/>
      <c r="E3807" s="3577"/>
      <c r="F3807" s="3582"/>
      <c r="G3807" s="3582"/>
    </row>
    <row r="3808" spans="1:7">
      <c r="A3808" s="3568"/>
      <c r="B3808" s="3527"/>
      <c r="C3808" s="2013" t="s">
        <v>2767</v>
      </c>
      <c r="D3808" s="3527"/>
      <c r="E3808" s="3577"/>
      <c r="F3808" s="3582"/>
      <c r="G3808" s="3582"/>
    </row>
    <row r="3809" spans="1:7">
      <c r="A3809" s="3568"/>
      <c r="B3809" s="3527"/>
      <c r="C3809" s="2013" t="s">
        <v>2768</v>
      </c>
      <c r="D3809" s="3527"/>
      <c r="E3809" s="3577"/>
      <c r="F3809" s="3582"/>
      <c r="G3809" s="3582"/>
    </row>
    <row r="3810" spans="1:7">
      <c r="A3810" s="3569"/>
      <c r="B3810" s="3534"/>
      <c r="C3810" s="2013" t="s">
        <v>3017</v>
      </c>
      <c r="D3810" s="3534"/>
      <c r="E3810" s="3586"/>
      <c r="F3810" s="3589"/>
      <c r="G3810" s="3589"/>
    </row>
    <row r="3812" spans="1:7" ht="15.75" thickBot="1"/>
    <row r="3813" spans="1:7">
      <c r="A3813" s="3572"/>
      <c r="B3813" s="3636"/>
      <c r="C3813" s="3636"/>
      <c r="D3813" s="3636"/>
      <c r="E3813" s="3636"/>
      <c r="F3813" s="3559"/>
      <c r="G3813" s="429"/>
    </row>
    <row r="3814" spans="1:7" ht="15.75" thickBot="1">
      <c r="A3814" s="3877"/>
      <c r="B3814" s="3626"/>
      <c r="C3814" s="3626"/>
      <c r="D3814" s="3626"/>
      <c r="E3814" s="3626"/>
      <c r="F3814" s="3627"/>
      <c r="G3814" s="429"/>
    </row>
    <row r="3815" spans="1:7">
      <c r="A3815" s="1675" t="s">
        <v>3022</v>
      </c>
      <c r="B3815" s="451" t="s">
        <v>120</v>
      </c>
      <c r="C3815" s="2324" t="s">
        <v>2268</v>
      </c>
      <c r="D3815" s="1792"/>
      <c r="E3815" s="1772">
        <f t="shared" ref="E3815:E3824" si="37">(G3815-F3815)/G3815</f>
        <v>0.14723926380368099</v>
      </c>
      <c r="F3815" s="1793">
        <v>1.39</v>
      </c>
      <c r="G3815" s="436">
        <v>1.63</v>
      </c>
    </row>
    <row r="3816" spans="1:7">
      <c r="A3816" s="2047"/>
      <c r="B3816" s="2253" t="s">
        <v>121</v>
      </c>
      <c r="C3816" s="2254" t="s">
        <v>2207</v>
      </c>
      <c r="D3816" s="2255"/>
      <c r="E3816" s="2256">
        <f t="shared" si="37"/>
        <v>0.19298245614035078</v>
      </c>
      <c r="F3816" s="2257">
        <v>0.46</v>
      </c>
      <c r="G3816" s="429">
        <v>0.56999999999999995</v>
      </c>
    </row>
    <row r="3817" spans="1:7">
      <c r="A3817" s="2047"/>
      <c r="B3817" s="2253" t="s">
        <v>123</v>
      </c>
      <c r="C3817" s="2254" t="s">
        <v>3023</v>
      </c>
      <c r="D3817" s="2255"/>
      <c r="E3817" s="2256">
        <f t="shared" si="37"/>
        <v>0.19834710743801653</v>
      </c>
      <c r="F3817" s="2257">
        <v>0.97</v>
      </c>
      <c r="G3817">
        <v>1.21</v>
      </c>
    </row>
    <row r="3818" spans="1:7">
      <c r="A3818" s="2047"/>
      <c r="B3818" s="2253" t="s">
        <v>122</v>
      </c>
      <c r="C3818" s="2254" t="s">
        <v>3024</v>
      </c>
      <c r="D3818" s="2255"/>
      <c r="E3818" s="2256">
        <f t="shared" si="37"/>
        <v>0.19834710743801653</v>
      </c>
      <c r="F3818" s="2257">
        <v>0.97</v>
      </c>
      <c r="G3818" s="429">
        <v>1.21</v>
      </c>
    </row>
    <row r="3819" spans="1:7">
      <c r="A3819" s="2047"/>
      <c r="B3819" s="2253" t="s">
        <v>2057</v>
      </c>
      <c r="C3819" s="2254" t="s">
        <v>1300</v>
      </c>
      <c r="D3819" s="2255"/>
      <c r="E3819" s="2256">
        <f t="shared" si="37"/>
        <v>0.19718309859154931</v>
      </c>
      <c r="F3819" s="2257">
        <v>0.56999999999999995</v>
      </c>
      <c r="G3819" s="528">
        <v>0.71</v>
      </c>
    </row>
    <row r="3820" spans="1:7">
      <c r="A3820" s="2047"/>
      <c r="B3820" s="2253"/>
      <c r="C3820" s="2254" t="s">
        <v>730</v>
      </c>
      <c r="D3820" s="2255"/>
      <c r="E3820" s="2256">
        <f t="shared" si="37"/>
        <v>0.19540229885057475</v>
      </c>
      <c r="F3820" s="2257">
        <v>0.7</v>
      </c>
      <c r="G3820" s="528">
        <v>0.87</v>
      </c>
    </row>
    <row r="3821" spans="1:7">
      <c r="A3821" s="2047"/>
      <c r="B3821" s="2253"/>
      <c r="C3821" s="2254" t="s">
        <v>554</v>
      </c>
      <c r="D3821" s="2255"/>
      <c r="E3821" s="2256">
        <f t="shared" si="37"/>
        <v>0.2032520325203252</v>
      </c>
      <c r="F3821" s="2257">
        <v>0.98</v>
      </c>
      <c r="G3821" s="528">
        <v>1.23</v>
      </c>
    </row>
    <row r="3822" spans="1:7">
      <c r="A3822" s="2047"/>
      <c r="B3822" s="2253"/>
      <c r="C3822" s="2254" t="s">
        <v>2827</v>
      </c>
      <c r="D3822" s="2255"/>
      <c r="E3822" s="2256">
        <f t="shared" si="37"/>
        <v>0.20125786163522016</v>
      </c>
      <c r="F3822" s="2257">
        <v>1.27</v>
      </c>
      <c r="G3822" s="528">
        <v>1.59</v>
      </c>
    </row>
    <row r="3823" spans="1:7">
      <c r="A3823" s="2047"/>
      <c r="B3823" s="2253"/>
      <c r="C3823" s="2254" t="s">
        <v>2890</v>
      </c>
      <c r="D3823" s="2258"/>
      <c r="E3823" s="2256">
        <f t="shared" si="37"/>
        <v>0.20125786163522016</v>
      </c>
      <c r="F3823" s="2257">
        <v>1.27</v>
      </c>
      <c r="G3823" s="528">
        <v>1.59</v>
      </c>
    </row>
    <row r="3824" spans="1:7" ht="15.75" thickBot="1">
      <c r="A3824" s="2051"/>
      <c r="B3824" s="1705"/>
      <c r="C3824" s="2259" t="s">
        <v>473</v>
      </c>
      <c r="D3824" s="1705"/>
      <c r="E3824" s="1706">
        <f t="shared" si="37"/>
        <v>0.26363636363636367</v>
      </c>
      <c r="F3824" s="1358">
        <v>0.81</v>
      </c>
      <c r="G3824" s="2195">
        <v>1.1000000000000001</v>
      </c>
    </row>
    <row r="3826" spans="1:7">
      <c r="A3826" s="3650" t="s">
        <v>0</v>
      </c>
      <c r="B3826" s="3633" t="s">
        <v>1</v>
      </c>
      <c r="C3826" s="3633" t="s">
        <v>2</v>
      </c>
      <c r="D3826" s="3622" t="s">
        <v>3</v>
      </c>
      <c r="E3826" s="3633" t="s">
        <v>4</v>
      </c>
      <c r="F3826" s="3622" t="s">
        <v>1989</v>
      </c>
      <c r="G3826" s="3633" t="s">
        <v>1941</v>
      </c>
    </row>
    <row r="3827" spans="1:7">
      <c r="A3827" s="3544"/>
      <c r="B3827" s="3633"/>
      <c r="C3827" s="3622"/>
      <c r="D3827" s="3521"/>
      <c r="E3827" s="3622"/>
      <c r="F3827" s="3521"/>
      <c r="G3827" s="3622"/>
    </row>
    <row r="3828" spans="1:7" ht="30">
      <c r="A3828" s="3567" t="s">
        <v>3033</v>
      </c>
      <c r="B3828" s="3632" t="s">
        <v>202</v>
      </c>
      <c r="C3828" s="1095" t="s">
        <v>2948</v>
      </c>
      <c r="D3828" s="3527" t="s">
        <v>1860</v>
      </c>
      <c r="E3828" s="3634">
        <v>0.27</v>
      </c>
      <c r="F3828" s="3644">
        <v>1.74</v>
      </c>
      <c r="G3828" s="3647">
        <v>1.27</v>
      </c>
    </row>
    <row r="3829" spans="1:7" ht="30">
      <c r="A3829" s="3568"/>
      <c r="B3829" s="3527"/>
      <c r="C3829" s="1291" t="s">
        <v>3034</v>
      </c>
      <c r="D3829" s="3527"/>
      <c r="E3829" s="3577"/>
      <c r="F3829" s="3582"/>
      <c r="G3829" s="3648"/>
    </row>
    <row r="3830" spans="1:7" ht="30">
      <c r="A3830" s="3568"/>
      <c r="B3830" s="3527"/>
      <c r="C3830" s="2269" t="s">
        <v>2950</v>
      </c>
      <c r="D3830" s="3568"/>
      <c r="E3830" s="3577"/>
      <c r="F3830" s="3582"/>
      <c r="G3830" s="3648"/>
    </row>
    <row r="3831" spans="1:7" ht="30">
      <c r="A3831" s="3568"/>
      <c r="B3831" s="3527"/>
      <c r="C3831" s="2269" t="s">
        <v>2949</v>
      </c>
      <c r="D3831" s="3570"/>
      <c r="E3831" s="3586"/>
      <c r="F3831" s="3589"/>
      <c r="G3831" s="3649"/>
    </row>
    <row r="3832" spans="1:7">
      <c r="A3832" s="3568"/>
      <c r="B3832" s="3527"/>
      <c r="C3832" s="2269" t="s">
        <v>2837</v>
      </c>
      <c r="D3832" s="3570"/>
      <c r="E3832" s="2260">
        <v>0.25</v>
      </c>
      <c r="F3832" s="2261">
        <v>1.18</v>
      </c>
      <c r="G3832" s="2270">
        <v>0.89</v>
      </c>
    </row>
    <row r="3833" spans="1:7">
      <c r="A3833" s="3568"/>
      <c r="B3833" s="3527"/>
      <c r="C3833" s="2013" t="s">
        <v>3035</v>
      </c>
      <c r="D3833" s="3570"/>
      <c r="E3833" s="2260">
        <v>0.25</v>
      </c>
      <c r="F3833" s="2261">
        <v>0.83</v>
      </c>
      <c r="G3833" s="2270">
        <v>0.62</v>
      </c>
    </row>
    <row r="3834" spans="1:7">
      <c r="A3834" s="3569"/>
      <c r="B3834" s="3534"/>
      <c r="C3834" s="2013"/>
      <c r="D3834" s="3571"/>
      <c r="E3834" s="2271"/>
      <c r="F3834" s="2272"/>
      <c r="G3834" s="2273"/>
    </row>
    <row r="3836" spans="1:7">
      <c r="A3836" s="3650" t="s">
        <v>0</v>
      </c>
      <c r="B3836" s="3633" t="s">
        <v>1</v>
      </c>
      <c r="C3836" s="3633" t="s">
        <v>2</v>
      </c>
      <c r="D3836" s="3622" t="s">
        <v>3</v>
      </c>
      <c r="E3836" s="3633" t="s">
        <v>4</v>
      </c>
      <c r="F3836" s="3622" t="s">
        <v>1989</v>
      </c>
      <c r="G3836" s="3633" t="s">
        <v>1941</v>
      </c>
    </row>
    <row r="3837" spans="1:7">
      <c r="A3837" s="3517"/>
      <c r="B3837" s="3622"/>
      <c r="C3837" s="3622"/>
      <c r="D3837" s="3521"/>
      <c r="E3837" s="3622"/>
      <c r="F3837" s="3521"/>
      <c r="G3837" s="3622"/>
    </row>
    <row r="3838" spans="1:7">
      <c r="A3838" s="3567" t="s">
        <v>3036</v>
      </c>
      <c r="B3838" s="3632" t="s">
        <v>2512</v>
      </c>
      <c r="C3838" s="2013" t="s">
        <v>2794</v>
      </c>
      <c r="D3838" s="3632" t="s">
        <v>1860</v>
      </c>
      <c r="E3838" s="2271">
        <v>0.35</v>
      </c>
      <c r="F3838" s="2272">
        <v>0.84</v>
      </c>
      <c r="G3838" s="2272">
        <v>0.55000000000000004</v>
      </c>
    </row>
    <row r="3839" spans="1:7">
      <c r="A3839" s="3568"/>
      <c r="B3839" s="3527"/>
      <c r="C3839" s="2013"/>
      <c r="D3839" s="3527"/>
      <c r="E3839" s="1730"/>
      <c r="F3839" s="2272"/>
      <c r="G3839" s="2272"/>
    </row>
    <row r="3840" spans="1:7">
      <c r="A3840" s="3568"/>
      <c r="B3840" s="3527"/>
      <c r="C3840" s="2013"/>
      <c r="D3840" s="3527"/>
      <c r="E3840" s="2274"/>
      <c r="F3840" s="2272"/>
      <c r="G3840" s="2272"/>
    </row>
    <row r="3841" spans="1:7">
      <c r="A3841" s="3568"/>
      <c r="B3841" s="3527"/>
      <c r="C3841" s="2275"/>
      <c r="D3841" s="3527"/>
      <c r="E3841" s="3645"/>
      <c r="F3841" s="2272"/>
      <c r="G3841" s="2272"/>
    </row>
    <row r="3842" spans="1:7">
      <c r="A3842" s="3568"/>
      <c r="B3842" s="3527"/>
      <c r="C3842" s="2275"/>
      <c r="D3842" s="3527"/>
      <c r="E3842" s="3645"/>
      <c r="F3842" s="2272"/>
      <c r="G3842" s="2272"/>
    </row>
    <row r="3843" spans="1:7">
      <c r="A3843" s="3568"/>
      <c r="B3843" s="3527"/>
      <c r="C3843" s="2275"/>
      <c r="D3843" s="3527"/>
      <c r="E3843" s="3645"/>
      <c r="F3843" s="2272"/>
      <c r="G3843" s="2272"/>
    </row>
    <row r="3844" spans="1:7">
      <c r="A3844" s="3569"/>
      <c r="B3844" s="3534"/>
      <c r="C3844" s="2275"/>
      <c r="D3844" s="3534"/>
      <c r="E3844" s="3645"/>
      <c r="F3844" s="2272"/>
      <c r="G3844" s="2272"/>
    </row>
    <row r="3847" spans="1:7">
      <c r="A3847" s="3650" t="s">
        <v>0</v>
      </c>
      <c r="B3847" s="3633" t="s">
        <v>1</v>
      </c>
      <c r="C3847" s="3633" t="s">
        <v>2</v>
      </c>
      <c r="D3847" s="3622" t="s">
        <v>3</v>
      </c>
      <c r="E3847" s="3633" t="s">
        <v>4</v>
      </c>
      <c r="F3847" s="3622" t="s">
        <v>1989</v>
      </c>
      <c r="G3847" s="3633" t="s">
        <v>1941</v>
      </c>
    </row>
    <row r="3848" spans="1:7">
      <c r="A3848" s="3517"/>
      <c r="B3848" s="3622"/>
      <c r="C3848" s="3622"/>
      <c r="D3848" s="3521"/>
      <c r="E3848" s="3622"/>
      <c r="F3848" s="3521"/>
      <c r="G3848" s="3622"/>
    </row>
    <row r="3849" spans="1:7">
      <c r="A3849" s="3567" t="s">
        <v>3037</v>
      </c>
      <c r="B3849" s="3632" t="s">
        <v>334</v>
      </c>
      <c r="C3849" s="2510" t="s">
        <v>3038</v>
      </c>
      <c r="D3849" s="3632" t="s">
        <v>1860</v>
      </c>
      <c r="E3849" s="3645">
        <v>0.2</v>
      </c>
      <c r="F3849" s="2272">
        <v>1.5</v>
      </c>
      <c r="G3849" s="2272">
        <v>1.2</v>
      </c>
    </row>
    <row r="3850" spans="1:7">
      <c r="A3850" s="3568"/>
      <c r="B3850" s="3527"/>
      <c r="C3850" s="2510" t="s">
        <v>3039</v>
      </c>
      <c r="D3850" s="3527"/>
      <c r="E3850" s="3645"/>
      <c r="F3850" s="2272">
        <v>1.5</v>
      </c>
      <c r="G3850" s="2272">
        <v>1.2</v>
      </c>
    </row>
    <row r="3851" spans="1:7">
      <c r="A3851" s="3568"/>
      <c r="B3851" s="3527"/>
      <c r="C3851" s="2013"/>
      <c r="D3851" s="3527"/>
      <c r="E3851" s="1730"/>
      <c r="F3851" s="2272"/>
      <c r="G3851" s="2272"/>
    </row>
    <row r="3852" spans="1:7">
      <c r="A3852" s="3568"/>
      <c r="B3852" s="3527"/>
      <c r="C3852" s="2013"/>
      <c r="D3852" s="3527"/>
      <c r="E3852" s="2274"/>
      <c r="F3852" s="2272"/>
      <c r="G3852" s="2272"/>
    </row>
    <row r="3853" spans="1:7">
      <c r="A3853" s="3568"/>
      <c r="B3853" s="3527"/>
      <c r="C3853" s="2013"/>
      <c r="D3853" s="3527"/>
      <c r="E3853" s="2276"/>
      <c r="F3853" s="2272"/>
      <c r="G3853" s="2272"/>
    </row>
    <row r="3854" spans="1:7">
      <c r="A3854" s="3568"/>
      <c r="B3854" s="3527"/>
      <c r="C3854" s="2013"/>
      <c r="D3854" s="3527"/>
      <c r="E3854" s="1730"/>
      <c r="F3854" s="2272"/>
      <c r="G3854" s="2272"/>
    </row>
    <row r="3855" spans="1:7">
      <c r="A3855" s="3568"/>
      <c r="B3855" s="3527"/>
      <c r="C3855" s="2013"/>
      <c r="D3855" s="3527"/>
      <c r="E3855" s="1730"/>
      <c r="F3855" s="2272"/>
      <c r="G3855" s="2272"/>
    </row>
    <row r="3856" spans="1:7">
      <c r="A3856" s="3569"/>
      <c r="B3856" s="3534"/>
      <c r="C3856" s="2013"/>
      <c r="D3856" s="3534"/>
      <c r="E3856" s="2274"/>
      <c r="F3856" s="2272"/>
      <c r="G3856" s="2272"/>
    </row>
    <row r="3858" spans="1:7">
      <c r="A3858" s="3650" t="s">
        <v>0</v>
      </c>
      <c r="B3858" s="3633" t="s">
        <v>1</v>
      </c>
      <c r="C3858" s="3633" t="s">
        <v>2</v>
      </c>
      <c r="D3858" s="3622" t="s">
        <v>3</v>
      </c>
      <c r="E3858" s="3633" t="s">
        <v>4</v>
      </c>
      <c r="F3858" s="3622" t="s">
        <v>1989</v>
      </c>
      <c r="G3858" s="3633" t="s">
        <v>1941</v>
      </c>
    </row>
    <row r="3859" spans="1:7">
      <c r="A3859" s="3517"/>
      <c r="B3859" s="3622"/>
      <c r="C3859" s="3622"/>
      <c r="D3859" s="3521"/>
      <c r="E3859" s="3622"/>
      <c r="F3859" s="3521"/>
      <c r="G3859" s="3622"/>
    </row>
    <row r="3860" spans="1:7">
      <c r="A3860" s="3567" t="s">
        <v>3042</v>
      </c>
      <c r="B3860" s="3632" t="s">
        <v>2512</v>
      </c>
      <c r="C3860" s="2013" t="s">
        <v>2837</v>
      </c>
      <c r="D3860" s="3632" t="s">
        <v>1860</v>
      </c>
      <c r="E3860" s="2271">
        <v>0.2</v>
      </c>
      <c r="F3860" s="2272">
        <v>1.38</v>
      </c>
      <c r="G3860" s="2272">
        <v>1.1000000000000001</v>
      </c>
    </row>
    <row r="3861" spans="1:7">
      <c r="A3861" s="3568"/>
      <c r="B3861" s="3527"/>
      <c r="C3861" s="2013"/>
      <c r="D3861" s="3527"/>
      <c r="E3861" s="1730"/>
      <c r="F3861" s="2272"/>
      <c r="G3861" s="2272"/>
    </row>
    <row r="3862" spans="1:7">
      <c r="A3862" s="3568"/>
      <c r="B3862" s="3527"/>
      <c r="C3862" s="2013"/>
      <c r="D3862" s="3527"/>
      <c r="E3862" s="2274"/>
      <c r="F3862" s="2272"/>
      <c r="G3862" s="2272"/>
    </row>
    <row r="3863" spans="1:7">
      <c r="A3863" s="3568"/>
      <c r="B3863" s="3527"/>
      <c r="C3863" s="2275"/>
      <c r="D3863" s="3527"/>
      <c r="E3863" s="3645"/>
      <c r="F3863" s="2272"/>
      <c r="G3863" s="2272"/>
    </row>
    <row r="3864" spans="1:7">
      <c r="A3864" s="3568"/>
      <c r="B3864" s="3527"/>
      <c r="C3864" s="2275"/>
      <c r="D3864" s="3527"/>
      <c r="E3864" s="3645"/>
      <c r="F3864" s="2272"/>
      <c r="G3864" s="2272"/>
    </row>
    <row r="3865" spans="1:7">
      <c r="A3865" s="3568"/>
      <c r="B3865" s="3527"/>
      <c r="C3865" s="2275"/>
      <c r="D3865" s="3527"/>
      <c r="E3865" s="3645"/>
      <c r="F3865" s="2272"/>
      <c r="G3865" s="2272"/>
    </row>
    <row r="3866" spans="1:7">
      <c r="A3866" s="3569"/>
      <c r="B3866" s="3534"/>
      <c r="C3866" s="2275"/>
      <c r="D3866" s="3534"/>
      <c r="E3866" s="3645"/>
      <c r="F3866" s="2272"/>
      <c r="G3866" s="2272"/>
    </row>
    <row r="3868" spans="1:7" ht="15.75" thickBot="1"/>
    <row r="3869" spans="1:7">
      <c r="A3869" s="3572"/>
      <c r="B3869" s="3636"/>
      <c r="C3869" s="3636"/>
      <c r="D3869" s="3636"/>
      <c r="E3869" s="3636"/>
      <c r="F3869" s="3559"/>
      <c r="G3869" s="429"/>
    </row>
    <row r="3870" spans="1:7" ht="15.75" thickBot="1">
      <c r="A3870" s="3866"/>
      <c r="B3870" s="3626"/>
      <c r="C3870" s="3626"/>
      <c r="D3870" s="3626"/>
      <c r="E3870" s="3626"/>
      <c r="F3870" s="3627"/>
      <c r="G3870" s="429"/>
    </row>
    <row r="3871" spans="1:7">
      <c r="A3871" s="1675" t="s">
        <v>3058</v>
      </c>
      <c r="B3871" s="451" t="s">
        <v>120</v>
      </c>
      <c r="C3871" s="1791" t="s">
        <v>2983</v>
      </c>
      <c r="D3871" s="1792"/>
      <c r="E3871" s="1772">
        <f>(G3871-F3871)/G3871</f>
        <v>0.19892473118279574</v>
      </c>
      <c r="F3871" s="1793">
        <v>1.49</v>
      </c>
      <c r="G3871" s="429">
        <v>1.86</v>
      </c>
    </row>
    <row r="3872" spans="1:7">
      <c r="A3872" s="2047"/>
      <c r="B3872" s="2253" t="s">
        <v>121</v>
      </c>
      <c r="C3872" s="2254" t="s">
        <v>2940</v>
      </c>
      <c r="D3872" s="2255"/>
      <c r="E3872" s="2256">
        <f>(G3872-F3872)/G3872</f>
        <v>0.19892473118279574</v>
      </c>
      <c r="F3872" s="2294">
        <v>1.49</v>
      </c>
      <c r="G3872">
        <v>1.86</v>
      </c>
    </row>
    <row r="3873" spans="1:7">
      <c r="A3873" s="2047"/>
      <c r="B3873" s="2253" t="s">
        <v>123</v>
      </c>
      <c r="C3873" s="2254" t="s">
        <v>2999</v>
      </c>
      <c r="D3873" s="2255"/>
      <c r="E3873" s="2256">
        <f>(G3873-F3873)/G3873</f>
        <v>0.19801980198019797</v>
      </c>
      <c r="F3873" s="2294">
        <v>1.62</v>
      </c>
      <c r="G3873" s="429">
        <v>2.02</v>
      </c>
    </row>
    <row r="3874" spans="1:7">
      <c r="A3874" s="2047"/>
      <c r="B3874" s="2253" t="s">
        <v>122</v>
      </c>
      <c r="C3874" s="2254"/>
      <c r="D3874" s="2255"/>
      <c r="E3874" s="2256"/>
      <c r="F3874" s="2294"/>
      <c r="G3874" s="528"/>
    </row>
    <row r="3875" spans="1:7" ht="15.75" thickBot="1">
      <c r="A3875" s="2051"/>
      <c r="B3875" s="1705" t="s">
        <v>2057</v>
      </c>
      <c r="C3875" s="1718"/>
      <c r="D3875" s="1718"/>
      <c r="E3875" s="1718"/>
      <c r="F3875" s="1368"/>
    </row>
    <row r="3878" spans="1:7">
      <c r="A3878" s="3858" t="s">
        <v>0</v>
      </c>
      <c r="B3878" s="3633" t="s">
        <v>1</v>
      </c>
      <c r="C3878" s="3633" t="s">
        <v>2</v>
      </c>
      <c r="D3878" s="3622" t="s">
        <v>3</v>
      </c>
      <c r="E3878" s="3633" t="s">
        <v>4</v>
      </c>
      <c r="F3878" s="3622" t="s">
        <v>1989</v>
      </c>
      <c r="G3878" s="3633" t="s">
        <v>1941</v>
      </c>
    </row>
    <row r="3879" spans="1:7">
      <c r="A3879" s="3517"/>
      <c r="B3879" s="3622"/>
      <c r="C3879" s="3622"/>
      <c r="D3879" s="3521"/>
      <c r="E3879" s="3622"/>
      <c r="F3879" s="3521"/>
      <c r="G3879" s="3622"/>
    </row>
    <row r="3880" spans="1:7" ht="30">
      <c r="A3880" s="3567" t="s">
        <v>3065</v>
      </c>
      <c r="B3880" s="3632" t="s">
        <v>2512</v>
      </c>
      <c r="C3880" s="2013" t="s">
        <v>2651</v>
      </c>
      <c r="D3880" s="3632" t="s">
        <v>1860</v>
      </c>
      <c r="E3880" s="3634">
        <v>0.2</v>
      </c>
      <c r="F3880" s="2272">
        <v>1.65</v>
      </c>
      <c r="G3880" s="2272">
        <v>1.32</v>
      </c>
    </row>
    <row r="3881" spans="1:7" ht="30">
      <c r="A3881" s="3568"/>
      <c r="B3881" s="3527"/>
      <c r="C3881" s="2013" t="s">
        <v>2652</v>
      </c>
      <c r="D3881" s="3527"/>
      <c r="E3881" s="3577"/>
      <c r="F3881" s="2272">
        <v>1.65</v>
      </c>
      <c r="G3881" s="2272">
        <v>1.32</v>
      </c>
    </row>
    <row r="3882" spans="1:7" ht="30">
      <c r="A3882" s="3568"/>
      <c r="B3882" s="3527"/>
      <c r="C3882" s="2013" t="s">
        <v>2653</v>
      </c>
      <c r="D3882" s="3527"/>
      <c r="E3882" s="3586"/>
      <c r="F3882" s="2272">
        <v>1.65</v>
      </c>
      <c r="G3882" s="2272">
        <v>1.32</v>
      </c>
    </row>
    <row r="3883" spans="1:7" ht="30">
      <c r="A3883" s="3568"/>
      <c r="B3883" s="3527"/>
      <c r="C3883" s="2275" t="s">
        <v>2769</v>
      </c>
      <c r="D3883" s="3527"/>
      <c r="E3883" s="3645">
        <v>0.2</v>
      </c>
      <c r="F3883" s="2272">
        <v>8.07</v>
      </c>
      <c r="G3883" s="2272">
        <v>6.46</v>
      </c>
    </row>
    <row r="3884" spans="1:7" ht="30">
      <c r="A3884" s="3568"/>
      <c r="B3884" s="3527"/>
      <c r="C3884" s="2275" t="s">
        <v>2770</v>
      </c>
      <c r="D3884" s="3527"/>
      <c r="E3884" s="3645"/>
      <c r="F3884" s="2272">
        <v>8.07</v>
      </c>
      <c r="G3884" s="2272">
        <v>6.46</v>
      </c>
    </row>
    <row r="3885" spans="1:7">
      <c r="A3885" s="3568"/>
      <c r="B3885" s="3527"/>
      <c r="C3885" s="2275" t="s">
        <v>2973</v>
      </c>
      <c r="D3885" s="3527"/>
      <c r="E3885" s="3645"/>
      <c r="F3885" s="2272">
        <v>8.07</v>
      </c>
      <c r="G3885" s="2272">
        <v>6.46</v>
      </c>
    </row>
    <row r="3886" spans="1:7">
      <c r="A3886" s="3569"/>
      <c r="B3886" s="3534"/>
      <c r="C3886" s="2275" t="s">
        <v>2974</v>
      </c>
      <c r="D3886" s="3534"/>
      <c r="E3886" s="3645"/>
      <c r="F3886" s="2272">
        <v>8.07</v>
      </c>
      <c r="G3886" s="2272">
        <v>6.46</v>
      </c>
    </row>
    <row r="3889" spans="1:7">
      <c r="A3889" s="3858" t="s">
        <v>0</v>
      </c>
      <c r="B3889" s="3633" t="s">
        <v>1</v>
      </c>
      <c r="C3889" s="3633" t="s">
        <v>2</v>
      </c>
      <c r="D3889" s="3622" t="s">
        <v>3</v>
      </c>
      <c r="E3889" s="3633" t="s">
        <v>4</v>
      </c>
      <c r="F3889" s="3622" t="s">
        <v>1989</v>
      </c>
      <c r="G3889" s="3633" t="s">
        <v>1941</v>
      </c>
    </row>
    <row r="3890" spans="1:7">
      <c r="A3890" s="3544"/>
      <c r="B3890" s="3633"/>
      <c r="C3890" s="3622"/>
      <c r="D3890" s="3521"/>
      <c r="E3890" s="3622"/>
      <c r="F3890" s="3521"/>
      <c r="G3890" s="3622"/>
    </row>
    <row r="3891" spans="1:7">
      <c r="A3891" s="3568" t="s">
        <v>3066</v>
      </c>
      <c r="B3891" s="3527" t="s">
        <v>202</v>
      </c>
      <c r="C3891" s="2511" t="s">
        <v>623</v>
      </c>
      <c r="D3891" s="3570"/>
      <c r="E3891" s="2333">
        <f>(F3891-G3891)/F3891</f>
        <v>0.25125628140703515</v>
      </c>
      <c r="F3891" s="2335">
        <v>1.99</v>
      </c>
      <c r="G3891" s="2336">
        <v>1.49</v>
      </c>
    </row>
    <row r="3892" spans="1:7">
      <c r="A3892" s="3568"/>
      <c r="B3892" s="3527"/>
      <c r="C3892" s="2269"/>
      <c r="D3892" s="3570"/>
      <c r="E3892" s="2334"/>
      <c r="F3892" s="2337"/>
      <c r="G3892" s="2270"/>
    </row>
    <row r="3893" spans="1:7">
      <c r="A3893" s="3568"/>
      <c r="B3893" s="3527"/>
      <c r="C3893" s="2013"/>
      <c r="D3893" s="3570"/>
      <c r="E3893" s="2334"/>
      <c r="F3893" s="2337"/>
      <c r="G3893" s="2270"/>
    </row>
    <row r="3894" spans="1:7">
      <c r="A3894" s="3569"/>
      <c r="B3894" s="3534"/>
      <c r="C3894" s="2013"/>
      <c r="D3894" s="3571"/>
      <c r="E3894" s="2271"/>
      <c r="F3894" s="2272"/>
      <c r="G3894" s="2273"/>
    </row>
    <row r="3895" spans="1:7" ht="15.75" thickBot="1"/>
    <row r="3896" spans="1:7">
      <c r="A3896" s="3572" t="s">
        <v>0</v>
      </c>
      <c r="B3896" s="3636" t="s">
        <v>1</v>
      </c>
      <c r="C3896" s="3636" t="s">
        <v>2</v>
      </c>
      <c r="D3896" s="3636" t="s">
        <v>3</v>
      </c>
      <c r="E3896" s="3636" t="s">
        <v>4</v>
      </c>
      <c r="F3896" s="3636" t="s">
        <v>1989</v>
      </c>
      <c r="G3896" s="3559" t="s">
        <v>1941</v>
      </c>
    </row>
    <row r="3897" spans="1:7">
      <c r="A3897" s="3635"/>
      <c r="B3897" s="3637"/>
      <c r="C3897" s="3637"/>
      <c r="D3897" s="3637"/>
      <c r="E3897" s="3637"/>
      <c r="F3897" s="3637"/>
      <c r="G3897" s="3643"/>
    </row>
    <row r="3898" spans="1:7">
      <c r="A3898" s="3862" t="s">
        <v>3179</v>
      </c>
      <c r="B3898" s="3864" t="s">
        <v>2701</v>
      </c>
      <c r="C3898" s="2606" t="s">
        <v>3064</v>
      </c>
      <c r="D3898" s="2348"/>
      <c r="E3898" s="2349">
        <f>(F3898-G3898)/F3898</f>
        <v>0.27465857359635809</v>
      </c>
      <c r="F3898" s="2348">
        <v>6.59</v>
      </c>
      <c r="G3898" s="2348">
        <v>4.78</v>
      </c>
    </row>
    <row r="3899" spans="1:7">
      <c r="A3899" s="3862"/>
      <c r="B3899" s="3639"/>
      <c r="C3899" s="2606" t="s">
        <v>3078</v>
      </c>
      <c r="D3899" s="2348"/>
      <c r="E3899" s="2349">
        <f>(F3899-G3899)/F3899</f>
        <v>0.25825825825825827</v>
      </c>
      <c r="F3899" s="2348">
        <v>9.99</v>
      </c>
      <c r="G3899" s="2348">
        <v>7.41</v>
      </c>
    </row>
    <row r="3900" spans="1:7">
      <c r="A3900" s="3862"/>
      <c r="B3900" s="3639"/>
      <c r="C3900" s="2606" t="s">
        <v>1892</v>
      </c>
      <c r="D3900" s="2348"/>
      <c r="E3900" s="2349">
        <f>(F3900-G3900)/F3900</f>
        <v>0.2734375</v>
      </c>
      <c r="F3900" s="2348">
        <v>1.28</v>
      </c>
      <c r="G3900" s="2348">
        <v>0.93</v>
      </c>
    </row>
    <row r="3901" spans="1:7">
      <c r="A3901" s="3862"/>
      <c r="B3901" s="3639"/>
      <c r="C3901" s="2510" t="s">
        <v>1891</v>
      </c>
      <c r="D3901" s="2348"/>
      <c r="E3901" s="2349">
        <f>(F3901-G3901)/F3901</f>
        <v>0.2734375</v>
      </c>
      <c r="F3901" s="2348">
        <v>1.28</v>
      </c>
      <c r="G3901" s="2348">
        <v>0.93</v>
      </c>
    </row>
    <row r="3902" spans="1:7">
      <c r="A3902" s="3862"/>
      <c r="B3902" s="3639"/>
      <c r="C3902" s="2013"/>
      <c r="D3902" s="2348"/>
      <c r="E3902" s="2348"/>
      <c r="F3902" s="2348"/>
      <c r="G3902" s="2348"/>
    </row>
    <row r="3903" spans="1:7">
      <c r="A3903" s="3862"/>
      <c r="B3903" s="3639"/>
      <c r="C3903" s="2013"/>
      <c r="D3903" s="2348"/>
      <c r="E3903" s="2348"/>
      <c r="F3903" s="2348"/>
      <c r="G3903" s="2348"/>
    </row>
    <row r="3904" spans="1:7" ht="15.75" thickBot="1">
      <c r="A3904" s="3654"/>
      <c r="B3904" s="3640"/>
      <c r="C3904" s="2014"/>
      <c r="D3904" s="2348"/>
      <c r="E3904" s="2348"/>
      <c r="F3904" s="2348"/>
      <c r="G3904" s="2348"/>
    </row>
    <row r="3907" spans="1:8">
      <c r="A3907" s="3863" t="s">
        <v>0</v>
      </c>
      <c r="B3907" s="3646" t="s">
        <v>1</v>
      </c>
      <c r="C3907" s="3646" t="s">
        <v>2</v>
      </c>
      <c r="D3907" s="3622" t="s">
        <v>3</v>
      </c>
      <c r="E3907" s="3646" t="s">
        <v>4</v>
      </c>
      <c r="F3907" s="3622" t="s">
        <v>1989</v>
      </c>
      <c r="G3907" s="3646" t="s">
        <v>1941</v>
      </c>
    </row>
    <row r="3908" spans="1:8">
      <c r="A3908" s="3517"/>
      <c r="B3908" s="3622"/>
      <c r="C3908" s="3622"/>
      <c r="D3908" s="3521"/>
      <c r="E3908" s="3622"/>
      <c r="F3908" s="3521"/>
      <c r="G3908" s="3622"/>
    </row>
    <row r="3909" spans="1:8" ht="30">
      <c r="A3909" s="3567" t="s">
        <v>3081</v>
      </c>
      <c r="B3909" s="3632" t="s">
        <v>2512</v>
      </c>
      <c r="C3909" s="2354" t="s">
        <v>2947</v>
      </c>
      <c r="D3909" s="3632" t="s">
        <v>1860</v>
      </c>
      <c r="E3909" s="3634">
        <v>0.35</v>
      </c>
      <c r="F3909" s="2355">
        <v>1.82</v>
      </c>
      <c r="G3909" s="2355">
        <v>1.18</v>
      </c>
    </row>
    <row r="3910" spans="1:8" ht="30">
      <c r="A3910" s="3568"/>
      <c r="B3910" s="3527"/>
      <c r="C3910" s="2354" t="s">
        <v>2948</v>
      </c>
      <c r="D3910" s="3527"/>
      <c r="E3910" s="3577"/>
      <c r="F3910" s="2355">
        <v>1.82</v>
      </c>
      <c r="G3910" s="2355">
        <v>1.18</v>
      </c>
    </row>
    <row r="3911" spans="1:8" ht="30">
      <c r="A3911" s="3568"/>
      <c r="B3911" s="3527"/>
      <c r="C3911" s="2354" t="s">
        <v>2949</v>
      </c>
      <c r="D3911" s="3527"/>
      <c r="E3911" s="3577"/>
      <c r="F3911" s="2355">
        <v>1.82</v>
      </c>
      <c r="G3911" s="2355">
        <v>1.18</v>
      </c>
    </row>
    <row r="3912" spans="1:8" ht="30">
      <c r="A3912" s="3568"/>
      <c r="B3912" s="3527"/>
      <c r="C3912" s="2356" t="s">
        <v>2950</v>
      </c>
      <c r="D3912" s="3527"/>
      <c r="E3912" s="3577"/>
      <c r="F3912" s="2355">
        <v>1.82</v>
      </c>
      <c r="G3912" s="2355">
        <v>1.18</v>
      </c>
    </row>
    <row r="3913" spans="1:8">
      <c r="A3913" s="3568"/>
      <c r="B3913" s="3527"/>
      <c r="C3913" s="2356"/>
      <c r="D3913" s="3527"/>
      <c r="E3913" s="1730"/>
      <c r="F3913" s="2355"/>
      <c r="G3913" s="2355"/>
    </row>
    <row r="3914" spans="1:8">
      <c r="A3914" s="3568"/>
      <c r="B3914" s="3527"/>
      <c r="C3914" s="2356"/>
      <c r="D3914" s="3527"/>
      <c r="E3914" s="1730"/>
      <c r="F3914" s="2355"/>
      <c r="G3914" s="2355"/>
    </row>
    <row r="3915" spans="1:8">
      <c r="A3915" s="3569"/>
      <c r="B3915" s="3534"/>
      <c r="C3915" s="2356"/>
      <c r="D3915" s="3534"/>
      <c r="E3915" s="2274"/>
      <c r="F3915" s="2355"/>
      <c r="G3915" s="2355"/>
    </row>
    <row r="3917" spans="1:8">
      <c r="A3917" s="3633" t="s">
        <v>0</v>
      </c>
      <c r="B3917" s="3633" t="s">
        <v>1</v>
      </c>
      <c r="C3917" s="3633" t="s">
        <v>2</v>
      </c>
      <c r="D3917" s="3633" t="s">
        <v>3</v>
      </c>
      <c r="E3917" s="3633" t="s">
        <v>4</v>
      </c>
      <c r="F3917" s="3633" t="s">
        <v>1989</v>
      </c>
      <c r="G3917" s="3633" t="s">
        <v>1941</v>
      </c>
    </row>
    <row r="3918" spans="1:8">
      <c r="A3918" s="3633"/>
      <c r="B3918" s="3633"/>
      <c r="C3918" s="3633"/>
      <c r="D3918" s="3633"/>
      <c r="E3918" s="3633"/>
      <c r="F3918" s="3633"/>
      <c r="G3918" s="3633"/>
    </row>
    <row r="3919" spans="1:8">
      <c r="A3919" s="3642" t="s">
        <v>3084</v>
      </c>
      <c r="B3919" s="3642" t="s">
        <v>2701</v>
      </c>
      <c r="C3919" s="2013" t="s">
        <v>3009</v>
      </c>
      <c r="D3919" s="3642" t="s">
        <v>1860</v>
      </c>
      <c r="E3919" s="2357">
        <v>0.38</v>
      </c>
      <c r="F3919" s="2358">
        <v>14.99</v>
      </c>
      <c r="G3919" s="2358">
        <v>9.2899999999999991</v>
      </c>
      <c r="H3919" s="2371"/>
    </row>
    <row r="3920" spans="1:8" ht="30">
      <c r="A3920" s="3642"/>
      <c r="B3920" s="3642"/>
      <c r="C3920" s="2013" t="s">
        <v>3015</v>
      </c>
      <c r="D3920" s="3642"/>
      <c r="E3920" s="2357">
        <v>0.19</v>
      </c>
      <c r="F3920" s="2358">
        <v>7.89</v>
      </c>
      <c r="G3920" s="2358">
        <v>6.39</v>
      </c>
    </row>
    <row r="3921" spans="1:7">
      <c r="A3921" s="3642"/>
      <c r="B3921" s="3642"/>
      <c r="C3921" s="2013" t="s">
        <v>3085</v>
      </c>
      <c r="D3921" s="3642"/>
      <c r="E3921" s="2357">
        <v>0.2</v>
      </c>
      <c r="F3921" s="2358">
        <v>1.23</v>
      </c>
      <c r="G3921" s="2358">
        <v>0.99</v>
      </c>
    </row>
    <row r="3923" spans="1:7">
      <c r="A3923" s="3863" t="s">
        <v>0</v>
      </c>
      <c r="B3923" s="3633" t="s">
        <v>1</v>
      </c>
      <c r="C3923" s="3633" t="s">
        <v>2</v>
      </c>
      <c r="D3923" s="3608" t="s">
        <v>3</v>
      </c>
      <c r="E3923" s="3633" t="s">
        <v>4</v>
      </c>
      <c r="F3923" s="3608" t="s">
        <v>1989</v>
      </c>
      <c r="G3923" s="3633" t="s">
        <v>1941</v>
      </c>
    </row>
    <row r="3924" spans="1:7">
      <c r="A3924" s="3544"/>
      <c r="B3924" s="3633"/>
      <c r="C3924" s="3608"/>
      <c r="D3924" s="3521"/>
      <c r="E3924" s="3608"/>
      <c r="F3924" s="3521"/>
      <c r="G3924" s="3608"/>
    </row>
    <row r="3925" spans="1:7" ht="30">
      <c r="A3925" s="3618" t="s">
        <v>3086</v>
      </c>
      <c r="B3925" s="3613" t="s">
        <v>202</v>
      </c>
      <c r="C3925" s="1095" t="s">
        <v>2804</v>
      </c>
      <c r="D3925" s="3527" t="s">
        <v>1860</v>
      </c>
      <c r="E3925" s="2357">
        <v>0.25</v>
      </c>
      <c r="F3925" s="2358">
        <v>1.6</v>
      </c>
      <c r="G3925" s="2270">
        <v>1.2</v>
      </c>
    </row>
    <row r="3926" spans="1:7" ht="30">
      <c r="A3926" s="3568"/>
      <c r="B3926" s="3527"/>
      <c r="C3926" s="1291" t="s">
        <v>2805</v>
      </c>
      <c r="D3926" s="3527"/>
      <c r="E3926" s="2357">
        <v>0.25</v>
      </c>
      <c r="F3926" s="2358">
        <v>1.6</v>
      </c>
      <c r="G3926" s="2270">
        <v>1.2</v>
      </c>
    </row>
    <row r="3927" spans="1:7" ht="30">
      <c r="A3927" s="3568"/>
      <c r="B3927" s="3527"/>
      <c r="C3927" s="2269" t="s">
        <v>2653</v>
      </c>
      <c r="D3927" s="3568"/>
      <c r="E3927" s="2357">
        <v>0.25</v>
      </c>
      <c r="F3927" s="2358">
        <v>1.6</v>
      </c>
      <c r="G3927" s="2270">
        <v>1.2</v>
      </c>
    </row>
    <row r="3928" spans="1:7">
      <c r="A3928" s="3568"/>
      <c r="B3928" s="3527"/>
      <c r="C3928" s="2269"/>
      <c r="D3928" s="3570"/>
      <c r="E3928" s="2271"/>
      <c r="F3928" s="2272"/>
      <c r="G3928" s="2273"/>
    </row>
    <row r="3929" spans="1:7">
      <c r="A3929" s="3568"/>
      <c r="B3929" s="3527"/>
      <c r="C3929" s="2269"/>
      <c r="D3929" s="3570"/>
      <c r="E3929" s="2357"/>
      <c r="F3929" s="2358"/>
      <c r="G3929" s="2270"/>
    </row>
    <row r="3930" spans="1:7">
      <c r="A3930" s="3568"/>
      <c r="B3930" s="3527"/>
      <c r="C3930" s="2013"/>
      <c r="D3930" s="3570"/>
      <c r="E3930" s="2357"/>
      <c r="F3930" s="2358"/>
      <c r="G3930" s="2270"/>
    </row>
    <row r="3931" spans="1:7">
      <c r="A3931" s="3569"/>
      <c r="B3931" s="3534"/>
      <c r="C3931" s="2013"/>
      <c r="D3931" s="3571"/>
      <c r="E3931" s="2271"/>
      <c r="F3931" s="2272"/>
      <c r="G3931" s="2273"/>
    </row>
    <row r="3933" spans="1:7">
      <c r="A3933" s="3863" t="s">
        <v>0</v>
      </c>
      <c r="B3933" s="3633" t="s">
        <v>1</v>
      </c>
      <c r="C3933" s="3633" t="s">
        <v>2</v>
      </c>
      <c r="D3933" s="3608" t="s">
        <v>3</v>
      </c>
      <c r="E3933" s="3633" t="s">
        <v>4</v>
      </c>
      <c r="F3933" s="3608" t="s">
        <v>1989</v>
      </c>
      <c r="G3933" s="3633" t="s">
        <v>1941</v>
      </c>
    </row>
    <row r="3934" spans="1:7">
      <c r="A3934" s="3517"/>
      <c r="B3934" s="3608"/>
      <c r="C3934" s="3608"/>
      <c r="D3934" s="3521"/>
      <c r="E3934" s="3608"/>
      <c r="F3934" s="3521"/>
      <c r="G3934" s="3608"/>
    </row>
    <row r="3935" spans="1:7">
      <c r="A3935" s="3618" t="s">
        <v>3087</v>
      </c>
      <c r="B3935" s="3613" t="s">
        <v>2512</v>
      </c>
      <c r="C3935" s="2013" t="s">
        <v>3088</v>
      </c>
      <c r="D3935" s="3613" t="s">
        <v>1860</v>
      </c>
      <c r="E3935" s="2357">
        <f>(F3935-G3935)/F3935</f>
        <v>0.23809523809523811</v>
      </c>
      <c r="F3935" s="2272">
        <v>2.31</v>
      </c>
      <c r="G3935" s="2272">
        <v>1.76</v>
      </c>
    </row>
    <row r="3936" spans="1:7">
      <c r="A3936" s="3568"/>
      <c r="B3936" s="3527"/>
      <c r="C3936" s="2013"/>
      <c r="D3936" s="3527"/>
      <c r="E3936" s="1730"/>
      <c r="F3936" s="2272"/>
      <c r="G3936" s="2272"/>
    </row>
    <row r="3937" spans="1:7">
      <c r="A3937" s="3568"/>
      <c r="B3937" s="3527"/>
      <c r="C3937" s="2013"/>
      <c r="D3937" s="3527"/>
      <c r="E3937" s="1730"/>
      <c r="F3937" s="2272"/>
      <c r="G3937" s="2272"/>
    </row>
    <row r="3938" spans="1:7">
      <c r="A3938" s="3568"/>
      <c r="B3938" s="3527"/>
      <c r="C3938" s="2275"/>
      <c r="D3938" s="3527"/>
      <c r="E3938" s="1730"/>
      <c r="F3938" s="2272"/>
      <c r="G3938" s="2272"/>
    </row>
    <row r="3939" spans="1:7">
      <c r="A3939" s="3568"/>
      <c r="B3939" s="3527"/>
      <c r="C3939" s="2275"/>
      <c r="D3939" s="3527"/>
      <c r="E3939" s="1730"/>
      <c r="F3939" s="2272"/>
      <c r="G3939" s="2272"/>
    </row>
    <row r="3940" spans="1:7">
      <c r="A3940" s="3568"/>
      <c r="B3940" s="3527"/>
      <c r="C3940" s="2275"/>
      <c r="D3940" s="3527"/>
      <c r="E3940" s="1730"/>
      <c r="F3940" s="2272"/>
      <c r="G3940" s="2272"/>
    </row>
    <row r="3941" spans="1:7">
      <c r="A3941" s="3569"/>
      <c r="B3941" s="3534"/>
      <c r="C3941" s="2275"/>
      <c r="D3941" s="3534"/>
      <c r="E3941" s="2274"/>
      <c r="F3941" s="2272"/>
      <c r="G3941" s="2272"/>
    </row>
    <row r="3943" spans="1:7" ht="15.75" thickBot="1"/>
    <row r="3944" spans="1:7">
      <c r="A3944" s="3572"/>
      <c r="B3944" s="3557"/>
      <c r="C3944" s="3557"/>
      <c r="D3944" s="3557"/>
      <c r="E3944" s="3557"/>
      <c r="F3944" s="3559"/>
      <c r="G3944" s="429"/>
    </row>
    <row r="3945" spans="1:7" ht="15.75" thickBot="1">
      <c r="A3945" s="3876"/>
      <c r="B3945" s="3626"/>
      <c r="C3945" s="3626"/>
      <c r="D3945" s="3626"/>
      <c r="E3945" s="3626"/>
      <c r="F3945" s="3627"/>
      <c r="G3945" s="429"/>
    </row>
    <row r="3946" spans="1:7">
      <c r="A3946" s="1675" t="s">
        <v>3142</v>
      </c>
      <c r="B3946" s="1676" t="s">
        <v>120</v>
      </c>
      <c r="C3946" s="2609" t="s">
        <v>154</v>
      </c>
      <c r="D3946" s="2415"/>
      <c r="E3946" s="1677">
        <f t="shared" ref="E3946:E3954" si="38">(G3946-F3946)/G3946</f>
        <v>0.29702970297029707</v>
      </c>
      <c r="F3946" s="1793">
        <v>0.71</v>
      </c>
      <c r="G3946" s="429">
        <v>1.01</v>
      </c>
    </row>
    <row r="3947" spans="1:7">
      <c r="A3947" s="2434"/>
      <c r="B3947" s="2435" t="s">
        <v>121</v>
      </c>
      <c r="C3947" s="2610" t="s">
        <v>153</v>
      </c>
      <c r="D3947" s="2437"/>
      <c r="E3947" s="2438">
        <f t="shared" si="38"/>
        <v>0.30000000000000004</v>
      </c>
      <c r="F3947" s="2439">
        <v>0.7</v>
      </c>
      <c r="G3947" s="39">
        <v>1</v>
      </c>
    </row>
    <row r="3948" spans="1:7">
      <c r="A3948" s="2434"/>
      <c r="B3948" s="2435" t="s">
        <v>123</v>
      </c>
      <c r="C3948" s="2610" t="s">
        <v>155</v>
      </c>
      <c r="D3948" s="2437"/>
      <c r="E3948" s="2438">
        <f t="shared" si="38"/>
        <v>0.3008849557522123</v>
      </c>
      <c r="F3948" s="2439">
        <v>0.79</v>
      </c>
      <c r="G3948" s="429">
        <v>1.1299999999999999</v>
      </c>
    </row>
    <row r="3949" spans="1:7">
      <c r="A3949" s="2434"/>
      <c r="B3949" s="2435" t="s">
        <v>122</v>
      </c>
      <c r="C3949" s="2436" t="s">
        <v>2827</v>
      </c>
      <c r="D3949" s="2437"/>
      <c r="E3949" s="2438">
        <f t="shared" si="38"/>
        <v>0.28658536585365851</v>
      </c>
      <c r="F3949" s="2439">
        <v>1.17</v>
      </c>
      <c r="G3949" s="528">
        <v>1.64</v>
      </c>
    </row>
    <row r="3950" spans="1:7">
      <c r="A3950" s="2434"/>
      <c r="B3950" s="2435" t="s">
        <v>2057</v>
      </c>
      <c r="C3950" s="2440" t="s">
        <v>2890</v>
      </c>
      <c r="D3950" s="2440"/>
      <c r="E3950" s="2438">
        <f t="shared" si="38"/>
        <v>0.28658536585365851</v>
      </c>
      <c r="F3950" s="2441">
        <v>1.17</v>
      </c>
      <c r="G3950" s="528">
        <v>1.64</v>
      </c>
    </row>
    <row r="3951" spans="1:7">
      <c r="A3951" s="2206"/>
      <c r="B3951" s="2440"/>
      <c r="C3951" s="2440" t="s">
        <v>858</v>
      </c>
      <c r="D3951" s="2440"/>
      <c r="E3951" s="2438">
        <f t="shared" si="38"/>
        <v>0.25510204081632654</v>
      </c>
      <c r="F3951" s="2441">
        <v>0.73</v>
      </c>
      <c r="G3951" s="528">
        <v>0.98</v>
      </c>
    </row>
    <row r="3952" spans="1:7">
      <c r="A3952" s="2206"/>
      <c r="B3952" s="2440"/>
      <c r="C3952" s="2440" t="s">
        <v>3116</v>
      </c>
      <c r="D3952" s="2440"/>
      <c r="E3952" s="2438">
        <f t="shared" si="38"/>
        <v>0.27777777777777779</v>
      </c>
      <c r="F3952" s="2441">
        <v>0.39</v>
      </c>
      <c r="G3952" s="528">
        <v>0.54</v>
      </c>
    </row>
    <row r="3953" spans="1:7">
      <c r="A3953" s="2206"/>
      <c r="B3953" s="2440"/>
      <c r="C3953" s="2440" t="s">
        <v>1120</v>
      </c>
      <c r="D3953" s="2440"/>
      <c r="E3953" s="2438">
        <f t="shared" si="38"/>
        <v>0.27777777777777779</v>
      </c>
      <c r="F3953" s="2441">
        <v>0.39</v>
      </c>
      <c r="G3953" s="528">
        <v>0.54</v>
      </c>
    </row>
    <row r="3954" spans="1:7" ht="15.75" thickBot="1">
      <c r="A3954" s="1315"/>
      <c r="B3954" s="2180"/>
      <c r="C3954" s="2180" t="s">
        <v>2455</v>
      </c>
      <c r="D3954" s="2180"/>
      <c r="E3954" s="2172">
        <f t="shared" si="38"/>
        <v>0.14792899408284024</v>
      </c>
      <c r="F3954" s="2413">
        <v>1.44</v>
      </c>
      <c r="G3954" s="528">
        <v>1.69</v>
      </c>
    </row>
    <row r="3956" spans="1:7">
      <c r="A3956" s="3610" t="s">
        <v>0</v>
      </c>
      <c r="B3956" s="3630" t="s">
        <v>1</v>
      </c>
      <c r="C3956" s="3630" t="s">
        <v>2</v>
      </c>
      <c r="D3956" s="3622" t="s">
        <v>3</v>
      </c>
      <c r="E3956" s="3630" t="s">
        <v>4</v>
      </c>
      <c r="F3956" s="3622" t="s">
        <v>1989</v>
      </c>
      <c r="G3956" s="3630" t="s">
        <v>1941</v>
      </c>
    </row>
    <row r="3957" spans="1:7">
      <c r="A3957" s="3517"/>
      <c r="B3957" s="3622"/>
      <c r="C3957" s="3622"/>
      <c r="D3957" s="3521"/>
      <c r="E3957" s="3622"/>
      <c r="F3957" s="3521"/>
      <c r="G3957" s="3622"/>
    </row>
    <row r="3958" spans="1:7" ht="30">
      <c r="A3958" s="3567" t="s">
        <v>3122</v>
      </c>
      <c r="B3958" s="3632" t="s">
        <v>2512</v>
      </c>
      <c r="C3958" s="2457" t="s">
        <v>2651</v>
      </c>
      <c r="D3958" s="3632" t="s">
        <v>1860</v>
      </c>
      <c r="E3958" s="3634">
        <v>0.27</v>
      </c>
      <c r="F3958" s="2458">
        <v>1.73</v>
      </c>
      <c r="G3958" s="2458">
        <v>1.26</v>
      </c>
    </row>
    <row r="3959" spans="1:7" ht="30">
      <c r="A3959" s="3568"/>
      <c r="B3959" s="3527"/>
      <c r="C3959" s="2457" t="s">
        <v>2652</v>
      </c>
      <c r="D3959" s="3527"/>
      <c r="E3959" s="3577"/>
      <c r="F3959" s="2458">
        <v>1.73</v>
      </c>
      <c r="G3959" s="2458">
        <v>1.26</v>
      </c>
    </row>
    <row r="3960" spans="1:7" ht="30">
      <c r="A3960" s="3568"/>
      <c r="B3960" s="3527"/>
      <c r="C3960" s="2457" t="s">
        <v>2653</v>
      </c>
      <c r="D3960" s="3527"/>
      <c r="E3960" s="3586"/>
      <c r="F3960" s="2458">
        <v>1.73</v>
      </c>
      <c r="G3960" s="2458">
        <v>1.26</v>
      </c>
    </row>
    <row r="3961" spans="1:7">
      <c r="A3961" s="3568"/>
      <c r="B3961" s="3527"/>
      <c r="C3961" s="2459"/>
      <c r="D3961" s="3527"/>
      <c r="E3961" s="1730"/>
      <c r="F3961" s="2458"/>
      <c r="G3961" s="2458"/>
    </row>
    <row r="3962" spans="1:7">
      <c r="A3962" s="3568"/>
      <c r="B3962" s="3527"/>
      <c r="C3962" s="2459"/>
      <c r="D3962" s="3527"/>
      <c r="E3962" s="1730"/>
      <c r="F3962" s="2458"/>
      <c r="G3962" s="2458"/>
    </row>
    <row r="3963" spans="1:7">
      <c r="A3963" s="3568"/>
      <c r="B3963" s="3527"/>
      <c r="C3963" s="2459"/>
      <c r="D3963" s="3527"/>
      <c r="E3963" s="1730"/>
      <c r="F3963" s="2458"/>
      <c r="G3963" s="2458"/>
    </row>
    <row r="3964" spans="1:7">
      <c r="A3964" s="3569"/>
      <c r="B3964" s="3534"/>
      <c r="C3964" s="2459"/>
      <c r="D3964" s="3534"/>
      <c r="E3964" s="2274"/>
      <c r="F3964" s="2458"/>
      <c r="G3964" s="2458"/>
    </row>
    <row r="3968" spans="1:7">
      <c r="A3968" s="3610" t="s">
        <v>0</v>
      </c>
      <c r="B3968" s="3641" t="s">
        <v>1</v>
      </c>
      <c r="C3968" s="3641" t="s">
        <v>2</v>
      </c>
      <c r="D3968" s="3622" t="s">
        <v>3</v>
      </c>
      <c r="E3968" s="3641" t="s">
        <v>4</v>
      </c>
      <c r="F3968" s="3622" t="s">
        <v>1989</v>
      </c>
      <c r="G3968" s="3641" t="s">
        <v>1941</v>
      </c>
    </row>
    <row r="3969" spans="1:7">
      <c r="A3969" s="3544"/>
      <c r="B3969" s="3641"/>
      <c r="C3969" s="3622"/>
      <c r="D3969" s="3521"/>
      <c r="E3969" s="3622"/>
      <c r="F3969" s="3521"/>
      <c r="G3969" s="3622"/>
    </row>
    <row r="3970" spans="1:7">
      <c r="A3970" s="3567" t="s">
        <v>3136</v>
      </c>
      <c r="B3970" s="3632" t="s">
        <v>202</v>
      </c>
      <c r="C3970" s="1095" t="s">
        <v>2983</v>
      </c>
      <c r="D3970" s="3527" t="s">
        <v>1860</v>
      </c>
      <c r="E3970" s="2481">
        <f>(F3970-G3970)/F3970</f>
        <v>0.37158469945355199</v>
      </c>
      <c r="F3970" s="2482">
        <v>1.83</v>
      </c>
      <c r="G3970" s="2483">
        <v>1.1499999999999999</v>
      </c>
    </row>
    <row r="3971" spans="1:7">
      <c r="A3971" s="3568"/>
      <c r="B3971" s="3527"/>
      <c r="C3971" s="1291" t="s">
        <v>2984</v>
      </c>
      <c r="D3971" s="3527"/>
      <c r="E3971" s="2481">
        <f>(F3971-G3971)/F3971</f>
        <v>0.37158469945355199</v>
      </c>
      <c r="F3971" s="2482">
        <v>1.83</v>
      </c>
      <c r="G3971" s="2483">
        <v>1.1499999999999999</v>
      </c>
    </row>
    <row r="3972" spans="1:7">
      <c r="A3972" s="3568"/>
      <c r="B3972" s="3527"/>
      <c r="C3972" s="2269" t="s">
        <v>2940</v>
      </c>
      <c r="D3972" s="3568"/>
      <c r="E3972" s="2481">
        <f>(F3972-G3972)/F3972</f>
        <v>0.37158469945355199</v>
      </c>
      <c r="F3972" s="2482">
        <v>1.83</v>
      </c>
      <c r="G3972" s="2483">
        <v>1.1499999999999999</v>
      </c>
    </row>
    <row r="3973" spans="1:7">
      <c r="A3973" s="3568"/>
      <c r="B3973" s="3527"/>
      <c r="C3973" s="2269" t="s">
        <v>2941</v>
      </c>
      <c r="D3973" s="3570"/>
      <c r="E3973" s="2481">
        <f>(F3973-G3973)/F3973</f>
        <v>0.37158469945355199</v>
      </c>
      <c r="F3973" s="2482">
        <v>1.83</v>
      </c>
      <c r="G3973" s="2483">
        <v>1.1499999999999999</v>
      </c>
    </row>
    <row r="3974" spans="1:7">
      <c r="A3974" s="3568"/>
      <c r="B3974" s="3527"/>
      <c r="C3974" s="2269"/>
      <c r="D3974" s="3570"/>
      <c r="E3974" s="2481"/>
      <c r="F3974" s="2482"/>
      <c r="G3974" s="2483"/>
    </row>
    <row r="3975" spans="1:7">
      <c r="A3975" s="3568"/>
      <c r="B3975" s="3527"/>
      <c r="C3975" s="2484"/>
      <c r="D3975" s="3570"/>
      <c r="E3975" s="2481"/>
      <c r="F3975" s="2482"/>
      <c r="G3975" s="2483"/>
    </row>
    <row r="3976" spans="1:7">
      <c r="A3976" s="3569"/>
      <c r="B3976" s="3534"/>
      <c r="C3976" s="2484"/>
      <c r="D3976" s="3571"/>
      <c r="E3976" s="2485"/>
      <c r="F3976" s="2486"/>
      <c r="G3976" s="2487"/>
    </row>
    <row r="3978" spans="1:7">
      <c r="A3978" s="3610" t="s">
        <v>0</v>
      </c>
      <c r="B3978" s="3641" t="s">
        <v>1</v>
      </c>
      <c r="C3978" s="3641" t="s">
        <v>2</v>
      </c>
      <c r="D3978" s="3622" t="s">
        <v>3</v>
      </c>
      <c r="E3978" s="3641" t="s">
        <v>4</v>
      </c>
      <c r="F3978" s="3622" t="s">
        <v>1989</v>
      </c>
      <c r="G3978" s="3641" t="s">
        <v>1941</v>
      </c>
    </row>
    <row r="3979" spans="1:7">
      <c r="A3979" s="3517"/>
      <c r="B3979" s="3622"/>
      <c r="C3979" s="3622"/>
      <c r="D3979" s="3521"/>
      <c r="E3979" s="3622"/>
      <c r="F3979" s="3521"/>
      <c r="G3979" s="3622"/>
    </row>
    <row r="3980" spans="1:7">
      <c r="A3980" s="3567" t="s">
        <v>3137</v>
      </c>
      <c r="B3980" s="3632" t="s">
        <v>2512</v>
      </c>
      <c r="C3980" s="2484" t="s">
        <v>3088</v>
      </c>
      <c r="D3980" s="3632" t="s">
        <v>1860</v>
      </c>
      <c r="E3980" s="2485">
        <v>0.2</v>
      </c>
      <c r="F3980" s="2486">
        <v>2.31</v>
      </c>
      <c r="G3980" s="2486">
        <v>1.85</v>
      </c>
    </row>
    <row r="3981" spans="1:7">
      <c r="A3981" s="3568"/>
      <c r="B3981" s="3527"/>
      <c r="C3981" s="2484"/>
      <c r="D3981" s="3527"/>
      <c r="E3981" s="1730"/>
      <c r="F3981" s="2486"/>
      <c r="G3981" s="2486"/>
    </row>
    <row r="3982" spans="1:7">
      <c r="A3982" s="3568"/>
      <c r="B3982" s="3527"/>
      <c r="C3982" s="2484"/>
      <c r="D3982" s="3527"/>
      <c r="E3982" s="2274"/>
      <c r="F3982" s="2486"/>
      <c r="G3982" s="2486"/>
    </row>
    <row r="3983" spans="1:7">
      <c r="A3983" s="3568"/>
      <c r="B3983" s="3527"/>
      <c r="C3983" s="2492"/>
      <c r="D3983" s="3527"/>
      <c r="E3983" s="1730"/>
      <c r="F3983" s="2486"/>
      <c r="G3983" s="2486"/>
    </row>
    <row r="3984" spans="1:7">
      <c r="A3984" s="3568"/>
      <c r="B3984" s="3527"/>
      <c r="C3984" s="2492"/>
      <c r="D3984" s="3527"/>
      <c r="E3984" s="1730"/>
      <c r="F3984" s="2486"/>
      <c r="G3984" s="2486"/>
    </row>
    <row r="3985" spans="1:7">
      <c r="A3985" s="3568"/>
      <c r="B3985" s="3527"/>
      <c r="C3985" s="2492"/>
      <c r="D3985" s="3527"/>
      <c r="E3985" s="1730"/>
      <c r="F3985" s="2486"/>
      <c r="G3985" s="2486"/>
    </row>
    <row r="3986" spans="1:7">
      <c r="A3986" s="3569"/>
      <c r="B3986" s="3534"/>
      <c r="C3986" s="2492"/>
      <c r="D3986" s="3534"/>
      <c r="E3986" s="2274"/>
      <c r="F3986" s="2486"/>
      <c r="G3986" s="2486"/>
    </row>
    <row r="3987" spans="1:7" ht="15.75" thickBot="1"/>
    <row r="3988" spans="1:7">
      <c r="A3988" s="3572" t="s">
        <v>0</v>
      </c>
      <c r="B3988" s="3557" t="s">
        <v>1</v>
      </c>
      <c r="C3988" s="3557" t="s">
        <v>2</v>
      </c>
      <c r="D3988" s="3557" t="s">
        <v>3</v>
      </c>
      <c r="E3988" s="3557" t="s">
        <v>4</v>
      </c>
      <c r="F3988" s="3557" t="s">
        <v>1989</v>
      </c>
      <c r="G3988" s="3559" t="s">
        <v>1941</v>
      </c>
    </row>
    <row r="3989" spans="1:7" ht="15.75" thickBot="1">
      <c r="A3989" s="3871"/>
      <c r="B3989" s="3626"/>
      <c r="C3989" s="3626"/>
      <c r="D3989" s="3626"/>
      <c r="E3989" s="3626"/>
      <c r="F3989" s="3626"/>
      <c r="G3989" s="3627"/>
    </row>
    <row r="3990" spans="1:7">
      <c r="A3990" s="3872" t="s">
        <v>3139</v>
      </c>
      <c r="B3990" s="3638" t="s">
        <v>2701</v>
      </c>
      <c r="C3990" s="2497" t="s">
        <v>2916</v>
      </c>
      <c r="D3990" s="2498"/>
      <c r="E3990" s="2499">
        <f>(F3990-G3990)/F3990</f>
        <v>0.38025350233488997</v>
      </c>
      <c r="F3990" s="2498">
        <v>14.99</v>
      </c>
      <c r="G3990" s="2500">
        <v>9.2899999999999991</v>
      </c>
    </row>
    <row r="3991" spans="1:7">
      <c r="A3991" s="3873"/>
      <c r="B3991" s="3639"/>
      <c r="C3991" s="2501" t="s">
        <v>3121</v>
      </c>
      <c r="D3991" s="2502"/>
      <c r="E3991" s="2503">
        <f t="shared" ref="E3991:E4010" si="39">(F3991-G3991)/F3991</f>
        <v>0.19011406844106465</v>
      </c>
      <c r="F3991" s="2502">
        <v>7.89</v>
      </c>
      <c r="G3991" s="2504">
        <v>6.39</v>
      </c>
    </row>
    <row r="3992" spans="1:7">
      <c r="A3992" s="3873"/>
      <c r="B3992" s="3639"/>
      <c r="C3992" s="2501" t="s">
        <v>2192</v>
      </c>
      <c r="D3992" s="2502"/>
      <c r="E3992" s="2503">
        <f t="shared" si="39"/>
        <v>0.15049226441631508</v>
      </c>
      <c r="F3992" s="2502">
        <v>7.11</v>
      </c>
      <c r="G3992" s="2504">
        <v>6.04</v>
      </c>
    </row>
    <row r="3993" spans="1:7">
      <c r="A3993" s="3873"/>
      <c r="B3993" s="3639"/>
      <c r="C3993" s="2505" t="s">
        <v>2194</v>
      </c>
      <c r="D3993" s="2502"/>
      <c r="E3993" s="2503">
        <f t="shared" si="39"/>
        <v>0.15049226441631508</v>
      </c>
      <c r="F3993" s="2502">
        <v>7.11</v>
      </c>
      <c r="G3993" s="2504">
        <v>6.04</v>
      </c>
    </row>
    <row r="3994" spans="1:7">
      <c r="A3994" s="3873"/>
      <c r="B3994" s="3639"/>
      <c r="C3994" s="2505" t="s">
        <v>2266</v>
      </c>
      <c r="D3994" s="2502"/>
      <c r="E3994" s="2503">
        <f t="shared" si="39"/>
        <v>0.15049226441631508</v>
      </c>
      <c r="F3994" s="2502">
        <v>7.11</v>
      </c>
      <c r="G3994" s="2504">
        <v>6.04</v>
      </c>
    </row>
    <row r="3995" spans="1:7">
      <c r="A3995" s="3873"/>
      <c r="B3995" s="3639"/>
      <c r="C3995" s="2505" t="s">
        <v>2359</v>
      </c>
      <c r="D3995" s="2502"/>
      <c r="E3995" s="2503">
        <f t="shared" si="39"/>
        <v>0.15049226441631508</v>
      </c>
      <c r="F3995" s="2502">
        <v>7.11</v>
      </c>
      <c r="G3995" s="2504">
        <v>6.04</v>
      </c>
    </row>
    <row r="3996" spans="1:7">
      <c r="A3996" s="3873"/>
      <c r="B3996" s="3639"/>
      <c r="C3996" s="2505" t="s">
        <v>1439</v>
      </c>
      <c r="D3996" s="2502"/>
      <c r="E3996" s="2503">
        <f t="shared" si="39"/>
        <v>0.15008431703204042</v>
      </c>
      <c r="F3996" s="2502">
        <v>11.86</v>
      </c>
      <c r="G3996" s="2504">
        <v>10.08</v>
      </c>
    </row>
    <row r="3997" spans="1:7">
      <c r="A3997" s="3873"/>
      <c r="B3997" s="3639"/>
      <c r="C3997" s="2495" t="s">
        <v>1773</v>
      </c>
      <c r="D3997" s="2495"/>
      <c r="E3997" s="2503">
        <f t="shared" si="39"/>
        <v>0.15008431703204042</v>
      </c>
      <c r="F3997" s="2506">
        <v>11.86</v>
      </c>
      <c r="G3997" s="2441">
        <v>10.08</v>
      </c>
    </row>
    <row r="3998" spans="1:7">
      <c r="A3998" s="3873"/>
      <c r="B3998" s="3639"/>
      <c r="C3998" s="2495" t="s">
        <v>2685</v>
      </c>
      <c r="D3998" s="2495"/>
      <c r="E3998" s="2503">
        <f t="shared" si="39"/>
        <v>0.15026517383618143</v>
      </c>
      <c r="F3998" s="2506">
        <v>16.97</v>
      </c>
      <c r="G3998" s="2441">
        <v>14.42</v>
      </c>
    </row>
    <row r="3999" spans="1:7">
      <c r="A3999" s="3873"/>
      <c r="B3999" s="3639"/>
      <c r="C3999" s="2495" t="s">
        <v>1661</v>
      </c>
      <c r="D3999" s="2495"/>
      <c r="E3999" s="2503">
        <f t="shared" si="39"/>
        <v>0.15049226441631508</v>
      </c>
      <c r="F3999" s="2506">
        <v>7.11</v>
      </c>
      <c r="G3999" s="2441">
        <v>6.04</v>
      </c>
    </row>
    <row r="4000" spans="1:7">
      <c r="A4000" s="3873"/>
      <c r="B4000" s="3639"/>
      <c r="C4000" s="2495" t="s">
        <v>1660</v>
      </c>
      <c r="D4000" s="2495"/>
      <c r="E4000" s="2503">
        <f t="shared" si="39"/>
        <v>0.15049226441631508</v>
      </c>
      <c r="F4000" s="2506">
        <v>7.11</v>
      </c>
      <c r="G4000" s="2441">
        <v>6.04</v>
      </c>
    </row>
    <row r="4001" spans="1:7">
      <c r="A4001" s="3873"/>
      <c r="B4001" s="3639"/>
      <c r="C4001" s="2495" t="s">
        <v>1763</v>
      </c>
      <c r="D4001" s="2495"/>
      <c r="E4001" s="2503">
        <f t="shared" si="39"/>
        <v>0.15001928268414966</v>
      </c>
      <c r="F4001" s="2506">
        <v>25.93</v>
      </c>
      <c r="G4001" s="2441">
        <v>22.04</v>
      </c>
    </row>
    <row r="4002" spans="1:7">
      <c r="A4002" s="3873"/>
      <c r="B4002" s="3639"/>
      <c r="C4002" s="2495" t="s">
        <v>1556</v>
      </c>
      <c r="D4002" s="2495"/>
      <c r="E4002" s="2503">
        <f t="shared" si="39"/>
        <v>0.15001928268414966</v>
      </c>
      <c r="F4002" s="2506">
        <v>25.93</v>
      </c>
      <c r="G4002" s="2441">
        <v>22.04</v>
      </c>
    </row>
    <row r="4003" spans="1:7">
      <c r="A4003" s="3873"/>
      <c r="B4003" s="3639"/>
      <c r="C4003" s="2495" t="s">
        <v>1557</v>
      </c>
      <c r="D4003" s="2495"/>
      <c r="E4003" s="2503">
        <f t="shared" si="39"/>
        <v>0.15001928268414966</v>
      </c>
      <c r="F4003" s="2506">
        <v>25.93</v>
      </c>
      <c r="G4003" s="2441">
        <v>22.04</v>
      </c>
    </row>
    <row r="4004" spans="1:7">
      <c r="A4004" s="3873"/>
      <c r="B4004" s="3639"/>
      <c r="C4004" s="2495" t="s">
        <v>1555</v>
      </c>
      <c r="D4004" s="2495"/>
      <c r="E4004" s="2503">
        <f t="shared" si="39"/>
        <v>0.15001928268414966</v>
      </c>
      <c r="F4004" s="2506">
        <v>25.93</v>
      </c>
      <c r="G4004" s="2441">
        <v>22.04</v>
      </c>
    </row>
    <row r="4005" spans="1:7">
      <c r="A4005" s="3873"/>
      <c r="B4005" s="3639"/>
      <c r="C4005" s="2495" t="s">
        <v>1810</v>
      </c>
      <c r="D4005" s="2495"/>
      <c r="E4005" s="2503">
        <f t="shared" si="39"/>
        <v>0.15001928268414966</v>
      </c>
      <c r="F4005" s="2506">
        <v>25.93</v>
      </c>
      <c r="G4005" s="2441">
        <v>22.04</v>
      </c>
    </row>
    <row r="4006" spans="1:7">
      <c r="A4006" s="3873"/>
      <c r="B4006" s="3639"/>
      <c r="C4006" s="2605" t="s">
        <v>1891</v>
      </c>
      <c r="D4006" s="2495"/>
      <c r="E4006" s="2503">
        <f t="shared" si="39"/>
        <v>0.24999999999999994</v>
      </c>
      <c r="F4006" s="2506">
        <v>1.24</v>
      </c>
      <c r="G4006" s="2441">
        <v>0.93</v>
      </c>
    </row>
    <row r="4007" spans="1:7">
      <c r="A4007" s="3873"/>
      <c r="B4007" s="3639"/>
      <c r="C4007" s="2605" t="s">
        <v>1892</v>
      </c>
      <c r="D4007" s="2495"/>
      <c r="E4007" s="2503">
        <f t="shared" si="39"/>
        <v>0.24999999999999994</v>
      </c>
      <c r="F4007" s="2506">
        <v>1.24</v>
      </c>
      <c r="G4007" s="2441">
        <v>0.93</v>
      </c>
    </row>
    <row r="4008" spans="1:7">
      <c r="A4008" s="3873"/>
      <c r="B4008" s="3639"/>
      <c r="C4008" s="2605" t="s">
        <v>3078</v>
      </c>
      <c r="D4008" s="2495"/>
      <c r="E4008" s="2503">
        <f t="shared" si="39"/>
        <v>0.25825825825825827</v>
      </c>
      <c r="F4008" s="2506">
        <v>9.99</v>
      </c>
      <c r="G4008" s="2441">
        <v>7.41</v>
      </c>
    </row>
    <row r="4009" spans="1:7">
      <c r="A4009" s="3873"/>
      <c r="B4009" s="3639"/>
      <c r="C4009" s="2605" t="s">
        <v>3064</v>
      </c>
      <c r="D4009" s="2495"/>
      <c r="E4009" s="2503">
        <f t="shared" si="39"/>
        <v>0.27465857359635809</v>
      </c>
      <c r="F4009" s="2506">
        <v>6.59</v>
      </c>
      <c r="G4009" s="2441">
        <v>4.78</v>
      </c>
    </row>
    <row r="4010" spans="1:7" ht="15.75" thickBot="1">
      <c r="A4010" s="3874"/>
      <c r="B4010" s="3640"/>
      <c r="C4010" s="2180" t="s">
        <v>2596</v>
      </c>
      <c r="D4010" s="2180"/>
      <c r="E4010" s="2507">
        <f t="shared" si="39"/>
        <v>0.1951219512195122</v>
      </c>
      <c r="F4010" s="2508">
        <v>1.23</v>
      </c>
      <c r="G4010" s="2413">
        <v>0.99</v>
      </c>
    </row>
    <row r="4013" spans="1:7">
      <c r="A4013" s="3610" t="s">
        <v>0</v>
      </c>
      <c r="B4013" s="3631" t="s">
        <v>1</v>
      </c>
      <c r="C4013" s="3631" t="s">
        <v>2</v>
      </c>
      <c r="D4013" s="3622" t="s">
        <v>3</v>
      </c>
      <c r="E4013" s="3631" t="s">
        <v>4</v>
      </c>
      <c r="F4013" s="3622" t="s">
        <v>1989</v>
      </c>
      <c r="G4013" s="3631" t="s">
        <v>1941</v>
      </c>
    </row>
    <row r="4014" spans="1:7">
      <c r="A4014" s="3517"/>
      <c r="B4014" s="3622"/>
      <c r="C4014" s="3622"/>
      <c r="D4014" s="3521"/>
      <c r="E4014" s="3622"/>
      <c r="F4014" s="3521"/>
      <c r="G4014" s="3622"/>
    </row>
    <row r="4015" spans="1:7" ht="30">
      <c r="A4015" s="3567" t="s">
        <v>3170</v>
      </c>
      <c r="B4015" s="3632" t="s">
        <v>2512</v>
      </c>
      <c r="C4015" s="2559" t="s">
        <v>2947</v>
      </c>
      <c r="D4015" s="3632" t="s">
        <v>1860</v>
      </c>
      <c r="E4015" s="3634">
        <v>0.35</v>
      </c>
      <c r="F4015" s="2560">
        <v>1.96</v>
      </c>
      <c r="G4015" s="2560">
        <v>1.27</v>
      </c>
    </row>
    <row r="4016" spans="1:7" ht="30">
      <c r="A4016" s="3568"/>
      <c r="B4016" s="3527"/>
      <c r="C4016" s="2559" t="s">
        <v>2948</v>
      </c>
      <c r="D4016" s="3527"/>
      <c r="E4016" s="3577"/>
      <c r="F4016" s="2560">
        <v>1.96</v>
      </c>
      <c r="G4016" s="2560">
        <v>1.27</v>
      </c>
    </row>
    <row r="4017" spans="1:7" ht="30">
      <c r="A4017" s="3568"/>
      <c r="B4017" s="3527"/>
      <c r="C4017" s="2559" t="s">
        <v>2949</v>
      </c>
      <c r="D4017" s="3527"/>
      <c r="E4017" s="3577"/>
      <c r="F4017" s="2560">
        <v>1.96</v>
      </c>
      <c r="G4017" s="2560">
        <v>1.27</v>
      </c>
    </row>
    <row r="4018" spans="1:7" ht="30">
      <c r="A4018" s="3568"/>
      <c r="B4018" s="3527"/>
      <c r="C4018" s="2561" t="s">
        <v>2950</v>
      </c>
      <c r="D4018" s="3527"/>
      <c r="E4018" s="3577"/>
      <c r="F4018" s="2560">
        <v>1.96</v>
      </c>
      <c r="G4018" s="2560">
        <v>1.27</v>
      </c>
    </row>
    <row r="4019" spans="1:7">
      <c r="A4019" s="3568"/>
      <c r="B4019" s="3527"/>
      <c r="C4019" s="2561"/>
      <c r="D4019" s="3527"/>
      <c r="E4019" s="1730"/>
      <c r="F4019" s="2560"/>
      <c r="G4019" s="2560"/>
    </row>
    <row r="4020" spans="1:7">
      <c r="A4020" s="3568"/>
      <c r="B4020" s="3527"/>
      <c r="C4020" s="2561"/>
      <c r="D4020" s="3527"/>
      <c r="E4020" s="1730"/>
      <c r="F4020" s="2560"/>
      <c r="G4020" s="2560"/>
    </row>
    <row r="4021" spans="1:7">
      <c r="A4021" s="3569"/>
      <c r="B4021" s="3534"/>
      <c r="C4021" s="2561"/>
      <c r="D4021" s="3534"/>
      <c r="E4021" s="2274"/>
      <c r="F4021" s="2560"/>
      <c r="G4021" s="2560"/>
    </row>
    <row r="4022" spans="1:7" ht="15.75" thickBot="1"/>
    <row r="4023" spans="1:7">
      <c r="A4023" s="3572" t="s">
        <v>0</v>
      </c>
      <c r="B4023" s="3557" t="s">
        <v>1</v>
      </c>
      <c r="C4023" s="3557" t="s">
        <v>2</v>
      </c>
      <c r="D4023" s="3557" t="s">
        <v>3</v>
      </c>
      <c r="E4023" s="3557" t="s">
        <v>4</v>
      </c>
      <c r="F4023" s="3559" t="s">
        <v>5</v>
      </c>
      <c r="G4023" s="429"/>
    </row>
    <row r="4024" spans="1:7" ht="15.75" thickBot="1">
      <c r="A4024" s="3871"/>
      <c r="B4024" s="3626"/>
      <c r="C4024" s="3626"/>
      <c r="D4024" s="3626"/>
      <c r="E4024" s="3626"/>
      <c r="F4024" s="3627"/>
      <c r="G4024" s="429"/>
    </row>
    <row r="4025" spans="1:7">
      <c r="A4025" s="1675" t="s">
        <v>3171</v>
      </c>
      <c r="B4025" s="1676" t="s">
        <v>120</v>
      </c>
      <c r="C4025" s="2414" t="s">
        <v>686</v>
      </c>
      <c r="D4025" s="2415"/>
      <c r="E4025" s="1677">
        <f>(G4025-F4025)/G4025</f>
        <v>0.25104602510460255</v>
      </c>
      <c r="F4025" s="1793">
        <v>1.79</v>
      </c>
      <c r="G4025" s="429">
        <v>2.39</v>
      </c>
    </row>
    <row r="4026" spans="1:7">
      <c r="A4026" s="2434"/>
      <c r="B4026" s="2539" t="s">
        <v>121</v>
      </c>
      <c r="C4026" s="2544" t="s">
        <v>687</v>
      </c>
      <c r="D4026" s="2545"/>
      <c r="E4026" s="2546">
        <f>(G4026-F4026)/G4026</f>
        <v>0.25104602510460255</v>
      </c>
      <c r="F4026" s="2547">
        <v>1.79</v>
      </c>
      <c r="G4026" s="39">
        <v>2.39</v>
      </c>
    </row>
    <row r="4027" spans="1:7">
      <c r="A4027" s="2434"/>
      <c r="B4027" s="2539" t="s">
        <v>123</v>
      </c>
      <c r="C4027" s="2652" t="s">
        <v>1891</v>
      </c>
      <c r="D4027" s="2545"/>
      <c r="E4027" s="2546">
        <f>(G4027-F4027)/G4027</f>
        <v>0.27906976744186046</v>
      </c>
      <c r="F4027" s="2547">
        <v>0.93</v>
      </c>
      <c r="G4027" s="429">
        <v>1.29</v>
      </c>
    </row>
    <row r="4028" spans="1:7">
      <c r="A4028" s="2434"/>
      <c r="B4028" s="2539" t="s">
        <v>122</v>
      </c>
      <c r="C4028" s="2652" t="s">
        <v>1892</v>
      </c>
      <c r="D4028" s="2545"/>
      <c r="E4028" s="2546">
        <f>(G4028-F4028)/G4028</f>
        <v>0.27906976744186046</v>
      </c>
      <c r="F4028" s="2547">
        <v>0.93</v>
      </c>
      <c r="G4028" s="528">
        <v>1.29</v>
      </c>
    </row>
    <row r="4029" spans="1:7" ht="15.75" thickBot="1">
      <c r="A4029" s="2051"/>
      <c r="B4029" s="2466" t="s">
        <v>2057</v>
      </c>
      <c r="C4029" s="2180"/>
      <c r="D4029" s="2180"/>
      <c r="E4029" s="2172" t="e">
        <f>(G4029-F4029)/G4029</f>
        <v>#DIV/0!</v>
      </c>
      <c r="F4029" s="2413"/>
      <c r="G4029" s="528"/>
    </row>
    <row r="4035" spans="1:7">
      <c r="A4035" s="3610" t="s">
        <v>0</v>
      </c>
      <c r="B4035" s="3619" t="s">
        <v>1</v>
      </c>
      <c r="C4035" s="3619" t="s">
        <v>2</v>
      </c>
      <c r="D4035" s="3608" t="s">
        <v>3</v>
      </c>
      <c r="E4035" s="3619" t="s">
        <v>4</v>
      </c>
      <c r="F4035" s="3608" t="s">
        <v>1989</v>
      </c>
      <c r="G4035" s="3619" t="s">
        <v>1941</v>
      </c>
    </row>
    <row r="4036" spans="1:7">
      <c r="A4036" s="3517"/>
      <c r="B4036" s="3608"/>
      <c r="C4036" s="3608"/>
      <c r="D4036" s="3521"/>
      <c r="E4036" s="3608"/>
      <c r="F4036" s="3521"/>
      <c r="G4036" s="3608"/>
    </row>
    <row r="4037" spans="1:7" ht="30">
      <c r="A4037" s="3618" t="s">
        <v>3176</v>
      </c>
      <c r="B4037" s="3613" t="s">
        <v>2512</v>
      </c>
      <c r="C4037" s="2576" t="s">
        <v>2651</v>
      </c>
      <c r="D4037" s="3613" t="s">
        <v>1860</v>
      </c>
      <c r="E4037" s="3881">
        <v>0.21</v>
      </c>
      <c r="F4037" s="2577">
        <v>1.73</v>
      </c>
      <c r="G4037" s="2577">
        <v>1.37</v>
      </c>
    </row>
    <row r="4038" spans="1:7" ht="30">
      <c r="A4038" s="3568"/>
      <c r="B4038" s="3527"/>
      <c r="C4038" s="2576" t="s">
        <v>2652</v>
      </c>
      <c r="D4038" s="3527"/>
      <c r="E4038" s="3577"/>
      <c r="F4038" s="2577">
        <v>1.73</v>
      </c>
      <c r="G4038" s="2577">
        <v>1.37</v>
      </c>
    </row>
    <row r="4039" spans="1:7" ht="30">
      <c r="A4039" s="3568"/>
      <c r="B4039" s="3527"/>
      <c r="C4039" s="2576" t="s">
        <v>2653</v>
      </c>
      <c r="D4039" s="3527"/>
      <c r="E4039" s="3577"/>
      <c r="F4039" s="2577">
        <v>1.73</v>
      </c>
      <c r="G4039" s="2577">
        <v>1.37</v>
      </c>
    </row>
    <row r="4040" spans="1:7">
      <c r="A4040" s="3568"/>
      <c r="B4040" s="3527"/>
      <c r="C4040" s="2578"/>
      <c r="D4040" s="3527"/>
      <c r="E4040" s="3577"/>
      <c r="F4040" s="2577"/>
      <c r="G4040" s="2577"/>
    </row>
    <row r="4041" spans="1:7">
      <c r="A4041" s="3568"/>
      <c r="B4041" s="3527"/>
      <c r="C4041" s="2578"/>
      <c r="D4041" s="3527"/>
      <c r="E4041" s="1730"/>
      <c r="F4041" s="2577"/>
      <c r="G4041" s="2577"/>
    </row>
    <row r="4042" spans="1:7">
      <c r="A4042" s="3568"/>
      <c r="B4042" s="3527"/>
      <c r="C4042" s="2578"/>
      <c r="D4042" s="3527"/>
      <c r="E4042" s="1730"/>
      <c r="F4042" s="2577"/>
      <c r="G4042" s="2577"/>
    </row>
    <row r="4043" spans="1:7">
      <c r="A4043" s="3569"/>
      <c r="B4043" s="3534"/>
      <c r="C4043" s="2578"/>
      <c r="D4043" s="3534"/>
      <c r="E4043" s="2274"/>
      <c r="F4043" s="2577"/>
      <c r="G4043" s="2577"/>
    </row>
    <row r="4046" spans="1:7">
      <c r="A4046" s="3610" t="s">
        <v>0</v>
      </c>
      <c r="B4046" s="3620" t="s">
        <v>1</v>
      </c>
      <c r="C4046" s="3620" t="s">
        <v>2</v>
      </c>
      <c r="D4046" s="3608" t="s">
        <v>3</v>
      </c>
      <c r="E4046" s="3620" t="s">
        <v>4</v>
      </c>
      <c r="F4046" s="3608" t="s">
        <v>1989</v>
      </c>
      <c r="G4046" s="3620" t="s">
        <v>1941</v>
      </c>
    </row>
    <row r="4047" spans="1:7">
      <c r="A4047" s="3517"/>
      <c r="B4047" s="3608"/>
      <c r="C4047" s="3608"/>
      <c r="D4047" s="3521"/>
      <c r="E4047" s="3608"/>
      <c r="F4047" s="3521"/>
      <c r="G4047" s="3608"/>
    </row>
    <row r="4048" spans="1:7">
      <c r="A4048" s="3618" t="s">
        <v>3192</v>
      </c>
      <c r="B4048" s="3613" t="s">
        <v>2512</v>
      </c>
      <c r="C4048" s="2611" t="s">
        <v>2794</v>
      </c>
      <c r="D4048" s="3613" t="s">
        <v>1860</v>
      </c>
      <c r="E4048" s="2612">
        <v>0.2</v>
      </c>
      <c r="F4048" s="2613">
        <v>0.88</v>
      </c>
      <c r="G4048" s="2613">
        <v>0.7</v>
      </c>
    </row>
    <row r="4049" spans="1:7">
      <c r="A4049" s="3568"/>
      <c r="B4049" s="3527"/>
      <c r="C4049" s="2611"/>
      <c r="D4049" s="3527"/>
      <c r="E4049" s="1730"/>
      <c r="F4049" s="2613"/>
      <c r="G4049" s="2613"/>
    </row>
    <row r="4050" spans="1:7">
      <c r="A4050" s="3568"/>
      <c r="B4050" s="3527"/>
      <c r="C4050" s="2611"/>
      <c r="D4050" s="3527"/>
      <c r="E4050" s="1730"/>
      <c r="F4050" s="2613"/>
      <c r="G4050" s="2613"/>
    </row>
    <row r="4051" spans="1:7">
      <c r="A4051" s="3568"/>
      <c r="B4051" s="3527"/>
      <c r="C4051" s="2614"/>
      <c r="D4051" s="3527"/>
      <c r="E4051" s="1730"/>
      <c r="F4051" s="2613"/>
      <c r="G4051" s="2613"/>
    </row>
    <row r="4052" spans="1:7">
      <c r="A4052" s="3568"/>
      <c r="B4052" s="3527"/>
      <c r="C4052" s="2614"/>
      <c r="D4052" s="3527"/>
      <c r="E4052" s="1730"/>
      <c r="F4052" s="2613"/>
      <c r="G4052" s="2613"/>
    </row>
    <row r="4053" spans="1:7">
      <c r="A4053" s="3568"/>
      <c r="B4053" s="3527"/>
      <c r="C4053" s="2614"/>
      <c r="D4053" s="3527"/>
      <c r="E4053" s="1730"/>
      <c r="F4053" s="2613"/>
      <c r="G4053" s="2613"/>
    </row>
    <row r="4054" spans="1:7">
      <c r="A4054" s="3569"/>
      <c r="B4054" s="3534"/>
      <c r="C4054" s="2614"/>
      <c r="D4054" s="3534"/>
      <c r="E4054" s="2274"/>
      <c r="F4054" s="2613"/>
      <c r="G4054" s="2613"/>
    </row>
    <row r="4056" spans="1:7" ht="15.75" thickBot="1"/>
    <row r="4057" spans="1:7">
      <c r="A4057" s="3572" t="s">
        <v>0</v>
      </c>
      <c r="B4057" s="3557" t="s">
        <v>1</v>
      </c>
      <c r="C4057" s="3557" t="s">
        <v>2</v>
      </c>
      <c r="D4057" s="3557" t="s">
        <v>3</v>
      </c>
      <c r="E4057" s="3557" t="s">
        <v>4</v>
      </c>
      <c r="F4057" s="3559" t="s">
        <v>5</v>
      </c>
      <c r="G4057" s="429"/>
    </row>
    <row r="4058" spans="1:7" ht="15.75" thickBot="1">
      <c r="A4058" s="3871"/>
      <c r="B4058" s="3628"/>
      <c r="C4058" s="3628"/>
      <c r="D4058" s="3628"/>
      <c r="E4058" s="3628"/>
      <c r="F4058" s="3629"/>
      <c r="G4058" s="429"/>
    </row>
    <row r="4059" spans="1:7">
      <c r="A4059" s="1675" t="s">
        <v>3203</v>
      </c>
      <c r="B4059" s="1676" t="s">
        <v>120</v>
      </c>
      <c r="C4059" s="2609" t="s">
        <v>1904</v>
      </c>
      <c r="D4059" s="2415"/>
      <c r="E4059" s="1677">
        <f t="shared" ref="E4059:E4071" si="40">(G4059-F4059)/G4059</f>
        <v>0.21714285714285708</v>
      </c>
      <c r="F4059" s="1793">
        <v>1.37</v>
      </c>
      <c r="G4059" s="429">
        <v>1.75</v>
      </c>
    </row>
    <row r="4060" spans="1:7">
      <c r="A4060" s="2634"/>
      <c r="B4060" s="2635" t="s">
        <v>121</v>
      </c>
      <c r="C4060" s="2725" t="s">
        <v>1975</v>
      </c>
      <c r="D4060" s="2636"/>
      <c r="E4060" s="2637">
        <f t="shared" si="40"/>
        <v>0.23809523809523808</v>
      </c>
      <c r="F4060" s="2638">
        <v>1.44</v>
      </c>
      <c r="G4060" s="39">
        <v>1.89</v>
      </c>
    </row>
    <row r="4061" spans="1:7">
      <c r="A4061" s="2634"/>
      <c r="B4061" s="2635" t="s">
        <v>123</v>
      </c>
      <c r="C4061" s="2725" t="s">
        <v>2443</v>
      </c>
      <c r="D4061" s="2636"/>
      <c r="E4061" s="2637">
        <f t="shared" si="40"/>
        <v>0.19999999999999996</v>
      </c>
      <c r="F4061" s="2638">
        <v>0.8</v>
      </c>
      <c r="G4061" s="429">
        <v>1</v>
      </c>
    </row>
    <row r="4062" spans="1:7">
      <c r="A4062" s="2634"/>
      <c r="B4062" s="2635" t="s">
        <v>122</v>
      </c>
      <c r="C4062" s="2628" t="s">
        <v>2558</v>
      </c>
      <c r="D4062" s="2636"/>
      <c r="E4062" s="2637">
        <f t="shared" si="40"/>
        <v>0.19940476190476189</v>
      </c>
      <c r="F4062" s="2638">
        <v>2.69</v>
      </c>
      <c r="G4062" s="528">
        <v>3.36</v>
      </c>
    </row>
    <row r="4063" spans="1:7">
      <c r="A4063" s="2634"/>
      <c r="B4063" s="2635" t="s">
        <v>2057</v>
      </c>
      <c r="C4063" s="2495" t="s">
        <v>2603</v>
      </c>
      <c r="D4063" s="2495"/>
      <c r="E4063" s="2637">
        <f t="shared" si="40"/>
        <v>0.19940476190476189</v>
      </c>
      <c r="F4063" s="2586">
        <v>2.69</v>
      </c>
      <c r="G4063" s="528">
        <v>3.36</v>
      </c>
    </row>
    <row r="4064" spans="1:7">
      <c r="A4064" s="2620"/>
      <c r="B4064" s="2495"/>
      <c r="C4064" s="2495" t="s">
        <v>554</v>
      </c>
      <c r="D4064" s="2495"/>
      <c r="E4064" s="2637">
        <f t="shared" si="40"/>
        <v>0.19852941176470587</v>
      </c>
      <c r="F4064" s="2586">
        <v>1.0900000000000001</v>
      </c>
      <c r="G4064" s="528">
        <v>1.36</v>
      </c>
    </row>
    <row r="4065" spans="1:7">
      <c r="A4065" s="2620"/>
      <c r="B4065" s="2495"/>
      <c r="C4065" s="2495" t="s">
        <v>2792</v>
      </c>
      <c r="D4065" s="2495"/>
      <c r="E4065" s="2637">
        <f t="shared" si="40"/>
        <v>0.19727891156462588</v>
      </c>
      <c r="F4065" s="2586">
        <v>1.18</v>
      </c>
      <c r="G4065" s="528">
        <v>1.47</v>
      </c>
    </row>
    <row r="4066" spans="1:7">
      <c r="A4066" s="2620"/>
      <c r="B4066" s="2495"/>
      <c r="C4066" s="2495" t="s">
        <v>1614</v>
      </c>
      <c r="D4066" s="2495"/>
      <c r="E4066" s="2637">
        <f t="shared" si="40"/>
        <v>0.19727891156462588</v>
      </c>
      <c r="F4066" s="2586">
        <v>1.18</v>
      </c>
      <c r="G4066" s="528">
        <v>1.47</v>
      </c>
    </row>
    <row r="4067" spans="1:7">
      <c r="A4067" s="2620"/>
      <c r="B4067" s="2495"/>
      <c r="C4067" s="2495" t="s">
        <v>3204</v>
      </c>
      <c r="D4067" s="2495"/>
      <c r="E4067" s="2637">
        <f t="shared" si="40"/>
        <v>0.20125786163522016</v>
      </c>
      <c r="F4067" s="2586">
        <v>2.54</v>
      </c>
      <c r="G4067" s="528">
        <v>3.18</v>
      </c>
    </row>
    <row r="4068" spans="1:7">
      <c r="A4068" s="2620"/>
      <c r="B4068" s="2495"/>
      <c r="C4068" s="2495" t="s">
        <v>3205</v>
      </c>
      <c r="D4068" s="2495"/>
      <c r="E4068" s="2637">
        <f t="shared" si="40"/>
        <v>0.20125786163522016</v>
      </c>
      <c r="F4068" s="2586">
        <v>2.54</v>
      </c>
      <c r="G4068" s="528">
        <v>3.18</v>
      </c>
    </row>
    <row r="4069" spans="1:7">
      <c r="A4069" s="2620"/>
      <c r="B4069" s="2495"/>
      <c r="C4069" s="2495" t="s">
        <v>1522</v>
      </c>
      <c r="D4069" s="2495"/>
      <c r="E4069" s="2637">
        <f t="shared" si="40"/>
        <v>0.2032520325203252</v>
      </c>
      <c r="F4069" s="2586">
        <v>0.98</v>
      </c>
      <c r="G4069" s="528">
        <v>1.23</v>
      </c>
    </row>
    <row r="4070" spans="1:7">
      <c r="A4070" s="2620"/>
      <c r="B4070" s="2495"/>
      <c r="C4070" s="2495" t="s">
        <v>385</v>
      </c>
      <c r="D4070" s="2495"/>
      <c r="E4070" s="2637">
        <f t="shared" si="40"/>
        <v>0.2032520325203252</v>
      </c>
      <c r="F4070" s="2586">
        <v>0.98</v>
      </c>
      <c r="G4070" s="528">
        <v>1.23</v>
      </c>
    </row>
    <row r="4071" spans="1:7" ht="15.75" thickBot="1">
      <c r="A4071" s="1315"/>
      <c r="B4071" s="2621"/>
      <c r="C4071" s="2621" t="s">
        <v>860</v>
      </c>
      <c r="D4071" s="2621"/>
      <c r="E4071" s="2639">
        <f t="shared" si="40"/>
        <v>0.20105820105820102</v>
      </c>
      <c r="F4071" s="2413">
        <v>1.51</v>
      </c>
      <c r="G4071" s="528">
        <v>1.89</v>
      </c>
    </row>
    <row r="4073" spans="1:7">
      <c r="A4073" s="3610" t="s">
        <v>0</v>
      </c>
      <c r="B4073" s="3879" t="s">
        <v>1</v>
      </c>
      <c r="C4073" s="3879" t="s">
        <v>2</v>
      </c>
      <c r="D4073" s="3608" t="s">
        <v>3</v>
      </c>
      <c r="E4073" s="3879" t="s">
        <v>4</v>
      </c>
      <c r="F4073" s="3608" t="s">
        <v>1989</v>
      </c>
      <c r="G4073" s="3879" t="s">
        <v>1941</v>
      </c>
    </row>
    <row r="4074" spans="1:7">
      <c r="A4074" s="3544"/>
      <c r="B4074" s="3879"/>
      <c r="C4074" s="3608"/>
      <c r="D4074" s="3521"/>
      <c r="E4074" s="3608"/>
      <c r="F4074" s="3521"/>
      <c r="G4074" s="3608"/>
    </row>
    <row r="4075" spans="1:7">
      <c r="A4075" s="3618" t="s">
        <v>3208</v>
      </c>
      <c r="B4075" s="3613" t="s">
        <v>202</v>
      </c>
      <c r="C4075" s="2641" t="s">
        <v>1851</v>
      </c>
      <c r="D4075" s="3527" t="s">
        <v>1860</v>
      </c>
      <c r="E4075" s="2642">
        <v>0.39</v>
      </c>
      <c r="F4075" s="2643">
        <v>1.22</v>
      </c>
      <c r="G4075" s="2644">
        <v>0.75</v>
      </c>
    </row>
    <row r="4076" spans="1:7">
      <c r="A4076" s="3568"/>
      <c r="B4076" s="3527"/>
      <c r="C4076" s="2641" t="s">
        <v>2662</v>
      </c>
      <c r="D4076" s="3527"/>
      <c r="E4076" s="2642">
        <v>0.39</v>
      </c>
      <c r="F4076" s="2643">
        <v>1.22</v>
      </c>
      <c r="G4076" s="2644">
        <v>0.75</v>
      </c>
    </row>
    <row r="4077" spans="1:7">
      <c r="A4077" s="3568"/>
      <c r="B4077" s="3527"/>
      <c r="C4077" s="2269"/>
      <c r="D4077" s="3568"/>
      <c r="E4077" s="2642"/>
      <c r="F4077" s="2643"/>
      <c r="G4077" s="2644"/>
    </row>
    <row r="4078" spans="1:7">
      <c r="A4078" s="3568"/>
      <c r="B4078" s="3527"/>
      <c r="C4078" s="2269"/>
      <c r="D4078" s="3570"/>
      <c r="E4078" s="2645"/>
      <c r="F4078" s="2646"/>
      <c r="G4078" s="2647"/>
    </row>
    <row r="4079" spans="1:7">
      <c r="A4079" s="3568"/>
      <c r="B4079" s="3527"/>
      <c r="C4079" s="2269"/>
      <c r="D4079" s="3570"/>
      <c r="E4079" s="2642"/>
      <c r="F4079" s="2643"/>
      <c r="G4079" s="2644"/>
    </row>
    <row r="4080" spans="1:7">
      <c r="A4080" s="3568"/>
      <c r="B4080" s="3527"/>
      <c r="C4080" s="2505"/>
      <c r="D4080" s="3570"/>
      <c r="E4080" s="2642"/>
      <c r="F4080" s="2643"/>
      <c r="G4080" s="2644"/>
    </row>
    <row r="4081" spans="1:7">
      <c r="A4081" s="3569"/>
      <c r="B4081" s="3534"/>
      <c r="C4081" s="2505"/>
      <c r="D4081" s="3571"/>
      <c r="E4081" s="2645"/>
      <c r="F4081" s="2646"/>
      <c r="G4081" s="2647"/>
    </row>
    <row r="4083" spans="1:7" ht="15.75" thickBot="1"/>
    <row r="4084" spans="1:7">
      <c r="A4084" s="3572" t="s">
        <v>0</v>
      </c>
      <c r="B4084" s="3557" t="s">
        <v>1</v>
      </c>
      <c r="C4084" s="3557" t="s">
        <v>2</v>
      </c>
      <c r="D4084" s="3557" t="s">
        <v>3</v>
      </c>
      <c r="E4084" s="3557" t="s">
        <v>4</v>
      </c>
      <c r="F4084" s="3557" t="s">
        <v>1989</v>
      </c>
      <c r="G4084" s="3559" t="s">
        <v>1941</v>
      </c>
    </row>
    <row r="4085" spans="1:7">
      <c r="A4085" s="3880"/>
      <c r="B4085" s="3624"/>
      <c r="C4085" s="3624"/>
      <c r="D4085" s="3624"/>
      <c r="E4085" s="3624"/>
      <c r="F4085" s="3624"/>
      <c r="G4085" s="3625"/>
    </row>
    <row r="4086" spans="1:7">
      <c r="A4086" s="2670" t="s">
        <v>3231</v>
      </c>
      <c r="B4086" s="2516" t="s">
        <v>2701</v>
      </c>
      <c r="C4086" s="2811" t="s">
        <v>1975</v>
      </c>
      <c r="D4086" s="2502"/>
      <c r="E4086" s="2503">
        <f>(F4086-G4086)/F4086</f>
        <v>0.27748691099476441</v>
      </c>
      <c r="F4086" s="2502">
        <v>1.91</v>
      </c>
      <c r="G4086" s="2671">
        <v>1.38</v>
      </c>
    </row>
    <row r="4087" spans="1:7">
      <c r="A4087" s="2670"/>
      <c r="B4087" s="2516"/>
      <c r="C4087" s="2811" t="s">
        <v>2284</v>
      </c>
      <c r="D4087" s="2502"/>
      <c r="E4087" s="2503">
        <f>(F4087-G4087)/F4087</f>
        <v>0.2468619246861925</v>
      </c>
      <c r="F4087" s="2502">
        <v>2.39</v>
      </c>
      <c r="G4087" s="2671">
        <v>1.8</v>
      </c>
    </row>
    <row r="4088" spans="1:7">
      <c r="A4088" s="2670"/>
      <c r="B4088" s="2516"/>
      <c r="C4088" s="2811" t="s">
        <v>3078</v>
      </c>
      <c r="D4088" s="2502"/>
      <c r="E4088" s="2503" t="e">
        <f>(F4088-G4088)/F4088</f>
        <v>#VALUE!</v>
      </c>
      <c r="F4088" s="2516" t="s">
        <v>3232</v>
      </c>
      <c r="G4088" s="2671">
        <v>7.41</v>
      </c>
    </row>
    <row r="4089" spans="1:7" ht="15.75" thickBot="1">
      <c r="A4089" s="2672"/>
      <c r="B4089" s="2673"/>
      <c r="C4089" s="2812" t="s">
        <v>3064</v>
      </c>
      <c r="D4089" s="2674"/>
      <c r="E4089" s="2675" t="e">
        <f>(F4089-G4089)/F4089</f>
        <v>#VALUE!</v>
      </c>
      <c r="F4089" s="2673" t="s">
        <v>3232</v>
      </c>
      <c r="G4089" s="2676">
        <v>4.78</v>
      </c>
    </row>
    <row r="4092" spans="1:7">
      <c r="A4092" s="3610" t="s">
        <v>0</v>
      </c>
      <c r="B4092" s="3879" t="s">
        <v>1</v>
      </c>
      <c r="C4092" s="3879" t="s">
        <v>2</v>
      </c>
      <c r="D4092" s="3622" t="s">
        <v>3</v>
      </c>
      <c r="E4092" s="3879" t="s">
        <v>4</v>
      </c>
      <c r="F4092" s="3622" t="s">
        <v>1989</v>
      </c>
      <c r="G4092" s="3879" t="s">
        <v>1941</v>
      </c>
    </row>
    <row r="4093" spans="1:7">
      <c r="A4093" s="3544"/>
      <c r="B4093" s="3879"/>
      <c r="C4093" s="3622"/>
      <c r="D4093" s="3521"/>
      <c r="E4093" s="3622"/>
      <c r="F4093" s="3521"/>
      <c r="G4093" s="3622"/>
    </row>
    <row r="4094" spans="1:7">
      <c r="A4094" s="3567" t="s">
        <v>3238</v>
      </c>
      <c r="B4094" s="3632" t="s">
        <v>202</v>
      </c>
      <c r="C4094" s="2641" t="s">
        <v>554</v>
      </c>
      <c r="D4094" s="3527" t="s">
        <v>1860</v>
      </c>
      <c r="E4094" s="2642">
        <v>0.25</v>
      </c>
      <c r="F4094" s="2643">
        <v>1.3</v>
      </c>
      <c r="G4094" s="2644">
        <v>0.98</v>
      </c>
    </row>
    <row r="4095" spans="1:7">
      <c r="A4095" s="3568"/>
      <c r="B4095" s="3527"/>
      <c r="C4095" s="2641" t="s">
        <v>730</v>
      </c>
      <c r="D4095" s="3527"/>
      <c r="E4095" s="2642">
        <v>0.25</v>
      </c>
      <c r="F4095" s="2643">
        <v>0.91</v>
      </c>
      <c r="G4095" s="2644">
        <v>0.68</v>
      </c>
    </row>
    <row r="4096" spans="1:7">
      <c r="A4096" s="3568"/>
      <c r="B4096" s="3527"/>
      <c r="C4096" s="2269"/>
      <c r="D4096" s="3568"/>
      <c r="E4096" s="2642"/>
      <c r="F4096" s="2643"/>
      <c r="G4096" s="2644"/>
    </row>
    <row r="4097" spans="1:7">
      <c r="A4097" s="3568"/>
      <c r="B4097" s="3527"/>
      <c r="C4097" s="2269"/>
      <c r="D4097" s="3570"/>
      <c r="E4097" s="2645"/>
      <c r="F4097" s="2646"/>
      <c r="G4097" s="2647"/>
    </row>
    <row r="4098" spans="1:7">
      <c r="A4098" s="3568"/>
      <c r="B4098" s="3527"/>
      <c r="C4098" s="2269"/>
      <c r="D4098" s="3570"/>
      <c r="E4098" s="2642"/>
      <c r="F4098" s="2643"/>
      <c r="G4098" s="2644"/>
    </row>
    <row r="4099" spans="1:7">
      <c r="A4099" s="3568"/>
      <c r="B4099" s="3527"/>
      <c r="C4099" s="2505"/>
      <c r="D4099" s="3570"/>
      <c r="E4099" s="2642"/>
      <c r="F4099" s="2643"/>
      <c r="G4099" s="2644"/>
    </row>
    <row r="4100" spans="1:7">
      <c r="A4100" s="3569"/>
      <c r="B4100" s="3534"/>
      <c r="C4100" s="2505"/>
      <c r="D4100" s="3571"/>
      <c r="E4100" s="2645"/>
      <c r="F4100" s="2646"/>
      <c r="G4100" s="2647"/>
    </row>
    <row r="4102" spans="1:7" ht="15.75" thickBot="1"/>
    <row r="4103" spans="1:7">
      <c r="A4103" s="3572" t="s">
        <v>0</v>
      </c>
      <c r="B4103" s="3557" t="s">
        <v>1</v>
      </c>
      <c r="C4103" s="3557" t="s">
        <v>2</v>
      </c>
      <c r="D4103" s="3557" t="s">
        <v>3</v>
      </c>
      <c r="E4103" s="3557" t="s">
        <v>4</v>
      </c>
      <c r="F4103" s="3559" t="s">
        <v>5</v>
      </c>
      <c r="G4103" s="429"/>
    </row>
    <row r="4104" spans="1:7" ht="15.75" thickBot="1">
      <c r="A4104" s="3871"/>
      <c r="B4104" s="3626"/>
      <c r="C4104" s="3626"/>
      <c r="D4104" s="3626"/>
      <c r="E4104" s="3626"/>
      <c r="F4104" s="3627"/>
      <c r="G4104" s="429"/>
    </row>
    <row r="4105" spans="1:7">
      <c r="A4105" s="1675" t="s">
        <v>3235</v>
      </c>
      <c r="B4105" s="1676" t="s">
        <v>120</v>
      </c>
      <c r="C4105" s="2414" t="s">
        <v>2983</v>
      </c>
      <c r="D4105" s="2415"/>
      <c r="E4105" s="1677">
        <f t="shared" ref="E4105:E4117" si="41">(G4105-F4105)/G4105</f>
        <v>0.22994652406417118</v>
      </c>
      <c r="F4105" s="1793">
        <v>1.44</v>
      </c>
      <c r="G4105" s="429">
        <v>1.87</v>
      </c>
    </row>
    <row r="4106" spans="1:7">
      <c r="A4106" s="2634"/>
      <c r="B4106" s="2635" t="s">
        <v>121</v>
      </c>
      <c r="C4106" s="2628" t="s">
        <v>2940</v>
      </c>
      <c r="D4106" s="2636"/>
      <c r="E4106" s="2637">
        <f t="shared" si="41"/>
        <v>0.22994652406417118</v>
      </c>
      <c r="F4106" s="2638">
        <v>1.44</v>
      </c>
      <c r="G4106" s="429">
        <v>1.87</v>
      </c>
    </row>
    <row r="4107" spans="1:7">
      <c r="A4107" s="2634"/>
      <c r="B4107" s="2635" t="s">
        <v>123</v>
      </c>
      <c r="C4107" s="2628" t="s">
        <v>2941</v>
      </c>
      <c r="D4107" s="2636"/>
      <c r="E4107" s="2637">
        <f t="shared" si="41"/>
        <v>0.22994652406417118</v>
      </c>
      <c r="F4107" s="2638">
        <v>1.44</v>
      </c>
      <c r="G4107" s="429">
        <v>1.87</v>
      </c>
    </row>
    <row r="4108" spans="1:7">
      <c r="A4108" s="2634"/>
      <c r="B4108" s="2635" t="s">
        <v>122</v>
      </c>
      <c r="C4108" s="2628" t="s">
        <v>1120</v>
      </c>
      <c r="D4108" s="2636"/>
      <c r="E4108" s="2637">
        <f t="shared" si="41"/>
        <v>0.20689655172413784</v>
      </c>
      <c r="F4108" s="2638">
        <v>0.46</v>
      </c>
      <c r="G4108" s="528">
        <v>0.57999999999999996</v>
      </c>
    </row>
    <row r="4109" spans="1:7">
      <c r="A4109" s="2634"/>
      <c r="B4109" s="2635" t="s">
        <v>2057</v>
      </c>
      <c r="C4109" s="2495" t="s">
        <v>636</v>
      </c>
      <c r="D4109" s="2495"/>
      <c r="E4109" s="2637">
        <f t="shared" si="41"/>
        <v>0.19658119658119658</v>
      </c>
      <c r="F4109" s="2586">
        <v>0.94</v>
      </c>
      <c r="G4109" s="528">
        <v>1.17</v>
      </c>
    </row>
    <row r="4110" spans="1:7">
      <c r="A4110" s="2620"/>
      <c r="B4110" s="2495"/>
      <c r="C4110" s="2495" t="s">
        <v>2823</v>
      </c>
      <c r="D4110" s="2495"/>
      <c r="E4110" s="2637">
        <f t="shared" si="41"/>
        <v>0.20000000000000009</v>
      </c>
      <c r="F4110" s="2586">
        <v>2.2799999999999998</v>
      </c>
      <c r="G4110" s="528">
        <v>2.85</v>
      </c>
    </row>
    <row r="4111" spans="1:7">
      <c r="A4111" s="2620"/>
      <c r="B4111" s="2495"/>
      <c r="C4111" s="2495" t="s">
        <v>2826</v>
      </c>
      <c r="D4111" s="2495"/>
      <c r="E4111" s="2637">
        <f t="shared" si="41"/>
        <v>0.20000000000000009</v>
      </c>
      <c r="F4111" s="2586">
        <v>2.2799999999999998</v>
      </c>
      <c r="G4111" s="528">
        <v>2.85</v>
      </c>
    </row>
    <row r="4112" spans="1:7">
      <c r="A4112" s="2620"/>
      <c r="B4112" s="2495"/>
      <c r="C4112" s="2495" t="s">
        <v>2825</v>
      </c>
      <c r="D4112" s="2495"/>
      <c r="E4112" s="2637">
        <f t="shared" si="41"/>
        <v>0.20000000000000009</v>
      </c>
      <c r="F4112" s="2586">
        <v>2.2799999999999998</v>
      </c>
      <c r="G4112" s="528">
        <v>2.85</v>
      </c>
    </row>
    <row r="4113" spans="1:7">
      <c r="A4113" s="2620"/>
      <c r="B4113" s="2495"/>
      <c r="C4113" s="2495" t="s">
        <v>3236</v>
      </c>
      <c r="D4113" s="2495"/>
      <c r="E4113" s="2637">
        <f t="shared" si="41"/>
        <v>0.19909502262443438</v>
      </c>
      <c r="F4113" s="2586">
        <v>3.54</v>
      </c>
      <c r="G4113" s="528">
        <v>4.42</v>
      </c>
    </row>
    <row r="4114" spans="1:7">
      <c r="A4114" s="2620"/>
      <c r="B4114" s="2495"/>
      <c r="C4114" s="2495" t="s">
        <v>3237</v>
      </c>
      <c r="D4114" s="2495"/>
      <c r="E4114" s="2637">
        <f t="shared" si="41"/>
        <v>0.19909502262443438</v>
      </c>
      <c r="F4114" s="2586">
        <v>3.54</v>
      </c>
      <c r="G4114" s="528">
        <v>4.42</v>
      </c>
    </row>
    <row r="4115" spans="1:7">
      <c r="A4115" s="2620"/>
      <c r="B4115" s="2495"/>
      <c r="C4115" s="2495" t="s">
        <v>1374</v>
      </c>
      <c r="D4115" s="2495"/>
      <c r="E4115" s="2637">
        <f t="shared" si="41"/>
        <v>0.20175438596491219</v>
      </c>
      <c r="F4115" s="2586">
        <v>0.91</v>
      </c>
      <c r="G4115" s="528">
        <v>1.1399999999999999</v>
      </c>
    </row>
    <row r="4116" spans="1:7">
      <c r="A4116" s="2620"/>
      <c r="B4116" s="2495"/>
      <c r="C4116" s="2495" t="s">
        <v>1301</v>
      </c>
      <c r="D4116" s="2495"/>
      <c r="E4116" s="2637">
        <f t="shared" si="41"/>
        <v>0.20175438596491219</v>
      </c>
      <c r="F4116" s="2586">
        <v>0.91</v>
      </c>
      <c r="G4116" s="528">
        <v>1.1399999999999999</v>
      </c>
    </row>
    <row r="4117" spans="1:7" ht="15.75" thickBot="1">
      <c r="A4117" s="1315"/>
      <c r="B4117" s="2621"/>
      <c r="C4117" s="2621" t="s">
        <v>2303</v>
      </c>
      <c r="D4117" s="2621"/>
      <c r="E4117" s="2639">
        <f t="shared" si="41"/>
        <v>0.20175438596491219</v>
      </c>
      <c r="F4117" s="2413">
        <v>0.91</v>
      </c>
      <c r="G4117" s="528">
        <v>1.1399999999999999</v>
      </c>
    </row>
    <row r="4120" spans="1:7">
      <c r="A4120" s="3610" t="s">
        <v>0</v>
      </c>
      <c r="B4120" s="3879" t="s">
        <v>1</v>
      </c>
      <c r="C4120" s="3879" t="s">
        <v>2</v>
      </c>
      <c r="D4120" s="3622" t="s">
        <v>3</v>
      </c>
      <c r="E4120" s="3879" t="s">
        <v>4</v>
      </c>
      <c r="F4120" s="3622" t="s">
        <v>1989</v>
      </c>
      <c r="G4120" s="3879" t="s">
        <v>1941</v>
      </c>
    </row>
    <row r="4121" spans="1:7">
      <c r="A4121" s="3517"/>
      <c r="B4121" s="3622"/>
      <c r="C4121" s="3622"/>
      <c r="D4121" s="3521"/>
      <c r="E4121" s="3622"/>
      <c r="F4121" s="3521"/>
      <c r="G4121" s="3622"/>
    </row>
    <row r="4122" spans="1:7" ht="30">
      <c r="A4122" s="3567" t="s">
        <v>3261</v>
      </c>
      <c r="B4122" s="2680" t="s">
        <v>2512</v>
      </c>
      <c r="C4122" s="2681" t="s">
        <v>2651</v>
      </c>
      <c r="D4122" s="504"/>
      <c r="E4122" s="3634">
        <v>0.35</v>
      </c>
      <c r="F4122" s="3644">
        <v>1.82</v>
      </c>
      <c r="G4122" s="3644">
        <v>1.18</v>
      </c>
    </row>
    <row r="4123" spans="1:7" ht="30">
      <c r="A4123" s="3568"/>
      <c r="B4123" s="504"/>
      <c r="C4123" s="2681" t="s">
        <v>2652</v>
      </c>
      <c r="D4123" s="504"/>
      <c r="E4123" s="3577"/>
      <c r="F4123" s="3582"/>
      <c r="G4123" s="3582"/>
    </row>
    <row r="4124" spans="1:7" ht="30">
      <c r="A4124" s="3569"/>
      <c r="B4124" s="2682"/>
      <c r="C4124" s="2681" t="s">
        <v>2653</v>
      </c>
      <c r="D4124" s="2682"/>
      <c r="E4124" s="3586"/>
      <c r="F4124" s="3589"/>
      <c r="G4124" s="3589"/>
    </row>
    <row r="4127" spans="1:7">
      <c r="A4127" s="3610" t="s">
        <v>0</v>
      </c>
      <c r="B4127" s="3620" t="s">
        <v>1</v>
      </c>
      <c r="C4127" s="3620" t="s">
        <v>2</v>
      </c>
      <c r="D4127" s="3608" t="s">
        <v>3</v>
      </c>
      <c r="E4127" s="3620" t="s">
        <v>4</v>
      </c>
      <c r="F4127" s="3608" t="s">
        <v>1989</v>
      </c>
      <c r="G4127" s="3620" t="s">
        <v>1941</v>
      </c>
    </row>
    <row r="4128" spans="1:7">
      <c r="A4128" s="3517"/>
      <c r="B4128" s="3608"/>
      <c r="C4128" s="3608"/>
      <c r="D4128" s="3521"/>
      <c r="E4128" s="3608"/>
      <c r="F4128" s="3521"/>
      <c r="G4128" s="3608"/>
    </row>
    <row r="4129" spans="1:7" ht="30">
      <c r="A4129" s="3618" t="s">
        <v>3264</v>
      </c>
      <c r="B4129" s="3613" t="s">
        <v>2512</v>
      </c>
      <c r="C4129" s="2611" t="s">
        <v>2947</v>
      </c>
      <c r="D4129" s="3613" t="s">
        <v>1860</v>
      </c>
      <c r="E4129" s="3881">
        <v>0.2</v>
      </c>
      <c r="F4129" s="3623">
        <v>2.06</v>
      </c>
      <c r="G4129" s="3623">
        <v>1.65</v>
      </c>
    </row>
    <row r="4130" spans="1:7" ht="30">
      <c r="A4130" s="3568"/>
      <c r="B4130" s="3527"/>
      <c r="C4130" s="2611" t="s">
        <v>2948</v>
      </c>
      <c r="D4130" s="3527"/>
      <c r="E4130" s="3577"/>
      <c r="F4130" s="3582"/>
      <c r="G4130" s="3582"/>
    </row>
    <row r="4131" spans="1:7" ht="30">
      <c r="A4131" s="3568"/>
      <c r="B4131" s="3527"/>
      <c r="C4131" s="2611" t="s">
        <v>2949</v>
      </c>
      <c r="D4131" s="3527"/>
      <c r="E4131" s="3577"/>
      <c r="F4131" s="3582"/>
      <c r="G4131" s="3582"/>
    </row>
    <row r="4132" spans="1:7" ht="30">
      <c r="A4132" s="3568"/>
      <c r="B4132" s="3527"/>
      <c r="C4132" s="2614" t="s">
        <v>2950</v>
      </c>
      <c r="D4132" s="3527"/>
      <c r="E4132" s="3577"/>
      <c r="F4132" s="3589"/>
      <c r="G4132" s="3589"/>
    </row>
    <row r="4133" spans="1:7">
      <c r="A4133" s="3568"/>
      <c r="B4133" s="3527"/>
      <c r="C4133" s="2614"/>
      <c r="D4133" s="3527"/>
      <c r="E4133" s="1730"/>
      <c r="F4133" s="2613"/>
      <c r="G4133" s="2613"/>
    </row>
    <row r="4134" spans="1:7">
      <c r="A4134" s="3568"/>
      <c r="B4134" s="3527"/>
      <c r="C4134" s="2614"/>
      <c r="D4134" s="3527"/>
      <c r="E4134" s="1730"/>
      <c r="F4134" s="2613"/>
      <c r="G4134" s="2613"/>
    </row>
    <row r="4135" spans="1:7">
      <c r="A4135" s="3569"/>
      <c r="B4135" s="3534"/>
      <c r="C4135" s="2614"/>
      <c r="D4135" s="3534"/>
      <c r="E4135" s="2274"/>
      <c r="F4135" s="2613"/>
      <c r="G4135" s="2613"/>
    </row>
    <row r="4137" spans="1:7" ht="15.75" thickBot="1"/>
    <row r="4138" spans="1:7">
      <c r="A4138" s="3572" t="s">
        <v>0</v>
      </c>
      <c r="B4138" s="3557" t="s">
        <v>1</v>
      </c>
      <c r="C4138" s="3557" t="s">
        <v>2</v>
      </c>
      <c r="D4138" s="3557" t="s">
        <v>3</v>
      </c>
      <c r="E4138" s="3557" t="s">
        <v>4</v>
      </c>
      <c r="F4138" s="3559" t="s">
        <v>5</v>
      </c>
      <c r="G4138" s="429"/>
    </row>
    <row r="4139" spans="1:7" ht="15.75" thickBot="1">
      <c r="A4139" s="3882"/>
      <c r="B4139" s="3628"/>
      <c r="C4139" s="3628"/>
      <c r="D4139" s="3628"/>
      <c r="E4139" s="3628"/>
      <c r="F4139" s="3629"/>
      <c r="G4139" s="429"/>
    </row>
    <row r="4140" spans="1:7">
      <c r="A4140" s="1675" t="s">
        <v>3266</v>
      </c>
      <c r="B4140" s="1676" t="s">
        <v>120</v>
      </c>
      <c r="C4140" s="2414" t="s">
        <v>3226</v>
      </c>
      <c r="D4140" s="2415"/>
      <c r="E4140" s="1677">
        <f>(G4140-F4140)/G4140</f>
        <v>0.20983606557377046</v>
      </c>
      <c r="F4140" s="1793">
        <v>7.23</v>
      </c>
      <c r="G4140" s="429">
        <v>9.15</v>
      </c>
    </row>
    <row r="4141" spans="1:7">
      <c r="A4141" s="2686"/>
      <c r="B4141" s="2687" t="s">
        <v>121</v>
      </c>
      <c r="C4141" s="2688" t="s">
        <v>3224</v>
      </c>
      <c r="D4141" s="2689"/>
      <c r="E4141" s="2690">
        <f>(G4141-F4141)/G4141</f>
        <v>0.20983606557377046</v>
      </c>
      <c r="F4141" s="2691">
        <v>7.23</v>
      </c>
      <c r="G4141" s="429">
        <v>9.15</v>
      </c>
    </row>
    <row r="4142" spans="1:7">
      <c r="A4142" s="2686"/>
      <c r="B4142" s="2687" t="s">
        <v>123</v>
      </c>
      <c r="C4142" s="2688"/>
      <c r="D4142" s="2689"/>
      <c r="E4142" s="2690" t="e">
        <f>(G4142-F4142)/G4142</f>
        <v>#DIV/0!</v>
      </c>
      <c r="F4142" s="2691"/>
      <c r="G4142" s="429"/>
    </row>
    <row r="4143" spans="1:7">
      <c r="A4143" s="2686"/>
      <c r="B4143" s="2687" t="s">
        <v>122</v>
      </c>
      <c r="C4143" s="2688"/>
      <c r="D4143" s="2689"/>
      <c r="E4143" s="2690" t="e">
        <f>(G4143-F4143)/G4143</f>
        <v>#DIV/0!</v>
      </c>
      <c r="F4143" s="2691"/>
      <c r="G4143" s="528"/>
    </row>
    <row r="4144" spans="1:7">
      <c r="A4144" s="2686"/>
      <c r="B4144" s="2687" t="s">
        <v>2057</v>
      </c>
      <c r="C4144" s="2692"/>
      <c r="D4144" s="2692"/>
      <c r="E4144" s="2690" t="e">
        <f>(G4144-F4144)/G4144</f>
        <v>#DIV/0!</v>
      </c>
      <c r="F4144" s="2693"/>
      <c r="G4144" s="528"/>
    </row>
    <row r="4146" spans="1:7" ht="15.75" thickBot="1"/>
    <row r="4147" spans="1:7">
      <c r="A4147" s="3572" t="s">
        <v>0</v>
      </c>
      <c r="B4147" s="3557" t="s">
        <v>1</v>
      </c>
      <c r="C4147" s="3557" t="s">
        <v>2</v>
      </c>
      <c r="D4147" s="3557" t="s">
        <v>3</v>
      </c>
      <c r="E4147" s="3557" t="s">
        <v>4</v>
      </c>
      <c r="F4147" s="3559" t="s">
        <v>5</v>
      </c>
      <c r="G4147" s="429"/>
    </row>
    <row r="4148" spans="1:7" ht="15.75" thickBot="1">
      <c r="A4148" s="3882"/>
      <c r="B4148" s="3628"/>
      <c r="C4148" s="3628"/>
      <c r="D4148" s="3628"/>
      <c r="E4148" s="3628"/>
      <c r="F4148" s="3629"/>
      <c r="G4148" s="429"/>
    </row>
    <row r="4149" spans="1:7">
      <c r="A4149" s="1675" t="s">
        <v>3287</v>
      </c>
      <c r="B4149" s="1676" t="s">
        <v>120</v>
      </c>
      <c r="C4149" s="2609" t="s">
        <v>2387</v>
      </c>
      <c r="D4149" s="2415"/>
      <c r="E4149" s="1677">
        <f t="shared" ref="E4149:E4159" si="42">(G4149-F4149)/G4149</f>
        <v>0.21999999999999997</v>
      </c>
      <c r="F4149" s="1793">
        <v>1.5833999999999999</v>
      </c>
      <c r="G4149" s="429">
        <v>2.0299999999999998</v>
      </c>
    </row>
    <row r="4150" spans="1:7">
      <c r="A4150" s="2686"/>
      <c r="B4150" s="2687" t="s">
        <v>121</v>
      </c>
      <c r="C4150" s="2843" t="s">
        <v>2268</v>
      </c>
      <c r="D4150" s="2689"/>
      <c r="E4150" s="2690">
        <f t="shared" si="42"/>
        <v>0.22</v>
      </c>
      <c r="F4150" s="2691">
        <v>1.365</v>
      </c>
      <c r="G4150" s="429">
        <v>1.75</v>
      </c>
    </row>
    <row r="4151" spans="1:7">
      <c r="A4151" s="2686"/>
      <c r="B4151" s="2687" t="s">
        <v>123</v>
      </c>
      <c r="C4151" s="2688" t="s">
        <v>2871</v>
      </c>
      <c r="D4151" s="2689"/>
      <c r="E4151" s="2690">
        <f t="shared" si="42"/>
        <v>0.19999999999999993</v>
      </c>
      <c r="F4151" s="2691">
        <v>1.4080000000000001</v>
      </c>
      <c r="G4151" s="429">
        <v>1.76</v>
      </c>
    </row>
    <row r="4152" spans="1:7">
      <c r="A4152" s="2686"/>
      <c r="B4152" s="2687" t="s">
        <v>122</v>
      </c>
      <c r="C4152" s="2688" t="s">
        <v>2890</v>
      </c>
      <c r="D4152" s="2689"/>
      <c r="E4152" s="2690">
        <f t="shared" si="42"/>
        <v>0.19999999999999993</v>
      </c>
      <c r="F4152" s="2691">
        <v>1.4080000000000001</v>
      </c>
      <c r="G4152" s="429">
        <v>1.76</v>
      </c>
    </row>
    <row r="4153" spans="1:7">
      <c r="A4153" s="2686"/>
      <c r="B4153" s="2687" t="s">
        <v>2057</v>
      </c>
      <c r="C4153" s="2688" t="s">
        <v>1950</v>
      </c>
      <c r="D4153" s="2689"/>
      <c r="E4153" s="2690">
        <f t="shared" si="42"/>
        <v>0.19999999999999996</v>
      </c>
      <c r="F4153" s="2691">
        <v>0.8</v>
      </c>
      <c r="G4153" s="429">
        <v>1</v>
      </c>
    </row>
    <row r="4154" spans="1:7">
      <c r="A4154" s="2686"/>
      <c r="B4154" s="2687"/>
      <c r="C4154" s="2688" t="s">
        <v>920</v>
      </c>
      <c r="D4154" s="2689"/>
      <c r="E4154" s="2690">
        <f t="shared" si="42"/>
        <v>0.19999999999999993</v>
      </c>
      <c r="F4154" s="2691">
        <v>0.72800000000000009</v>
      </c>
      <c r="G4154" s="429">
        <v>0.91</v>
      </c>
    </row>
    <row r="4155" spans="1:7">
      <c r="A4155" s="2686"/>
      <c r="B4155" s="2687"/>
      <c r="C4155" s="2688" t="s">
        <v>471</v>
      </c>
      <c r="D4155" s="2689"/>
      <c r="E4155" s="2690">
        <f t="shared" si="42"/>
        <v>0.19999999999999996</v>
      </c>
      <c r="F4155" s="2691">
        <v>0.84800000000000009</v>
      </c>
      <c r="G4155" s="429">
        <v>1.06</v>
      </c>
    </row>
    <row r="4156" spans="1:7">
      <c r="A4156" s="2686"/>
      <c r="B4156" s="2687"/>
      <c r="C4156" s="2688" t="s">
        <v>2596</v>
      </c>
      <c r="D4156" s="2689"/>
      <c r="E4156" s="2690">
        <f t="shared" si="42"/>
        <v>0.20000000000000004</v>
      </c>
      <c r="F4156" s="2691">
        <v>1.1839999999999999</v>
      </c>
      <c r="G4156" s="429">
        <v>1.48</v>
      </c>
    </row>
    <row r="4157" spans="1:7">
      <c r="A4157" s="2686"/>
      <c r="B4157" s="2687"/>
      <c r="C4157" s="2688"/>
      <c r="D4157" s="2689"/>
      <c r="E4157" s="2690" t="e">
        <f t="shared" si="42"/>
        <v>#DIV/0!</v>
      </c>
      <c r="F4157" s="2691"/>
      <c r="G4157" s="429"/>
    </row>
    <row r="4158" spans="1:7">
      <c r="A4158" s="2686"/>
      <c r="B4158" s="2687"/>
      <c r="C4158" s="2688"/>
      <c r="D4158" s="2689"/>
      <c r="E4158" s="2690" t="e">
        <f t="shared" si="42"/>
        <v>#DIV/0!</v>
      </c>
      <c r="F4158" s="2691"/>
      <c r="G4158" s="528"/>
    </row>
    <row r="4159" spans="1:7">
      <c r="A4159" s="2686"/>
      <c r="B4159" s="2687"/>
      <c r="C4159" s="2692"/>
      <c r="D4159" s="2692"/>
      <c r="E4159" s="2690" t="e">
        <f t="shared" si="42"/>
        <v>#DIV/0!</v>
      </c>
      <c r="F4159" s="2693"/>
      <c r="G4159" s="528"/>
    </row>
    <row r="4161" spans="1:7" ht="15.75" thickBot="1"/>
    <row r="4162" spans="1:7">
      <c r="A4162" s="3572" t="s">
        <v>0</v>
      </c>
      <c r="B4162" s="3557" t="s">
        <v>1</v>
      </c>
      <c r="C4162" s="3557" t="s">
        <v>2</v>
      </c>
      <c r="D4162" s="3557" t="s">
        <v>3</v>
      </c>
      <c r="E4162" s="3557" t="s">
        <v>4</v>
      </c>
      <c r="F4162" s="3557" t="s">
        <v>1989</v>
      </c>
      <c r="G4162" s="3559" t="s">
        <v>1941</v>
      </c>
    </row>
    <row r="4163" spans="1:7">
      <c r="A4163" s="3880"/>
      <c r="B4163" s="3624"/>
      <c r="C4163" s="3624"/>
      <c r="D4163" s="3624"/>
      <c r="E4163" s="3624"/>
      <c r="F4163" s="3624"/>
      <c r="G4163" s="3625"/>
    </row>
    <row r="4164" spans="1:7">
      <c r="A4164" s="2670" t="s">
        <v>3305</v>
      </c>
      <c r="B4164" s="2516" t="s">
        <v>2701</v>
      </c>
      <c r="C4164" s="2811" t="s">
        <v>1975</v>
      </c>
      <c r="D4164" s="2502"/>
      <c r="E4164" s="2503">
        <f>(F4164-G4164)/F4164</f>
        <v>0.27748691099476441</v>
      </c>
      <c r="F4164" s="2502">
        <v>1.91</v>
      </c>
      <c r="G4164" s="2671">
        <v>1.38</v>
      </c>
    </row>
    <row r="4165" spans="1:7">
      <c r="A4165" s="2670"/>
      <c r="B4165" s="2516"/>
      <c r="C4165" s="2811" t="s">
        <v>2284</v>
      </c>
      <c r="D4165" s="2502"/>
      <c r="E4165" s="2503">
        <f>(F4165-G4165)/F4165</f>
        <v>0.2468619246861925</v>
      </c>
      <c r="F4165" s="2502">
        <v>2.39</v>
      </c>
      <c r="G4165" s="2671">
        <v>1.8</v>
      </c>
    </row>
    <row r="4166" spans="1:7">
      <c r="A4166" s="2670"/>
      <c r="B4166" s="2516"/>
      <c r="C4166" s="2811" t="s">
        <v>3078</v>
      </c>
      <c r="D4166" s="2502"/>
      <c r="E4166" s="2503" t="e">
        <f>(F4166-G4166)/F4166</f>
        <v>#VALUE!</v>
      </c>
      <c r="F4166" s="2516" t="s">
        <v>3232</v>
      </c>
      <c r="G4166" s="2671">
        <v>7.41</v>
      </c>
    </row>
    <row r="4167" spans="1:7" ht="15.75" thickBot="1">
      <c r="A4167" s="2672"/>
      <c r="B4167" s="2673"/>
      <c r="C4167" s="2812" t="s">
        <v>3064</v>
      </c>
      <c r="D4167" s="2674"/>
      <c r="E4167" s="2675" t="e">
        <f>(F4167-G4167)/F4167</f>
        <v>#VALUE!</v>
      </c>
      <c r="F4167" s="2673" t="s">
        <v>3232</v>
      </c>
      <c r="G4167" s="2676">
        <v>4.78</v>
      </c>
    </row>
    <row r="4169" spans="1:7">
      <c r="A4169" s="3610" t="s">
        <v>0</v>
      </c>
      <c r="B4169" s="3879" t="s">
        <v>1</v>
      </c>
      <c r="C4169" s="3879" t="s">
        <v>2</v>
      </c>
      <c r="D4169" s="3622" t="s">
        <v>3</v>
      </c>
      <c r="E4169" s="3879" t="s">
        <v>4</v>
      </c>
      <c r="F4169" s="3622" t="s">
        <v>1989</v>
      </c>
      <c r="G4169" s="3879" t="s">
        <v>1941</v>
      </c>
    </row>
    <row r="4170" spans="1:7">
      <c r="A4170" s="3544"/>
      <c r="B4170" s="3879"/>
      <c r="C4170" s="3622"/>
      <c r="D4170" s="3521"/>
      <c r="E4170" s="3622"/>
      <c r="F4170" s="3521"/>
      <c r="G4170" s="3622"/>
    </row>
    <row r="4171" spans="1:7">
      <c r="A4171" s="3567" t="s">
        <v>3306</v>
      </c>
      <c r="B4171" s="3632" t="s">
        <v>202</v>
      </c>
      <c r="C4171" s="2842" t="s">
        <v>1913</v>
      </c>
      <c r="D4171" s="3527" t="s">
        <v>1860</v>
      </c>
      <c r="E4171" s="2642">
        <f>(G4171/F4171-1)*-1</f>
        <v>0.38211382113821135</v>
      </c>
      <c r="F4171" s="2643">
        <v>1.23</v>
      </c>
      <c r="G4171" s="2644">
        <v>0.76</v>
      </c>
    </row>
    <row r="4172" spans="1:7">
      <c r="A4172" s="3568"/>
      <c r="B4172" s="3527"/>
      <c r="C4172" s="2842" t="s">
        <v>1914</v>
      </c>
      <c r="D4172" s="3527"/>
      <c r="E4172" s="2642">
        <f>(G4172/F4172-1)*-1</f>
        <v>0.38211382113821135</v>
      </c>
      <c r="F4172" s="2643">
        <v>1.23</v>
      </c>
      <c r="G4172" s="2644">
        <v>0.76</v>
      </c>
    </row>
    <row r="4173" spans="1:7">
      <c r="A4173" s="3568"/>
      <c r="B4173" s="3527"/>
      <c r="C4173" s="2511" t="s">
        <v>2207</v>
      </c>
      <c r="D4173" s="3568"/>
      <c r="E4173" s="2642">
        <f>(G4173/F4173-1)*-1</f>
        <v>0.37804878048780488</v>
      </c>
      <c r="F4173" s="2643">
        <v>0.82</v>
      </c>
      <c r="G4173" s="2644">
        <v>0.51</v>
      </c>
    </row>
    <row r="4174" spans="1:7">
      <c r="A4174" s="3568"/>
      <c r="B4174" s="3527"/>
      <c r="C4174" s="2269"/>
      <c r="D4174" s="3570"/>
      <c r="E4174" s="2645"/>
      <c r="F4174" s="2646"/>
      <c r="G4174" s="2647"/>
    </row>
    <row r="4175" spans="1:7">
      <c r="A4175" s="3568"/>
      <c r="B4175" s="3527"/>
      <c r="C4175" s="2269"/>
      <c r="D4175" s="3570"/>
      <c r="E4175" s="2642"/>
      <c r="F4175" s="2643"/>
      <c r="G4175" s="2644"/>
    </row>
    <row r="4176" spans="1:7">
      <c r="A4176" s="3568"/>
      <c r="B4176" s="3527"/>
      <c r="C4176" s="2505"/>
      <c r="D4176" s="3570"/>
      <c r="E4176" s="2642"/>
      <c r="F4176" s="2643"/>
      <c r="G4176" s="2644"/>
    </row>
    <row r="4177" spans="1:7">
      <c r="A4177" s="3569"/>
      <c r="B4177" s="3534"/>
      <c r="C4177" s="2505"/>
      <c r="D4177" s="3571"/>
      <c r="E4177" s="2645"/>
      <c r="F4177" s="2646"/>
      <c r="G4177" s="2647"/>
    </row>
    <row r="4182" spans="1:7" ht="15" customHeight="1">
      <c r="A4182" s="3610" t="s">
        <v>0</v>
      </c>
      <c r="B4182" s="3620" t="s">
        <v>1</v>
      </c>
      <c r="C4182" s="3620" t="s">
        <v>2</v>
      </c>
      <c r="D4182" s="3608" t="s">
        <v>3</v>
      </c>
      <c r="E4182" s="3620" t="s">
        <v>4</v>
      </c>
      <c r="F4182" s="3608" t="s">
        <v>1989</v>
      </c>
      <c r="G4182" s="3620" t="s">
        <v>1941</v>
      </c>
    </row>
    <row r="4183" spans="1:7" ht="23.25" customHeight="1">
      <c r="A4183" s="3544"/>
      <c r="B4183" s="3620"/>
      <c r="C4183" s="3608"/>
      <c r="D4183" s="3521"/>
      <c r="E4183" s="3608"/>
      <c r="F4183" s="3521"/>
      <c r="G4183" s="3608"/>
    </row>
    <row r="4184" spans="1:7" ht="31.5" customHeight="1">
      <c r="A4184" s="3618" t="s">
        <v>3318</v>
      </c>
      <c r="B4184" s="3613" t="s">
        <v>202</v>
      </c>
      <c r="C4184" s="2726" t="s">
        <v>2804</v>
      </c>
      <c r="D4184" s="3527" t="s">
        <v>1860</v>
      </c>
      <c r="E4184" s="2727">
        <v>0.25</v>
      </c>
      <c r="F4184" s="2728">
        <v>1.67</v>
      </c>
      <c r="G4184" s="2729">
        <v>1.25</v>
      </c>
    </row>
    <row r="4185" spans="1:7" ht="31.5" customHeight="1">
      <c r="A4185" s="3568"/>
      <c r="B4185" s="3527"/>
      <c r="C4185" s="2726" t="s">
        <v>2805</v>
      </c>
      <c r="D4185" s="3527"/>
      <c r="E4185" s="2727">
        <v>0.25</v>
      </c>
      <c r="F4185" s="2728">
        <v>1.67</v>
      </c>
      <c r="G4185" s="2729">
        <v>1.25</v>
      </c>
    </row>
    <row r="4186" spans="1:7" ht="31.5" customHeight="1">
      <c r="A4186" s="3568"/>
      <c r="B4186" s="3527"/>
      <c r="C4186" s="2269" t="s">
        <v>2653</v>
      </c>
      <c r="D4186" s="3568"/>
      <c r="E4186" s="2727">
        <v>0.25</v>
      </c>
      <c r="F4186" s="2728">
        <v>1.67</v>
      </c>
      <c r="G4186" s="2729">
        <v>1.25</v>
      </c>
    </row>
    <row r="4187" spans="1:7" ht="31.5" customHeight="1">
      <c r="A4187" s="3568"/>
      <c r="B4187" s="3527"/>
      <c r="C4187" s="2730" t="s">
        <v>3319</v>
      </c>
      <c r="D4187" s="3570"/>
      <c r="E4187" s="2727">
        <v>0.31</v>
      </c>
      <c r="F4187" s="2728">
        <v>2.5099999999999998</v>
      </c>
      <c r="G4187" s="2729">
        <v>1.73</v>
      </c>
    </row>
    <row r="4188" spans="1:7" ht="31.5" customHeight="1">
      <c r="A4188" s="3568"/>
      <c r="B4188" s="3527"/>
      <c r="C4188" s="2730" t="s">
        <v>3320</v>
      </c>
      <c r="D4188" s="3570"/>
      <c r="E4188" s="2727">
        <v>0.31</v>
      </c>
      <c r="F4188" s="2728">
        <v>2.5099999999999998</v>
      </c>
      <c r="G4188" s="2729">
        <v>1.73</v>
      </c>
    </row>
    <row r="4189" spans="1:7" ht="31.5" customHeight="1">
      <c r="A4189" s="3568"/>
      <c r="B4189" s="3527"/>
      <c r="C4189" s="2611"/>
      <c r="D4189" s="3570"/>
      <c r="E4189" s="2727"/>
      <c r="F4189" s="2728"/>
      <c r="G4189" s="2729"/>
    </row>
    <row r="4190" spans="1:7" ht="31.5" customHeight="1">
      <c r="A4190" s="3569"/>
      <c r="B4190" s="3534"/>
      <c r="C4190" s="2611"/>
      <c r="D4190" s="3571"/>
      <c r="E4190" s="2731"/>
      <c r="F4190" s="2613"/>
      <c r="G4190" s="2732"/>
    </row>
    <row r="4194" spans="1:7">
      <c r="A4194" s="3885" t="s">
        <v>0</v>
      </c>
      <c r="B4194" s="3611" t="s">
        <v>1</v>
      </c>
      <c r="C4194" s="3611" t="s">
        <v>2</v>
      </c>
      <c r="D4194" s="3622" t="s">
        <v>3</v>
      </c>
      <c r="E4194" s="3611" t="s">
        <v>4</v>
      </c>
      <c r="F4194" s="3622" t="s">
        <v>1989</v>
      </c>
      <c r="G4194" s="3611" t="s">
        <v>1941</v>
      </c>
    </row>
    <row r="4195" spans="1:7">
      <c r="A4195" s="3517"/>
      <c r="B4195" s="3622"/>
      <c r="C4195" s="3622"/>
      <c r="D4195" s="3521"/>
      <c r="E4195" s="3622"/>
      <c r="F4195" s="3529"/>
      <c r="G4195" s="3622"/>
    </row>
    <row r="4196" spans="1:7" ht="30">
      <c r="A4196" s="3567" t="s">
        <v>3340</v>
      </c>
      <c r="B4196" s="3632" t="s">
        <v>2512</v>
      </c>
      <c r="C4196" s="2744" t="s">
        <v>3341</v>
      </c>
      <c r="D4196" s="3592" t="s">
        <v>1860</v>
      </c>
      <c r="E4196" s="3884">
        <v>0.2</v>
      </c>
      <c r="F4196" s="3621">
        <v>1.04</v>
      </c>
      <c r="G4196" s="3621">
        <v>0.83</v>
      </c>
    </row>
    <row r="4197" spans="1:7" ht="30">
      <c r="A4197" s="3568"/>
      <c r="B4197" s="3527"/>
      <c r="C4197" s="2744" t="s">
        <v>3342</v>
      </c>
      <c r="D4197" s="3592"/>
      <c r="E4197" s="3884"/>
      <c r="F4197" s="3621"/>
      <c r="G4197" s="3621"/>
    </row>
    <row r="4198" spans="1:7" ht="30">
      <c r="A4198" s="3568"/>
      <c r="B4198" s="3527"/>
      <c r="C4198" s="2744" t="s">
        <v>3343</v>
      </c>
      <c r="D4198" s="3592"/>
      <c r="E4198" s="3884"/>
      <c r="F4198" s="3621"/>
      <c r="G4198" s="3621"/>
    </row>
    <row r="4199" spans="1:7">
      <c r="A4199" s="3568"/>
      <c r="B4199" s="3527"/>
      <c r="C4199" s="2745"/>
      <c r="D4199" s="3592"/>
      <c r="E4199" s="2746"/>
      <c r="F4199" s="2747"/>
      <c r="G4199" s="2747"/>
    </row>
    <row r="4200" spans="1:7">
      <c r="A4200" s="3568"/>
      <c r="B4200" s="3527"/>
      <c r="C4200" s="2745"/>
      <c r="D4200" s="3592"/>
      <c r="E4200" s="2746"/>
      <c r="F4200" s="2748"/>
      <c r="G4200" s="2748"/>
    </row>
    <row r="4201" spans="1:7">
      <c r="A4201" s="3568"/>
      <c r="B4201" s="3527"/>
      <c r="C4201" s="2745"/>
      <c r="D4201" s="3592"/>
      <c r="E4201" s="2746"/>
      <c r="F4201" s="2748"/>
      <c r="G4201" s="2748"/>
    </row>
    <row r="4202" spans="1:7">
      <c r="A4202" s="3569"/>
      <c r="B4202" s="3534"/>
      <c r="C4202" s="2745"/>
      <c r="D4202" s="3592"/>
      <c r="E4202" s="2749"/>
      <c r="F4202" s="2750"/>
      <c r="G4202" s="2750"/>
    </row>
    <row r="4203" spans="1:7" ht="15.75" thickBot="1"/>
    <row r="4204" spans="1:7">
      <c r="A4204" s="3516" t="s">
        <v>0</v>
      </c>
      <c r="B4204" s="3518" t="s">
        <v>1</v>
      </c>
      <c r="C4204" s="3518" t="s">
        <v>2</v>
      </c>
      <c r="D4204" s="3520" t="s">
        <v>3</v>
      </c>
      <c r="E4204" s="3518" t="s">
        <v>4</v>
      </c>
      <c r="F4204" s="3520" t="s">
        <v>1989</v>
      </c>
      <c r="G4204" s="3522" t="s">
        <v>1941</v>
      </c>
    </row>
    <row r="4205" spans="1:7">
      <c r="A4205" s="3517"/>
      <c r="B4205" s="3608"/>
      <c r="C4205" s="3608"/>
      <c r="D4205" s="3521"/>
      <c r="E4205" s="3608"/>
      <c r="F4205" s="3529"/>
      <c r="G4205" s="3607"/>
    </row>
    <row r="4206" spans="1:7" ht="30">
      <c r="A4206" s="3612" t="s">
        <v>3353</v>
      </c>
      <c r="B4206" s="3613" t="s">
        <v>2512</v>
      </c>
      <c r="C4206" s="2744" t="s">
        <v>2651</v>
      </c>
      <c r="D4206" s="3592" t="s">
        <v>1860</v>
      </c>
      <c r="E4206" s="3881">
        <v>0.35</v>
      </c>
      <c r="F4206" s="3621">
        <v>1.82</v>
      </c>
      <c r="G4206" s="3609">
        <v>1.18</v>
      </c>
    </row>
    <row r="4207" spans="1:7" ht="30">
      <c r="A4207" s="3536"/>
      <c r="B4207" s="3527"/>
      <c r="C4207" s="2744" t="s">
        <v>2652</v>
      </c>
      <c r="D4207" s="3592"/>
      <c r="E4207" s="3577"/>
      <c r="F4207" s="3621"/>
      <c r="G4207" s="3609"/>
    </row>
    <row r="4208" spans="1:7" ht="30">
      <c r="A4208" s="3536"/>
      <c r="B4208" s="3527"/>
      <c r="C4208" s="2744" t="s">
        <v>2653</v>
      </c>
      <c r="D4208" s="3592"/>
      <c r="E4208" s="3577"/>
      <c r="F4208" s="3621"/>
      <c r="G4208" s="3609"/>
    </row>
    <row r="4209" spans="1:14" ht="15.75" thickBot="1">
      <c r="A4209" s="3537"/>
      <c r="B4209" s="3528"/>
      <c r="C4209" s="2790" t="s">
        <v>3088</v>
      </c>
      <c r="D4209" s="3883"/>
      <c r="E4209" s="3578"/>
      <c r="F4209" s="2791">
        <v>2.4300000000000002</v>
      </c>
      <c r="G4209" s="2792">
        <v>1.58</v>
      </c>
    </row>
    <row r="4213" spans="1:14">
      <c r="A4213" s="3610" t="s">
        <v>0</v>
      </c>
      <c r="B4213" s="3611" t="s">
        <v>1</v>
      </c>
      <c r="C4213" s="3611" t="s">
        <v>2</v>
      </c>
      <c r="D4213" s="3608" t="s">
        <v>3</v>
      </c>
      <c r="E4213" s="3611" t="s">
        <v>4</v>
      </c>
      <c r="F4213" s="3608" t="s">
        <v>1989</v>
      </c>
      <c r="G4213" s="3611" t="s">
        <v>1941</v>
      </c>
    </row>
    <row r="4214" spans="1:14">
      <c r="A4214" s="3517"/>
      <c r="B4214" s="3608"/>
      <c r="C4214" s="3608"/>
      <c r="D4214" s="3521"/>
      <c r="E4214" s="3608"/>
      <c r="F4214" s="3521"/>
      <c r="G4214" s="3608"/>
    </row>
    <row r="4215" spans="1:14" ht="30">
      <c r="A4215" s="3592" t="s">
        <v>3367</v>
      </c>
      <c r="B4215" s="3592" t="s">
        <v>2701</v>
      </c>
      <c r="C4215" s="2983" t="s">
        <v>3368</v>
      </c>
      <c r="D4215" s="3592" t="s">
        <v>1860</v>
      </c>
      <c r="E4215" s="2816">
        <v>0.09</v>
      </c>
      <c r="F4215" s="2817">
        <v>1.64</v>
      </c>
      <c r="G4215" s="2817">
        <v>1.49</v>
      </c>
    </row>
    <row r="4216" spans="1:14" ht="30">
      <c r="A4216" s="3592"/>
      <c r="B4216" s="3592"/>
      <c r="C4216" s="2983" t="s">
        <v>3369</v>
      </c>
      <c r="D4216" s="3592"/>
      <c r="E4216" s="2816">
        <v>0.09</v>
      </c>
      <c r="F4216" s="2817">
        <v>1.64</v>
      </c>
      <c r="G4216" s="2817">
        <v>1.49</v>
      </c>
    </row>
    <row r="4217" spans="1:14">
      <c r="A4217" s="3592"/>
      <c r="B4217" s="3592"/>
      <c r="C4217" s="2744"/>
      <c r="D4217" s="3592"/>
      <c r="E4217" s="2818"/>
      <c r="F4217" s="2817"/>
      <c r="G4217" s="2817"/>
    </row>
    <row r="4218" spans="1:14">
      <c r="A4218" s="3592"/>
      <c r="B4218" s="3592"/>
      <c r="C4218" s="2744"/>
      <c r="D4218" s="3592"/>
      <c r="E4218" s="2819"/>
      <c r="F4218" s="2817"/>
      <c r="G4218" s="2817"/>
    </row>
    <row r="4219" spans="1:14">
      <c r="A4219" s="3592"/>
      <c r="B4219" s="3592"/>
      <c r="C4219" s="2744"/>
      <c r="D4219" s="3592"/>
      <c r="E4219" s="2820"/>
      <c r="F4219" s="2805"/>
      <c r="G4219" s="2805"/>
    </row>
    <row r="4220" spans="1:14">
      <c r="A4220" s="3592"/>
      <c r="B4220" s="3592"/>
      <c r="C4220" s="2744"/>
      <c r="D4220" s="3592"/>
      <c r="E4220" s="2816"/>
      <c r="F4220" s="2817"/>
      <c r="G4220" s="2817"/>
    </row>
    <row r="4223" spans="1:14" ht="15.75" thickBot="1"/>
    <row r="4224" spans="1:14">
      <c r="A4224" s="3614" t="s">
        <v>0</v>
      </c>
      <c r="B4224" s="3518" t="s">
        <v>1</v>
      </c>
      <c r="C4224" s="3518" t="s">
        <v>2</v>
      </c>
      <c r="D4224" s="3518" t="s">
        <v>3</v>
      </c>
      <c r="E4224" s="3518" t="s">
        <v>4</v>
      </c>
      <c r="F4224" s="3518" t="s">
        <v>1989</v>
      </c>
      <c r="G4224" s="3522" t="s">
        <v>1941</v>
      </c>
      <c r="H4224" s="2821"/>
      <c r="J4224" s="2821"/>
      <c r="K4224" s="2821"/>
      <c r="L4224" s="2821"/>
      <c r="M4224" s="2821"/>
      <c r="N4224" s="2821"/>
    </row>
    <row r="4225" spans="1:14">
      <c r="A4225" s="3615"/>
      <c r="B4225" s="3591"/>
      <c r="C4225" s="3591"/>
      <c r="D4225" s="3591"/>
      <c r="E4225" s="3591"/>
      <c r="F4225" s="3591"/>
      <c r="G4225" s="3595"/>
      <c r="H4225" s="2821"/>
      <c r="J4225" s="2821"/>
      <c r="K4225" s="2821"/>
      <c r="L4225" s="2821"/>
      <c r="M4225" s="2821"/>
      <c r="N4225" s="2821"/>
    </row>
    <row r="4226" spans="1:14">
      <c r="A4226" s="3596" t="s">
        <v>3374</v>
      </c>
      <c r="B4226" s="3598" t="s">
        <v>2512</v>
      </c>
      <c r="C4226" s="2827" t="s">
        <v>1374</v>
      </c>
      <c r="D4226" s="3600" t="s">
        <v>1860</v>
      </c>
      <c r="E4226" s="2828">
        <v>0.19685039370078738</v>
      </c>
      <c r="F4226" s="2829">
        <v>1.27</v>
      </c>
      <c r="G4226" s="2830">
        <v>1.02</v>
      </c>
      <c r="H4226" s="2821"/>
      <c r="J4226" s="2821"/>
      <c r="K4226" s="2821"/>
      <c r="L4226" s="2821"/>
      <c r="M4226" s="2821"/>
      <c r="N4226" s="2821"/>
    </row>
    <row r="4227" spans="1:14" ht="15.75" thickBot="1">
      <c r="A4227" s="3597"/>
      <c r="B4227" s="3599"/>
      <c r="C4227" s="2831" t="s">
        <v>1301</v>
      </c>
      <c r="D4227" s="3528"/>
      <c r="E4227" s="2832">
        <v>0.19685039370078738</v>
      </c>
      <c r="F4227" s="2833">
        <v>1.27</v>
      </c>
      <c r="G4227" s="2834">
        <v>1.02</v>
      </c>
      <c r="H4227" s="2821"/>
      <c r="J4227" s="2821"/>
      <c r="K4227" s="2821"/>
      <c r="L4227" s="2821"/>
      <c r="M4227" s="2821"/>
      <c r="N4227" s="2821"/>
    </row>
    <row r="4229" spans="1:14" ht="15.75" thickBot="1"/>
    <row r="4230" spans="1:14" s="2821" customFormat="1">
      <c r="A4230" s="3614" t="s">
        <v>0</v>
      </c>
      <c r="B4230" s="3518" t="s">
        <v>1</v>
      </c>
      <c r="C4230" s="3518" t="s">
        <v>2</v>
      </c>
      <c r="D4230" s="3518" t="s">
        <v>3</v>
      </c>
      <c r="E4230" s="3518" t="s">
        <v>4</v>
      </c>
      <c r="F4230" s="3518" t="s">
        <v>1989</v>
      </c>
      <c r="G4230" s="3522" t="s">
        <v>1941</v>
      </c>
      <c r="I4230"/>
    </row>
    <row r="4231" spans="1:14" s="2821" customFormat="1">
      <c r="A4231" s="3615"/>
      <c r="B4231" s="3591"/>
      <c r="C4231" s="3591"/>
      <c r="D4231" s="3591"/>
      <c r="E4231" s="3591"/>
      <c r="F4231" s="3591"/>
      <c r="G4231" s="3595"/>
      <c r="I4231"/>
    </row>
    <row r="4232" spans="1:14" s="2821" customFormat="1">
      <c r="A4232" s="3596" t="s">
        <v>3382</v>
      </c>
      <c r="B4232" s="3598" t="s">
        <v>2512</v>
      </c>
      <c r="C4232" s="2827" t="s">
        <v>1058</v>
      </c>
      <c r="D4232" s="2869" t="s">
        <v>1860</v>
      </c>
      <c r="E4232" s="2828">
        <f>(F4232-G4232)/F4232</f>
        <v>0.20164609053497951</v>
      </c>
      <c r="F4232" s="2829">
        <v>2.4300000000000002</v>
      </c>
      <c r="G4232" s="2830">
        <v>1.94</v>
      </c>
      <c r="I4232"/>
    </row>
    <row r="4233" spans="1:14" s="2821" customFormat="1" ht="15.75" thickBot="1">
      <c r="A4233" s="3597"/>
      <c r="B4233" s="3599"/>
      <c r="C4233" s="2831"/>
      <c r="D4233" s="1491"/>
      <c r="E4233" s="2832"/>
      <c r="F4233" s="2833"/>
      <c r="G4233" s="2834"/>
      <c r="I4233"/>
    </row>
    <row r="4234" spans="1:14" ht="15.75" thickBot="1"/>
    <row r="4235" spans="1:14" s="2885" customFormat="1">
      <c r="A4235" s="3593" t="s">
        <v>0</v>
      </c>
      <c r="B4235" s="3601" t="s">
        <v>1</v>
      </c>
      <c r="C4235" s="3601" t="s">
        <v>2</v>
      </c>
      <c r="D4235" s="3601" t="s">
        <v>3</v>
      </c>
      <c r="E4235" s="3601" t="s">
        <v>4</v>
      </c>
      <c r="F4235" s="3601" t="s">
        <v>1989</v>
      </c>
      <c r="G4235" s="3616" t="s">
        <v>1941</v>
      </c>
      <c r="I4235"/>
    </row>
    <row r="4236" spans="1:14" s="2885" customFormat="1">
      <c r="A4236" s="3594"/>
      <c r="B4236" s="3602"/>
      <c r="C4236" s="3602"/>
      <c r="D4236" s="3602"/>
      <c r="E4236" s="3602"/>
      <c r="F4236" s="3602"/>
      <c r="G4236" s="3617"/>
      <c r="I4236"/>
    </row>
    <row r="4237" spans="1:14" s="2885" customFormat="1">
      <c r="A4237" s="2918" t="s">
        <v>3394</v>
      </c>
      <c r="B4237" s="2919" t="s">
        <v>2701</v>
      </c>
      <c r="C4237" s="2990" t="s">
        <v>1891</v>
      </c>
      <c r="D4237" s="2920"/>
      <c r="E4237" s="2921">
        <f>(F4237-G4237)/F4237</f>
        <v>0.24999999999999994</v>
      </c>
      <c r="F4237" s="2919">
        <v>1.24</v>
      </c>
      <c r="G4237" s="2922">
        <v>0.93</v>
      </c>
      <c r="I4237"/>
    </row>
    <row r="4238" spans="1:14" s="2885" customFormat="1">
      <c r="A4238" s="2918"/>
      <c r="B4238" s="2919"/>
      <c r="C4238" s="2990" t="s">
        <v>1892</v>
      </c>
      <c r="D4238" s="2920"/>
      <c r="E4238" s="2921">
        <f>(F4238-G4238)/F4238</f>
        <v>0.24999999999999994</v>
      </c>
      <c r="F4238" s="2919">
        <v>1.24</v>
      </c>
      <c r="G4238" s="2922">
        <v>0.93</v>
      </c>
      <c r="I4238"/>
    </row>
    <row r="4239" spans="1:14" s="2885" customFormat="1">
      <c r="A4239" s="2918"/>
      <c r="B4239" s="2919"/>
      <c r="C4239" s="2990" t="s">
        <v>3078</v>
      </c>
      <c r="D4239" s="2920"/>
      <c r="E4239" s="2921">
        <f>(F4239-G4239)/F4239</f>
        <v>0.25825825825825827</v>
      </c>
      <c r="F4239" s="2919">
        <v>9.99</v>
      </c>
      <c r="G4239" s="2922">
        <v>7.41</v>
      </c>
      <c r="I4239"/>
    </row>
    <row r="4240" spans="1:14" s="2885" customFormat="1">
      <c r="A4240" s="2918"/>
      <c r="B4240" s="2919"/>
      <c r="C4240" s="2990" t="s">
        <v>3064</v>
      </c>
      <c r="D4240" s="2920"/>
      <c r="E4240" s="2921">
        <f>(F4240-G4240)/F4240</f>
        <v>0.27465857359635809</v>
      </c>
      <c r="F4240" s="2919">
        <v>6.59</v>
      </c>
      <c r="G4240" s="2922">
        <v>4.78</v>
      </c>
      <c r="I4240"/>
    </row>
    <row r="4241" spans="1:9" s="2885" customFormat="1" ht="15.75" thickBot="1">
      <c r="A4241" s="2923"/>
      <c r="B4241" s="2924"/>
      <c r="C4241" s="2915"/>
      <c r="D4241" s="2915"/>
      <c r="E4241" s="2915"/>
      <c r="F4241" s="2915"/>
      <c r="G4241" s="2917"/>
      <c r="I4241"/>
    </row>
    <row r="4243" spans="1:9" s="2885" customFormat="1">
      <c r="A4243" s="3555" t="s">
        <v>0</v>
      </c>
      <c r="B4243" s="3556" t="s">
        <v>1</v>
      </c>
      <c r="C4243" s="3556" t="s">
        <v>2</v>
      </c>
      <c r="D4243" s="3550" t="s">
        <v>3</v>
      </c>
      <c r="E4243" s="3556" t="s">
        <v>4</v>
      </c>
      <c r="F4243" s="3550" t="s">
        <v>1989</v>
      </c>
      <c r="G4243" s="3556" t="s">
        <v>1941</v>
      </c>
      <c r="I4243"/>
    </row>
    <row r="4244" spans="1:9" s="2885" customFormat="1">
      <c r="A4244" s="3544"/>
      <c r="B4244" s="3556"/>
      <c r="C4244" s="3550"/>
      <c r="D4244" s="3521"/>
      <c r="E4244" s="3550"/>
      <c r="F4244" s="3521"/>
      <c r="G4244" s="3550"/>
      <c r="I4244"/>
    </row>
    <row r="4245" spans="1:9" s="2885" customFormat="1" ht="30">
      <c r="A4245" s="3567" t="s">
        <v>3398</v>
      </c>
      <c r="B4245" s="3549" t="s">
        <v>202</v>
      </c>
      <c r="C4245" s="2943" t="s">
        <v>3399</v>
      </c>
      <c r="D4245" s="3527" t="s">
        <v>1860</v>
      </c>
      <c r="E4245" s="2944">
        <v>0.39</v>
      </c>
      <c r="F4245" s="2945">
        <v>2.96</v>
      </c>
      <c r="G4245" s="2946">
        <v>1.81</v>
      </c>
      <c r="I4245"/>
    </row>
    <row r="4246" spans="1:9" s="2885" customFormat="1">
      <c r="A4246" s="3568"/>
      <c r="B4246" s="3527"/>
      <c r="C4246" s="2943" t="s">
        <v>3400</v>
      </c>
      <c r="D4246" s="3527"/>
      <c r="E4246" s="2944">
        <v>0.41</v>
      </c>
      <c r="F4246" s="2945">
        <v>0.63</v>
      </c>
      <c r="G4246" s="2946">
        <v>0.37</v>
      </c>
      <c r="I4246"/>
    </row>
    <row r="4247" spans="1:9" s="2885" customFormat="1" ht="30">
      <c r="A4247" s="3568"/>
      <c r="B4247" s="3527"/>
      <c r="C4247" s="2269" t="s">
        <v>3401</v>
      </c>
      <c r="D4247" s="3568"/>
      <c r="E4247" s="2944">
        <v>0.39</v>
      </c>
      <c r="F4247" s="2945">
        <v>1.47</v>
      </c>
      <c r="G4247" s="2946">
        <v>0.9</v>
      </c>
      <c r="I4247"/>
    </row>
    <row r="4248" spans="1:9" s="2885" customFormat="1" ht="30">
      <c r="A4248" s="3568"/>
      <c r="B4248" s="3527"/>
      <c r="C4248" s="2730" t="s">
        <v>3402</v>
      </c>
      <c r="D4248" s="3570"/>
      <c r="E4248" s="2944">
        <v>0.39</v>
      </c>
      <c r="F4248" s="2945">
        <v>1.47</v>
      </c>
      <c r="G4248" s="2946">
        <v>0.9</v>
      </c>
      <c r="I4248"/>
    </row>
    <row r="4249" spans="1:9" s="2885" customFormat="1">
      <c r="A4249" s="3568"/>
      <c r="B4249" s="3527"/>
      <c r="C4249" s="2730"/>
      <c r="D4249" s="3570"/>
      <c r="E4249" s="2944"/>
      <c r="F4249" s="2945"/>
      <c r="G4249" s="2946"/>
      <c r="I4249"/>
    </row>
    <row r="4250" spans="1:9" s="2885" customFormat="1">
      <c r="A4250" s="3568"/>
      <c r="B4250" s="3527"/>
      <c r="C4250" s="2947"/>
      <c r="D4250" s="3570"/>
      <c r="E4250" s="2944"/>
      <c r="F4250" s="2945"/>
      <c r="G4250" s="2946"/>
      <c r="I4250"/>
    </row>
    <row r="4251" spans="1:9" s="2885" customFormat="1">
      <c r="A4251" s="3569"/>
      <c r="B4251" s="3534"/>
      <c r="C4251" s="2947"/>
      <c r="D4251" s="3571"/>
      <c r="E4251" s="2948"/>
      <c r="F4251" s="2949"/>
      <c r="G4251" s="2950"/>
      <c r="I4251"/>
    </row>
    <row r="4252" spans="1:9" s="2885" customFormat="1">
      <c r="I4252"/>
    </row>
    <row r="4255" spans="1:9" s="2885" customFormat="1">
      <c r="A4255" s="3555" t="s">
        <v>0</v>
      </c>
      <c r="B4255" s="3556" t="s">
        <v>1</v>
      </c>
      <c r="C4255" s="3556" t="s">
        <v>2</v>
      </c>
      <c r="D4255" s="3550" t="s">
        <v>3</v>
      </c>
      <c r="E4255" s="3556" t="s">
        <v>4</v>
      </c>
      <c r="F4255" s="3550" t="s">
        <v>1989</v>
      </c>
      <c r="G4255" s="3556" t="s">
        <v>1941</v>
      </c>
      <c r="I4255"/>
    </row>
    <row r="4256" spans="1:9" s="2885" customFormat="1">
      <c r="A4256" s="3517"/>
      <c r="B4256" s="3550"/>
      <c r="C4256" s="3550"/>
      <c r="D4256" s="3521"/>
      <c r="E4256" s="3550"/>
      <c r="F4256" s="3529"/>
      <c r="G4256" s="3550"/>
      <c r="I4256"/>
    </row>
    <row r="4257" spans="1:9" s="2885" customFormat="1" ht="30">
      <c r="A4257" s="3587" t="s">
        <v>3418</v>
      </c>
      <c r="B4257" s="3587" t="s">
        <v>2512</v>
      </c>
      <c r="C4257" s="2947" t="s">
        <v>2947</v>
      </c>
      <c r="D4257" s="3587" t="s">
        <v>1860</v>
      </c>
      <c r="E4257" s="3576">
        <v>0.35</v>
      </c>
      <c r="F4257" s="3580">
        <v>2.06</v>
      </c>
      <c r="G4257" s="3580">
        <v>1.36</v>
      </c>
      <c r="I4257"/>
    </row>
    <row r="4258" spans="1:9" s="2885" customFormat="1" ht="30">
      <c r="A4258" s="3587"/>
      <c r="B4258" s="3587"/>
      <c r="C4258" s="2947" t="s">
        <v>2948</v>
      </c>
      <c r="D4258" s="3587"/>
      <c r="E4258" s="3577"/>
      <c r="F4258" s="3580"/>
      <c r="G4258" s="3580"/>
      <c r="I4258"/>
    </row>
    <row r="4259" spans="1:9" s="2885" customFormat="1" ht="30">
      <c r="A4259" s="3587"/>
      <c r="B4259" s="3587"/>
      <c r="C4259" s="2947" t="s">
        <v>3419</v>
      </c>
      <c r="D4259" s="3587"/>
      <c r="E4259" s="3579">
        <v>0.15</v>
      </c>
      <c r="F4259" s="3580">
        <v>2.65</v>
      </c>
      <c r="G4259" s="3580">
        <v>2.25</v>
      </c>
      <c r="I4259"/>
    </row>
    <row r="4260" spans="1:9" s="2885" customFormat="1" ht="30">
      <c r="A4260" s="3587"/>
      <c r="B4260" s="3587"/>
      <c r="C4260" s="2956" t="s">
        <v>3420</v>
      </c>
      <c r="D4260" s="3587"/>
      <c r="E4260" s="3579"/>
      <c r="F4260" s="3580"/>
      <c r="G4260" s="3580"/>
      <c r="I4260"/>
    </row>
    <row r="4261" spans="1:9" s="2885" customFormat="1" ht="30">
      <c r="A4261" s="3587"/>
      <c r="B4261" s="3587"/>
      <c r="C4261" s="2956" t="s">
        <v>3421</v>
      </c>
      <c r="D4261" s="3587"/>
      <c r="E4261" s="3579"/>
      <c r="F4261" s="3580"/>
      <c r="G4261" s="3580"/>
      <c r="I4261"/>
    </row>
    <row r="4262" spans="1:9" s="2885" customFormat="1" ht="30">
      <c r="A4262" s="3587"/>
      <c r="B4262" s="3587"/>
      <c r="C4262" s="2956" t="s">
        <v>3422</v>
      </c>
      <c r="D4262" s="3587"/>
      <c r="E4262" s="3579"/>
      <c r="F4262" s="3580"/>
      <c r="G4262" s="3580"/>
      <c r="I4262"/>
    </row>
    <row r="4263" spans="1:9" s="2885" customFormat="1" ht="30">
      <c r="A4263" s="3587"/>
      <c r="B4263" s="3587"/>
      <c r="C4263" s="2956" t="s">
        <v>3423</v>
      </c>
      <c r="D4263" s="3587"/>
      <c r="E4263" s="3579"/>
      <c r="F4263" s="3580"/>
      <c r="G4263" s="3580"/>
      <c r="I4263"/>
    </row>
    <row r="4264" spans="1:9" s="2885" customFormat="1" ht="30">
      <c r="A4264" s="3587"/>
      <c r="B4264" s="3587"/>
      <c r="C4264" s="2956" t="s">
        <v>3424</v>
      </c>
      <c r="D4264" s="3587"/>
      <c r="E4264" s="3579"/>
      <c r="F4264" s="3580"/>
      <c r="G4264" s="3580"/>
      <c r="I4264"/>
    </row>
    <row r="4265" spans="1:9" s="2885" customFormat="1" ht="30">
      <c r="A4265" s="3587"/>
      <c r="B4265" s="3587"/>
      <c r="C4265" s="2956" t="s">
        <v>3425</v>
      </c>
      <c r="D4265" s="3587"/>
      <c r="E4265" s="3579"/>
      <c r="F4265" s="3580"/>
      <c r="G4265" s="3580"/>
      <c r="I4265"/>
    </row>
    <row r="4266" spans="1:9" s="2885" customFormat="1" ht="30">
      <c r="A4266" s="3587"/>
      <c r="B4266" s="3587"/>
      <c r="C4266" s="2956" t="s">
        <v>3426</v>
      </c>
      <c r="D4266" s="3587"/>
      <c r="E4266" s="3579"/>
      <c r="F4266" s="3580"/>
      <c r="G4266" s="3580"/>
      <c r="I4266"/>
    </row>
    <row r="4267" spans="1:9" s="2885" customFormat="1" ht="30">
      <c r="A4267" s="3587"/>
      <c r="B4267" s="3587"/>
      <c r="C4267" s="2956" t="s">
        <v>3427</v>
      </c>
      <c r="D4267" s="3587"/>
      <c r="E4267" s="3579"/>
      <c r="F4267" s="3580"/>
      <c r="G4267" s="3580"/>
      <c r="I4267"/>
    </row>
    <row r="4270" spans="1:9">
      <c r="A4270" s="3555" t="s">
        <v>0</v>
      </c>
      <c r="B4270" s="3556" t="s">
        <v>1</v>
      </c>
      <c r="C4270" s="3556" t="s">
        <v>2</v>
      </c>
      <c r="D4270" s="3550" t="s">
        <v>3</v>
      </c>
      <c r="E4270" s="3556" t="s">
        <v>4</v>
      </c>
      <c r="F4270" s="3550" t="s">
        <v>1989</v>
      </c>
      <c r="G4270" s="3556" t="s">
        <v>1941</v>
      </c>
    </row>
    <row r="4271" spans="1:9">
      <c r="A4271" s="3517"/>
      <c r="B4271" s="3550"/>
      <c r="C4271" s="3550"/>
      <c r="D4271" s="3521"/>
      <c r="E4271" s="3550"/>
      <c r="F4271" s="3521"/>
      <c r="G4271" s="3550"/>
    </row>
    <row r="4272" spans="1:9" ht="30">
      <c r="A4272" s="3587" t="s">
        <v>3431</v>
      </c>
      <c r="B4272" s="3587" t="s">
        <v>2701</v>
      </c>
      <c r="C4272" s="2947" t="s">
        <v>3432</v>
      </c>
      <c r="D4272" s="3587" t="s">
        <v>1860</v>
      </c>
      <c r="E4272" s="2961">
        <v>0.22</v>
      </c>
      <c r="F4272" s="2960">
        <v>21.15</v>
      </c>
      <c r="G4272" s="2960">
        <v>16.43</v>
      </c>
    </row>
    <row r="4273" spans="1:9" ht="30">
      <c r="A4273" s="3587"/>
      <c r="B4273" s="3587"/>
      <c r="C4273" s="2947" t="s">
        <v>3433</v>
      </c>
      <c r="D4273" s="3587"/>
      <c r="E4273" s="2961">
        <v>0.22</v>
      </c>
      <c r="F4273" s="2960">
        <v>21.15</v>
      </c>
      <c r="G4273" s="2960">
        <v>16.43</v>
      </c>
    </row>
    <row r="4274" spans="1:9" ht="30">
      <c r="A4274" s="3587"/>
      <c r="B4274" s="3587"/>
      <c r="C4274" s="2947" t="s">
        <v>3434</v>
      </c>
      <c r="D4274" s="3587"/>
      <c r="E4274" s="2961">
        <v>0.22</v>
      </c>
      <c r="F4274" s="2960">
        <v>21.15</v>
      </c>
      <c r="G4274" s="2960">
        <v>16.43</v>
      </c>
    </row>
    <row r="4275" spans="1:9" ht="30">
      <c r="A4275" s="3587"/>
      <c r="B4275" s="3587"/>
      <c r="C4275" s="2947" t="s">
        <v>3435</v>
      </c>
      <c r="D4275" s="3587"/>
      <c r="E4275" s="2961">
        <v>0.22</v>
      </c>
      <c r="F4275" s="2960">
        <v>21.15</v>
      </c>
      <c r="G4275" s="2960">
        <v>16.43</v>
      </c>
    </row>
    <row r="4276" spans="1:9" ht="30">
      <c r="A4276" s="3587"/>
      <c r="B4276" s="3587"/>
      <c r="C4276" s="3042" t="s">
        <v>3368</v>
      </c>
      <c r="D4276" s="3587"/>
      <c r="E4276" s="2964">
        <v>0.09</v>
      </c>
      <c r="F4276" s="2960">
        <v>1.64</v>
      </c>
      <c r="G4276" s="2960">
        <v>1.49</v>
      </c>
    </row>
    <row r="4277" spans="1:9" ht="30">
      <c r="A4277" s="3587"/>
      <c r="B4277" s="3587"/>
      <c r="C4277" s="3042" t="s">
        <v>3369</v>
      </c>
      <c r="D4277" s="3587"/>
      <c r="E4277" s="2961">
        <v>0.09</v>
      </c>
      <c r="F4277" s="2960">
        <v>1.64</v>
      </c>
      <c r="G4277" s="2960">
        <v>1.49</v>
      </c>
    </row>
    <row r="4278" spans="1:9">
      <c r="A4278" s="3587"/>
      <c r="B4278" s="3587"/>
      <c r="C4278" s="2947" t="s">
        <v>3009</v>
      </c>
      <c r="D4278" s="3587"/>
      <c r="E4278" s="2961">
        <v>0.38</v>
      </c>
      <c r="F4278" s="2960">
        <v>14.99</v>
      </c>
      <c r="G4278" s="2960">
        <v>9.2899999999999991</v>
      </c>
    </row>
    <row r="4280" spans="1:9" ht="15.75" thickBot="1"/>
    <row r="4281" spans="1:9" s="2885" customFormat="1">
      <c r="A4281" s="3516" t="s">
        <v>0</v>
      </c>
      <c r="B4281" s="3518" t="s">
        <v>1</v>
      </c>
      <c r="C4281" s="3518" t="s">
        <v>2</v>
      </c>
      <c r="D4281" s="3520" t="s">
        <v>3</v>
      </c>
      <c r="E4281" s="3518" t="s">
        <v>4</v>
      </c>
      <c r="F4281" s="3520" t="s">
        <v>1989</v>
      </c>
      <c r="G4281" s="3522" t="s">
        <v>1941</v>
      </c>
      <c r="I4281"/>
    </row>
    <row r="4282" spans="1:9" s="2885" customFormat="1">
      <c r="A4282" s="3544"/>
      <c r="B4282" s="3556"/>
      <c r="C4282" s="3550"/>
      <c r="D4282" s="3521"/>
      <c r="E4282" s="3550"/>
      <c r="F4282" s="3521"/>
      <c r="G4282" s="3588"/>
      <c r="I4282"/>
    </row>
    <row r="4283" spans="1:9" s="2885" customFormat="1" ht="30">
      <c r="A4283" s="2972" t="s">
        <v>3455</v>
      </c>
      <c r="B4283" s="2973" t="s">
        <v>202</v>
      </c>
      <c r="C4283" s="2943" t="s">
        <v>3341</v>
      </c>
      <c r="D4283" s="504" t="s">
        <v>1860</v>
      </c>
      <c r="E4283" s="2963">
        <v>0.22</v>
      </c>
      <c r="F4283" s="2962">
        <v>0.96</v>
      </c>
      <c r="G4283" s="2974">
        <v>0.75</v>
      </c>
      <c r="I4283"/>
    </row>
    <row r="4284" spans="1:9" s="2885" customFormat="1" ht="30">
      <c r="A4284" s="2975"/>
      <c r="B4284" s="504"/>
      <c r="C4284" s="2943" t="s">
        <v>3342</v>
      </c>
      <c r="D4284" s="504"/>
      <c r="E4284" s="2963">
        <v>0.22</v>
      </c>
      <c r="F4284" s="2962">
        <v>0.96</v>
      </c>
      <c r="G4284" s="2974">
        <v>0.75</v>
      </c>
      <c r="I4284"/>
    </row>
    <row r="4285" spans="1:9" s="2885" customFormat="1" ht="30.75" thickBot="1">
      <c r="A4285" s="2976"/>
      <c r="B4285" s="1491"/>
      <c r="C4285" s="1664" t="s">
        <v>3343</v>
      </c>
      <c r="D4285" s="1665"/>
      <c r="E4285" s="2977">
        <v>0.22</v>
      </c>
      <c r="F4285" s="2978">
        <v>0.96</v>
      </c>
      <c r="G4285" s="2979">
        <v>0.75</v>
      </c>
      <c r="I4285"/>
    </row>
    <row r="4289" spans="1:9" s="2885" customFormat="1">
      <c r="A4289" s="3555" t="s">
        <v>0</v>
      </c>
      <c r="B4289" s="3556" t="s">
        <v>1</v>
      </c>
      <c r="C4289" s="3556" t="s">
        <v>2</v>
      </c>
      <c r="D4289" s="3550" t="s">
        <v>3</v>
      </c>
      <c r="E4289" s="3556" t="s">
        <v>4</v>
      </c>
      <c r="F4289" s="3550" t="s">
        <v>1989</v>
      </c>
      <c r="G4289" s="3556" t="s">
        <v>1941</v>
      </c>
      <c r="I4289"/>
    </row>
    <row r="4290" spans="1:9" s="2885" customFormat="1">
      <c r="A4290" s="3517"/>
      <c r="B4290" s="3550"/>
      <c r="C4290" s="3550"/>
      <c r="D4290" s="3521"/>
      <c r="E4290" s="3550"/>
      <c r="F4290" s="3521"/>
      <c r="G4290" s="3550"/>
      <c r="I4290"/>
    </row>
    <row r="4291" spans="1:9" s="2885" customFormat="1" ht="30">
      <c r="A4291" s="3567" t="s">
        <v>3471</v>
      </c>
      <c r="B4291" s="3549" t="s">
        <v>3472</v>
      </c>
      <c r="C4291" s="2947" t="s">
        <v>3014</v>
      </c>
      <c r="D4291" s="3549" t="s">
        <v>1860</v>
      </c>
      <c r="E4291" s="3576"/>
      <c r="F4291" s="2949">
        <v>24.99</v>
      </c>
      <c r="G4291" s="2949">
        <v>14.83</v>
      </c>
      <c r="I4291"/>
    </row>
    <row r="4292" spans="1:9" s="2885" customFormat="1" ht="30">
      <c r="A4292" s="3568"/>
      <c r="B4292" s="3527"/>
      <c r="C4292" s="2947" t="s">
        <v>3012</v>
      </c>
      <c r="D4292" s="3527"/>
      <c r="E4292" s="3577"/>
      <c r="F4292" s="2949">
        <v>14.16</v>
      </c>
      <c r="G4292" s="2949">
        <v>9.91</v>
      </c>
      <c r="I4292"/>
    </row>
    <row r="4293" spans="1:9" s="2885" customFormat="1" ht="30">
      <c r="A4293" s="3568"/>
      <c r="B4293" s="3527"/>
      <c r="C4293" s="2947" t="s">
        <v>3013</v>
      </c>
      <c r="D4293" s="3527"/>
      <c r="E4293" s="3577"/>
      <c r="F4293" s="2949">
        <v>14.16</v>
      </c>
      <c r="G4293" s="2949">
        <v>9.91</v>
      </c>
      <c r="I4293"/>
    </row>
    <row r="4294" spans="1:9" s="2885" customFormat="1">
      <c r="A4294" s="3568"/>
      <c r="B4294" s="3527"/>
      <c r="C4294" s="2947" t="s">
        <v>3473</v>
      </c>
      <c r="D4294" s="3527"/>
      <c r="E4294" s="3577"/>
      <c r="F4294" s="2949">
        <v>37.26</v>
      </c>
      <c r="G4294" s="2949">
        <v>27.26</v>
      </c>
      <c r="I4294"/>
    </row>
    <row r="4295" spans="1:9" s="2885" customFormat="1">
      <c r="A4295" s="3568"/>
      <c r="B4295" s="3527"/>
      <c r="C4295" s="2947" t="s">
        <v>3474</v>
      </c>
      <c r="D4295" s="3527"/>
      <c r="E4295" s="3577"/>
      <c r="F4295" s="2949">
        <v>37.26</v>
      </c>
      <c r="G4295" s="2949">
        <v>27.26</v>
      </c>
      <c r="I4295"/>
    </row>
    <row r="4296" spans="1:9" s="2885" customFormat="1">
      <c r="A4296" s="3568"/>
      <c r="B4296" s="3527"/>
      <c r="C4296" s="2947" t="s">
        <v>3475</v>
      </c>
      <c r="D4296" s="3527"/>
      <c r="E4296" s="3577"/>
      <c r="F4296" s="2949">
        <v>37.26</v>
      </c>
      <c r="G4296" s="2949">
        <v>27.26</v>
      </c>
      <c r="I4296"/>
    </row>
    <row r="4297" spans="1:9" s="2885" customFormat="1">
      <c r="A4297" s="3568"/>
      <c r="B4297" s="3527"/>
      <c r="C4297" s="2947" t="s">
        <v>3476</v>
      </c>
      <c r="D4297" s="3527"/>
      <c r="E4297" s="3577"/>
      <c r="F4297" s="2949">
        <v>37.26</v>
      </c>
      <c r="G4297" s="2949">
        <v>27.26</v>
      </c>
      <c r="I4297"/>
    </row>
    <row r="4298" spans="1:9" s="2885" customFormat="1">
      <c r="A4298" s="3568"/>
      <c r="B4298" s="3527"/>
      <c r="C4298" s="2947" t="s">
        <v>3477</v>
      </c>
      <c r="D4298" s="3527"/>
      <c r="E4298" s="3577"/>
      <c r="F4298" s="2949">
        <v>9.16</v>
      </c>
      <c r="G4298" s="2949">
        <v>6.66</v>
      </c>
      <c r="I4298"/>
    </row>
    <row r="4299" spans="1:9" s="2885" customFormat="1">
      <c r="A4299" s="3569"/>
      <c r="B4299" s="3534"/>
      <c r="C4299" s="2947" t="s">
        <v>3478</v>
      </c>
      <c r="D4299" s="3534"/>
      <c r="E4299" s="3586"/>
      <c r="F4299" s="2949">
        <v>9.16</v>
      </c>
      <c r="G4299" s="2949">
        <v>6.66</v>
      </c>
      <c r="I4299"/>
    </row>
    <row r="4303" spans="1:9" s="2885" customFormat="1">
      <c r="A4303" s="3555" t="s">
        <v>0</v>
      </c>
      <c r="B4303" s="3556" t="s">
        <v>1</v>
      </c>
      <c r="C4303" s="3556" t="s">
        <v>2</v>
      </c>
      <c r="D4303" s="3550" t="s">
        <v>3</v>
      </c>
      <c r="E4303" s="3556" t="s">
        <v>4</v>
      </c>
      <c r="F4303" s="3550" t="s">
        <v>1989</v>
      </c>
      <c r="G4303" s="3556" t="s">
        <v>1941</v>
      </c>
      <c r="I4303"/>
    </row>
    <row r="4304" spans="1:9" s="2885" customFormat="1">
      <c r="A4304" s="3517"/>
      <c r="B4304" s="3550"/>
      <c r="C4304" s="3550"/>
      <c r="D4304" s="3521"/>
      <c r="E4304" s="3550"/>
      <c r="F4304" s="3521"/>
      <c r="G4304" s="3550"/>
      <c r="I4304"/>
    </row>
    <row r="4305" spans="1:9" s="2885" customFormat="1" ht="30">
      <c r="A4305" s="3587" t="s">
        <v>3581</v>
      </c>
      <c r="B4305" s="3587" t="s">
        <v>2701</v>
      </c>
      <c r="C4305" s="2947" t="s">
        <v>3432</v>
      </c>
      <c r="D4305" s="3587" t="s">
        <v>1860</v>
      </c>
      <c r="E4305" s="3049">
        <v>0.22</v>
      </c>
      <c r="F4305" s="3047">
        <v>21.15</v>
      </c>
      <c r="G4305" s="3047">
        <v>16.43</v>
      </c>
      <c r="I4305"/>
    </row>
    <row r="4306" spans="1:9" s="2885" customFormat="1" ht="30">
      <c r="A4306" s="3587"/>
      <c r="B4306" s="3587"/>
      <c r="C4306" s="2947" t="s">
        <v>3433</v>
      </c>
      <c r="D4306" s="3587"/>
      <c r="E4306" s="3049">
        <v>0.22</v>
      </c>
      <c r="F4306" s="3047">
        <v>21.15</v>
      </c>
      <c r="G4306" s="3047">
        <v>16.43</v>
      </c>
      <c r="I4306"/>
    </row>
    <row r="4307" spans="1:9" s="2885" customFormat="1" ht="30">
      <c r="A4307" s="3587"/>
      <c r="B4307" s="3587"/>
      <c r="C4307" s="2947" t="s">
        <v>3434</v>
      </c>
      <c r="D4307" s="3587"/>
      <c r="E4307" s="3049">
        <v>0.22</v>
      </c>
      <c r="F4307" s="3047">
        <v>21.15</v>
      </c>
      <c r="G4307" s="3047">
        <v>16.43</v>
      </c>
      <c r="I4307"/>
    </row>
    <row r="4308" spans="1:9" s="2885" customFormat="1" ht="30">
      <c r="A4308" s="3587"/>
      <c r="B4308" s="3587"/>
      <c r="C4308" s="2947" t="s">
        <v>3435</v>
      </c>
      <c r="D4308" s="3587"/>
      <c r="E4308" s="3049">
        <v>0.22</v>
      </c>
      <c r="F4308" s="3047">
        <v>21.15</v>
      </c>
      <c r="G4308" s="3047">
        <v>16.43</v>
      </c>
      <c r="I4308"/>
    </row>
    <row r="4309" spans="1:9" s="2885" customFormat="1">
      <c r="A4309" s="3587"/>
      <c r="B4309" s="3587"/>
      <c r="C4309" s="3112" t="s">
        <v>3582</v>
      </c>
      <c r="D4309" s="3587"/>
      <c r="E4309" s="2964">
        <v>0.14000000000000001</v>
      </c>
      <c r="F4309" s="3047">
        <v>1.39</v>
      </c>
      <c r="G4309" s="3047">
        <v>1.2</v>
      </c>
      <c r="I4309"/>
    </row>
    <row r="4310" spans="1:9" s="2885" customFormat="1">
      <c r="A4310" s="3587"/>
      <c r="B4310" s="3587"/>
      <c r="C4310" s="3112" t="s">
        <v>3567</v>
      </c>
      <c r="D4310" s="3587"/>
      <c r="E4310" s="2964">
        <v>0.25</v>
      </c>
      <c r="F4310" s="3047">
        <v>9.8800000000000008</v>
      </c>
      <c r="G4310" s="3047">
        <v>7.41</v>
      </c>
      <c r="I4310"/>
    </row>
    <row r="4311" spans="1:9" s="2885" customFormat="1">
      <c r="A4311" s="3587"/>
      <c r="B4311" s="3587"/>
      <c r="C4311" s="3112" t="s">
        <v>3568</v>
      </c>
      <c r="D4311" s="3587"/>
      <c r="E4311" s="2964">
        <v>0.25</v>
      </c>
      <c r="F4311" s="3047">
        <v>6.37</v>
      </c>
      <c r="G4311" s="3047">
        <v>4.78</v>
      </c>
      <c r="I4311"/>
    </row>
    <row r="4312" spans="1:9" s="2885" customFormat="1">
      <c r="A4312" s="3587"/>
      <c r="B4312" s="3587"/>
      <c r="C4312" s="3112" t="s">
        <v>3569</v>
      </c>
      <c r="D4312" s="3587"/>
      <c r="E4312" s="2964">
        <v>0.28000000000000003</v>
      </c>
      <c r="F4312" s="3047">
        <v>1.91</v>
      </c>
      <c r="G4312" s="3047">
        <v>1.38</v>
      </c>
      <c r="I4312"/>
    </row>
    <row r="4313" spans="1:9" s="2885" customFormat="1">
      <c r="A4313" s="3587"/>
      <c r="B4313" s="3587"/>
      <c r="C4313" s="3112" t="s">
        <v>3583</v>
      </c>
      <c r="D4313" s="3587"/>
      <c r="E4313" s="2964">
        <v>0.25</v>
      </c>
      <c r="F4313" s="3047">
        <v>2.39</v>
      </c>
      <c r="G4313" s="3047">
        <v>1.8</v>
      </c>
      <c r="I4313"/>
    </row>
    <row r="4314" spans="1:9" s="2885" customFormat="1">
      <c r="A4314" s="3587"/>
      <c r="B4314" s="3587"/>
      <c r="C4314" s="2947" t="s">
        <v>3009</v>
      </c>
      <c r="D4314" s="3587"/>
      <c r="E4314" s="2964">
        <v>0.38</v>
      </c>
      <c r="F4314" s="3047">
        <v>14.99</v>
      </c>
      <c r="G4314" s="3047">
        <v>9.2899999999999991</v>
      </c>
      <c r="I4314"/>
    </row>
    <row r="4315" spans="1:9" s="2885" customFormat="1">
      <c r="A4315" s="3048"/>
      <c r="B4315" s="3048"/>
      <c r="C4315" s="3112" t="s">
        <v>1891</v>
      </c>
      <c r="D4315" s="3048"/>
      <c r="E4315" s="2964"/>
      <c r="F4315" s="3047"/>
      <c r="G4315" s="3047">
        <v>0.93</v>
      </c>
      <c r="I4315"/>
    </row>
    <row r="4316" spans="1:9" s="2885" customFormat="1">
      <c r="A4316" s="3048"/>
      <c r="B4316" s="3048"/>
      <c r="C4316" s="3112" t="s">
        <v>1892</v>
      </c>
      <c r="D4316" s="3048"/>
      <c r="E4316" s="2964"/>
      <c r="F4316" s="3047"/>
      <c r="G4316" s="3047">
        <v>0.93</v>
      </c>
      <c r="I4316"/>
    </row>
    <row r="4317" spans="1:9" s="2885" customFormat="1">
      <c r="A4317"/>
      <c r="B4317"/>
      <c r="C4317"/>
      <c r="D4317"/>
      <c r="E4317"/>
      <c r="F4317"/>
      <c r="G4317"/>
      <c r="I4317"/>
    </row>
    <row r="4318" spans="1:9" s="2885" customFormat="1">
      <c r="A4318"/>
      <c r="B4318"/>
      <c r="C4318"/>
      <c r="D4318"/>
      <c r="E4318"/>
      <c r="F4318"/>
      <c r="G4318"/>
      <c r="I4318"/>
    </row>
    <row r="4319" spans="1:9" s="2885" customFormat="1">
      <c r="A4319"/>
      <c r="B4319"/>
      <c r="C4319"/>
      <c r="D4319"/>
      <c r="E4319"/>
      <c r="F4319"/>
      <c r="G4319"/>
      <c r="I4319"/>
    </row>
    <row r="4320" spans="1:9" s="2885" customFormat="1">
      <c r="A4320" s="3555" t="s">
        <v>0</v>
      </c>
      <c r="B4320" s="3556" t="s">
        <v>1</v>
      </c>
      <c r="C4320" s="3556" t="s">
        <v>2</v>
      </c>
      <c r="D4320" s="3550" t="s">
        <v>3</v>
      </c>
      <c r="E4320" s="3556" t="s">
        <v>4</v>
      </c>
      <c r="F4320" s="3550" t="s">
        <v>1989</v>
      </c>
      <c r="G4320" s="3556" t="s">
        <v>1941</v>
      </c>
      <c r="I4320"/>
    </row>
    <row r="4321" spans="1:9" s="2885" customFormat="1">
      <c r="A4321" s="3544"/>
      <c r="B4321" s="3556"/>
      <c r="C4321" s="3550"/>
      <c r="D4321" s="3521"/>
      <c r="E4321" s="3550"/>
      <c r="F4321" s="3521"/>
      <c r="G4321" s="3550"/>
      <c r="I4321"/>
    </row>
    <row r="4322" spans="1:9" s="2885" customFormat="1">
      <c r="A4322" s="1659" t="s">
        <v>3533</v>
      </c>
      <c r="B4322" s="2973" t="s">
        <v>202</v>
      </c>
      <c r="C4322" s="2943" t="s">
        <v>3088</v>
      </c>
      <c r="D4322" s="504" t="s">
        <v>1860</v>
      </c>
      <c r="E4322" s="3002">
        <v>0.38</v>
      </c>
      <c r="F4322" s="3001">
        <v>2.2799999999999998</v>
      </c>
      <c r="G4322" s="2946">
        <v>1.41</v>
      </c>
      <c r="I4322"/>
    </row>
    <row r="4323" spans="1:9" s="2885" customFormat="1">
      <c r="A4323" s="3013"/>
      <c r="B4323" s="2682"/>
      <c r="C4323" s="2947"/>
      <c r="D4323" s="3014"/>
      <c r="E4323" s="2948"/>
      <c r="F4323" s="2949"/>
      <c r="G4323" s="2950"/>
      <c r="I4323"/>
    </row>
    <row r="4324" spans="1:9" s="2885" customFormat="1">
      <c r="I4324"/>
    </row>
    <row r="4325" spans="1:9" s="2885" customFormat="1">
      <c r="A4325" s="3555" t="s">
        <v>0</v>
      </c>
      <c r="B4325" s="3556" t="s">
        <v>1</v>
      </c>
      <c r="C4325" s="3556" t="s">
        <v>2</v>
      </c>
      <c r="D4325" s="3550" t="s">
        <v>3</v>
      </c>
      <c r="E4325" s="3556" t="s">
        <v>4</v>
      </c>
      <c r="F4325" s="3550" t="s">
        <v>1989</v>
      </c>
      <c r="G4325" s="3556" t="s">
        <v>1941</v>
      </c>
      <c r="I4325"/>
    </row>
    <row r="4326" spans="1:9" s="2885" customFormat="1">
      <c r="A4326" s="3517"/>
      <c r="B4326" s="3550"/>
      <c r="C4326" s="3550"/>
      <c r="D4326" s="3521"/>
      <c r="E4326" s="3550"/>
      <c r="F4326" s="3529"/>
      <c r="G4326" s="3550"/>
      <c r="I4326"/>
    </row>
    <row r="4327" spans="1:9" s="2885" customFormat="1" ht="30">
      <c r="A4327" s="3549" t="s">
        <v>3534</v>
      </c>
      <c r="B4327" s="3549" t="s">
        <v>2512</v>
      </c>
      <c r="C4327" s="2947" t="s">
        <v>2947</v>
      </c>
      <c r="D4327" s="3603" t="s">
        <v>1860</v>
      </c>
      <c r="E4327" s="3576">
        <v>0.2</v>
      </c>
      <c r="F4327" s="3581">
        <v>2.06</v>
      </c>
      <c r="G4327" s="3581">
        <v>1.65</v>
      </c>
      <c r="I4327"/>
    </row>
    <row r="4328" spans="1:9" s="2885" customFormat="1" ht="30">
      <c r="A4328" s="3527"/>
      <c r="B4328" s="3527"/>
      <c r="C4328" s="2947" t="s">
        <v>2948</v>
      </c>
      <c r="D4328" s="3604"/>
      <c r="E4328" s="3577"/>
      <c r="F4328" s="3582"/>
      <c r="G4328" s="3582"/>
      <c r="I4328"/>
    </row>
    <row r="4329" spans="1:9" s="2885" customFormat="1" ht="30">
      <c r="A4329" s="3527"/>
      <c r="B4329" s="3527"/>
      <c r="C4329" s="2947" t="s">
        <v>2949</v>
      </c>
      <c r="D4329" s="3604"/>
      <c r="E4329" s="3577"/>
      <c r="F4329" s="3582"/>
      <c r="G4329" s="3582"/>
      <c r="I4329"/>
    </row>
    <row r="4330" spans="1:9" s="2885" customFormat="1" ht="30">
      <c r="A4330" s="3534"/>
      <c r="B4330" s="3534"/>
      <c r="C4330" s="2956" t="s">
        <v>2950</v>
      </c>
      <c r="D4330" s="3605"/>
      <c r="E4330" s="3586"/>
      <c r="F4330" s="3589"/>
      <c r="G4330" s="3589"/>
      <c r="I4330"/>
    </row>
    <row r="4334" spans="1:9" s="2885" customFormat="1">
      <c r="A4334" s="3555" t="s">
        <v>0</v>
      </c>
      <c r="B4334" s="3556" t="s">
        <v>1</v>
      </c>
      <c r="C4334" s="3556" t="s">
        <v>2</v>
      </c>
      <c r="D4334" s="3550" t="s">
        <v>3</v>
      </c>
      <c r="E4334" s="3556" t="s">
        <v>4</v>
      </c>
      <c r="F4334" s="3550" t="s">
        <v>1989</v>
      </c>
      <c r="G4334" s="3556" t="s">
        <v>1941</v>
      </c>
      <c r="I4334"/>
    </row>
    <row r="4335" spans="1:9" s="2885" customFormat="1" ht="15.75" thickBot="1">
      <c r="A4335" s="3544"/>
      <c r="B4335" s="3550"/>
      <c r="C4335" s="3550"/>
      <c r="D4335" s="3529"/>
      <c r="E4335" s="3550"/>
      <c r="F4335" s="3529"/>
      <c r="G4335" s="3550"/>
      <c r="I4335"/>
    </row>
    <row r="4336" spans="1:9" s="2885" customFormat="1">
      <c r="A4336" s="3590" t="s">
        <v>3554</v>
      </c>
      <c r="B4336" s="3606" t="s">
        <v>2701</v>
      </c>
      <c r="C4336" s="3022" t="s">
        <v>3555</v>
      </c>
      <c r="D4336" s="3606" t="s">
        <v>1860</v>
      </c>
      <c r="E4336" s="3023">
        <f>(F4336-G4336)/F4336</f>
        <v>0.20008624407072015</v>
      </c>
      <c r="F4336" s="3024">
        <v>23.19</v>
      </c>
      <c r="G4336" s="3025">
        <v>18.55</v>
      </c>
      <c r="I4336"/>
    </row>
    <row r="4337" spans="1:9" s="2885" customFormat="1">
      <c r="A4337" s="3536"/>
      <c r="B4337" s="3527"/>
      <c r="C4337" s="2947" t="s">
        <v>3556</v>
      </c>
      <c r="D4337" s="3527"/>
      <c r="E4337" s="3021">
        <f t="shared" ref="E4337:E4353" si="43">(F4337-G4337)/F4337</f>
        <v>0.20008624407072015</v>
      </c>
      <c r="F4337" s="3020">
        <v>23.19</v>
      </c>
      <c r="G4337" s="3026">
        <v>18.55</v>
      </c>
      <c r="I4337"/>
    </row>
    <row r="4338" spans="1:9" s="2885" customFormat="1">
      <c r="A4338" s="3536"/>
      <c r="B4338" s="3527"/>
      <c r="C4338" s="2947" t="s">
        <v>3557</v>
      </c>
      <c r="D4338" s="3527"/>
      <c r="E4338" s="3021">
        <f t="shared" si="43"/>
        <v>0.20008624407072015</v>
      </c>
      <c r="F4338" s="3020">
        <v>23.19</v>
      </c>
      <c r="G4338" s="3026">
        <v>18.55</v>
      </c>
      <c r="I4338"/>
    </row>
    <row r="4339" spans="1:9" s="2885" customFormat="1">
      <c r="A4339" s="3536"/>
      <c r="B4339" s="3527"/>
      <c r="C4339" s="2947" t="s">
        <v>3558</v>
      </c>
      <c r="D4339" s="3527"/>
      <c r="E4339" s="3021">
        <f t="shared" si="43"/>
        <v>0.20008624407072015</v>
      </c>
      <c r="F4339" s="3020">
        <v>23.19</v>
      </c>
      <c r="G4339" s="3026">
        <v>18.55</v>
      </c>
      <c r="I4339"/>
    </row>
    <row r="4340" spans="1:9" s="2885" customFormat="1">
      <c r="A4340" s="3536"/>
      <c r="B4340" s="3527"/>
      <c r="C4340" s="2947" t="s">
        <v>3559</v>
      </c>
      <c r="D4340" s="3527"/>
      <c r="E4340" s="3021">
        <f t="shared" si="43"/>
        <v>0.20008624407072015</v>
      </c>
      <c r="F4340" s="3020">
        <v>23.19</v>
      </c>
      <c r="G4340" s="3026">
        <v>18.55</v>
      </c>
      <c r="I4340"/>
    </row>
    <row r="4341" spans="1:9" s="2885" customFormat="1">
      <c r="A4341" s="3536"/>
      <c r="B4341" s="3527"/>
      <c r="C4341" s="2947" t="s">
        <v>3560</v>
      </c>
      <c r="D4341" s="3527"/>
      <c r="E4341" s="3021">
        <f t="shared" si="43"/>
        <v>0.20008624407072015</v>
      </c>
      <c r="F4341" s="3020">
        <v>23.19</v>
      </c>
      <c r="G4341" s="3026">
        <v>18.55</v>
      </c>
      <c r="I4341"/>
    </row>
    <row r="4342" spans="1:9" s="2885" customFormat="1">
      <c r="A4342" s="3536"/>
      <c r="B4342" s="3527"/>
      <c r="C4342" s="2947" t="s">
        <v>1439</v>
      </c>
      <c r="D4342" s="3527"/>
      <c r="E4342" s="3021">
        <f t="shared" si="43"/>
        <v>0.14960629921259835</v>
      </c>
      <c r="F4342" s="3020">
        <v>11.43</v>
      </c>
      <c r="G4342" s="3026">
        <v>9.7200000000000006</v>
      </c>
      <c r="I4342"/>
    </row>
    <row r="4343" spans="1:9" s="2885" customFormat="1">
      <c r="A4343" s="3536"/>
      <c r="B4343" s="3527"/>
      <c r="C4343" s="2947" t="s">
        <v>1773</v>
      </c>
      <c r="D4343" s="3527"/>
      <c r="E4343" s="3021">
        <f t="shared" si="43"/>
        <v>0.14960629921259835</v>
      </c>
      <c r="F4343" s="3020">
        <v>11.43</v>
      </c>
      <c r="G4343" s="3026">
        <v>9.7200000000000006</v>
      </c>
      <c r="I4343"/>
    </row>
    <row r="4344" spans="1:9" s="2885" customFormat="1">
      <c r="A4344" s="3536"/>
      <c r="B4344" s="3527"/>
      <c r="C4344" s="2947" t="s">
        <v>2685</v>
      </c>
      <c r="D4344" s="3527"/>
      <c r="E4344" s="3021">
        <f t="shared" si="43"/>
        <v>0.14975550122249384</v>
      </c>
      <c r="F4344" s="3020">
        <v>16.36</v>
      </c>
      <c r="G4344" s="3026">
        <v>13.91</v>
      </c>
      <c r="I4344"/>
    </row>
    <row r="4345" spans="1:9" s="2885" customFormat="1">
      <c r="A4345" s="3536"/>
      <c r="B4345" s="3527"/>
      <c r="C4345" s="2947" t="s">
        <v>3365</v>
      </c>
      <c r="D4345" s="3527"/>
      <c r="E4345" s="3021">
        <f t="shared" si="43"/>
        <v>0.1501457725947522</v>
      </c>
      <c r="F4345" s="3020">
        <v>6.86</v>
      </c>
      <c r="G4345" s="3026">
        <v>5.83</v>
      </c>
      <c r="I4345"/>
    </row>
    <row r="4346" spans="1:9" s="2885" customFormat="1">
      <c r="A4346" s="3536"/>
      <c r="B4346" s="3527"/>
      <c r="C4346" s="2947" t="s">
        <v>3366</v>
      </c>
      <c r="D4346" s="3527"/>
      <c r="E4346" s="3021">
        <f t="shared" si="43"/>
        <v>0.1501457725947522</v>
      </c>
      <c r="F4346" s="3020">
        <v>6.86</v>
      </c>
      <c r="G4346" s="3026">
        <v>5.83</v>
      </c>
      <c r="I4346"/>
    </row>
    <row r="4347" spans="1:9" s="2885" customFormat="1">
      <c r="A4347" s="3536"/>
      <c r="B4347" s="3527"/>
      <c r="C4347" s="2947" t="s">
        <v>3561</v>
      </c>
      <c r="D4347" s="3527"/>
      <c r="E4347" s="3021">
        <f t="shared" si="43"/>
        <v>0.14980289093298299</v>
      </c>
      <c r="F4347" s="3020">
        <v>7.61</v>
      </c>
      <c r="G4347" s="3026">
        <v>6.47</v>
      </c>
      <c r="I4347"/>
    </row>
    <row r="4348" spans="1:9" s="2885" customFormat="1">
      <c r="A4348" s="3536"/>
      <c r="B4348" s="3527"/>
      <c r="C4348" s="2911" t="s">
        <v>3562</v>
      </c>
      <c r="D4348" s="3527"/>
      <c r="E4348" s="3021">
        <f t="shared" si="43"/>
        <v>0.14980289093298299</v>
      </c>
      <c r="F4348" s="3027">
        <v>7.61</v>
      </c>
      <c r="G4348" s="3028">
        <v>6.47</v>
      </c>
      <c r="I4348"/>
    </row>
    <row r="4349" spans="1:9" s="2885" customFormat="1">
      <c r="A4349" s="3536"/>
      <c r="B4349" s="3527"/>
      <c r="C4349" s="3106" t="s">
        <v>623</v>
      </c>
      <c r="D4349" s="3527"/>
      <c r="E4349" s="3021">
        <f t="shared" si="43"/>
        <v>9.1463414634146298E-2</v>
      </c>
      <c r="F4349" s="3027">
        <v>1.64</v>
      </c>
      <c r="G4349" s="3028">
        <v>1.49</v>
      </c>
      <c r="I4349"/>
    </row>
    <row r="4350" spans="1:9" s="2885" customFormat="1">
      <c r="A4350" s="3536"/>
      <c r="B4350" s="3527"/>
      <c r="C4350" s="2911" t="s">
        <v>2192</v>
      </c>
      <c r="D4350" s="3527"/>
      <c r="E4350" s="3021">
        <f t="shared" si="43"/>
        <v>0.1501457725947522</v>
      </c>
      <c r="F4350" s="3027">
        <v>6.86</v>
      </c>
      <c r="G4350" s="3028">
        <v>5.83</v>
      </c>
      <c r="I4350"/>
    </row>
    <row r="4351" spans="1:9" s="2885" customFormat="1">
      <c r="A4351" s="3536"/>
      <c r="B4351" s="3527"/>
      <c r="C4351" s="2911" t="s">
        <v>2194</v>
      </c>
      <c r="D4351" s="3527"/>
      <c r="E4351" s="3021">
        <f t="shared" si="43"/>
        <v>0.1501457725947522</v>
      </c>
      <c r="F4351" s="3027">
        <v>6.86</v>
      </c>
      <c r="G4351" s="3028">
        <v>5.83</v>
      </c>
      <c r="I4351"/>
    </row>
    <row r="4352" spans="1:9" s="2885" customFormat="1">
      <c r="A4352" s="3536"/>
      <c r="B4352" s="3527"/>
      <c r="C4352" s="2911" t="s">
        <v>2266</v>
      </c>
      <c r="D4352" s="3527"/>
      <c r="E4352" s="3021">
        <f t="shared" si="43"/>
        <v>0.1501457725947522</v>
      </c>
      <c r="F4352" s="3027">
        <v>6.86</v>
      </c>
      <c r="G4352" s="3028">
        <v>5.83</v>
      </c>
      <c r="I4352"/>
    </row>
    <row r="4353" spans="1:9" s="2885" customFormat="1" ht="15.75" thickBot="1">
      <c r="A4353" s="3537"/>
      <c r="B4353" s="3528"/>
      <c r="C4353" s="2915" t="s">
        <v>2359</v>
      </c>
      <c r="D4353" s="3528"/>
      <c r="E4353" s="2977">
        <f t="shared" si="43"/>
        <v>0.1501457725947522</v>
      </c>
      <c r="F4353" s="3029">
        <v>6.86</v>
      </c>
      <c r="G4353" s="3030">
        <v>5.83</v>
      </c>
      <c r="I4353"/>
    </row>
    <row r="4356" spans="1:9" s="2885" customFormat="1">
      <c r="A4356" s="3555" t="s">
        <v>0</v>
      </c>
      <c r="B4356" s="3556" t="s">
        <v>1</v>
      </c>
      <c r="C4356" s="3556" t="s">
        <v>2</v>
      </c>
      <c r="D4356" s="3550" t="s">
        <v>3</v>
      </c>
      <c r="E4356" s="3556" t="s">
        <v>4</v>
      </c>
      <c r="F4356" s="3550" t="s">
        <v>1989</v>
      </c>
      <c r="G4356" s="3556" t="s">
        <v>1941</v>
      </c>
      <c r="I4356"/>
    </row>
    <row r="4357" spans="1:9" s="2885" customFormat="1">
      <c r="A4357" s="3517"/>
      <c r="B4357" s="3550"/>
      <c r="C4357" s="3550"/>
      <c r="D4357" s="3521"/>
      <c r="E4357" s="3550"/>
      <c r="F4357" s="3521"/>
      <c r="G4357" s="3550"/>
      <c r="I4357"/>
    </row>
    <row r="4358" spans="1:9" s="2885" customFormat="1" ht="30.75" thickBot="1">
      <c r="A4358" s="3587" t="s">
        <v>3573</v>
      </c>
      <c r="B4358" s="3041" t="s">
        <v>2701</v>
      </c>
      <c r="C4358" s="2947" t="s">
        <v>3432</v>
      </c>
      <c r="D4358" s="3587" t="s">
        <v>1860</v>
      </c>
      <c r="E4358" s="3038">
        <v>0.22</v>
      </c>
      <c r="F4358" s="3037">
        <v>21.15</v>
      </c>
      <c r="G4358" s="3037">
        <v>16.43</v>
      </c>
      <c r="I4358"/>
    </row>
    <row r="4359" spans="1:9" s="2885" customFormat="1" ht="30">
      <c r="A4359" s="3587"/>
      <c r="B4359" s="2887" t="s">
        <v>120</v>
      </c>
      <c r="C4359" s="2947" t="s">
        <v>3433</v>
      </c>
      <c r="D4359" s="3587"/>
      <c r="E4359" s="3038">
        <v>0.22</v>
      </c>
      <c r="F4359" s="3037">
        <v>21.15</v>
      </c>
      <c r="G4359" s="3037">
        <v>16.43</v>
      </c>
      <c r="I4359"/>
    </row>
    <row r="4360" spans="1:9" s="2885" customFormat="1" ht="30">
      <c r="A4360" s="3587"/>
      <c r="B4360" s="2687" t="s">
        <v>121</v>
      </c>
      <c r="C4360" s="2947" t="s">
        <v>3434</v>
      </c>
      <c r="D4360" s="3587"/>
      <c r="E4360" s="3038">
        <v>0.22</v>
      </c>
      <c r="F4360" s="3037">
        <v>21.15</v>
      </c>
      <c r="G4360" s="3037">
        <v>16.43</v>
      </c>
      <c r="I4360"/>
    </row>
    <row r="4361" spans="1:9" s="2885" customFormat="1" ht="30">
      <c r="A4361" s="3587"/>
      <c r="B4361" s="2687" t="s">
        <v>123</v>
      </c>
      <c r="C4361" s="2947" t="s">
        <v>3435</v>
      </c>
      <c r="D4361" s="3587"/>
      <c r="E4361" s="3038">
        <v>0.22</v>
      </c>
      <c r="F4361" s="3037">
        <v>21.15</v>
      </c>
      <c r="G4361" s="3037">
        <v>16.43</v>
      </c>
      <c r="I4361"/>
    </row>
    <row r="4362" spans="1:9" s="2885" customFormat="1">
      <c r="A4362" s="3587"/>
      <c r="B4362" s="2687" t="s">
        <v>122</v>
      </c>
      <c r="C4362" s="3111" t="s">
        <v>2779</v>
      </c>
      <c r="D4362" s="3587"/>
      <c r="E4362" s="3038">
        <v>0.09</v>
      </c>
      <c r="F4362" s="3037">
        <v>1.64</v>
      </c>
      <c r="G4362" s="3037">
        <v>1.49</v>
      </c>
      <c r="I4362"/>
    </row>
    <row r="4363" spans="1:9" s="2885" customFormat="1">
      <c r="A4363" s="3587"/>
      <c r="B4363" s="2687" t="s">
        <v>2057</v>
      </c>
      <c r="C4363" s="3112" t="s">
        <v>3566</v>
      </c>
      <c r="D4363" s="3587"/>
      <c r="E4363" s="2964">
        <v>0.09</v>
      </c>
      <c r="F4363" s="3037">
        <v>1.64</v>
      </c>
      <c r="G4363" s="3037">
        <v>1.49</v>
      </c>
      <c r="I4363"/>
    </row>
    <row r="4364" spans="1:9" s="2885" customFormat="1">
      <c r="A4364" s="3587"/>
      <c r="B4364" s="3041"/>
      <c r="C4364" s="3112" t="s">
        <v>3567</v>
      </c>
      <c r="D4364" s="3587"/>
      <c r="E4364" s="2964">
        <v>0.25</v>
      </c>
      <c r="F4364" s="3037">
        <v>9.8800000000000008</v>
      </c>
      <c r="G4364" s="3037">
        <v>7.41</v>
      </c>
      <c r="I4364"/>
    </row>
    <row r="4365" spans="1:9" s="2885" customFormat="1">
      <c r="A4365" s="3587"/>
      <c r="B4365" s="3041"/>
      <c r="C4365" s="3112" t="s">
        <v>3568</v>
      </c>
      <c r="D4365" s="3587"/>
      <c r="E4365" s="2964">
        <v>0.25</v>
      </c>
      <c r="F4365" s="3037">
        <v>6.37</v>
      </c>
      <c r="G4365" s="3037">
        <v>4.78</v>
      </c>
      <c r="I4365"/>
    </row>
    <row r="4366" spans="1:9" s="2885" customFormat="1">
      <c r="A4366" s="3587"/>
      <c r="B4366" s="3041"/>
      <c r="C4366" s="3112" t="s">
        <v>3569</v>
      </c>
      <c r="D4366" s="3587"/>
      <c r="E4366" s="2964">
        <v>0.28000000000000003</v>
      </c>
      <c r="F4366" s="3037">
        <v>1.91</v>
      </c>
      <c r="G4366" s="3037">
        <v>1.38</v>
      </c>
      <c r="I4366"/>
    </row>
    <row r="4367" spans="1:9" s="2885" customFormat="1">
      <c r="A4367" s="3587"/>
      <c r="B4367" s="3041"/>
      <c r="C4367" s="2947" t="s">
        <v>3009</v>
      </c>
      <c r="D4367" s="3587"/>
      <c r="E4367" s="2964">
        <v>0.38</v>
      </c>
      <c r="F4367" s="3037">
        <v>14.99</v>
      </c>
      <c r="G4367" s="3037">
        <v>9.2899999999999991</v>
      </c>
      <c r="I4367"/>
    </row>
    <row r="4368" spans="1:9" s="2885" customFormat="1" ht="15.75" thickBot="1">
      <c r="I4368"/>
    </row>
    <row r="4369" spans="1:9" s="2885" customFormat="1">
      <c r="A4369" s="3516" t="s">
        <v>0</v>
      </c>
      <c r="B4369" s="3518" t="s">
        <v>1</v>
      </c>
      <c r="C4369" s="3518" t="s">
        <v>2</v>
      </c>
      <c r="D4369" s="3520" t="s">
        <v>3</v>
      </c>
      <c r="E4369" s="3518" t="s">
        <v>4</v>
      </c>
      <c r="F4369" s="3520" t="s">
        <v>1989</v>
      </c>
      <c r="G4369" s="3522" t="s">
        <v>1941</v>
      </c>
      <c r="I4369"/>
    </row>
    <row r="4370" spans="1:9" s="2885" customFormat="1">
      <c r="A4370" s="3544"/>
      <c r="B4370" s="3556"/>
      <c r="C4370" s="3550"/>
      <c r="D4370" s="3521"/>
      <c r="E4370" s="3550"/>
      <c r="F4370" s="3521"/>
      <c r="G4370" s="3588"/>
      <c r="I4370"/>
    </row>
    <row r="4371" spans="1:9" s="2885" customFormat="1">
      <c r="A4371" s="2972" t="s">
        <v>3570</v>
      </c>
      <c r="B4371" s="2973" t="s">
        <v>202</v>
      </c>
      <c r="C4371" s="2943" t="s">
        <v>3035</v>
      </c>
      <c r="D4371" s="504" t="s">
        <v>1860</v>
      </c>
      <c r="E4371" s="3038">
        <v>0.36</v>
      </c>
      <c r="F4371" s="3037">
        <v>0.91</v>
      </c>
      <c r="G4371" s="2974">
        <v>0.57999999999999996</v>
      </c>
      <c r="I4371"/>
    </row>
    <row r="4372" spans="1:9" s="2885" customFormat="1" ht="15.75" thickBot="1">
      <c r="A4372" s="2976"/>
      <c r="B4372" s="1491"/>
      <c r="C4372" s="3039" t="s">
        <v>3571</v>
      </c>
      <c r="D4372" s="1491"/>
      <c r="E4372" s="2977">
        <v>0.36</v>
      </c>
      <c r="F4372" s="2978">
        <v>1.07</v>
      </c>
      <c r="G4372" s="2979">
        <v>0.69</v>
      </c>
      <c r="I4372"/>
    </row>
    <row r="4374" spans="1:9" s="2885" customFormat="1">
      <c r="A4374" s="3555" t="s">
        <v>0</v>
      </c>
      <c r="B4374" s="3556" t="s">
        <v>1</v>
      </c>
      <c r="C4374" s="3556" t="s">
        <v>2</v>
      </c>
      <c r="D4374" s="3550" t="s">
        <v>3</v>
      </c>
      <c r="E4374" s="3556" t="s">
        <v>4</v>
      </c>
      <c r="F4374" s="3550" t="s">
        <v>1989</v>
      </c>
      <c r="G4374" s="3556" t="s">
        <v>1941</v>
      </c>
      <c r="I4374"/>
    </row>
    <row r="4375" spans="1:9" s="2885" customFormat="1">
      <c r="A4375" s="3517"/>
      <c r="B4375" s="3550"/>
      <c r="C4375" s="3550"/>
      <c r="D4375" s="3521"/>
      <c r="E4375" s="3550"/>
      <c r="F4375" s="3521"/>
      <c r="G4375" s="3550"/>
      <c r="I4375"/>
    </row>
    <row r="4376" spans="1:9" s="2885" customFormat="1">
      <c r="A4376" s="3587" t="s">
        <v>3609</v>
      </c>
      <c r="B4376" s="3587" t="s">
        <v>2701</v>
      </c>
      <c r="C4376" s="2947" t="s">
        <v>3610</v>
      </c>
      <c r="D4376" s="3587" t="s">
        <v>1860</v>
      </c>
      <c r="E4376" s="3071">
        <v>0.2</v>
      </c>
      <c r="F4376" s="3070">
        <v>23.19</v>
      </c>
      <c r="G4376" s="3070">
        <v>18.55</v>
      </c>
      <c r="I4376"/>
    </row>
    <row r="4377" spans="1:9" s="2885" customFormat="1">
      <c r="A4377" s="3587"/>
      <c r="B4377" s="3587"/>
      <c r="C4377" s="2947" t="s">
        <v>3611</v>
      </c>
      <c r="D4377" s="3587"/>
      <c r="E4377" s="3071">
        <v>0.2</v>
      </c>
      <c r="F4377" s="3070">
        <v>23.19</v>
      </c>
      <c r="G4377" s="3070">
        <v>18.55</v>
      </c>
      <c r="I4377"/>
    </row>
    <row r="4378" spans="1:9" s="2885" customFormat="1">
      <c r="A4378" s="3587"/>
      <c r="B4378" s="3587"/>
      <c r="C4378" s="2947" t="s">
        <v>3612</v>
      </c>
      <c r="D4378" s="3587"/>
      <c r="E4378" s="3071">
        <v>0.2</v>
      </c>
      <c r="F4378" s="3070">
        <v>23.19</v>
      </c>
      <c r="G4378" s="3070">
        <v>18.55</v>
      </c>
      <c r="I4378"/>
    </row>
    <row r="4379" spans="1:9" s="2885" customFormat="1">
      <c r="A4379" s="3587"/>
      <c r="B4379" s="3587"/>
      <c r="C4379" s="2947" t="s">
        <v>3613</v>
      </c>
      <c r="D4379" s="3587"/>
      <c r="E4379" s="3071">
        <v>0.2</v>
      </c>
      <c r="F4379" s="3070">
        <v>23.19</v>
      </c>
      <c r="G4379" s="3070">
        <v>18.55</v>
      </c>
      <c r="I4379"/>
    </row>
    <row r="4380" spans="1:9" s="2885" customFormat="1">
      <c r="A4380" s="3587"/>
      <c r="B4380" s="3587"/>
      <c r="C4380" s="2947" t="s">
        <v>3614</v>
      </c>
      <c r="D4380" s="3587"/>
      <c r="E4380" s="3071">
        <v>0.2</v>
      </c>
      <c r="F4380" s="3070">
        <v>23.19</v>
      </c>
      <c r="G4380" s="3070">
        <v>18.55</v>
      </c>
      <c r="I4380"/>
    </row>
    <row r="4381" spans="1:9" s="2885" customFormat="1">
      <c r="A4381" s="3587"/>
      <c r="B4381" s="3587"/>
      <c r="C4381" s="2947" t="s">
        <v>3615</v>
      </c>
      <c r="D4381" s="3587"/>
      <c r="E4381" s="3071">
        <v>0.2</v>
      </c>
      <c r="F4381" s="3070">
        <v>23.19</v>
      </c>
      <c r="G4381" s="3070">
        <v>18.55</v>
      </c>
      <c r="I4381"/>
    </row>
    <row r="4382" spans="1:9" s="2885" customFormat="1" ht="30">
      <c r="A4382" s="3587"/>
      <c r="B4382" s="3587"/>
      <c r="C4382" s="2947" t="s">
        <v>2769</v>
      </c>
      <c r="D4382" s="3587"/>
      <c r="E4382" s="3071">
        <v>0.15</v>
      </c>
      <c r="F4382" s="3070">
        <v>6.86</v>
      </c>
      <c r="G4382" s="3070">
        <v>5.83</v>
      </c>
      <c r="I4382"/>
    </row>
    <row r="4383" spans="1:9" s="2885" customFormat="1" ht="30">
      <c r="A4383" s="3587"/>
      <c r="B4383" s="3587"/>
      <c r="C4383" s="2947" t="s">
        <v>2770</v>
      </c>
      <c r="D4383" s="3587"/>
      <c r="E4383" s="3071">
        <v>0.15</v>
      </c>
      <c r="F4383" s="3070">
        <v>6.86</v>
      </c>
      <c r="G4383" s="3070">
        <v>5.83</v>
      </c>
      <c r="I4383"/>
    </row>
    <row r="4384" spans="1:9" s="2885" customFormat="1" ht="30">
      <c r="A4384" s="3587"/>
      <c r="B4384" s="3587"/>
      <c r="C4384" s="2947" t="s">
        <v>3010</v>
      </c>
      <c r="D4384" s="3587"/>
      <c r="E4384" s="3071">
        <v>0.15</v>
      </c>
      <c r="F4384" s="3070">
        <v>6.86</v>
      </c>
      <c r="G4384" s="3070">
        <v>5.83</v>
      </c>
      <c r="I4384"/>
    </row>
    <row r="4385" spans="1:9" s="2885" customFormat="1" ht="30">
      <c r="A4385" s="3587"/>
      <c r="B4385" s="3587"/>
      <c r="C4385" s="2947" t="s">
        <v>3011</v>
      </c>
      <c r="D4385" s="3587"/>
      <c r="E4385" s="3071">
        <v>0.15</v>
      </c>
      <c r="F4385" s="3070">
        <v>6.86</v>
      </c>
      <c r="G4385" s="3070">
        <v>5.83</v>
      </c>
      <c r="I4385"/>
    </row>
    <row r="4386" spans="1:9" s="2885" customFormat="1" ht="30">
      <c r="A4386" s="3587"/>
      <c r="B4386" s="3587"/>
      <c r="C4386" s="2947" t="s">
        <v>3012</v>
      </c>
      <c r="D4386" s="3587"/>
      <c r="E4386" s="3071">
        <v>0.15</v>
      </c>
      <c r="F4386" s="3070">
        <v>11.43</v>
      </c>
      <c r="G4386" s="3070">
        <v>9.7200000000000006</v>
      </c>
      <c r="I4386"/>
    </row>
    <row r="4387" spans="1:9" s="2885" customFormat="1" ht="30">
      <c r="A4387" s="3587"/>
      <c r="B4387" s="3587"/>
      <c r="C4387" s="3105" t="s">
        <v>3013</v>
      </c>
      <c r="D4387" s="3587"/>
      <c r="E4387" s="3071">
        <v>0.15</v>
      </c>
      <c r="F4387" s="3070">
        <v>11.43</v>
      </c>
      <c r="G4387" s="3070">
        <v>9.7200000000000006</v>
      </c>
      <c r="I4387"/>
    </row>
    <row r="4388" spans="1:9" s="2885" customFormat="1" ht="30">
      <c r="A4388" s="3587"/>
      <c r="B4388" s="3587"/>
      <c r="C4388" s="3105" t="s">
        <v>3014</v>
      </c>
      <c r="D4388" s="3587"/>
      <c r="E4388" s="3071">
        <v>0.15</v>
      </c>
      <c r="F4388" s="3070">
        <v>16.36</v>
      </c>
      <c r="G4388" s="3070">
        <v>13.91</v>
      </c>
      <c r="I4388"/>
    </row>
    <row r="4389" spans="1:9" s="2885" customFormat="1">
      <c r="A4389" s="3587"/>
      <c r="B4389" s="3587"/>
      <c r="C4389" s="3105" t="s">
        <v>3477</v>
      </c>
      <c r="D4389" s="3587"/>
      <c r="E4389" s="3071">
        <v>0.15</v>
      </c>
      <c r="F4389" s="3070">
        <v>6.86</v>
      </c>
      <c r="G4389" s="3070">
        <v>5.83</v>
      </c>
      <c r="I4389"/>
    </row>
    <row r="4390" spans="1:9" s="2885" customFormat="1">
      <c r="A4390" s="3587"/>
      <c r="B4390" s="3587"/>
      <c r="C4390" s="3105" t="s">
        <v>3478</v>
      </c>
      <c r="D4390" s="3587"/>
      <c r="E4390" s="3071">
        <v>0.15</v>
      </c>
      <c r="F4390" s="3070">
        <v>6.86</v>
      </c>
      <c r="G4390" s="3070">
        <v>5.83</v>
      </c>
      <c r="I4390"/>
    </row>
    <row r="4391" spans="1:9" s="2885" customFormat="1" ht="30">
      <c r="A4391" s="3587"/>
      <c r="B4391" s="3587"/>
      <c r="C4391" s="3105" t="s">
        <v>3616</v>
      </c>
      <c r="D4391" s="3587"/>
      <c r="E4391" s="3071">
        <v>0.15</v>
      </c>
      <c r="F4391" s="3070">
        <v>7.61</v>
      </c>
      <c r="G4391" s="3070">
        <v>6.47</v>
      </c>
      <c r="I4391"/>
    </row>
    <row r="4392" spans="1:9" s="2885" customFormat="1" ht="30">
      <c r="A4392" s="3587"/>
      <c r="B4392" s="3587"/>
      <c r="C4392" s="3105" t="s">
        <v>3617</v>
      </c>
      <c r="D4392" s="3587"/>
      <c r="E4392" s="3071">
        <v>0.15</v>
      </c>
      <c r="F4392" s="3070">
        <v>7.61</v>
      </c>
      <c r="G4392" s="3070">
        <v>6.47</v>
      </c>
      <c r="I4392"/>
    </row>
    <row r="4393" spans="1:9" s="2885" customFormat="1" ht="30">
      <c r="A4393" s="3587"/>
      <c r="B4393" s="3587"/>
      <c r="C4393" s="3151" t="s">
        <v>3368</v>
      </c>
      <c r="D4393" s="3587"/>
      <c r="E4393" s="3071">
        <v>0.09</v>
      </c>
      <c r="F4393" s="3070">
        <v>1.64</v>
      </c>
      <c r="G4393" s="3070">
        <v>1.49</v>
      </c>
      <c r="I4393"/>
    </row>
    <row r="4394" spans="1:9" s="2885" customFormat="1" ht="30">
      <c r="A4394" s="3587"/>
      <c r="B4394" s="3587"/>
      <c r="C4394" s="3151" t="s">
        <v>3369</v>
      </c>
      <c r="D4394" s="3587"/>
      <c r="E4394" s="3071">
        <v>0.09</v>
      </c>
      <c r="F4394" s="3070">
        <v>1.64</v>
      </c>
      <c r="G4394" s="3070">
        <v>1.49</v>
      </c>
      <c r="I4394"/>
    </row>
    <row r="4395" spans="1:9" s="2885" customFormat="1">
      <c r="A4395" s="3587"/>
      <c r="B4395" s="3587"/>
      <c r="C4395" s="3151" t="s">
        <v>3582</v>
      </c>
      <c r="D4395" s="3587"/>
      <c r="E4395" s="3071">
        <v>0.14000000000000001</v>
      </c>
      <c r="F4395" s="3070">
        <v>1.39</v>
      </c>
      <c r="G4395" s="3070">
        <v>1.2</v>
      </c>
      <c r="I4395"/>
    </row>
    <row r="4396" spans="1:9" s="2885" customFormat="1">
      <c r="A4396" s="3587"/>
      <c r="B4396" s="3587"/>
      <c r="C4396" s="3112" t="s">
        <v>3567</v>
      </c>
      <c r="D4396" s="3587"/>
      <c r="E4396" s="2964">
        <v>0.25</v>
      </c>
      <c r="F4396" s="3070">
        <v>9.8800000000000008</v>
      </c>
      <c r="G4396" s="3070">
        <v>7.41</v>
      </c>
      <c r="I4396"/>
    </row>
    <row r="4397" spans="1:9" s="2885" customFormat="1">
      <c r="A4397" s="3587"/>
      <c r="B4397" s="3587"/>
      <c r="C4397" s="3112" t="s">
        <v>3568</v>
      </c>
      <c r="D4397" s="3587"/>
      <c r="E4397" s="2964">
        <v>0.25</v>
      </c>
      <c r="F4397" s="3070">
        <v>6.37</v>
      </c>
      <c r="G4397" s="3070">
        <v>4.78</v>
      </c>
      <c r="I4397"/>
    </row>
    <row r="4398" spans="1:9" s="2885" customFormat="1">
      <c r="A4398" s="3587"/>
      <c r="B4398" s="3587"/>
      <c r="C4398" s="3112" t="s">
        <v>3618</v>
      </c>
      <c r="D4398" s="3587"/>
      <c r="E4398" s="2964">
        <v>0.21</v>
      </c>
      <c r="F4398" s="3070">
        <v>1.17</v>
      </c>
      <c r="G4398" s="3070">
        <v>0.93</v>
      </c>
      <c r="I4398"/>
    </row>
    <row r="4399" spans="1:9" s="2885" customFormat="1">
      <c r="A4399" s="3587"/>
      <c r="B4399" s="3587"/>
      <c r="C4399" s="3112" t="s">
        <v>3510</v>
      </c>
      <c r="D4399" s="3587"/>
      <c r="E4399" s="2964">
        <v>0.28000000000000003</v>
      </c>
      <c r="F4399" s="3070">
        <v>1.29</v>
      </c>
      <c r="G4399" s="3070">
        <v>0.93</v>
      </c>
      <c r="I4399"/>
    </row>
    <row r="4401" spans="1:9" s="2885" customFormat="1">
      <c r="A4401" s="3555" t="s">
        <v>0</v>
      </c>
      <c r="B4401" s="3556" t="s">
        <v>1</v>
      </c>
      <c r="C4401" s="3556" t="s">
        <v>2</v>
      </c>
      <c r="D4401" s="3550" t="s">
        <v>3</v>
      </c>
      <c r="E4401" s="3556" t="s">
        <v>4</v>
      </c>
      <c r="F4401" s="3550" t="s">
        <v>1989</v>
      </c>
      <c r="G4401" s="3556" t="s">
        <v>1941</v>
      </c>
      <c r="I4401"/>
    </row>
    <row r="4402" spans="1:9" s="2885" customFormat="1">
      <c r="A4402" s="3544"/>
      <c r="B4402" s="3556"/>
      <c r="C4402" s="3550"/>
      <c r="D4402" s="3521"/>
      <c r="E4402" s="3550"/>
      <c r="F4402" s="3521"/>
      <c r="G4402" s="3550"/>
      <c r="I4402"/>
    </row>
    <row r="4403" spans="1:9" s="2885" customFormat="1">
      <c r="A4403" s="3567" t="s">
        <v>3630</v>
      </c>
      <c r="B4403" s="3549" t="s">
        <v>202</v>
      </c>
      <c r="C4403" s="3150" t="s">
        <v>2779</v>
      </c>
      <c r="D4403" s="3527" t="s">
        <v>1860</v>
      </c>
      <c r="E4403" s="3083">
        <v>0.39</v>
      </c>
      <c r="F4403" s="3082">
        <v>2.09</v>
      </c>
      <c r="G4403" s="2946">
        <v>1.28</v>
      </c>
      <c r="I4403"/>
    </row>
    <row r="4404" spans="1:9" s="2885" customFormat="1">
      <c r="A4404" s="3568"/>
      <c r="B4404" s="3527"/>
      <c r="C4404" s="2943"/>
      <c r="D4404" s="3527"/>
      <c r="E4404" s="3083"/>
      <c r="F4404" s="3082"/>
      <c r="G4404" s="2946"/>
      <c r="I4404"/>
    </row>
    <row r="4405" spans="1:9" s="2885" customFormat="1">
      <c r="A4405" s="3568"/>
      <c r="B4405" s="3527"/>
      <c r="C4405" s="2269"/>
      <c r="D4405" s="3568"/>
      <c r="E4405" s="3083"/>
      <c r="F4405" s="3082"/>
      <c r="G4405" s="2946"/>
      <c r="I4405"/>
    </row>
    <row r="4406" spans="1:9" s="2885" customFormat="1">
      <c r="A4406" s="3568"/>
      <c r="B4406" s="3527"/>
      <c r="C4406" s="2730"/>
      <c r="D4406" s="3570"/>
      <c r="E4406" s="3083"/>
      <c r="F4406" s="3082"/>
      <c r="G4406" s="2946"/>
      <c r="I4406"/>
    </row>
    <row r="4407" spans="1:9" s="2885" customFormat="1">
      <c r="A4407" s="3568"/>
      <c r="B4407" s="3527"/>
      <c r="C4407" s="2730"/>
      <c r="D4407" s="3570"/>
      <c r="E4407" s="3083"/>
      <c r="F4407" s="3082"/>
      <c r="G4407" s="2946"/>
      <c r="I4407"/>
    </row>
    <row r="4408" spans="1:9" s="2885" customFormat="1">
      <c r="A4408" s="3568"/>
      <c r="B4408" s="3527"/>
      <c r="C4408" s="2947"/>
      <c r="D4408" s="3570"/>
      <c r="E4408" s="3083"/>
      <c r="F4408" s="3082"/>
      <c r="G4408" s="2946"/>
      <c r="I4408"/>
    </row>
    <row r="4409" spans="1:9" s="2885" customFormat="1">
      <c r="A4409" s="3569"/>
      <c r="B4409" s="3534"/>
      <c r="C4409" s="2947"/>
      <c r="D4409" s="3571"/>
      <c r="E4409" s="2948"/>
      <c r="F4409" s="2949"/>
      <c r="G4409" s="2950"/>
      <c r="I4409"/>
    </row>
    <row r="4413" spans="1:9">
      <c r="A4413" s="3555" t="s">
        <v>0</v>
      </c>
      <c r="B4413" s="3556" t="s">
        <v>1</v>
      </c>
      <c r="C4413" s="3556" t="s">
        <v>2</v>
      </c>
      <c r="D4413" s="3550" t="s">
        <v>3</v>
      </c>
      <c r="E4413" s="3556" t="s">
        <v>4</v>
      </c>
      <c r="F4413" s="3550" t="s">
        <v>1989</v>
      </c>
      <c r="G4413" s="3556" t="s">
        <v>1941</v>
      </c>
    </row>
    <row r="4414" spans="1:9">
      <c r="A4414" s="3544"/>
      <c r="B4414" s="3556"/>
      <c r="C4414" s="3550"/>
      <c r="D4414" s="3521"/>
      <c r="E4414" s="3550"/>
      <c r="F4414" s="3521"/>
      <c r="G4414" s="3550"/>
    </row>
    <row r="4415" spans="1:9" ht="30">
      <c r="A4415" s="3567" t="s">
        <v>3649</v>
      </c>
      <c r="B4415" s="3549" t="s">
        <v>202</v>
      </c>
      <c r="C4415" s="2943" t="s">
        <v>2804</v>
      </c>
      <c r="D4415" s="3527" t="s">
        <v>1860</v>
      </c>
      <c r="E4415" s="3576">
        <v>0.25</v>
      </c>
      <c r="F4415" s="3089">
        <v>1.67</v>
      </c>
      <c r="G4415" s="2946">
        <v>1.25</v>
      </c>
    </row>
    <row r="4416" spans="1:9" ht="30">
      <c r="A4416" s="3568"/>
      <c r="B4416" s="3527"/>
      <c r="C4416" s="2943" t="s">
        <v>2805</v>
      </c>
      <c r="D4416" s="3527"/>
      <c r="E4416" s="3577"/>
      <c r="F4416" s="3089">
        <v>1.67</v>
      </c>
      <c r="G4416" s="2946">
        <v>1.25</v>
      </c>
    </row>
    <row r="4417" spans="1:9" ht="30">
      <c r="A4417" s="3568"/>
      <c r="B4417" s="3527"/>
      <c r="C4417" s="2269" t="s">
        <v>2653</v>
      </c>
      <c r="D4417" s="3568"/>
      <c r="E4417" s="3586"/>
      <c r="F4417" s="3089">
        <v>1.67</v>
      </c>
      <c r="G4417" s="2946">
        <v>1.25</v>
      </c>
    </row>
    <row r="4418" spans="1:9">
      <c r="A4418" s="3568"/>
      <c r="B4418" s="3527"/>
      <c r="C4418" s="3149" t="s">
        <v>3582</v>
      </c>
      <c r="D4418" s="3570"/>
      <c r="E4418" s="3090">
        <v>0.27</v>
      </c>
      <c r="F4418" s="3089">
        <v>1.64</v>
      </c>
      <c r="G4418" s="2946">
        <v>1.2</v>
      </c>
    </row>
    <row r="4419" spans="1:9">
      <c r="A4419" s="3568"/>
      <c r="B4419" s="3527"/>
      <c r="C4419" s="2730" t="s">
        <v>3085</v>
      </c>
      <c r="D4419" s="3570"/>
      <c r="E4419" s="3090">
        <v>0.2</v>
      </c>
      <c r="F4419" s="3089">
        <v>1.6</v>
      </c>
      <c r="G4419" s="2946">
        <v>1.28</v>
      </c>
    </row>
    <row r="4420" spans="1:9">
      <c r="A4420" s="3568"/>
      <c r="B4420" s="3527"/>
      <c r="C4420" s="2947"/>
      <c r="D4420" s="3570"/>
      <c r="E4420" s="3090"/>
      <c r="F4420" s="3089"/>
      <c r="G4420" s="2946"/>
    </row>
    <row r="4421" spans="1:9">
      <c r="A4421" s="3569"/>
      <c r="B4421" s="3534"/>
      <c r="C4421" s="2947"/>
      <c r="D4421" s="3571"/>
      <c r="E4421" s="2948"/>
      <c r="F4421" s="2949"/>
      <c r="G4421" s="2950"/>
    </row>
    <row r="4423" spans="1:9" ht="15.75" thickBot="1"/>
    <row r="4424" spans="1:9" s="2885" customFormat="1">
      <c r="A4424" s="3516" t="s">
        <v>0</v>
      </c>
      <c r="B4424" s="3518" t="s">
        <v>1</v>
      </c>
      <c r="C4424" s="3518" t="s">
        <v>2</v>
      </c>
      <c r="D4424" s="3520" t="s">
        <v>3</v>
      </c>
      <c r="E4424" s="3518" t="s">
        <v>4</v>
      </c>
      <c r="F4424" s="3520" t="s">
        <v>1989</v>
      </c>
      <c r="G4424" s="3522" t="s">
        <v>1941</v>
      </c>
      <c r="I4424"/>
    </row>
    <row r="4425" spans="1:9" s="2885" customFormat="1">
      <c r="A4425" s="3517"/>
      <c r="B4425" s="3550"/>
      <c r="C4425" s="3550"/>
      <c r="D4425" s="3521"/>
      <c r="E4425" s="3550"/>
      <c r="F4425" s="3529"/>
      <c r="G4425" s="3551"/>
      <c r="I4425"/>
    </row>
    <row r="4426" spans="1:9" s="2885" customFormat="1" ht="30">
      <c r="A4426" s="3575" t="s">
        <v>3650</v>
      </c>
      <c r="B4426" s="3587" t="s">
        <v>2512</v>
      </c>
      <c r="C4426" s="2947" t="s">
        <v>3341</v>
      </c>
      <c r="D4426" s="3587" t="s">
        <v>1860</v>
      </c>
      <c r="E4426" s="3579">
        <v>0.2</v>
      </c>
      <c r="F4426" s="3580">
        <v>1.04</v>
      </c>
      <c r="G4426" s="3574">
        <v>0.83</v>
      </c>
      <c r="I4426"/>
    </row>
    <row r="4427" spans="1:9" s="2885" customFormat="1" ht="30">
      <c r="A4427" s="3536"/>
      <c r="B4427" s="3587"/>
      <c r="C4427" s="2947" t="s">
        <v>3342</v>
      </c>
      <c r="D4427" s="3587"/>
      <c r="E4427" s="3579"/>
      <c r="F4427" s="3580"/>
      <c r="G4427" s="3574"/>
      <c r="I4427"/>
    </row>
    <row r="4428" spans="1:9" s="2885" customFormat="1" ht="30">
      <c r="A4428" s="3538"/>
      <c r="B4428" s="3587"/>
      <c r="C4428" s="2947" t="s">
        <v>3343</v>
      </c>
      <c r="D4428" s="3587"/>
      <c r="E4428" s="3579"/>
      <c r="F4428" s="3580"/>
      <c r="G4428" s="3574"/>
      <c r="I4428"/>
    </row>
    <row r="4429" spans="1:9" s="2885" customFormat="1" ht="30">
      <c r="A4429" s="3575" t="s">
        <v>3651</v>
      </c>
      <c r="B4429" s="3587"/>
      <c r="C4429" s="2956" t="s">
        <v>2651</v>
      </c>
      <c r="D4429" s="3542"/>
      <c r="E4429" s="3576">
        <v>0.35</v>
      </c>
      <c r="F4429" s="3581">
        <v>1.82</v>
      </c>
      <c r="G4429" s="3564">
        <v>1.18</v>
      </c>
      <c r="I4429"/>
    </row>
    <row r="4430" spans="1:9" s="2885" customFormat="1" ht="30">
      <c r="A4430" s="3536"/>
      <c r="B4430" s="3587"/>
      <c r="C4430" s="2956" t="s">
        <v>2652</v>
      </c>
      <c r="D4430" s="3542"/>
      <c r="E4430" s="3577"/>
      <c r="F4430" s="3582"/>
      <c r="G4430" s="3565"/>
      <c r="I4430"/>
    </row>
    <row r="4431" spans="1:9" s="2885" customFormat="1" ht="30.75" thickBot="1">
      <c r="A4431" s="3537"/>
      <c r="B4431" s="3888"/>
      <c r="C4431" s="3098" t="s">
        <v>2653</v>
      </c>
      <c r="D4431" s="3543"/>
      <c r="E4431" s="3578"/>
      <c r="F4431" s="3583"/>
      <c r="G4431" s="3566"/>
      <c r="I4431"/>
    </row>
    <row r="4435" spans="1:9" s="2885" customFormat="1">
      <c r="A4435" s="3555" t="s">
        <v>0</v>
      </c>
      <c r="B4435" s="3556" t="s">
        <v>1</v>
      </c>
      <c r="C4435" s="3556" t="s">
        <v>2</v>
      </c>
      <c r="D4435" s="3550" t="s">
        <v>3</v>
      </c>
      <c r="E4435" s="3556" t="s">
        <v>4</v>
      </c>
      <c r="F4435" s="3550" t="s">
        <v>1989</v>
      </c>
      <c r="G4435" s="3556" t="s">
        <v>1941</v>
      </c>
      <c r="I4435"/>
    </row>
    <row r="4436" spans="1:9" s="2885" customFormat="1">
      <c r="A4436" s="3544"/>
      <c r="B4436" s="3556"/>
      <c r="C4436" s="3550"/>
      <c r="D4436" s="3521"/>
      <c r="E4436" s="3550"/>
      <c r="F4436" s="3521"/>
      <c r="G4436" s="3550"/>
      <c r="I4436"/>
    </row>
    <row r="4437" spans="1:9" s="2885" customFormat="1" ht="30">
      <c r="A4437" s="3567" t="s">
        <v>3675</v>
      </c>
      <c r="B4437" s="3549" t="s">
        <v>202</v>
      </c>
      <c r="C4437" s="2943" t="s">
        <v>2804</v>
      </c>
      <c r="D4437" s="3527" t="s">
        <v>1860</v>
      </c>
      <c r="E4437" s="3576">
        <v>0.39</v>
      </c>
      <c r="F4437" s="3121">
        <v>1.67</v>
      </c>
      <c r="G4437" s="2946">
        <v>1.02</v>
      </c>
      <c r="I4437"/>
    </row>
    <row r="4438" spans="1:9" s="2885" customFormat="1" ht="30">
      <c r="A4438" s="3568"/>
      <c r="B4438" s="3527"/>
      <c r="C4438" s="2943" t="s">
        <v>2805</v>
      </c>
      <c r="D4438" s="3527"/>
      <c r="E4438" s="3577"/>
      <c r="F4438" s="3121">
        <v>1.67</v>
      </c>
      <c r="G4438" s="2946">
        <v>1.02</v>
      </c>
      <c r="I4438"/>
    </row>
    <row r="4439" spans="1:9" s="2885" customFormat="1" ht="30">
      <c r="A4439" s="3568"/>
      <c r="B4439" s="3527"/>
      <c r="C4439" s="2269" t="s">
        <v>2653</v>
      </c>
      <c r="D4439" s="3568"/>
      <c r="E4439" s="3586"/>
      <c r="F4439" s="3121">
        <v>1.67</v>
      </c>
      <c r="G4439" s="2946">
        <v>1.02</v>
      </c>
      <c r="I4439"/>
    </row>
    <row r="4440" spans="1:9" s="2885" customFormat="1">
      <c r="A4440" s="3568"/>
      <c r="B4440" s="3527"/>
      <c r="C4440" s="3148" t="s">
        <v>2779</v>
      </c>
      <c r="D4440" s="3570"/>
      <c r="E4440" s="3122">
        <v>0.39</v>
      </c>
      <c r="F4440" s="3121">
        <v>2.09</v>
      </c>
      <c r="G4440" s="2946">
        <v>1.28</v>
      </c>
      <c r="I4440"/>
    </row>
    <row r="4441" spans="1:9" s="2885" customFormat="1">
      <c r="A4441" s="3568"/>
      <c r="B4441" s="3527"/>
      <c r="C4441" s="2730"/>
      <c r="D4441" s="3570"/>
      <c r="E4441" s="3122"/>
      <c r="F4441" s="3121"/>
      <c r="G4441" s="2946"/>
      <c r="I4441"/>
    </row>
    <row r="4442" spans="1:9" s="2885" customFormat="1">
      <c r="A4442" s="3568"/>
      <c r="B4442" s="3527"/>
      <c r="C4442" s="2947"/>
      <c r="D4442" s="3570"/>
      <c r="E4442" s="3122"/>
      <c r="F4442" s="3121"/>
      <c r="G4442" s="2946"/>
      <c r="I4442"/>
    </row>
    <row r="4443" spans="1:9" s="2885" customFormat="1">
      <c r="A4443" s="3569"/>
      <c r="B4443" s="3534"/>
      <c r="C4443" s="2947"/>
      <c r="D4443" s="3571"/>
      <c r="E4443" s="2948"/>
      <c r="F4443" s="2949"/>
      <c r="G4443" s="2950"/>
      <c r="I4443"/>
    </row>
    <row r="4447" spans="1:9" s="2885" customFormat="1">
      <c r="A4447" s="3555" t="s">
        <v>0</v>
      </c>
      <c r="B4447" s="3556" t="s">
        <v>1</v>
      </c>
      <c r="C4447" s="3556" t="s">
        <v>2</v>
      </c>
      <c r="D4447" s="3550" t="s">
        <v>3</v>
      </c>
      <c r="E4447" s="3556" t="s">
        <v>4</v>
      </c>
      <c r="F4447" s="3550" t="s">
        <v>1989</v>
      </c>
      <c r="G4447" s="3556" t="s">
        <v>1941</v>
      </c>
      <c r="I4447"/>
    </row>
    <row r="4448" spans="1:9" s="2885" customFormat="1">
      <c r="A4448" s="3517"/>
      <c r="B4448" s="3550"/>
      <c r="C4448" s="3550"/>
      <c r="D4448" s="3521"/>
      <c r="E4448" s="3550"/>
      <c r="F4448" s="3521"/>
      <c r="G4448" s="3550"/>
      <c r="I4448"/>
    </row>
    <row r="4449" spans="1:9" s="2885" customFormat="1" ht="30">
      <c r="A4449" s="3587" t="s">
        <v>3714</v>
      </c>
      <c r="B4449" s="3549" t="s">
        <v>2701</v>
      </c>
      <c r="C4449" s="2947" t="s">
        <v>3432</v>
      </c>
      <c r="D4449" s="3549" t="s">
        <v>1860</v>
      </c>
      <c r="E4449" s="3145">
        <v>0.22</v>
      </c>
      <c r="F4449" s="3146">
        <v>21.15</v>
      </c>
      <c r="G4449" s="3146">
        <v>16.43</v>
      </c>
      <c r="I4449"/>
    </row>
    <row r="4450" spans="1:9" s="2885" customFormat="1" ht="30">
      <c r="A4450" s="3587"/>
      <c r="B4450" s="3527"/>
      <c r="C4450" s="2947" t="s">
        <v>3433</v>
      </c>
      <c r="D4450" s="3527"/>
      <c r="E4450" s="3145">
        <v>0.22</v>
      </c>
      <c r="F4450" s="3146">
        <v>21.15</v>
      </c>
      <c r="G4450" s="3146">
        <v>16.43</v>
      </c>
      <c r="I4450"/>
    </row>
    <row r="4451" spans="1:9" s="2885" customFormat="1" ht="30">
      <c r="A4451" s="3587"/>
      <c r="B4451" s="3527"/>
      <c r="C4451" s="2947" t="s">
        <v>3434</v>
      </c>
      <c r="D4451" s="3527"/>
      <c r="E4451" s="3145">
        <v>0.22</v>
      </c>
      <c r="F4451" s="3146">
        <v>21.15</v>
      </c>
      <c r="G4451" s="3146">
        <v>16.43</v>
      </c>
      <c r="I4451"/>
    </row>
    <row r="4452" spans="1:9" s="2885" customFormat="1" ht="30">
      <c r="A4452" s="3587"/>
      <c r="B4452" s="3527"/>
      <c r="C4452" s="2947" t="s">
        <v>3435</v>
      </c>
      <c r="D4452" s="3527"/>
      <c r="E4452" s="3145">
        <v>0.22</v>
      </c>
      <c r="F4452" s="3146">
        <v>21.15</v>
      </c>
      <c r="G4452" s="3146">
        <v>16.43</v>
      </c>
      <c r="I4452"/>
    </row>
    <row r="4453" spans="1:9" s="2885" customFormat="1">
      <c r="A4453" s="3587"/>
      <c r="B4453" s="3527"/>
      <c r="C4453" s="2956" t="s">
        <v>3569</v>
      </c>
      <c r="D4453" s="3527"/>
      <c r="E4453" s="2964">
        <v>0.28000000000000003</v>
      </c>
      <c r="F4453" s="3146">
        <v>1.91</v>
      </c>
      <c r="G4453" s="3146">
        <v>1.38</v>
      </c>
      <c r="I4453"/>
    </row>
    <row r="4454" spans="1:9" s="2885" customFormat="1">
      <c r="A4454" s="3587"/>
      <c r="B4454" s="3527"/>
      <c r="C4454" s="2956" t="s">
        <v>3583</v>
      </c>
      <c r="D4454" s="3527"/>
      <c r="E4454" s="2964">
        <v>0.25</v>
      </c>
      <c r="F4454" s="3146">
        <v>2.39</v>
      </c>
      <c r="G4454" s="3146">
        <v>1.8</v>
      </c>
      <c r="I4454"/>
    </row>
    <row r="4455" spans="1:9" s="2885" customFormat="1">
      <c r="A4455" s="3587"/>
      <c r="B4455" s="3527"/>
      <c r="C4455" s="2956" t="s">
        <v>3582</v>
      </c>
      <c r="D4455" s="3527"/>
      <c r="E4455" s="3145">
        <v>0.14000000000000001</v>
      </c>
      <c r="F4455" s="3146">
        <v>1.39</v>
      </c>
      <c r="G4455" s="3146">
        <v>1.2</v>
      </c>
      <c r="I4455"/>
    </row>
    <row r="4456" spans="1:9" s="2885" customFormat="1">
      <c r="A4456" s="3587"/>
      <c r="B4456" s="3527"/>
      <c r="C4456" s="2947" t="s">
        <v>3567</v>
      </c>
      <c r="D4456" s="3527"/>
      <c r="E4456" s="2964">
        <v>0.25</v>
      </c>
      <c r="F4456" s="3146">
        <v>9.8800000000000008</v>
      </c>
      <c r="G4456" s="3146">
        <v>7.41</v>
      </c>
      <c r="I4456"/>
    </row>
    <row r="4457" spans="1:9" s="2885" customFormat="1">
      <c r="A4457" s="3587"/>
      <c r="B4457" s="3527"/>
      <c r="C4457" s="2947" t="s">
        <v>3568</v>
      </c>
      <c r="D4457" s="3527"/>
      <c r="E4457" s="2964">
        <v>0.25</v>
      </c>
      <c r="F4457" s="3146">
        <v>6.37</v>
      </c>
      <c r="G4457" s="3146">
        <v>4.78</v>
      </c>
      <c r="I4457"/>
    </row>
    <row r="4458" spans="1:9" s="2885" customFormat="1">
      <c r="A4458" s="3587"/>
      <c r="B4458" s="3527"/>
      <c r="C4458" s="2947" t="s">
        <v>3618</v>
      </c>
      <c r="D4458" s="3527"/>
      <c r="E4458" s="2964">
        <v>0.21</v>
      </c>
      <c r="F4458" s="3146">
        <v>1.17</v>
      </c>
      <c r="G4458" s="3146">
        <v>0.93</v>
      </c>
      <c r="I4458"/>
    </row>
    <row r="4459" spans="1:9" s="2885" customFormat="1">
      <c r="A4459" s="3587"/>
      <c r="B4459" s="3527"/>
      <c r="C4459" s="2947" t="s">
        <v>3510</v>
      </c>
      <c r="D4459" s="3527"/>
      <c r="E4459" s="2964">
        <v>0.28000000000000003</v>
      </c>
      <c r="F4459" s="3146">
        <v>1.29</v>
      </c>
      <c r="G4459" s="3146">
        <v>0.93</v>
      </c>
      <c r="I4459"/>
    </row>
    <row r="4460" spans="1:9" s="2885" customFormat="1">
      <c r="A4460" s="3587"/>
      <c r="B4460" s="3527"/>
      <c r="C4460" s="2956"/>
      <c r="D4460" s="3527"/>
      <c r="E4460" s="3145"/>
      <c r="F4460" s="3146"/>
      <c r="G4460" s="3146"/>
      <c r="I4460"/>
    </row>
    <row r="4461" spans="1:9" s="2885" customFormat="1">
      <c r="A4461" s="3587"/>
      <c r="B4461" s="3534"/>
      <c r="C4461" s="2956"/>
      <c r="D4461" s="3534"/>
      <c r="E4461" s="3145"/>
      <c r="F4461" s="3146"/>
      <c r="G4461" s="3146"/>
      <c r="I4461"/>
    </row>
    <row r="4462" spans="1:9" ht="15.75" thickBot="1"/>
    <row r="4463" spans="1:9" s="2885" customFormat="1">
      <c r="A4463" s="3572"/>
      <c r="B4463" s="3557"/>
      <c r="C4463" s="3557"/>
      <c r="D4463" s="3557"/>
      <c r="E4463" s="3557"/>
      <c r="F4463" s="3557" t="s">
        <v>446</v>
      </c>
      <c r="G4463" s="3559" t="s">
        <v>3719</v>
      </c>
      <c r="I4463"/>
    </row>
    <row r="4464" spans="1:9" s="2885" customFormat="1">
      <c r="A4464" s="3573"/>
      <c r="B4464" s="3558"/>
      <c r="C4464" s="3558"/>
      <c r="D4464" s="3558"/>
      <c r="E4464" s="3558"/>
      <c r="F4464" s="3558"/>
      <c r="G4464" s="3560"/>
      <c r="I4464"/>
    </row>
    <row r="4465" spans="1:9" s="2885" customFormat="1">
      <c r="A4465" s="3015" t="s">
        <v>3720</v>
      </c>
      <c r="B4465" s="3584" t="s">
        <v>2512</v>
      </c>
      <c r="C4465" s="2996" t="s">
        <v>1614</v>
      </c>
      <c r="D4465" s="2997"/>
      <c r="E4465" s="3016">
        <f>(G4465-F4465)/G4465</f>
        <v>0.36054421768707484</v>
      </c>
      <c r="F4465" s="3129">
        <v>0.94</v>
      </c>
      <c r="G4465" s="3130">
        <v>1.47</v>
      </c>
      <c r="I4465"/>
    </row>
    <row r="4466" spans="1:9" s="2885" customFormat="1" ht="15.75" thickBot="1">
      <c r="A4466" s="2914"/>
      <c r="B4466" s="3585"/>
      <c r="C4466" s="2915" t="s">
        <v>2792</v>
      </c>
      <c r="D4466" s="2915"/>
      <c r="E4466" s="3050">
        <f>(G4466-F4466)/G4466</f>
        <v>0.36054421768707484</v>
      </c>
      <c r="F4466" s="3011">
        <v>0.94</v>
      </c>
      <c r="G4466" s="3144">
        <v>1.47</v>
      </c>
      <c r="I4466"/>
    </row>
    <row r="4468" spans="1:9" ht="15.75" thickBot="1"/>
    <row r="4469" spans="1:9" s="2885" customFormat="1">
      <c r="A4469" s="3516" t="s">
        <v>0</v>
      </c>
      <c r="B4469" s="3518" t="s">
        <v>1</v>
      </c>
      <c r="C4469" s="3518" t="s">
        <v>2</v>
      </c>
      <c r="D4469" s="3520" t="s">
        <v>3</v>
      </c>
      <c r="E4469" s="3518" t="s">
        <v>4</v>
      </c>
      <c r="F4469" s="3520" t="s">
        <v>1989</v>
      </c>
      <c r="G4469" s="3522" t="s">
        <v>1941</v>
      </c>
      <c r="I4469"/>
    </row>
    <row r="4470" spans="1:9" s="2885" customFormat="1">
      <c r="A4470" s="3517"/>
      <c r="B4470" s="3550"/>
      <c r="C4470" s="3550"/>
      <c r="D4470" s="3521"/>
      <c r="E4470" s="3550"/>
      <c r="F4470" s="3529"/>
      <c r="G4470" s="3551"/>
      <c r="I4470"/>
    </row>
    <row r="4471" spans="1:9" s="2885" customFormat="1">
      <c r="A4471" s="3575" t="s">
        <v>3731</v>
      </c>
      <c r="B4471" s="3603" t="s">
        <v>2512</v>
      </c>
      <c r="C4471" s="2947" t="s">
        <v>3732</v>
      </c>
      <c r="D4471" s="3549" t="s">
        <v>1860</v>
      </c>
      <c r="E4471" s="3579">
        <v>0.41</v>
      </c>
      <c r="F4471" s="3581">
        <v>9.08</v>
      </c>
      <c r="G4471" s="3574">
        <v>5.4</v>
      </c>
      <c r="I4471"/>
    </row>
    <row r="4472" spans="1:9" s="2885" customFormat="1" ht="15.75" thickBot="1">
      <c r="A4472" s="3537"/>
      <c r="B4472" s="3886"/>
      <c r="C4472" s="3155" t="s">
        <v>3733</v>
      </c>
      <c r="D4472" s="3528"/>
      <c r="E4472" s="3887"/>
      <c r="F4472" s="3583"/>
      <c r="G4472" s="3891"/>
      <c r="I4472"/>
    </row>
    <row r="4474" spans="1:9" ht="15.75" thickBot="1"/>
    <row r="4475" spans="1:9" s="2885" customFormat="1">
      <c r="A4475" s="3614" t="s">
        <v>0</v>
      </c>
      <c r="B4475" s="3518" t="s">
        <v>1</v>
      </c>
      <c r="C4475" s="3518" t="s">
        <v>2</v>
      </c>
      <c r="D4475" s="3518" t="s">
        <v>3</v>
      </c>
      <c r="E4475" s="3518" t="s">
        <v>4</v>
      </c>
      <c r="F4475" s="3518" t="s">
        <v>1989</v>
      </c>
      <c r="G4475" s="3522" t="s">
        <v>1941</v>
      </c>
      <c r="I4475"/>
    </row>
    <row r="4476" spans="1:9" s="2885" customFormat="1">
      <c r="A4476" s="3889"/>
      <c r="B4476" s="3556"/>
      <c r="C4476" s="3556"/>
      <c r="D4476" s="3556"/>
      <c r="E4476" s="3556"/>
      <c r="F4476" s="3556"/>
      <c r="G4476" s="3890"/>
      <c r="I4476"/>
    </row>
    <row r="4477" spans="1:9" s="2885" customFormat="1" ht="15.75" thickBot="1">
      <c r="A4477" s="3161" t="s">
        <v>3744</v>
      </c>
      <c r="B4477" s="3162" t="s">
        <v>2512</v>
      </c>
      <c r="C4477" s="3155" t="s">
        <v>3088</v>
      </c>
      <c r="D4477" s="3162" t="s">
        <v>1860</v>
      </c>
      <c r="E4477" s="3159">
        <v>0.2</v>
      </c>
      <c r="F4477" s="2978">
        <v>2.5299999999999998</v>
      </c>
      <c r="G4477" s="3160">
        <v>2.02</v>
      </c>
      <c r="I4477"/>
    </row>
    <row r="4478" spans="1:9" s="2885" customFormat="1" ht="15.75" thickBot="1">
      <c r="I4478"/>
    </row>
    <row r="4479" spans="1:9" s="2885" customFormat="1">
      <c r="A4479" s="3516" t="s">
        <v>0</v>
      </c>
      <c r="B4479" s="3518" t="s">
        <v>1</v>
      </c>
      <c r="C4479" s="3518" t="s">
        <v>2</v>
      </c>
      <c r="D4479" s="3520" t="s">
        <v>3</v>
      </c>
      <c r="E4479" s="3518" t="s">
        <v>4</v>
      </c>
      <c r="F4479" s="3520" t="s">
        <v>1989</v>
      </c>
      <c r="G4479" s="3522" t="s">
        <v>1941</v>
      </c>
      <c r="I4479"/>
    </row>
    <row r="4480" spans="1:9" s="2885" customFormat="1">
      <c r="A4480" s="3544"/>
      <c r="B4480" s="3556"/>
      <c r="C4480" s="3550"/>
      <c r="D4480" s="3521"/>
      <c r="E4480" s="3550"/>
      <c r="F4480" s="3521"/>
      <c r="G4480" s="3551"/>
      <c r="I4480"/>
    </row>
    <row r="4481" spans="1:9" s="2885" customFormat="1" ht="15.75" thickBot="1">
      <c r="A4481" s="3163" t="s">
        <v>3745</v>
      </c>
      <c r="B4481" s="3164" t="s">
        <v>202</v>
      </c>
      <c r="C4481" s="3039" t="s">
        <v>3582</v>
      </c>
      <c r="D4481" s="1491" t="s">
        <v>1860</v>
      </c>
      <c r="E4481" s="3159">
        <v>0.27</v>
      </c>
      <c r="F4481" s="2978">
        <v>1.64</v>
      </c>
      <c r="G4481" s="2979">
        <v>1.2</v>
      </c>
      <c r="I4481"/>
    </row>
    <row r="4483" spans="1:9">
      <c r="A4483" s="3550" t="s">
        <v>0</v>
      </c>
      <c r="B4483" s="3556" t="s">
        <v>1</v>
      </c>
      <c r="C4483" s="3556" t="s">
        <v>2</v>
      </c>
      <c r="D4483" s="3550" t="s">
        <v>3</v>
      </c>
      <c r="E4483" s="3556" t="s">
        <v>4</v>
      </c>
      <c r="F4483" s="3550" t="s">
        <v>1989</v>
      </c>
      <c r="G4483" s="3556" t="s">
        <v>1941</v>
      </c>
    </row>
    <row r="4484" spans="1:9">
      <c r="A4484" s="3521"/>
      <c r="B4484" s="3550"/>
      <c r="C4484" s="3550"/>
      <c r="D4484" s="3521"/>
      <c r="E4484" s="3550"/>
      <c r="F4484" s="3521"/>
      <c r="G4484" s="3550"/>
    </row>
    <row r="4485" spans="1:9" ht="30.75" thickBot="1">
      <c r="A4485" s="3549" t="s">
        <v>3748</v>
      </c>
      <c r="B4485" s="2973" t="s">
        <v>2701</v>
      </c>
      <c r="C4485" s="2947" t="s">
        <v>3432</v>
      </c>
      <c r="D4485" s="2973" t="s">
        <v>1860</v>
      </c>
      <c r="E4485" s="3165">
        <v>0.22</v>
      </c>
      <c r="F4485" s="3166">
        <v>21.15</v>
      </c>
      <c r="G4485" s="3166">
        <v>16.43</v>
      </c>
    </row>
    <row r="4486" spans="1:9" ht="30">
      <c r="A4486" s="3527"/>
      <c r="B4486" s="2887" t="s">
        <v>120</v>
      </c>
      <c r="C4486" s="2947" t="s">
        <v>3433</v>
      </c>
      <c r="D4486" s="504"/>
      <c r="E4486" s="3165">
        <v>0.22</v>
      </c>
      <c r="F4486" s="3166">
        <v>21.15</v>
      </c>
      <c r="G4486" s="3166">
        <v>16.43</v>
      </c>
    </row>
    <row r="4487" spans="1:9" ht="30">
      <c r="A4487" s="3527"/>
      <c r="B4487" s="2687" t="s">
        <v>121</v>
      </c>
      <c r="C4487" s="2947" t="s">
        <v>3434</v>
      </c>
      <c r="D4487" s="504"/>
      <c r="E4487" s="3165">
        <v>0.22</v>
      </c>
      <c r="F4487" s="3166">
        <v>21.15</v>
      </c>
      <c r="G4487" s="3166">
        <v>16.43</v>
      </c>
    </row>
    <row r="4488" spans="1:9" ht="30">
      <c r="A4488" s="3527"/>
      <c r="B4488" s="2687" t="s">
        <v>123</v>
      </c>
      <c r="C4488" s="2947" t="s">
        <v>3435</v>
      </c>
      <c r="D4488" s="504"/>
      <c r="E4488" s="3165">
        <v>0.22</v>
      </c>
      <c r="F4488" s="3166">
        <v>21.15</v>
      </c>
      <c r="G4488" s="3166">
        <v>16.43</v>
      </c>
    </row>
    <row r="4489" spans="1:9" ht="30">
      <c r="A4489" s="3527"/>
      <c r="B4489" s="2687" t="s">
        <v>122</v>
      </c>
      <c r="C4489" s="2947" t="s">
        <v>2769</v>
      </c>
      <c r="D4489" s="504"/>
      <c r="E4489" s="3165">
        <v>0.15</v>
      </c>
      <c r="F4489" s="3166">
        <v>6.86</v>
      </c>
      <c r="G4489" s="3166">
        <v>5.83</v>
      </c>
    </row>
    <row r="4490" spans="1:9" ht="30">
      <c r="A4490" s="3527"/>
      <c r="B4490" s="2687" t="s">
        <v>2057</v>
      </c>
      <c r="C4490" s="2947" t="s">
        <v>2770</v>
      </c>
      <c r="D4490" s="504"/>
      <c r="E4490" s="3165">
        <v>0.15</v>
      </c>
      <c r="F4490" s="3166">
        <v>6.86</v>
      </c>
      <c r="G4490" s="3166">
        <v>5.83</v>
      </c>
    </row>
    <row r="4491" spans="1:9" ht="30">
      <c r="A4491" s="3527"/>
      <c r="B4491" s="504"/>
      <c r="C4491" s="2947" t="s">
        <v>3010</v>
      </c>
      <c r="D4491" s="504"/>
      <c r="E4491" s="3165">
        <v>0.15</v>
      </c>
      <c r="F4491" s="3166">
        <v>6.86</v>
      </c>
      <c r="G4491" s="3166">
        <v>5.83</v>
      </c>
    </row>
    <row r="4492" spans="1:9" ht="30">
      <c r="A4492" s="3527"/>
      <c r="B4492" s="504"/>
      <c r="C4492" s="2947" t="s">
        <v>3011</v>
      </c>
      <c r="D4492" s="504"/>
      <c r="E4492" s="3165">
        <v>0.15</v>
      </c>
      <c r="F4492" s="3166">
        <v>6.86</v>
      </c>
      <c r="G4492" s="3166">
        <v>5.83</v>
      </c>
    </row>
    <row r="4493" spans="1:9" ht="30">
      <c r="A4493" s="3527"/>
      <c r="B4493" s="504"/>
      <c r="C4493" s="2947" t="s">
        <v>3012</v>
      </c>
      <c r="D4493" s="504"/>
      <c r="E4493" s="3165">
        <v>0.15</v>
      </c>
      <c r="F4493" s="3166">
        <v>11.43</v>
      </c>
      <c r="G4493" s="3166">
        <v>9.7200000000000006</v>
      </c>
    </row>
    <row r="4494" spans="1:9" ht="30">
      <c r="A4494" s="3527"/>
      <c r="B4494" s="504"/>
      <c r="C4494" s="2947" t="s">
        <v>3013</v>
      </c>
      <c r="D4494" s="504"/>
      <c r="E4494" s="3165">
        <v>0.15</v>
      </c>
      <c r="F4494" s="3166">
        <v>11.43</v>
      </c>
      <c r="G4494" s="3166">
        <v>9.7200000000000006</v>
      </c>
    </row>
    <row r="4495" spans="1:9" ht="30">
      <c r="A4495" s="3527"/>
      <c r="B4495" s="504"/>
      <c r="C4495" s="2947" t="s">
        <v>3616</v>
      </c>
      <c r="D4495" s="504"/>
      <c r="E4495" s="3165">
        <v>0.15</v>
      </c>
      <c r="F4495" s="3166">
        <v>7.61</v>
      </c>
      <c r="G4495" s="3166">
        <v>6.47</v>
      </c>
    </row>
    <row r="4496" spans="1:9" ht="30">
      <c r="A4496" s="3527"/>
      <c r="B4496" s="504"/>
      <c r="C4496" s="2956" t="s">
        <v>3617</v>
      </c>
      <c r="D4496" s="504"/>
      <c r="E4496" s="2964">
        <v>0.15</v>
      </c>
      <c r="F4496" s="3166">
        <v>7.61</v>
      </c>
      <c r="G4496" s="3166">
        <v>6.47</v>
      </c>
    </row>
    <row r="4497" spans="1:9" ht="30">
      <c r="A4497" s="3527"/>
      <c r="B4497" s="504"/>
      <c r="C4497" s="2956" t="s">
        <v>3368</v>
      </c>
      <c r="D4497" s="504"/>
      <c r="E4497" s="2964">
        <v>0.09</v>
      </c>
      <c r="F4497" s="3166">
        <v>1.64</v>
      </c>
      <c r="G4497" s="3166">
        <v>1.49</v>
      </c>
    </row>
    <row r="4498" spans="1:9" ht="30">
      <c r="A4498" s="3527"/>
      <c r="B4498" s="504"/>
      <c r="C4498" s="2956" t="s">
        <v>3369</v>
      </c>
      <c r="D4498" s="504"/>
      <c r="E4498" s="2964">
        <v>0.09</v>
      </c>
      <c r="F4498" s="3166">
        <v>1.64</v>
      </c>
      <c r="G4498" s="3166">
        <v>1.49</v>
      </c>
    </row>
    <row r="4499" spans="1:9">
      <c r="A4499" s="3527"/>
      <c r="B4499" s="504"/>
      <c r="C4499" s="2956" t="s">
        <v>3582</v>
      </c>
      <c r="D4499" s="504"/>
      <c r="E4499" s="3165">
        <v>0.14000000000000001</v>
      </c>
      <c r="F4499" s="3166">
        <v>1.39</v>
      </c>
      <c r="G4499" s="3166">
        <v>1.2</v>
      </c>
    </row>
    <row r="4500" spans="1:9">
      <c r="A4500" s="3527"/>
      <c r="B4500" s="504"/>
      <c r="C4500" s="2947" t="s">
        <v>3567</v>
      </c>
      <c r="D4500" s="504"/>
      <c r="E4500" s="2964">
        <v>0.25</v>
      </c>
      <c r="F4500" s="3166">
        <v>9.8800000000000008</v>
      </c>
      <c r="G4500" s="3166">
        <v>7.41</v>
      </c>
    </row>
    <row r="4501" spans="1:9">
      <c r="A4501" s="3527"/>
      <c r="B4501" s="504"/>
      <c r="C4501" s="2947" t="s">
        <v>3568</v>
      </c>
      <c r="D4501" s="504"/>
      <c r="E4501" s="2964">
        <v>0.25</v>
      </c>
      <c r="F4501" s="3166">
        <v>6.37</v>
      </c>
      <c r="G4501" s="3166">
        <v>4.78</v>
      </c>
    </row>
    <row r="4502" spans="1:9">
      <c r="A4502" s="3527"/>
      <c r="B4502" s="504"/>
      <c r="C4502" s="2947" t="s">
        <v>3510</v>
      </c>
      <c r="D4502" s="504"/>
      <c r="E4502" s="2964">
        <v>0.28000000000000003</v>
      </c>
      <c r="F4502" s="3166">
        <v>1.29</v>
      </c>
      <c r="G4502" s="3166">
        <v>0.93</v>
      </c>
    </row>
    <row r="4503" spans="1:9">
      <c r="A4503" s="3534"/>
      <c r="B4503" s="2682"/>
      <c r="C4503" s="2956" t="s">
        <v>3569</v>
      </c>
      <c r="D4503" s="2682"/>
      <c r="E4503" s="2964">
        <v>0.28000000000000003</v>
      </c>
      <c r="F4503" s="3166">
        <v>1.91</v>
      </c>
      <c r="G4503" s="3166">
        <v>1.38</v>
      </c>
    </row>
    <row r="4506" spans="1:9" ht="15.75" thickBot="1"/>
    <row r="4507" spans="1:9" s="2885" customFormat="1">
      <c r="A4507" s="3516" t="s">
        <v>0</v>
      </c>
      <c r="B4507" s="3518" t="s">
        <v>1</v>
      </c>
      <c r="C4507" s="3518" t="s">
        <v>2</v>
      </c>
      <c r="D4507" s="3520" t="s">
        <v>3</v>
      </c>
      <c r="E4507" s="3518" t="s">
        <v>4</v>
      </c>
      <c r="F4507" s="3520" t="s">
        <v>1989</v>
      </c>
      <c r="G4507" s="3522" t="s">
        <v>1941</v>
      </c>
      <c r="I4507"/>
    </row>
    <row r="4508" spans="1:9" s="2885" customFormat="1">
      <c r="A4508" s="3544"/>
      <c r="B4508" s="3556"/>
      <c r="C4508" s="3550"/>
      <c r="D4508" s="3521"/>
      <c r="E4508" s="3550"/>
      <c r="F4508" s="3521"/>
      <c r="G4508" s="3551"/>
      <c r="I4508"/>
    </row>
    <row r="4509" spans="1:9" s="2885" customFormat="1" ht="30">
      <c r="A4509" s="3575" t="s">
        <v>3770</v>
      </c>
      <c r="B4509" s="3549" t="s">
        <v>202</v>
      </c>
      <c r="C4509" s="2943" t="s">
        <v>3341</v>
      </c>
      <c r="D4509" s="3527" t="s">
        <v>1860</v>
      </c>
      <c r="E4509" s="3576">
        <v>0.22</v>
      </c>
      <c r="F4509" s="3171">
        <v>0.99</v>
      </c>
      <c r="G4509" s="2974">
        <v>0.77</v>
      </c>
      <c r="I4509"/>
    </row>
    <row r="4510" spans="1:9" s="2885" customFormat="1" ht="30">
      <c r="A4510" s="3536"/>
      <c r="B4510" s="3527"/>
      <c r="C4510" s="2943" t="s">
        <v>3342</v>
      </c>
      <c r="D4510" s="3527"/>
      <c r="E4510" s="3577"/>
      <c r="F4510" s="3171">
        <v>0.99</v>
      </c>
      <c r="G4510" s="2974">
        <v>0.77</v>
      </c>
      <c r="I4510"/>
    </row>
    <row r="4511" spans="1:9" s="2885" customFormat="1" ht="30">
      <c r="A4511" s="3536"/>
      <c r="B4511" s="3527"/>
      <c r="C4511" s="2269" t="s">
        <v>3343</v>
      </c>
      <c r="D4511" s="3568"/>
      <c r="E4511" s="3586"/>
      <c r="F4511" s="3171">
        <v>0.99</v>
      </c>
      <c r="G4511" s="2974">
        <v>0.77</v>
      </c>
      <c r="I4511"/>
    </row>
    <row r="4512" spans="1:9" s="2885" customFormat="1" ht="30">
      <c r="A4512" s="3536"/>
      <c r="B4512" s="3527"/>
      <c r="C4512" s="2730" t="s">
        <v>2948</v>
      </c>
      <c r="D4512" s="3570"/>
      <c r="E4512" s="3576">
        <v>0.25</v>
      </c>
      <c r="F4512" s="3171">
        <v>2</v>
      </c>
      <c r="G4512" s="2974">
        <v>1.5</v>
      </c>
      <c r="I4512"/>
    </row>
    <row r="4513" spans="1:9" s="2885" customFormat="1" ht="30">
      <c r="A4513" s="3536"/>
      <c r="B4513" s="3527"/>
      <c r="C4513" s="2730" t="s">
        <v>3034</v>
      </c>
      <c r="D4513" s="3570"/>
      <c r="E4513" s="3577"/>
      <c r="F4513" s="3171">
        <v>2</v>
      </c>
      <c r="G4513" s="2974">
        <v>1.5</v>
      </c>
      <c r="I4513"/>
    </row>
    <row r="4514" spans="1:9" s="2885" customFormat="1" ht="30">
      <c r="A4514" s="3536"/>
      <c r="B4514" s="3527"/>
      <c r="C4514" s="2947" t="s">
        <v>2950</v>
      </c>
      <c r="D4514" s="3570"/>
      <c r="E4514" s="3577"/>
      <c r="F4514" s="3171">
        <v>2</v>
      </c>
      <c r="G4514" s="2974">
        <v>1.5</v>
      </c>
      <c r="I4514"/>
    </row>
    <row r="4515" spans="1:9" s="2885" customFormat="1" ht="30.75" thickBot="1">
      <c r="A4515" s="3537"/>
      <c r="B4515" s="3528"/>
      <c r="C4515" s="3155" t="s">
        <v>2949</v>
      </c>
      <c r="D4515" s="3892"/>
      <c r="E4515" s="3578"/>
      <c r="F4515" s="2978">
        <v>2</v>
      </c>
      <c r="G4515" s="2979">
        <v>1.5</v>
      </c>
      <c r="I4515"/>
    </row>
    <row r="4519" spans="1:9" s="2885" customFormat="1" ht="15" customHeight="1">
      <c r="A4519" s="3555" t="s">
        <v>0</v>
      </c>
      <c r="B4519" s="3556" t="s">
        <v>1</v>
      </c>
      <c r="C4519" s="3556" t="s">
        <v>2</v>
      </c>
      <c r="D4519" s="3550" t="s">
        <v>3</v>
      </c>
      <c r="E4519" s="3556" t="s">
        <v>4</v>
      </c>
      <c r="F4519" s="3550" t="s">
        <v>1989</v>
      </c>
      <c r="G4519" s="3556" t="s">
        <v>1941</v>
      </c>
    </row>
    <row r="4520" spans="1:9" s="2885" customFormat="1" ht="23.25" customHeight="1">
      <c r="A4520" s="3517"/>
      <c r="B4520" s="3550"/>
      <c r="C4520" s="3550"/>
      <c r="D4520" s="3521"/>
      <c r="E4520" s="3550"/>
      <c r="F4520" s="3521"/>
      <c r="G4520" s="3550"/>
    </row>
    <row r="4521" spans="1:9" s="2885" customFormat="1" ht="28.5" customHeight="1" thickBot="1">
      <c r="A4521" s="3587" t="s">
        <v>3772</v>
      </c>
      <c r="B4521" s="2973" t="s">
        <v>2701</v>
      </c>
      <c r="C4521" s="2947" t="s">
        <v>3432</v>
      </c>
      <c r="D4521" s="3549" t="s">
        <v>1860</v>
      </c>
      <c r="E4521" s="3181">
        <v>0.22</v>
      </c>
      <c r="F4521" s="3180">
        <v>21.15</v>
      </c>
      <c r="G4521" s="3180">
        <v>16.43</v>
      </c>
    </row>
    <row r="4522" spans="1:9" s="2885" customFormat="1" ht="28.5" customHeight="1">
      <c r="A4522" s="3587"/>
      <c r="B4522" s="2887" t="s">
        <v>120</v>
      </c>
      <c r="C4522" s="2947" t="s">
        <v>3433</v>
      </c>
      <c r="D4522" s="3527"/>
      <c r="E4522" s="3181">
        <v>0.22</v>
      </c>
      <c r="F4522" s="3180">
        <v>21.15</v>
      </c>
      <c r="G4522" s="3180">
        <v>16.43</v>
      </c>
    </row>
    <row r="4523" spans="1:9" s="2885" customFormat="1" ht="28.5" customHeight="1">
      <c r="A4523" s="3587"/>
      <c r="B4523" s="2687" t="s">
        <v>121</v>
      </c>
      <c r="C4523" s="2947" t="s">
        <v>3434</v>
      </c>
      <c r="D4523" s="3527"/>
      <c r="E4523" s="3181">
        <v>0.22</v>
      </c>
      <c r="F4523" s="3180">
        <v>21.15</v>
      </c>
      <c r="G4523" s="3180">
        <v>16.43</v>
      </c>
    </row>
    <row r="4524" spans="1:9" s="2885" customFormat="1" ht="28.5" customHeight="1">
      <c r="A4524" s="3587"/>
      <c r="B4524" s="2687" t="s">
        <v>123</v>
      </c>
      <c r="C4524" s="2947" t="s">
        <v>3435</v>
      </c>
      <c r="D4524" s="3527"/>
      <c r="E4524" s="3181">
        <v>0.22</v>
      </c>
      <c r="F4524" s="3180">
        <v>21.15</v>
      </c>
      <c r="G4524" s="3180">
        <v>16.43</v>
      </c>
    </row>
    <row r="4525" spans="1:9" s="2885" customFormat="1" ht="28.5" customHeight="1">
      <c r="A4525" s="3587"/>
      <c r="B4525" s="2687" t="s">
        <v>122</v>
      </c>
      <c r="C4525" s="2947" t="s">
        <v>3610</v>
      </c>
      <c r="D4525" s="3527"/>
      <c r="E4525" s="3181">
        <v>0.27</v>
      </c>
      <c r="F4525" s="3180">
        <v>23.19</v>
      </c>
      <c r="G4525" s="3180">
        <v>16.93</v>
      </c>
    </row>
    <row r="4526" spans="1:9" s="2885" customFormat="1" ht="28.5" customHeight="1">
      <c r="A4526" s="3587"/>
      <c r="B4526" s="2687" t="s">
        <v>2057</v>
      </c>
      <c r="C4526" s="2947" t="s">
        <v>3611</v>
      </c>
      <c r="D4526" s="3527"/>
      <c r="E4526" s="3181">
        <v>0.27</v>
      </c>
      <c r="F4526" s="3180">
        <v>23.19</v>
      </c>
      <c r="G4526" s="3180">
        <v>16.93</v>
      </c>
    </row>
    <row r="4527" spans="1:9" s="2885" customFormat="1" ht="28.5" customHeight="1">
      <c r="A4527" s="3587"/>
      <c r="B4527" s="504"/>
      <c r="C4527" s="2947" t="s">
        <v>3612</v>
      </c>
      <c r="D4527" s="3527"/>
      <c r="E4527" s="3181">
        <v>0.27</v>
      </c>
      <c r="F4527" s="3180">
        <v>23.19</v>
      </c>
      <c r="G4527" s="3180">
        <v>16.93</v>
      </c>
    </row>
    <row r="4528" spans="1:9" s="2885" customFormat="1" ht="28.5" customHeight="1">
      <c r="A4528" s="3587"/>
      <c r="B4528" s="504"/>
      <c r="C4528" s="2947" t="s">
        <v>3613</v>
      </c>
      <c r="D4528" s="3527"/>
      <c r="E4528" s="3181">
        <v>0.27</v>
      </c>
      <c r="F4528" s="3180">
        <v>23.19</v>
      </c>
      <c r="G4528" s="3180">
        <v>16.93</v>
      </c>
    </row>
    <row r="4529" spans="1:7" s="2885" customFormat="1" ht="28.5" customHeight="1">
      <c r="A4529" s="3587"/>
      <c r="B4529" s="504"/>
      <c r="C4529" s="2947" t="s">
        <v>3614</v>
      </c>
      <c r="D4529" s="3527"/>
      <c r="E4529" s="3181">
        <v>0.27</v>
      </c>
      <c r="F4529" s="3180">
        <v>23.19</v>
      </c>
      <c r="G4529" s="3180">
        <v>16.93</v>
      </c>
    </row>
    <row r="4530" spans="1:7" s="2885" customFormat="1" ht="28.5" customHeight="1">
      <c r="A4530" s="3587"/>
      <c r="B4530" s="504"/>
      <c r="C4530" s="2947" t="s">
        <v>3615</v>
      </c>
      <c r="D4530" s="3527"/>
      <c r="E4530" s="3181">
        <v>0.27</v>
      </c>
      <c r="F4530" s="3180">
        <v>23.19</v>
      </c>
      <c r="G4530" s="3180">
        <v>16.93</v>
      </c>
    </row>
    <row r="4531" spans="1:7" s="2885" customFormat="1" ht="28.5" customHeight="1">
      <c r="A4531" s="3587"/>
      <c r="B4531" s="504"/>
      <c r="C4531" s="2947" t="s">
        <v>3477</v>
      </c>
      <c r="D4531" s="3527"/>
      <c r="E4531" s="3181">
        <v>0.15</v>
      </c>
      <c r="F4531" s="3180">
        <v>6.86</v>
      </c>
      <c r="G4531" s="3180">
        <v>5.83</v>
      </c>
    </row>
    <row r="4532" spans="1:7" s="2885" customFormat="1" ht="28.5" customHeight="1">
      <c r="A4532" s="3587"/>
      <c r="B4532" s="504"/>
      <c r="C4532" s="2956" t="s">
        <v>3478</v>
      </c>
      <c r="D4532" s="3527"/>
      <c r="E4532" s="3181">
        <v>0.15</v>
      </c>
      <c r="F4532" s="3180">
        <v>6.86</v>
      </c>
      <c r="G4532" s="3180">
        <v>5.83</v>
      </c>
    </row>
    <row r="4533" spans="1:7" s="2885" customFormat="1" ht="28.5" customHeight="1">
      <c r="A4533" s="3587"/>
      <c r="B4533" s="504"/>
      <c r="C4533" s="2956" t="s">
        <v>3567</v>
      </c>
      <c r="D4533" s="3527"/>
      <c r="E4533" s="3181">
        <v>0.25</v>
      </c>
      <c r="F4533" s="3180">
        <v>9.8800000000000008</v>
      </c>
      <c r="G4533" s="3180">
        <v>7.41</v>
      </c>
    </row>
    <row r="4534" spans="1:7" s="2885" customFormat="1" ht="28.5" customHeight="1">
      <c r="A4534" s="3587"/>
      <c r="B4534" s="504"/>
      <c r="C4534" s="2956" t="s">
        <v>3568</v>
      </c>
      <c r="D4534" s="3527"/>
      <c r="E4534" s="3181">
        <v>0.25</v>
      </c>
      <c r="F4534" s="3180">
        <v>6.37</v>
      </c>
      <c r="G4534" s="3180">
        <v>4.78</v>
      </c>
    </row>
    <row r="4535" spans="1:7" s="2885" customFormat="1" ht="28.5" customHeight="1">
      <c r="A4535" s="3587"/>
      <c r="B4535" s="504"/>
      <c r="C4535" s="2956" t="s">
        <v>3618</v>
      </c>
      <c r="D4535" s="3527"/>
      <c r="E4535" s="3181">
        <v>0.21</v>
      </c>
      <c r="F4535" s="3180">
        <v>1.17</v>
      </c>
      <c r="G4535" s="3180">
        <v>0.93</v>
      </c>
    </row>
    <row r="4536" spans="1:7" s="2885" customFormat="1" ht="28.5" customHeight="1">
      <c r="A4536" s="3587"/>
      <c r="B4536" s="504"/>
      <c r="C4536" s="2947" t="s">
        <v>3510</v>
      </c>
      <c r="D4536" s="3527"/>
      <c r="E4536" s="3181">
        <v>0.28000000000000003</v>
      </c>
      <c r="F4536" s="3180">
        <v>1.29</v>
      </c>
      <c r="G4536" s="3180">
        <v>0.93</v>
      </c>
    </row>
    <row r="4537" spans="1:7" s="2885" customFormat="1" ht="28.5" customHeight="1">
      <c r="A4537" s="3587"/>
      <c r="B4537" s="504"/>
      <c r="C4537" s="2947" t="s">
        <v>3569</v>
      </c>
      <c r="D4537" s="3527"/>
      <c r="E4537" s="3181">
        <v>0.28000000000000003</v>
      </c>
      <c r="F4537" s="3180">
        <v>1.91</v>
      </c>
      <c r="G4537" s="3180">
        <v>1.38</v>
      </c>
    </row>
    <row r="4538" spans="1:7" s="2885" customFormat="1" ht="28.5" customHeight="1">
      <c r="A4538" s="3587"/>
      <c r="B4538" s="504"/>
      <c r="C4538" s="2947" t="s">
        <v>3583</v>
      </c>
      <c r="D4538" s="3527"/>
      <c r="E4538" s="3181">
        <v>0.25</v>
      </c>
      <c r="F4538" s="3180">
        <v>2.39</v>
      </c>
      <c r="G4538" s="3180">
        <v>1.8</v>
      </c>
    </row>
    <row r="4539" spans="1:7" s="2885" customFormat="1" ht="28.5" customHeight="1">
      <c r="A4539" s="3587"/>
      <c r="B4539" s="504"/>
      <c r="C4539" s="2947" t="s">
        <v>3732</v>
      </c>
      <c r="D4539" s="3527"/>
      <c r="E4539" s="2964">
        <v>0.4</v>
      </c>
      <c r="F4539" s="3180">
        <v>9.07</v>
      </c>
      <c r="G4539" s="3180">
        <v>5.4</v>
      </c>
    </row>
    <row r="4540" spans="1:7" s="2885" customFormat="1" ht="28.5" customHeight="1" thickBot="1">
      <c r="A4540" s="3587"/>
      <c r="B4540" s="504"/>
      <c r="C4540" s="3155" t="s">
        <v>3733</v>
      </c>
      <c r="D4540" s="3527"/>
      <c r="E4540" s="2964">
        <v>0.4</v>
      </c>
      <c r="F4540" s="3180">
        <v>9.07</v>
      </c>
      <c r="G4540" s="3180">
        <v>5.4</v>
      </c>
    </row>
    <row r="4541" spans="1:7" s="2885" customFormat="1" ht="28.5" customHeight="1">
      <c r="A4541" s="3587"/>
      <c r="B4541" s="2682"/>
      <c r="C4541" s="2956"/>
      <c r="D4541" s="3534"/>
      <c r="E4541" s="3181"/>
      <c r="F4541" s="3180"/>
      <c r="G4541" s="3180"/>
    </row>
    <row r="4542" spans="1:7" ht="15.75" thickBot="1"/>
    <row r="4543" spans="1:7">
      <c r="A4543" s="3572"/>
      <c r="B4543" s="3557"/>
      <c r="C4543" s="3557"/>
      <c r="D4543" s="3557"/>
      <c r="E4543" s="3557"/>
      <c r="F4543" s="3557" t="s">
        <v>446</v>
      </c>
      <c r="G4543" s="3559" t="s">
        <v>3719</v>
      </c>
    </row>
    <row r="4544" spans="1:7">
      <c r="A4544" s="3573"/>
      <c r="B4544" s="3558"/>
      <c r="C4544" s="3558"/>
      <c r="D4544" s="3558"/>
      <c r="E4544" s="3558"/>
      <c r="F4544" s="3558"/>
      <c r="G4544" s="3560"/>
    </row>
    <row r="4545" spans="1:7">
      <c r="A4545" s="3015" t="s">
        <v>3791</v>
      </c>
      <c r="B4545" s="3584" t="s">
        <v>2512</v>
      </c>
      <c r="C4545" s="2996" t="s">
        <v>1614</v>
      </c>
      <c r="D4545" s="2997"/>
      <c r="E4545" s="3016">
        <f>(G4545-F4545)/G4545</f>
        <v>0.36054421768707484</v>
      </c>
      <c r="F4545" s="3129">
        <v>0.94</v>
      </c>
      <c r="G4545" s="3130">
        <v>1.47</v>
      </c>
    </row>
    <row r="4546" spans="1:7" ht="15.75" thickBot="1">
      <c r="A4546" s="2914"/>
      <c r="B4546" s="3585"/>
      <c r="C4546" s="2915" t="s">
        <v>2792</v>
      </c>
      <c r="D4546" s="2915"/>
      <c r="E4546" s="3050">
        <f>(G4546-F4546)/G4546</f>
        <v>0.36054421768707484</v>
      </c>
      <c r="F4546" s="3011">
        <v>0.94</v>
      </c>
      <c r="G4546" s="3144">
        <v>1.47</v>
      </c>
    </row>
    <row r="4547" spans="1:7" ht="15.75" thickBot="1"/>
    <row r="4548" spans="1:7">
      <c r="A4548" s="3516" t="s">
        <v>0</v>
      </c>
      <c r="B4548" s="3518" t="s">
        <v>1</v>
      </c>
      <c r="C4548" s="3518" t="s">
        <v>2</v>
      </c>
      <c r="D4548" s="3520" t="s">
        <v>3</v>
      </c>
      <c r="E4548" s="3518" t="s">
        <v>4</v>
      </c>
      <c r="F4548" s="3520" t="s">
        <v>1989</v>
      </c>
      <c r="G4548" s="3522" t="s">
        <v>1941</v>
      </c>
    </row>
    <row r="4549" spans="1:7">
      <c r="A4549" s="3517"/>
      <c r="B4549" s="3550"/>
      <c r="C4549" s="3550"/>
      <c r="D4549" s="3521"/>
      <c r="E4549" s="3550"/>
      <c r="F4549" s="3521"/>
      <c r="G4549" s="3551"/>
    </row>
    <row r="4550" spans="1:7">
      <c r="A4550" s="3575" t="s">
        <v>3793</v>
      </c>
      <c r="B4550" s="2973" t="s">
        <v>2701</v>
      </c>
      <c r="C4550" s="2947" t="s">
        <v>3732</v>
      </c>
      <c r="D4550" s="3549" t="s">
        <v>1860</v>
      </c>
      <c r="E4550" s="3215">
        <v>0.41</v>
      </c>
      <c r="F4550" s="3216">
        <v>9.08</v>
      </c>
      <c r="G4550" s="3217">
        <v>5.4</v>
      </c>
    </row>
    <row r="4551" spans="1:7">
      <c r="A4551" s="3536"/>
      <c r="B4551" s="504" t="s">
        <v>120</v>
      </c>
      <c r="C4551" s="2947" t="s">
        <v>3733</v>
      </c>
      <c r="D4551" s="3527"/>
      <c r="E4551" s="3215">
        <v>0.41</v>
      </c>
      <c r="F4551" s="3216">
        <v>9.08</v>
      </c>
      <c r="G4551" s="3217">
        <v>5.4</v>
      </c>
    </row>
    <row r="4552" spans="1:7" ht="30">
      <c r="A4552" s="3536"/>
      <c r="B4552" s="504" t="s">
        <v>121</v>
      </c>
      <c r="C4552" s="2947" t="s">
        <v>2769</v>
      </c>
      <c r="D4552" s="3527"/>
      <c r="E4552" s="3215">
        <v>0.15</v>
      </c>
      <c r="F4552" s="3216">
        <v>6.86</v>
      </c>
      <c r="G4552" s="3217">
        <v>5.83</v>
      </c>
    </row>
    <row r="4553" spans="1:7" ht="30">
      <c r="A4553" s="3536"/>
      <c r="B4553" s="504" t="s">
        <v>123</v>
      </c>
      <c r="C4553" s="2947" t="s">
        <v>2770</v>
      </c>
      <c r="D4553" s="3527"/>
      <c r="E4553" s="3215">
        <v>0.15</v>
      </c>
      <c r="F4553" s="3216">
        <v>6.86</v>
      </c>
      <c r="G4553" s="3217">
        <v>5.83</v>
      </c>
    </row>
    <row r="4554" spans="1:7" ht="30">
      <c r="A4554" s="3536"/>
      <c r="B4554" s="504" t="s">
        <v>122</v>
      </c>
      <c r="C4554" s="2947" t="s">
        <v>3010</v>
      </c>
      <c r="D4554" s="3527"/>
      <c r="E4554" s="3215">
        <v>0.15</v>
      </c>
      <c r="F4554" s="3216">
        <v>6.86</v>
      </c>
      <c r="G4554" s="3217">
        <v>5.83</v>
      </c>
    </row>
    <row r="4555" spans="1:7" ht="30">
      <c r="A4555" s="3536"/>
      <c r="B4555" s="504" t="s">
        <v>2057</v>
      </c>
      <c r="C4555" s="2947" t="s">
        <v>3011</v>
      </c>
      <c r="D4555" s="3527"/>
      <c r="E4555" s="3215">
        <v>0.15</v>
      </c>
      <c r="F4555" s="3216">
        <v>6.86</v>
      </c>
      <c r="G4555" s="3217">
        <v>5.83</v>
      </c>
    </row>
    <row r="4556" spans="1:7" ht="30">
      <c r="A4556" s="3536"/>
      <c r="B4556" s="504"/>
      <c r="C4556" s="2947" t="s">
        <v>3012</v>
      </c>
      <c r="D4556" s="3527"/>
      <c r="E4556" s="3215">
        <v>0.15</v>
      </c>
      <c r="F4556" s="3216">
        <v>11.43</v>
      </c>
      <c r="G4556" s="3217">
        <v>9.7200000000000006</v>
      </c>
    </row>
    <row r="4557" spans="1:7" ht="30">
      <c r="A4557" s="3536"/>
      <c r="B4557" s="504"/>
      <c r="C4557" s="2947" t="s">
        <v>3013</v>
      </c>
      <c r="D4557" s="3527"/>
      <c r="E4557" s="3215">
        <v>0.15</v>
      </c>
      <c r="F4557" s="3216">
        <v>11.43</v>
      </c>
      <c r="G4557" s="3217">
        <v>9.7200000000000006</v>
      </c>
    </row>
    <row r="4558" spans="1:7" ht="30">
      <c r="A4558" s="3536"/>
      <c r="B4558" s="504"/>
      <c r="C4558" s="2947" t="s">
        <v>3014</v>
      </c>
      <c r="D4558" s="3527"/>
      <c r="E4558" s="3215">
        <v>0.15</v>
      </c>
      <c r="F4558" s="3216">
        <v>16.36</v>
      </c>
      <c r="G4558" s="3217">
        <v>13.91</v>
      </c>
    </row>
    <row r="4559" spans="1:7" ht="30">
      <c r="A4559" s="3536"/>
      <c r="B4559" s="504"/>
      <c r="C4559" s="2947" t="s">
        <v>3616</v>
      </c>
      <c r="D4559" s="3527"/>
      <c r="E4559" s="3215">
        <v>0.15</v>
      </c>
      <c r="F4559" s="3216">
        <v>7.61</v>
      </c>
      <c r="G4559" s="3217">
        <v>6.47</v>
      </c>
    </row>
    <row r="4560" spans="1:7" ht="30">
      <c r="A4560" s="3536"/>
      <c r="B4560" s="504"/>
      <c r="C4560" s="2947" t="s">
        <v>3617</v>
      </c>
      <c r="D4560" s="3527"/>
      <c r="E4560" s="3215">
        <v>0.15</v>
      </c>
      <c r="F4560" s="3216">
        <v>7.61</v>
      </c>
      <c r="G4560" s="3217">
        <v>6.47</v>
      </c>
    </row>
    <row r="4561" spans="1:7" ht="30">
      <c r="A4561" s="3536"/>
      <c r="B4561" s="504"/>
      <c r="C4561" s="2956" t="s">
        <v>3368</v>
      </c>
      <c r="D4561" s="3527"/>
      <c r="E4561" s="3215">
        <v>0.09</v>
      </c>
      <c r="F4561" s="3216">
        <v>1.64</v>
      </c>
      <c r="G4561" s="3217">
        <v>1.49</v>
      </c>
    </row>
    <row r="4562" spans="1:7" ht="30.75" thickBot="1">
      <c r="A4562" s="3537"/>
      <c r="B4562" s="1491"/>
      <c r="C4562" s="3098" t="s">
        <v>3369</v>
      </c>
      <c r="D4562" s="3528"/>
      <c r="E4562" s="3218">
        <v>0.09</v>
      </c>
      <c r="F4562" s="2978">
        <v>1.64</v>
      </c>
      <c r="G4562" s="3219">
        <v>1.49</v>
      </c>
    </row>
    <row r="4563" spans="1:7" ht="15.75" thickBot="1"/>
    <row r="4564" spans="1:7">
      <c r="A4564" s="3516" t="s">
        <v>0</v>
      </c>
      <c r="B4564" s="3518" t="s">
        <v>1</v>
      </c>
      <c r="C4564" s="3518" t="s">
        <v>2</v>
      </c>
      <c r="D4564" s="3520" t="s">
        <v>3</v>
      </c>
      <c r="E4564" s="3518" t="s">
        <v>4</v>
      </c>
      <c r="F4564" s="3520" t="s">
        <v>1989</v>
      </c>
      <c r="G4564" s="3522" t="s">
        <v>1941</v>
      </c>
    </row>
    <row r="4565" spans="1:7" ht="15.75" thickBot="1">
      <c r="A4565" s="3545"/>
      <c r="B4565" s="3554"/>
      <c r="C4565" s="3554"/>
      <c r="D4565" s="3547"/>
      <c r="E4565" s="3554"/>
      <c r="F4565" s="3547"/>
      <c r="G4565" s="3561"/>
    </row>
    <row r="4566" spans="1:7" ht="30">
      <c r="A4566" s="3562" t="s">
        <v>3799</v>
      </c>
      <c r="B4566" s="3527" t="s">
        <v>202</v>
      </c>
      <c r="C4566" s="3197" t="s">
        <v>2804</v>
      </c>
      <c r="D4566" s="3527" t="s">
        <v>1860</v>
      </c>
      <c r="E4566" s="3577">
        <v>0.38</v>
      </c>
      <c r="F4566" s="3196">
        <v>1.74</v>
      </c>
      <c r="G4566" s="3198">
        <v>1.08</v>
      </c>
    </row>
    <row r="4567" spans="1:7" ht="30">
      <c r="A4567" s="3562"/>
      <c r="B4567" s="3527"/>
      <c r="C4567" s="2943" t="s">
        <v>2805</v>
      </c>
      <c r="D4567" s="3527"/>
      <c r="E4567" s="3577"/>
      <c r="F4567" s="3195">
        <v>1.74</v>
      </c>
      <c r="G4567" s="2974">
        <v>1.08</v>
      </c>
    </row>
    <row r="4568" spans="1:7" ht="30.75" thickBot="1">
      <c r="A4568" s="3563"/>
      <c r="B4568" s="3528"/>
      <c r="C4568" s="1664" t="s">
        <v>2653</v>
      </c>
      <c r="D4568" s="3528"/>
      <c r="E4568" s="3578"/>
      <c r="F4568" s="2978">
        <v>1.74</v>
      </c>
      <c r="G4568" s="2979">
        <v>1.08</v>
      </c>
    </row>
    <row r="4570" spans="1:7">
      <c r="A4570" s="3555" t="s">
        <v>0</v>
      </c>
      <c r="B4570" s="3556" t="s">
        <v>1</v>
      </c>
      <c r="C4570" s="3556" t="s">
        <v>2</v>
      </c>
      <c r="D4570" s="3550" t="s">
        <v>3</v>
      </c>
      <c r="E4570" s="3556" t="s">
        <v>4</v>
      </c>
      <c r="F4570" s="3550" t="s">
        <v>1989</v>
      </c>
      <c r="G4570" s="3556" t="s">
        <v>1941</v>
      </c>
    </row>
    <row r="4571" spans="1:7">
      <c r="A4571" s="3544"/>
      <c r="B4571" s="3556"/>
      <c r="C4571" s="3550"/>
      <c r="D4571" s="3521"/>
      <c r="E4571" s="3550"/>
      <c r="F4571" s="3521"/>
      <c r="G4571" s="3550"/>
    </row>
    <row r="4572" spans="1:7">
      <c r="A4572" s="3567" t="s">
        <v>3819</v>
      </c>
      <c r="B4572" s="3549" t="s">
        <v>202</v>
      </c>
      <c r="C4572" s="2943" t="s">
        <v>3820</v>
      </c>
      <c r="D4572" s="3527" t="s">
        <v>1860</v>
      </c>
      <c r="E4572" s="2948">
        <v>0.25</v>
      </c>
      <c r="F4572" s="3202">
        <v>1.25</v>
      </c>
      <c r="G4572" s="2946">
        <v>0.94</v>
      </c>
    </row>
    <row r="4573" spans="1:7">
      <c r="A4573" s="3568"/>
      <c r="B4573" s="3527"/>
      <c r="C4573" s="2943" t="s">
        <v>2837</v>
      </c>
      <c r="D4573" s="3527"/>
      <c r="E4573" s="2948">
        <v>0.25</v>
      </c>
      <c r="F4573" s="3202">
        <v>1.35</v>
      </c>
      <c r="G4573" s="2946">
        <v>1.01</v>
      </c>
    </row>
    <row r="4574" spans="1:7">
      <c r="A4574" s="3568"/>
      <c r="B4574" s="3527"/>
      <c r="C4574" s="2269"/>
      <c r="D4574" s="3568"/>
      <c r="E4574" s="2274"/>
      <c r="F4574" s="3202"/>
      <c r="G4574" s="2946"/>
    </row>
    <row r="4575" spans="1:7">
      <c r="A4575" s="3568"/>
      <c r="B4575" s="3527"/>
      <c r="C4575" s="2730"/>
      <c r="D4575" s="3570"/>
      <c r="E4575" s="3576"/>
      <c r="F4575" s="3202"/>
      <c r="G4575" s="2946"/>
    </row>
    <row r="4576" spans="1:7">
      <c r="A4576" s="3568"/>
      <c r="B4576" s="3527"/>
      <c r="C4576" s="2730"/>
      <c r="D4576" s="3570"/>
      <c r="E4576" s="3577"/>
      <c r="F4576" s="3202"/>
      <c r="G4576" s="2946"/>
    </row>
    <row r="4577" spans="1:7">
      <c r="A4577" s="3568"/>
      <c r="B4577" s="3527"/>
      <c r="C4577" s="2947"/>
      <c r="D4577" s="3570"/>
      <c r="E4577" s="3577"/>
      <c r="F4577" s="3202"/>
      <c r="G4577" s="2946"/>
    </row>
    <row r="4578" spans="1:7">
      <c r="A4578" s="3569"/>
      <c r="B4578" s="3534"/>
      <c r="C4578" s="2947"/>
      <c r="D4578" s="3571"/>
      <c r="E4578" s="3586"/>
      <c r="F4578" s="3202"/>
      <c r="G4578" s="2946"/>
    </row>
    <row r="4579" spans="1:7" ht="15.75" thickBot="1"/>
    <row r="4580" spans="1:7">
      <c r="A4580" s="3614" t="s">
        <v>0</v>
      </c>
      <c r="B4580" s="3518" t="s">
        <v>1</v>
      </c>
      <c r="C4580" s="3518" t="s">
        <v>2</v>
      </c>
      <c r="D4580" s="3518" t="s">
        <v>3</v>
      </c>
      <c r="E4580" s="3518" t="s">
        <v>4</v>
      </c>
      <c r="F4580" s="3518" t="s">
        <v>1989</v>
      </c>
      <c r="G4580" s="3522" t="s">
        <v>1941</v>
      </c>
    </row>
    <row r="4581" spans="1:7">
      <c r="A4581" s="3889"/>
      <c r="B4581" s="3556"/>
      <c r="C4581" s="3556"/>
      <c r="D4581" s="3556"/>
      <c r="E4581" s="3556"/>
      <c r="F4581" s="3556"/>
      <c r="G4581" s="3890"/>
    </row>
    <row r="4582" spans="1:7">
      <c r="A4582" s="3213" t="s">
        <v>3824</v>
      </c>
      <c r="B4582" s="3041" t="s">
        <v>2701</v>
      </c>
      <c r="C4582" s="2947" t="s">
        <v>3732</v>
      </c>
      <c r="D4582" s="3041" t="s">
        <v>1860</v>
      </c>
      <c r="E4582" s="3203">
        <v>0.41</v>
      </c>
      <c r="F4582" s="3204">
        <v>9.08</v>
      </c>
      <c r="G4582" s="3205">
        <v>5.4</v>
      </c>
    </row>
    <row r="4583" spans="1:7" ht="15.75" thickBot="1">
      <c r="A4583" s="3163"/>
      <c r="B4583" s="3164"/>
      <c r="C4583" s="3155" t="s">
        <v>3733</v>
      </c>
      <c r="D4583" s="3164"/>
      <c r="E4583" s="3206">
        <v>0.41</v>
      </c>
      <c r="F4583" s="2978">
        <v>9.08</v>
      </c>
      <c r="G4583" s="3207">
        <v>5.4</v>
      </c>
    </row>
    <row r="4584" spans="1:7" ht="15.75" thickBot="1"/>
    <row r="4585" spans="1:7">
      <c r="A4585" s="3516" t="s">
        <v>0</v>
      </c>
      <c r="B4585" s="3518" t="s">
        <v>1</v>
      </c>
      <c r="C4585" s="3518" t="s">
        <v>2</v>
      </c>
      <c r="D4585" s="3520" t="s">
        <v>3</v>
      </c>
      <c r="E4585" s="3518" t="s">
        <v>4</v>
      </c>
      <c r="F4585" s="3520" t="s">
        <v>1989</v>
      </c>
      <c r="G4585" s="3522" t="s">
        <v>1941</v>
      </c>
    </row>
    <row r="4586" spans="1:7">
      <c r="A4586" s="3544"/>
      <c r="B4586" s="3556"/>
      <c r="C4586" s="3550"/>
      <c r="D4586" s="3521"/>
      <c r="E4586" s="3550"/>
      <c r="F4586" s="3521"/>
      <c r="G4586" s="3551"/>
    </row>
    <row r="4587" spans="1:7" ht="30">
      <c r="A4587" s="3575" t="s">
        <v>3828</v>
      </c>
      <c r="B4587" s="3549" t="s">
        <v>202</v>
      </c>
      <c r="C4587" s="2943" t="s">
        <v>3829</v>
      </c>
      <c r="D4587" s="3527" t="s">
        <v>1860</v>
      </c>
      <c r="E4587" s="2948">
        <v>0.4</v>
      </c>
      <c r="F4587" s="3214">
        <v>5.12</v>
      </c>
      <c r="G4587" s="2974">
        <v>3.07</v>
      </c>
    </row>
    <row r="4588" spans="1:7" ht="30">
      <c r="A4588" s="3536"/>
      <c r="B4588" s="3527"/>
      <c r="C4588" s="2943" t="s">
        <v>3830</v>
      </c>
      <c r="D4588" s="3527"/>
      <c r="E4588" s="2948">
        <v>0.4</v>
      </c>
      <c r="F4588" s="3214">
        <v>5.12</v>
      </c>
      <c r="G4588" s="2974">
        <v>3.07</v>
      </c>
    </row>
    <row r="4589" spans="1:7">
      <c r="A4589" s="3536"/>
      <c r="B4589" s="3527"/>
      <c r="C4589" s="2269"/>
      <c r="D4589" s="3568"/>
      <c r="E4589" s="2274"/>
      <c r="F4589" s="3214"/>
      <c r="G4589" s="2974"/>
    </row>
    <row r="4590" spans="1:7">
      <c r="A4590" s="3536"/>
      <c r="B4590" s="3527"/>
      <c r="C4590" s="2730"/>
      <c r="D4590" s="3570"/>
      <c r="E4590" s="3576"/>
      <c r="F4590" s="3214"/>
      <c r="G4590" s="2974"/>
    </row>
    <row r="4591" spans="1:7">
      <c r="A4591" s="3536"/>
      <c r="B4591" s="3527"/>
      <c r="C4591" s="2730"/>
      <c r="D4591" s="3570"/>
      <c r="E4591" s="3577"/>
      <c r="F4591" s="3214"/>
      <c r="G4591" s="2974"/>
    </row>
    <row r="4592" spans="1:7">
      <c r="A4592" s="3536"/>
      <c r="B4592" s="3527"/>
      <c r="C4592" s="2947"/>
      <c r="D4592" s="3570"/>
      <c r="E4592" s="3577"/>
      <c r="F4592" s="3214"/>
      <c r="G4592" s="2974"/>
    </row>
    <row r="4593" spans="1:7" ht="15.75" thickBot="1">
      <c r="A4593" s="3537"/>
      <c r="B4593" s="3528"/>
      <c r="C4593" s="3155"/>
      <c r="D4593" s="3892"/>
      <c r="E4593" s="3578"/>
      <c r="F4593" s="2978"/>
      <c r="G4593" s="2979"/>
    </row>
    <row r="4594" spans="1:7" ht="15.75" thickBot="1"/>
    <row r="4595" spans="1:7">
      <c r="A4595" s="3572"/>
      <c r="B4595" s="3557"/>
      <c r="C4595" s="3557"/>
      <c r="D4595" s="3557"/>
      <c r="E4595" s="3557"/>
      <c r="F4595" s="3557" t="s">
        <v>446</v>
      </c>
      <c r="G4595" s="3559" t="s">
        <v>3719</v>
      </c>
    </row>
    <row r="4596" spans="1:7">
      <c r="A4596" s="3573"/>
      <c r="B4596" s="3558"/>
      <c r="C4596" s="3558"/>
      <c r="D4596" s="3558"/>
      <c r="E4596" s="3558"/>
      <c r="F4596" s="3558"/>
      <c r="G4596" s="3560"/>
    </row>
    <row r="4597" spans="1:7">
      <c r="A4597" s="3015" t="s">
        <v>3831</v>
      </c>
      <c r="B4597" s="3584" t="s">
        <v>2512</v>
      </c>
      <c r="C4597" s="2996" t="s">
        <v>465</v>
      </c>
      <c r="D4597" s="2997"/>
      <c r="E4597" s="3016">
        <f>(G4597-F4597)/G4597</f>
        <v>0.20000000000000007</v>
      </c>
      <c r="F4597" s="3129">
        <v>1.68</v>
      </c>
      <c r="G4597" s="3130">
        <v>2.1</v>
      </c>
    </row>
    <row r="4598" spans="1:7" s="2885" customFormat="1" ht="15.75" thickBot="1">
      <c r="A4598" s="2925"/>
      <c r="B4598" s="3585"/>
      <c r="C4598" s="2926" t="s">
        <v>517</v>
      </c>
      <c r="D4598" s="2927"/>
      <c r="E4598" s="3050">
        <f>(G4598-F4598)/G4598</f>
        <v>0.19867549668874174</v>
      </c>
      <c r="F4598" s="3131">
        <v>1.21</v>
      </c>
      <c r="G4598" s="3132">
        <v>1.51</v>
      </c>
    </row>
    <row r="4599" spans="1:7" s="2885" customFormat="1" ht="15.75" thickBot="1">
      <c r="A4599" s="3222"/>
      <c r="B4599" s="3223"/>
      <c r="C4599" s="3224"/>
      <c r="D4599" s="3225"/>
      <c r="E4599" s="3226"/>
      <c r="F4599" s="3227"/>
      <c r="G4599" s="3228"/>
    </row>
    <row r="4600" spans="1:7" s="2885" customFormat="1" ht="15" customHeight="1">
      <c r="A4600" s="3516" t="s">
        <v>0</v>
      </c>
      <c r="B4600" s="3518" t="s">
        <v>1</v>
      </c>
      <c r="C4600" s="3518" t="s">
        <v>2</v>
      </c>
      <c r="D4600" s="3520" t="s">
        <v>3</v>
      </c>
      <c r="E4600" s="3518" t="s">
        <v>4</v>
      </c>
      <c r="F4600" s="3520" t="s">
        <v>1989</v>
      </c>
      <c r="G4600" s="3522" t="s">
        <v>1941</v>
      </c>
    </row>
    <row r="4601" spans="1:7" s="2885" customFormat="1" ht="15" customHeight="1">
      <c r="A4601" s="3517"/>
      <c r="B4601" s="3550"/>
      <c r="C4601" s="3550"/>
      <c r="D4601" s="3521"/>
      <c r="E4601" s="3550"/>
      <c r="F4601" s="3521"/>
      <c r="G4601" s="3551"/>
    </row>
    <row r="4602" spans="1:7" s="2885" customFormat="1" ht="30">
      <c r="A4602" s="3552" t="s">
        <v>3835</v>
      </c>
      <c r="B4602" s="3549" t="s">
        <v>2701</v>
      </c>
      <c r="C4602" s="2947" t="s">
        <v>3369</v>
      </c>
      <c r="D4602" s="3549" t="s">
        <v>1860</v>
      </c>
      <c r="E4602" s="3215">
        <v>0.19</v>
      </c>
      <c r="F4602" s="3216">
        <v>1.64</v>
      </c>
      <c r="G4602" s="3217">
        <v>1.33</v>
      </c>
    </row>
    <row r="4603" spans="1:7" s="2885" customFormat="1">
      <c r="A4603" s="3552"/>
      <c r="B4603" s="3527"/>
      <c r="C4603" s="2947" t="s">
        <v>3836</v>
      </c>
      <c r="D4603" s="3527"/>
      <c r="E4603" s="3215">
        <v>0.25</v>
      </c>
      <c r="F4603" s="3216">
        <v>3.58</v>
      </c>
      <c r="G4603" s="3217">
        <v>2.69</v>
      </c>
    </row>
    <row r="4604" spans="1:7" s="2885" customFormat="1" ht="15" customHeight="1">
      <c r="A4604" s="3552"/>
      <c r="B4604" s="3527"/>
      <c r="C4604" s="2947" t="s">
        <v>3837</v>
      </c>
      <c r="D4604" s="3527"/>
      <c r="E4604" s="3215">
        <v>0.25</v>
      </c>
      <c r="F4604" s="3216">
        <v>3.58</v>
      </c>
      <c r="G4604" s="3217">
        <v>2.69</v>
      </c>
    </row>
    <row r="4605" spans="1:7" s="2885" customFormat="1">
      <c r="A4605" s="3552"/>
      <c r="B4605" s="3527"/>
      <c r="C4605" s="2947" t="s">
        <v>3838</v>
      </c>
      <c r="D4605" s="3527"/>
      <c r="E4605" s="3215">
        <v>0.25</v>
      </c>
      <c r="F4605" s="3216">
        <v>3.58</v>
      </c>
      <c r="G4605" s="3217">
        <v>2.69</v>
      </c>
    </row>
    <row r="4606" spans="1:7" s="2885" customFormat="1">
      <c r="A4606" s="3552"/>
      <c r="B4606" s="3527"/>
      <c r="C4606" s="2947" t="s">
        <v>3839</v>
      </c>
      <c r="D4606" s="3527"/>
      <c r="E4606" s="3215">
        <v>0.25</v>
      </c>
      <c r="F4606" s="3216">
        <v>3.58</v>
      </c>
      <c r="G4606" s="3217">
        <v>2.69</v>
      </c>
    </row>
    <row r="4607" spans="1:7" s="2885" customFormat="1">
      <c r="A4607" s="3552"/>
      <c r="B4607" s="3527"/>
      <c r="C4607" s="2947" t="s">
        <v>3840</v>
      </c>
      <c r="D4607" s="3527"/>
      <c r="E4607" s="3215">
        <v>0.25</v>
      </c>
      <c r="F4607" s="3216">
        <v>3.58</v>
      </c>
      <c r="G4607" s="3217">
        <v>2.69</v>
      </c>
    </row>
    <row r="4608" spans="1:7" s="2885" customFormat="1">
      <c r="A4608" s="3552"/>
      <c r="B4608" s="3527"/>
      <c r="C4608" s="2947" t="s">
        <v>3569</v>
      </c>
      <c r="D4608" s="3527"/>
      <c r="E4608" s="3215">
        <v>0.28000000000000003</v>
      </c>
      <c r="F4608" s="3216">
        <v>1.91</v>
      </c>
      <c r="G4608" s="3217">
        <v>1.38</v>
      </c>
    </row>
    <row r="4609" spans="1:7" s="2885" customFormat="1">
      <c r="A4609" s="3552"/>
      <c r="B4609" s="3527"/>
      <c r="C4609" s="2947" t="s">
        <v>3618</v>
      </c>
      <c r="D4609" s="3527"/>
      <c r="E4609" s="3215">
        <v>0.21</v>
      </c>
      <c r="F4609" s="3216">
        <v>1.17</v>
      </c>
      <c r="G4609" s="3217">
        <v>0.93</v>
      </c>
    </row>
    <row r="4610" spans="1:7" s="2885" customFormat="1">
      <c r="A4610" s="3552"/>
      <c r="B4610" s="3527"/>
      <c r="C4610" s="2947" t="s">
        <v>3567</v>
      </c>
      <c r="D4610" s="3527"/>
      <c r="E4610" s="3215">
        <v>0.25</v>
      </c>
      <c r="F4610" s="3216">
        <v>9.8800000000000008</v>
      </c>
      <c r="G4610" s="3217">
        <v>7.41</v>
      </c>
    </row>
    <row r="4611" spans="1:7" s="2885" customFormat="1" ht="18" customHeight="1">
      <c r="A4611" s="3552"/>
      <c r="B4611" s="3527"/>
      <c r="C4611" s="2947" t="s">
        <v>3568</v>
      </c>
      <c r="D4611" s="3527"/>
      <c r="E4611" s="3215">
        <v>0.25</v>
      </c>
      <c r="F4611" s="3216">
        <v>6.37</v>
      </c>
      <c r="G4611" s="3217">
        <v>4.78</v>
      </c>
    </row>
    <row r="4612" spans="1:7" s="2885" customFormat="1" ht="18" customHeight="1">
      <c r="A4612" s="3552"/>
      <c r="B4612" s="3527"/>
      <c r="C4612" s="2947" t="s">
        <v>3582</v>
      </c>
      <c r="D4612" s="3527"/>
      <c r="E4612" s="3215">
        <v>0.21</v>
      </c>
      <c r="F4612" s="3216">
        <v>1.39</v>
      </c>
      <c r="G4612" s="3217">
        <v>1.1000000000000001</v>
      </c>
    </row>
    <row r="4613" spans="1:7" s="2885" customFormat="1" ht="18" customHeight="1">
      <c r="A4613" s="3552"/>
      <c r="B4613" s="3527"/>
      <c r="C4613" s="2956" t="s">
        <v>2950</v>
      </c>
      <c r="D4613" s="3527"/>
      <c r="E4613" s="3215">
        <v>0.2</v>
      </c>
      <c r="F4613" s="3216">
        <v>1.74</v>
      </c>
      <c r="G4613" s="3217">
        <v>1.39</v>
      </c>
    </row>
    <row r="4614" spans="1:7" s="2885" customFormat="1" ht="18" customHeight="1">
      <c r="A4614" s="3552"/>
      <c r="B4614" s="3527"/>
      <c r="C4614" s="2956" t="s">
        <v>2949</v>
      </c>
      <c r="D4614" s="3527"/>
      <c r="E4614" s="3215">
        <v>0.2</v>
      </c>
      <c r="F4614" s="3216">
        <v>1.74</v>
      </c>
      <c r="G4614" s="3217">
        <v>1.39</v>
      </c>
    </row>
    <row r="4615" spans="1:7" s="2885" customFormat="1" ht="18" customHeight="1">
      <c r="A4615" s="3552"/>
      <c r="B4615" s="3527"/>
      <c r="C4615" s="2956" t="s">
        <v>3034</v>
      </c>
      <c r="D4615" s="3527"/>
      <c r="E4615" s="3215">
        <v>0.2</v>
      </c>
      <c r="F4615" s="3216">
        <v>1.74</v>
      </c>
      <c r="G4615" s="3217">
        <v>1.39</v>
      </c>
    </row>
    <row r="4616" spans="1:7" s="2885" customFormat="1" ht="18" customHeight="1">
      <c r="A4616" s="3552"/>
      <c r="B4616" s="3527"/>
      <c r="C4616" s="2956" t="s">
        <v>2948</v>
      </c>
      <c r="D4616" s="3527"/>
      <c r="E4616" s="3215">
        <v>0.2</v>
      </c>
      <c r="F4616" s="3216">
        <v>1.74</v>
      </c>
      <c r="G4616" s="3217">
        <v>1.39</v>
      </c>
    </row>
    <row r="4617" spans="1:7" s="2885" customFormat="1" ht="18" customHeight="1">
      <c r="A4617" s="3552"/>
      <c r="B4617" s="3527"/>
      <c r="C4617" s="2947" t="s">
        <v>2837</v>
      </c>
      <c r="D4617" s="3527"/>
      <c r="E4617" s="3215">
        <v>0.23</v>
      </c>
      <c r="F4617" s="3216">
        <v>1.3</v>
      </c>
      <c r="G4617" s="3217">
        <v>1</v>
      </c>
    </row>
    <row r="4618" spans="1:7" s="2885" customFormat="1">
      <c r="A4618" s="3552"/>
      <c r="B4618" s="3527"/>
      <c r="C4618" s="2956"/>
      <c r="D4618" s="3527"/>
      <c r="E4618" s="3215"/>
      <c r="F4618" s="3216"/>
      <c r="G4618" s="3217"/>
    </row>
    <row r="4619" spans="1:7" s="2885" customFormat="1">
      <c r="A4619" s="3552"/>
      <c r="B4619" s="3527"/>
      <c r="C4619" s="2956"/>
      <c r="D4619" s="3527"/>
      <c r="E4619" s="3215"/>
      <c r="F4619" s="3216"/>
      <c r="G4619" s="3217"/>
    </row>
    <row r="4620" spans="1:7" s="2885" customFormat="1">
      <c r="A4620" s="3552"/>
      <c r="B4620" s="3527"/>
      <c r="C4620" s="2947"/>
      <c r="D4620" s="3527"/>
      <c r="E4620" s="2964"/>
      <c r="F4620" s="3216"/>
      <c r="G4620" s="3217"/>
    </row>
    <row r="4621" spans="1:7" s="2885" customFormat="1">
      <c r="A4621" s="3552"/>
      <c r="B4621" s="3527"/>
      <c r="C4621" s="2956"/>
      <c r="D4621" s="3527"/>
      <c r="E4621" s="2964"/>
      <c r="F4621" s="3216"/>
      <c r="G4621" s="3217"/>
    </row>
    <row r="4622" spans="1:7" s="2885" customFormat="1" ht="15.75" thickBot="1">
      <c r="A4622" s="3553"/>
      <c r="B4622" s="3528"/>
      <c r="C4622" s="3098"/>
      <c r="D4622" s="3528"/>
      <c r="E4622" s="3218"/>
      <c r="F4622" s="2978"/>
      <c r="G4622" s="3219"/>
    </row>
    <row r="4623" spans="1:7" ht="15.75" thickBot="1"/>
    <row r="4624" spans="1:7">
      <c r="A4624" s="3516" t="s">
        <v>0</v>
      </c>
      <c r="B4624" s="3518" t="s">
        <v>1</v>
      </c>
      <c r="C4624" s="3518" t="s">
        <v>2</v>
      </c>
      <c r="D4624" s="3520" t="s">
        <v>3</v>
      </c>
      <c r="E4624" s="3518" t="s">
        <v>4</v>
      </c>
      <c r="F4624" s="3520" t="s">
        <v>1989</v>
      </c>
      <c r="G4624" s="3522" t="s">
        <v>1941</v>
      </c>
    </row>
    <row r="4625" spans="1:7">
      <c r="A4625" s="3517"/>
      <c r="B4625" s="3550"/>
      <c r="C4625" s="3550"/>
      <c r="D4625" s="3521"/>
      <c r="E4625" s="3550"/>
      <c r="F4625" s="3529"/>
      <c r="G4625" s="3551"/>
    </row>
    <row r="4626" spans="1:7" ht="30">
      <c r="A4626" s="3552" t="s">
        <v>3834</v>
      </c>
      <c r="B4626" s="3549" t="s">
        <v>2512</v>
      </c>
      <c r="C4626" s="2947" t="s">
        <v>2651</v>
      </c>
      <c r="D4626" s="3221" t="s">
        <v>1860</v>
      </c>
      <c r="E4626" s="3579">
        <v>0.35</v>
      </c>
      <c r="F4626" s="3580">
        <v>1.89</v>
      </c>
      <c r="G4626" s="3574">
        <v>1.23</v>
      </c>
    </row>
    <row r="4627" spans="1:7" ht="30">
      <c r="A4627" s="3552"/>
      <c r="B4627" s="3527"/>
      <c r="C4627" s="2947" t="s">
        <v>2652</v>
      </c>
      <c r="D4627" s="3221"/>
      <c r="E4627" s="3579"/>
      <c r="F4627" s="3580"/>
      <c r="G4627" s="3574"/>
    </row>
    <row r="4628" spans="1:7" ht="30.75" thickBot="1">
      <c r="A4628" s="3553"/>
      <c r="B4628" s="3528"/>
      <c r="C4628" s="3155" t="s">
        <v>2653</v>
      </c>
      <c r="D4628" s="3162"/>
      <c r="E4628" s="3887"/>
      <c r="F4628" s="3893"/>
      <c r="G4628" s="3891"/>
    </row>
    <row r="4630" spans="1:7">
      <c r="A4630" s="3555" t="s">
        <v>0</v>
      </c>
      <c r="B4630" s="3556" t="s">
        <v>1</v>
      </c>
      <c r="C4630" s="3556" t="s">
        <v>2</v>
      </c>
      <c r="D4630" s="3550" t="s">
        <v>3</v>
      </c>
      <c r="E4630" s="3556" t="s">
        <v>4</v>
      </c>
      <c r="F4630" s="3550" t="s">
        <v>1989</v>
      </c>
      <c r="G4630" s="3556" t="s">
        <v>1941</v>
      </c>
    </row>
    <row r="4631" spans="1:7">
      <c r="A4631" s="3544"/>
      <c r="B4631" s="3556"/>
      <c r="C4631" s="3550"/>
      <c r="D4631" s="3521"/>
      <c r="E4631" s="3550"/>
      <c r="F4631" s="3521"/>
      <c r="G4631" s="3550"/>
    </row>
    <row r="4632" spans="1:7">
      <c r="A4632" s="3567" t="s">
        <v>3843</v>
      </c>
      <c r="B4632" s="3549" t="s">
        <v>202</v>
      </c>
      <c r="C4632" s="2943" t="s">
        <v>3571</v>
      </c>
      <c r="D4632" s="3527" t="s">
        <v>1860</v>
      </c>
      <c r="E4632" s="2948">
        <v>0.25</v>
      </c>
      <c r="F4632" s="3220">
        <v>1.1100000000000001</v>
      </c>
      <c r="G4632" s="2946">
        <v>0.83</v>
      </c>
    </row>
    <row r="4633" spans="1:7">
      <c r="A4633" s="3568"/>
      <c r="B4633" s="3527"/>
      <c r="C4633" s="2943" t="s">
        <v>3035</v>
      </c>
      <c r="D4633" s="3527"/>
      <c r="E4633" s="2948">
        <v>0.25</v>
      </c>
      <c r="F4633" s="3220">
        <v>0.95</v>
      </c>
      <c r="G4633" s="2946">
        <v>0.71</v>
      </c>
    </row>
    <row r="4634" spans="1:7">
      <c r="A4634" s="3568"/>
      <c r="B4634" s="3527"/>
      <c r="C4634" s="2269"/>
      <c r="D4634" s="3568"/>
      <c r="E4634" s="2274"/>
      <c r="F4634" s="3220"/>
      <c r="G4634" s="2946"/>
    </row>
    <row r="4635" spans="1:7">
      <c r="A4635" s="3568"/>
      <c r="B4635" s="3527"/>
      <c r="C4635" s="2730"/>
      <c r="D4635" s="3570"/>
      <c r="E4635" s="2948"/>
      <c r="F4635" s="3220"/>
      <c r="G4635" s="2946"/>
    </row>
    <row r="4636" spans="1:7">
      <c r="A4636" s="3568"/>
      <c r="B4636" s="3527"/>
      <c r="C4636" s="2730"/>
      <c r="D4636" s="3570"/>
      <c r="E4636" s="2948"/>
      <c r="F4636" s="3220"/>
      <c r="G4636" s="2946"/>
    </row>
    <row r="4637" spans="1:7">
      <c r="A4637" s="3568"/>
      <c r="B4637" s="3527"/>
      <c r="C4637" s="2947"/>
      <c r="D4637" s="3570"/>
      <c r="E4637" s="2948"/>
      <c r="F4637" s="3220"/>
      <c r="G4637" s="2946"/>
    </row>
    <row r="4638" spans="1:7">
      <c r="A4638" s="3569"/>
      <c r="B4638" s="3534"/>
      <c r="C4638" s="2947"/>
      <c r="D4638" s="3571"/>
      <c r="E4638" s="2948"/>
      <c r="F4638" s="3220"/>
      <c r="G4638" s="2946"/>
    </row>
    <row r="4640" spans="1:7">
      <c r="A4640" s="3555" t="s">
        <v>0</v>
      </c>
      <c r="B4640" s="3556" t="s">
        <v>1</v>
      </c>
      <c r="C4640" s="3556" t="s">
        <v>2</v>
      </c>
      <c r="D4640" s="3550" t="s">
        <v>3</v>
      </c>
      <c r="E4640" s="3556" t="s">
        <v>4</v>
      </c>
      <c r="F4640" s="3550" t="s">
        <v>1989</v>
      </c>
      <c r="G4640" s="3556" t="s">
        <v>1941</v>
      </c>
    </row>
    <row r="4641" spans="1:7">
      <c r="A4641" s="3517"/>
      <c r="B4641" s="3550"/>
      <c r="C4641" s="3550"/>
      <c r="D4641" s="3521"/>
      <c r="E4641" s="3550"/>
      <c r="F4641" s="3521"/>
      <c r="G4641" s="3550"/>
    </row>
    <row r="4642" spans="1:7">
      <c r="A4642" s="3587" t="s">
        <v>3857</v>
      </c>
      <c r="B4642" s="3549" t="s">
        <v>2701</v>
      </c>
      <c r="C4642" s="2947" t="s">
        <v>3035</v>
      </c>
      <c r="D4642" s="2973" t="s">
        <v>1860</v>
      </c>
      <c r="E4642" s="3243">
        <v>0.23</v>
      </c>
      <c r="F4642" s="3244">
        <v>0.91</v>
      </c>
      <c r="G4642" s="3244">
        <v>0.7</v>
      </c>
    </row>
    <row r="4643" spans="1:7" ht="30">
      <c r="A4643" s="3587"/>
      <c r="B4643" s="3527"/>
      <c r="C4643" s="2947" t="s">
        <v>3858</v>
      </c>
      <c r="D4643" s="504"/>
      <c r="E4643" s="3243">
        <v>0.23</v>
      </c>
      <c r="F4643" s="3244">
        <v>0.98</v>
      </c>
      <c r="G4643" s="3244">
        <v>0.75</v>
      </c>
    </row>
    <row r="4644" spans="1:7" ht="30">
      <c r="A4644" s="3587"/>
      <c r="B4644" s="3527"/>
      <c r="C4644" s="2947" t="s">
        <v>3859</v>
      </c>
      <c r="D4644" s="504"/>
      <c r="E4644" s="3243">
        <v>0.23</v>
      </c>
      <c r="F4644" s="3244">
        <v>0.98</v>
      </c>
      <c r="G4644" s="3244">
        <v>0.75</v>
      </c>
    </row>
    <row r="4645" spans="1:7" ht="30">
      <c r="A4645" s="3587"/>
      <c r="B4645" s="3527"/>
      <c r="C4645" s="2947" t="s">
        <v>3860</v>
      </c>
      <c r="D4645" s="504"/>
      <c r="E4645" s="3243">
        <v>0.23</v>
      </c>
      <c r="F4645" s="3244">
        <v>0.98</v>
      </c>
      <c r="G4645" s="3244">
        <v>0.75</v>
      </c>
    </row>
    <row r="4646" spans="1:7" ht="30">
      <c r="A4646" s="3587"/>
      <c r="B4646" s="3527"/>
      <c r="C4646" s="2947" t="s">
        <v>3432</v>
      </c>
      <c r="D4646" s="504"/>
      <c r="E4646" s="3243">
        <v>0.22</v>
      </c>
      <c r="F4646" s="3244">
        <v>21.15</v>
      </c>
      <c r="G4646" s="3244">
        <v>16.43</v>
      </c>
    </row>
    <row r="4647" spans="1:7" ht="30">
      <c r="A4647" s="3587"/>
      <c r="B4647" s="3527"/>
      <c r="C4647" s="2947" t="s">
        <v>3433</v>
      </c>
      <c r="D4647" s="504"/>
      <c r="E4647" s="3243">
        <v>0.22</v>
      </c>
      <c r="F4647" s="3244">
        <v>21.15</v>
      </c>
      <c r="G4647" s="3244">
        <v>16.43</v>
      </c>
    </row>
    <row r="4648" spans="1:7" ht="30">
      <c r="A4648" s="3587"/>
      <c r="B4648" s="3527"/>
      <c r="C4648" s="2947" t="s">
        <v>3434</v>
      </c>
      <c r="D4648" s="504"/>
      <c r="E4648" s="3243">
        <v>0.22</v>
      </c>
      <c r="F4648" s="3244">
        <v>21.15</v>
      </c>
      <c r="G4648" s="3244">
        <v>16.43</v>
      </c>
    </row>
    <row r="4649" spans="1:7" ht="30">
      <c r="A4649" s="3587"/>
      <c r="B4649" s="3527"/>
      <c r="C4649" s="2947" t="s">
        <v>3435</v>
      </c>
      <c r="D4649" s="504"/>
      <c r="E4649" s="3243">
        <v>0.22</v>
      </c>
      <c r="F4649" s="3244">
        <v>21.15</v>
      </c>
      <c r="G4649" s="3244">
        <v>16.43</v>
      </c>
    </row>
    <row r="4650" spans="1:7" ht="30">
      <c r="A4650" s="3587"/>
      <c r="B4650" s="3527"/>
      <c r="C4650" s="2947" t="s">
        <v>3012</v>
      </c>
      <c r="D4650" s="504"/>
      <c r="E4650" s="3243">
        <v>0.2</v>
      </c>
      <c r="F4650" s="3244">
        <v>11.43</v>
      </c>
      <c r="G4650" s="3244">
        <v>9.1999999999999993</v>
      </c>
    </row>
    <row r="4651" spans="1:7" ht="30">
      <c r="A4651" s="3587"/>
      <c r="B4651" s="3527"/>
      <c r="C4651" s="2947" t="s">
        <v>3013</v>
      </c>
      <c r="D4651" s="504"/>
      <c r="E4651" s="3243">
        <v>0.2</v>
      </c>
      <c r="F4651" s="3244">
        <v>11.43</v>
      </c>
      <c r="G4651" s="3244">
        <v>9.1999999999999993</v>
      </c>
    </row>
    <row r="4652" spans="1:7" ht="30">
      <c r="A4652" s="3587"/>
      <c r="B4652" s="3527"/>
      <c r="C4652" s="2947" t="s">
        <v>3014</v>
      </c>
      <c r="D4652" s="504"/>
      <c r="E4652" s="3243">
        <v>0.2</v>
      </c>
      <c r="F4652" s="3244">
        <v>16.36</v>
      </c>
      <c r="G4652" s="3244">
        <v>13.09</v>
      </c>
    </row>
    <row r="4653" spans="1:7" ht="30">
      <c r="A4653" s="3587"/>
      <c r="B4653" s="3527"/>
      <c r="C4653" s="2956" t="s">
        <v>3616</v>
      </c>
      <c r="D4653" s="504"/>
      <c r="E4653" s="3243">
        <v>0.19</v>
      </c>
      <c r="F4653" s="3244">
        <v>7.61</v>
      </c>
      <c r="G4653" s="3244">
        <v>6.13</v>
      </c>
    </row>
    <row r="4654" spans="1:7" ht="30">
      <c r="A4654" s="3587"/>
      <c r="B4654" s="3527"/>
      <c r="C4654" s="2956" t="s">
        <v>3617</v>
      </c>
      <c r="D4654" s="504"/>
      <c r="E4654" s="3243">
        <v>0.19</v>
      </c>
      <c r="F4654" s="3244">
        <v>7.61</v>
      </c>
      <c r="G4654" s="3244">
        <v>6.13</v>
      </c>
    </row>
    <row r="4655" spans="1:7">
      <c r="A4655" s="3587"/>
      <c r="B4655" s="3527"/>
      <c r="C4655" s="2956" t="s">
        <v>3477</v>
      </c>
      <c r="D4655" s="504"/>
      <c r="E4655" s="3243">
        <v>0.16</v>
      </c>
      <c r="F4655" s="3244">
        <v>6.86</v>
      </c>
      <c r="G4655" s="3244">
        <v>5.76</v>
      </c>
    </row>
    <row r="4656" spans="1:7">
      <c r="A4656" s="3587"/>
      <c r="B4656" s="3527"/>
      <c r="C4656" s="2956" t="s">
        <v>3478</v>
      </c>
      <c r="D4656" s="504"/>
      <c r="E4656" s="3243">
        <v>0.16</v>
      </c>
      <c r="F4656" s="3244">
        <v>6.86</v>
      </c>
      <c r="G4656" s="3244">
        <v>5.76</v>
      </c>
    </row>
    <row r="4657" spans="1:7">
      <c r="A4657" s="3587"/>
      <c r="B4657" s="3527"/>
      <c r="C4657" s="2947" t="s">
        <v>3861</v>
      </c>
      <c r="D4657" s="504"/>
      <c r="E4657" s="3243">
        <v>0.31</v>
      </c>
      <c r="F4657" s="3244">
        <v>13.99</v>
      </c>
      <c r="G4657" s="3244">
        <v>9.65</v>
      </c>
    </row>
    <row r="4658" spans="1:7">
      <c r="A4658" s="3587"/>
      <c r="B4658" s="3527"/>
      <c r="C4658" s="2956" t="s">
        <v>3567</v>
      </c>
      <c r="D4658" s="504"/>
      <c r="E4658" s="3243">
        <v>0.25</v>
      </c>
      <c r="F4658" s="3244">
        <v>9.8800000000000008</v>
      </c>
      <c r="G4658" s="3244">
        <v>7.41</v>
      </c>
    </row>
    <row r="4659" spans="1:7">
      <c r="A4659" s="3587"/>
      <c r="B4659" s="3527"/>
      <c r="C4659" s="2956" t="s">
        <v>3568</v>
      </c>
      <c r="D4659" s="504"/>
      <c r="E4659" s="3243">
        <v>0.25</v>
      </c>
      <c r="F4659" s="3244">
        <v>6.37</v>
      </c>
      <c r="G4659" s="3244">
        <v>4.78</v>
      </c>
    </row>
    <row r="4660" spans="1:7">
      <c r="A4660" s="3587"/>
      <c r="B4660" s="3527"/>
      <c r="C4660" s="2947" t="s">
        <v>3569</v>
      </c>
      <c r="D4660" s="504"/>
      <c r="E4660" s="3243">
        <v>0.28000000000000003</v>
      </c>
      <c r="F4660" s="3244">
        <v>1.91</v>
      </c>
      <c r="G4660" s="3244">
        <v>1.38</v>
      </c>
    </row>
    <row r="4661" spans="1:7">
      <c r="A4661" s="3587"/>
      <c r="B4661" s="3527"/>
      <c r="C4661" s="2947" t="s">
        <v>3583</v>
      </c>
      <c r="D4661" s="504"/>
      <c r="E4661" s="3243">
        <v>0.25</v>
      </c>
      <c r="F4661" s="3244">
        <v>2.39</v>
      </c>
      <c r="G4661" s="3244">
        <v>1.8</v>
      </c>
    </row>
    <row r="4662" spans="1:7" ht="30">
      <c r="A4662" s="3587"/>
      <c r="B4662" s="3527"/>
      <c r="C4662" s="2956" t="s">
        <v>3368</v>
      </c>
      <c r="D4662" s="504"/>
      <c r="E4662" s="3243">
        <v>0.09</v>
      </c>
      <c r="F4662" s="3244">
        <v>1.64</v>
      </c>
      <c r="G4662" s="3244">
        <v>1.49</v>
      </c>
    </row>
    <row r="4663" spans="1:7" ht="30">
      <c r="A4663" s="3587"/>
      <c r="B4663" s="3534"/>
      <c r="C4663" s="2956" t="s">
        <v>3369</v>
      </c>
      <c r="D4663" s="2682"/>
      <c r="E4663" s="3243">
        <v>0.09</v>
      </c>
      <c r="F4663" s="3244">
        <v>1.64</v>
      </c>
      <c r="G4663" s="3244">
        <v>1.49</v>
      </c>
    </row>
    <row r="4665" spans="1:7">
      <c r="A4665" s="3555" t="s">
        <v>0</v>
      </c>
      <c r="B4665" s="3556" t="s">
        <v>1</v>
      </c>
      <c r="C4665" s="3556" t="s">
        <v>2</v>
      </c>
      <c r="D4665" s="3550" t="s">
        <v>3</v>
      </c>
      <c r="E4665" s="3556" t="s">
        <v>4</v>
      </c>
      <c r="F4665" s="3550" t="s">
        <v>1989</v>
      </c>
      <c r="G4665" s="3556" t="s">
        <v>1941</v>
      </c>
    </row>
    <row r="4666" spans="1:7">
      <c r="A4666" s="3517"/>
      <c r="B4666" s="3550"/>
      <c r="C4666" s="3550"/>
      <c r="D4666" s="3521"/>
      <c r="E4666" s="3550"/>
      <c r="F4666" s="3529"/>
      <c r="G4666" s="3550"/>
    </row>
    <row r="4667" spans="1:7">
      <c r="A4667" s="3549" t="s">
        <v>3870</v>
      </c>
      <c r="B4667" s="3587" t="s">
        <v>2512</v>
      </c>
      <c r="C4667" s="2947" t="s">
        <v>3871</v>
      </c>
      <c r="D4667" s="3587" t="s">
        <v>1860</v>
      </c>
      <c r="E4667" s="3576">
        <v>0.35</v>
      </c>
      <c r="F4667" s="3581">
        <v>2.73</v>
      </c>
      <c r="G4667" s="3581">
        <v>1.77</v>
      </c>
    </row>
    <row r="4668" spans="1:7">
      <c r="A4668" s="3527"/>
      <c r="B4668" s="3587"/>
      <c r="C4668" s="2947" t="s">
        <v>3872</v>
      </c>
      <c r="D4668" s="3587"/>
      <c r="E4668" s="3577"/>
      <c r="F4668" s="3582"/>
      <c r="G4668" s="3582"/>
    </row>
    <row r="4669" spans="1:7">
      <c r="A4669" s="3527"/>
      <c r="B4669" s="3587"/>
      <c r="C4669" s="2947" t="s">
        <v>3873</v>
      </c>
      <c r="D4669" s="3587"/>
      <c r="E4669" s="3586"/>
      <c r="F4669" s="3589"/>
      <c r="G4669" s="3589"/>
    </row>
    <row r="4670" spans="1:7" ht="30">
      <c r="A4670" s="3527"/>
      <c r="B4670" s="3587"/>
      <c r="C4670" s="2956" t="s">
        <v>3401</v>
      </c>
      <c r="D4670" s="3542"/>
      <c r="E4670" s="3577">
        <v>0.36</v>
      </c>
      <c r="F4670" s="3581">
        <v>1.47</v>
      </c>
      <c r="G4670" s="3581">
        <v>0.94</v>
      </c>
    </row>
    <row r="4671" spans="1:7" ht="30">
      <c r="A4671" s="3534"/>
      <c r="B4671" s="3587"/>
      <c r="C4671" s="2956" t="s">
        <v>3402</v>
      </c>
      <c r="D4671" s="3542"/>
      <c r="E4671" s="3586"/>
      <c r="F4671" s="3589"/>
      <c r="G4671" s="3589"/>
    </row>
    <row r="4672" spans="1:7" ht="30">
      <c r="A4672" s="3549" t="s">
        <v>3874</v>
      </c>
      <c r="B4672" s="3587"/>
      <c r="C4672" s="2956" t="s">
        <v>3341</v>
      </c>
      <c r="D4672" s="3542"/>
      <c r="E4672" s="3576">
        <v>0.21</v>
      </c>
      <c r="F4672" s="3581">
        <v>1.08</v>
      </c>
      <c r="G4672" s="3257"/>
    </row>
    <row r="4673" spans="1:7" ht="30">
      <c r="A4673" s="3527"/>
      <c r="B4673" s="3587"/>
      <c r="C4673" s="2956" t="s">
        <v>3342</v>
      </c>
      <c r="D4673" s="3542"/>
      <c r="E4673" s="3577"/>
      <c r="F4673" s="3582"/>
      <c r="G4673" s="3257">
        <v>0.85</v>
      </c>
    </row>
    <row r="4674" spans="1:7" ht="30">
      <c r="A4674" s="3534"/>
      <c r="B4674" s="3587"/>
      <c r="C4674" s="2956" t="s">
        <v>3343</v>
      </c>
      <c r="D4674" s="3542"/>
      <c r="E4674" s="3586"/>
      <c r="F4674" s="3589"/>
      <c r="G4674" s="3258"/>
    </row>
    <row r="4675" spans="1:7" ht="15.75" thickBot="1"/>
    <row r="4676" spans="1:7">
      <c r="A4676" s="3614" t="s">
        <v>0</v>
      </c>
      <c r="B4676" s="3518" t="s">
        <v>1</v>
      </c>
      <c r="C4676" s="3518" t="s">
        <v>2</v>
      </c>
      <c r="D4676" s="3518" t="s">
        <v>3</v>
      </c>
      <c r="E4676" s="3518" t="s">
        <v>4</v>
      </c>
      <c r="F4676" s="3518" t="s">
        <v>1989</v>
      </c>
      <c r="G4676" s="3522" t="s">
        <v>1941</v>
      </c>
    </row>
    <row r="4677" spans="1:7">
      <c r="A4677" s="3889"/>
      <c r="B4677" s="3556"/>
      <c r="C4677" s="3556"/>
      <c r="D4677" s="3556"/>
      <c r="E4677" s="3556"/>
      <c r="F4677" s="3556"/>
      <c r="G4677" s="3890"/>
    </row>
    <row r="4678" spans="1:7">
      <c r="A4678" s="3213" t="s">
        <v>3891</v>
      </c>
      <c r="B4678" s="3587" t="s">
        <v>2701</v>
      </c>
      <c r="C4678" s="2947" t="s">
        <v>623</v>
      </c>
      <c r="D4678" s="3587" t="s">
        <v>1860</v>
      </c>
      <c r="E4678" s="3265">
        <f>(F4678-G4678)/F4678</f>
        <v>8.0246913580246979E-2</v>
      </c>
      <c r="F4678" s="3266">
        <v>1.62</v>
      </c>
      <c r="G4678" s="3264">
        <v>1.49</v>
      </c>
    </row>
    <row r="4679" spans="1:7">
      <c r="A4679" s="3213"/>
      <c r="B4679" s="3587"/>
      <c r="C4679" s="2947" t="s">
        <v>730</v>
      </c>
      <c r="D4679" s="3587"/>
      <c r="E4679" s="3265">
        <f t="shared" ref="E4679:E4682" si="44">(F4679-G4679)/F4679</f>
        <v>0.23076923076923084</v>
      </c>
      <c r="F4679" s="3266">
        <v>0.91</v>
      </c>
      <c r="G4679" s="3264">
        <v>0.7</v>
      </c>
    </row>
    <row r="4680" spans="1:7">
      <c r="A4680" s="3213"/>
      <c r="B4680" s="3587"/>
      <c r="C4680" s="2947" t="s">
        <v>2284</v>
      </c>
      <c r="D4680" s="3587"/>
      <c r="E4680" s="3265">
        <f t="shared" si="44"/>
        <v>0.2468619246861925</v>
      </c>
      <c r="F4680" s="3266">
        <v>2.39</v>
      </c>
      <c r="G4680" s="3264">
        <v>1.8</v>
      </c>
    </row>
    <row r="4681" spans="1:7">
      <c r="A4681" s="3213"/>
      <c r="B4681" s="3587"/>
      <c r="C4681" s="2947" t="s">
        <v>1975</v>
      </c>
      <c r="D4681" s="3587"/>
      <c r="E4681" s="3265">
        <f t="shared" si="44"/>
        <v>0.27748691099476441</v>
      </c>
      <c r="F4681" s="3266">
        <v>1.91</v>
      </c>
      <c r="G4681" s="3264">
        <v>1.38</v>
      </c>
    </row>
    <row r="4682" spans="1:7" ht="15.75" thickBot="1">
      <c r="A4682" s="3163"/>
      <c r="B4682" s="3888"/>
      <c r="C4682" s="3155" t="s">
        <v>3064</v>
      </c>
      <c r="D4682" s="3888"/>
      <c r="E4682" s="3267">
        <f t="shared" si="44"/>
        <v>0.24960753532182101</v>
      </c>
      <c r="F4682" s="3269">
        <v>6.37</v>
      </c>
      <c r="G4682" s="3268">
        <v>4.78</v>
      </c>
    </row>
    <row r="4683" spans="1:7" ht="15.75" thickBot="1"/>
    <row r="4684" spans="1:7">
      <c r="A4684" s="3614" t="s">
        <v>0</v>
      </c>
      <c r="B4684" s="3518" t="s">
        <v>1</v>
      </c>
      <c r="C4684" s="3518" t="s">
        <v>2</v>
      </c>
      <c r="D4684" s="3518" t="s">
        <v>3</v>
      </c>
      <c r="E4684" s="3518" t="s">
        <v>4</v>
      </c>
      <c r="F4684" s="3518" t="s">
        <v>1989</v>
      </c>
      <c r="G4684" s="3522" t="s">
        <v>1941</v>
      </c>
    </row>
    <row r="4685" spans="1:7">
      <c r="A4685" s="3889"/>
      <c r="B4685" s="3556"/>
      <c r="C4685" s="3556"/>
      <c r="D4685" s="3556"/>
      <c r="E4685" s="3556"/>
      <c r="F4685" s="3556"/>
      <c r="G4685" s="3890"/>
    </row>
    <row r="4686" spans="1:7">
      <c r="A4686" s="3213" t="s">
        <v>3893</v>
      </c>
      <c r="B4686" s="3549" t="s">
        <v>2701</v>
      </c>
      <c r="C4686" s="2947" t="s">
        <v>1975</v>
      </c>
      <c r="D4686" s="3549" t="s">
        <v>1860</v>
      </c>
      <c r="E4686" s="3265">
        <f>(F4686-G4686)/F4686</f>
        <v>0.27748691099476441</v>
      </c>
      <c r="F4686" s="3266">
        <v>1.91</v>
      </c>
      <c r="G4686" s="3264">
        <v>1.38</v>
      </c>
    </row>
    <row r="4687" spans="1:7">
      <c r="A4687" s="3213"/>
      <c r="B4687" s="3527"/>
      <c r="C4687" s="2947" t="s">
        <v>623</v>
      </c>
      <c r="D4687" s="3527"/>
      <c r="E4687" s="3265">
        <f t="shared" ref="E4687:E4701" si="45">(F4687-G4687)/F4687</f>
        <v>8.0246913580246979E-2</v>
      </c>
      <c r="F4687" s="3266">
        <v>1.62</v>
      </c>
      <c r="G4687" s="3264">
        <v>1.49</v>
      </c>
    </row>
    <row r="4688" spans="1:7">
      <c r="A4688" s="3213"/>
      <c r="B4688" s="3527"/>
      <c r="C4688" s="2947" t="s">
        <v>3365</v>
      </c>
      <c r="D4688" s="3527"/>
      <c r="E4688" s="3265">
        <f t="shared" si="45"/>
        <v>0.16034985422740533</v>
      </c>
      <c r="F4688" s="3266">
        <v>6.86</v>
      </c>
      <c r="G4688" s="3264">
        <v>5.76</v>
      </c>
    </row>
    <row r="4689" spans="1:7">
      <c r="A4689" s="3213"/>
      <c r="B4689" s="3527"/>
      <c r="C4689" s="2947" t="s">
        <v>3366</v>
      </c>
      <c r="D4689" s="3527"/>
      <c r="E4689" s="3265">
        <f t="shared" si="45"/>
        <v>0.16034985422740533</v>
      </c>
      <c r="F4689" s="3266">
        <v>6.86</v>
      </c>
      <c r="G4689" s="3264">
        <v>5.76</v>
      </c>
    </row>
    <row r="4690" spans="1:7">
      <c r="A4690" s="3213"/>
      <c r="B4690" s="3527"/>
      <c r="C4690" s="2947" t="s">
        <v>3557</v>
      </c>
      <c r="D4690" s="3527"/>
      <c r="E4690" s="3265">
        <f t="shared" si="45"/>
        <v>0.23501509271237614</v>
      </c>
      <c r="F4690" s="3266">
        <v>23.19</v>
      </c>
      <c r="G4690" s="3264">
        <v>17.739999999999998</v>
      </c>
    </row>
    <row r="4691" spans="1:7">
      <c r="A4691" s="2910"/>
      <c r="B4691" s="3527"/>
      <c r="C4691" s="2911" t="s">
        <v>3560</v>
      </c>
      <c r="D4691" s="3527"/>
      <c r="E4691" s="3270">
        <f t="shared" si="45"/>
        <v>0.23501509271237614</v>
      </c>
      <c r="F4691" s="3027">
        <v>23.19</v>
      </c>
      <c r="G4691" s="3028">
        <v>17.739999999999998</v>
      </c>
    </row>
    <row r="4692" spans="1:7">
      <c r="A4692" s="2910"/>
      <c r="B4692" s="3527"/>
      <c r="C4692" s="2911" t="s">
        <v>3561</v>
      </c>
      <c r="D4692" s="3527"/>
      <c r="E4692" s="3270">
        <f t="shared" si="45"/>
        <v>0.19448094612352174</v>
      </c>
      <c r="F4692" s="3027">
        <v>7.61</v>
      </c>
      <c r="G4692" s="3028">
        <v>6.13</v>
      </c>
    </row>
    <row r="4693" spans="1:7">
      <c r="A4693" s="2910"/>
      <c r="B4693" s="3527"/>
      <c r="C4693" s="2911" t="s">
        <v>3562</v>
      </c>
      <c r="D4693" s="3527"/>
      <c r="E4693" s="3270">
        <f t="shared" si="45"/>
        <v>0.19448094612352174</v>
      </c>
      <c r="F4693" s="3027">
        <v>7.61</v>
      </c>
      <c r="G4693" s="3028">
        <v>6.13</v>
      </c>
    </row>
    <row r="4694" spans="1:7">
      <c r="A4694" s="2910"/>
      <c r="B4694" s="3527"/>
      <c r="C4694" s="2911" t="s">
        <v>2192</v>
      </c>
      <c r="D4694" s="3527"/>
      <c r="E4694" s="3270">
        <f t="shared" si="45"/>
        <v>0.16034985422740533</v>
      </c>
      <c r="F4694" s="3027">
        <v>6.86</v>
      </c>
      <c r="G4694" s="3028">
        <v>5.76</v>
      </c>
    </row>
    <row r="4695" spans="1:7">
      <c r="A4695" s="2910"/>
      <c r="B4695" s="3527"/>
      <c r="C4695" s="2911" t="s">
        <v>2194</v>
      </c>
      <c r="D4695" s="3527"/>
      <c r="E4695" s="3270">
        <f t="shared" si="45"/>
        <v>0.16034985422740533</v>
      </c>
      <c r="F4695" s="3027">
        <v>6.86</v>
      </c>
      <c r="G4695" s="3028">
        <v>5.76</v>
      </c>
    </row>
    <row r="4696" spans="1:7">
      <c r="A4696" s="2910"/>
      <c r="B4696" s="3527"/>
      <c r="C4696" s="2911" t="s">
        <v>2266</v>
      </c>
      <c r="D4696" s="3527"/>
      <c r="E4696" s="3270">
        <f t="shared" si="45"/>
        <v>0.16034985422740533</v>
      </c>
      <c r="F4696" s="3027">
        <v>6.86</v>
      </c>
      <c r="G4696" s="3028">
        <v>5.76</v>
      </c>
    </row>
    <row r="4697" spans="1:7">
      <c r="A4697" s="2910"/>
      <c r="B4697" s="3527"/>
      <c r="C4697" s="2911" t="s">
        <v>2359</v>
      </c>
      <c r="D4697" s="3527"/>
      <c r="E4697" s="3270">
        <f t="shared" si="45"/>
        <v>0.16034985422740533</v>
      </c>
      <c r="F4697" s="3027">
        <v>6.86</v>
      </c>
      <c r="G4697" s="3028">
        <v>5.76</v>
      </c>
    </row>
    <row r="4698" spans="1:7">
      <c r="A4698" s="2910"/>
      <c r="B4698" s="3527"/>
      <c r="C4698" s="2911" t="s">
        <v>1439</v>
      </c>
      <c r="D4698" s="3527"/>
      <c r="E4698" s="3270">
        <f t="shared" si="45"/>
        <v>0.19510061242344712</v>
      </c>
      <c r="F4698" s="3027">
        <v>11.43</v>
      </c>
      <c r="G4698" s="3028">
        <v>9.1999999999999993</v>
      </c>
    </row>
    <row r="4699" spans="1:7">
      <c r="A4699" s="2910"/>
      <c r="B4699" s="3527"/>
      <c r="C4699" s="2911" t="s">
        <v>1773</v>
      </c>
      <c r="D4699" s="3527"/>
      <c r="E4699" s="3270">
        <f t="shared" si="45"/>
        <v>0.19510061242344712</v>
      </c>
      <c r="F4699" s="3027">
        <v>11.43</v>
      </c>
      <c r="G4699" s="3028">
        <v>9.1999999999999993</v>
      </c>
    </row>
    <row r="4700" spans="1:7">
      <c r="A4700" s="2910"/>
      <c r="B4700" s="3527"/>
      <c r="C4700" s="2911" t="s">
        <v>2685</v>
      </c>
      <c r="D4700" s="3527"/>
      <c r="E4700" s="3270">
        <f t="shared" si="45"/>
        <v>0.19987775061124693</v>
      </c>
      <c r="F4700" s="3027">
        <v>16.36</v>
      </c>
      <c r="G4700" s="3028">
        <v>13.09</v>
      </c>
    </row>
    <row r="4701" spans="1:7" ht="15.75" thickBot="1">
      <c r="A4701" s="2914"/>
      <c r="B4701" s="3528"/>
      <c r="C4701" s="2915" t="s">
        <v>3078</v>
      </c>
      <c r="D4701" s="3528"/>
      <c r="E4701" s="3271">
        <f t="shared" si="45"/>
        <v>0.25000000000000006</v>
      </c>
      <c r="F4701" s="3029">
        <v>9.8800000000000008</v>
      </c>
      <c r="G4701" s="3030">
        <v>7.41</v>
      </c>
    </row>
    <row r="4702" spans="1:7" ht="15.75" thickBot="1"/>
    <row r="4703" spans="1:7">
      <c r="A4703" s="3614" t="s">
        <v>0</v>
      </c>
      <c r="B4703" s="3518" t="s">
        <v>1</v>
      </c>
      <c r="C4703" s="3518" t="s">
        <v>2</v>
      </c>
      <c r="D4703" s="3518" t="s">
        <v>3</v>
      </c>
      <c r="E4703" s="3518" t="s">
        <v>4</v>
      </c>
      <c r="F4703" s="3518" t="s">
        <v>1989</v>
      </c>
      <c r="G4703" s="3522" t="s">
        <v>1941</v>
      </c>
    </row>
    <row r="4704" spans="1:7" ht="15.75" thickBot="1">
      <c r="A4704" s="3894"/>
      <c r="B4704" s="3546"/>
      <c r="C4704" s="3546"/>
      <c r="D4704" s="3546"/>
      <c r="E4704" s="3546"/>
      <c r="F4704" s="3546"/>
      <c r="G4704" s="3548"/>
    </row>
    <row r="4705" spans="1:7" ht="15.75" thickBot="1">
      <c r="A4705" s="1227" t="s">
        <v>3908</v>
      </c>
      <c r="B4705" s="463" t="s">
        <v>181</v>
      </c>
      <c r="C4705" s="463" t="s">
        <v>1058</v>
      </c>
      <c r="D4705" s="463"/>
      <c r="E4705" s="3345">
        <f t="shared" ref="E4705" si="46">(F4705-G4705)/F4705</f>
        <v>0.2213438735177865</v>
      </c>
      <c r="F4705" s="3346">
        <v>2.5299999999999998</v>
      </c>
      <c r="G4705" s="3347">
        <v>1.97</v>
      </c>
    </row>
    <row r="4706" spans="1:7" ht="15.75" thickBot="1"/>
    <row r="4707" spans="1:7">
      <c r="A4707" s="3614" t="s">
        <v>0</v>
      </c>
      <c r="B4707" s="3518" t="s">
        <v>1</v>
      </c>
      <c r="C4707" s="3518" t="s">
        <v>2</v>
      </c>
      <c r="D4707" s="3518" t="s">
        <v>3</v>
      </c>
      <c r="E4707" s="3518" t="s">
        <v>4</v>
      </c>
      <c r="F4707" s="3518" t="s">
        <v>1989</v>
      </c>
      <c r="G4707" s="3522" t="s">
        <v>1941</v>
      </c>
    </row>
    <row r="4708" spans="1:7">
      <c r="A4708" s="3895"/>
      <c r="B4708" s="3533"/>
      <c r="C4708" s="3533"/>
      <c r="D4708" s="3533"/>
      <c r="E4708" s="3533"/>
      <c r="F4708" s="3533"/>
      <c r="G4708" s="3896"/>
    </row>
    <row r="4709" spans="1:7">
      <c r="A4709" s="3362" t="s">
        <v>3914</v>
      </c>
      <c r="B4709" s="3358" t="s">
        <v>2701</v>
      </c>
      <c r="C4709" s="3359" t="s">
        <v>3562</v>
      </c>
      <c r="D4709" s="3358" t="s">
        <v>1860</v>
      </c>
      <c r="E4709" s="3360">
        <v>0.19</v>
      </c>
      <c r="F4709" s="3361">
        <v>7.61</v>
      </c>
      <c r="G4709" s="3363">
        <v>6.13</v>
      </c>
    </row>
    <row r="4710" spans="1:7">
      <c r="A4710" s="3362"/>
      <c r="B4710" s="3358"/>
      <c r="C4710" s="3359" t="s">
        <v>3078</v>
      </c>
      <c r="D4710" s="3358"/>
      <c r="E4710" s="3360">
        <v>0.25</v>
      </c>
      <c r="F4710" s="3361">
        <v>9.8800000000000008</v>
      </c>
      <c r="G4710" s="3363">
        <v>7.41</v>
      </c>
    </row>
    <row r="4711" spans="1:7" ht="15.75" thickBot="1">
      <c r="A4711" s="3364"/>
      <c r="B4711" s="3365"/>
      <c r="C4711" s="3366" t="s">
        <v>2284</v>
      </c>
      <c r="D4711" s="3365"/>
      <c r="E4711" s="3367">
        <v>0.25</v>
      </c>
      <c r="F4711" s="3368">
        <v>2.39</v>
      </c>
      <c r="G4711" s="3369">
        <v>1.8</v>
      </c>
    </row>
    <row r="4713" spans="1:7">
      <c r="A4713" s="3897" t="s">
        <v>0</v>
      </c>
      <c r="B4713" s="3533" t="s">
        <v>1</v>
      </c>
      <c r="C4713" s="3533" t="s">
        <v>2</v>
      </c>
      <c r="D4713" s="3550" t="s">
        <v>3</v>
      </c>
      <c r="E4713" s="3533" t="s">
        <v>4</v>
      </c>
      <c r="F4713" s="3550" t="s">
        <v>1989</v>
      </c>
      <c r="G4713" s="3533" t="s">
        <v>1941</v>
      </c>
    </row>
    <row r="4714" spans="1:7">
      <c r="A4714" s="3544"/>
      <c r="B4714" s="3533"/>
      <c r="C4714" s="3550"/>
      <c r="D4714" s="3521"/>
      <c r="E4714" s="3550"/>
      <c r="F4714" s="3521"/>
      <c r="G4714" s="3550"/>
    </row>
    <row r="4715" spans="1:7">
      <c r="A4715" s="3567" t="s">
        <v>3916</v>
      </c>
      <c r="B4715" s="3549" t="s">
        <v>202</v>
      </c>
      <c r="C4715" s="3370" t="s">
        <v>3571</v>
      </c>
      <c r="D4715" s="3527" t="s">
        <v>1860</v>
      </c>
      <c r="E4715" s="3371">
        <v>0.37</v>
      </c>
      <c r="F4715" s="3361">
        <v>1.1100000000000001</v>
      </c>
      <c r="G4715" s="3372">
        <v>0.7</v>
      </c>
    </row>
    <row r="4716" spans="1:7">
      <c r="A4716" s="3568"/>
      <c r="B4716" s="3527"/>
      <c r="C4716" s="3370" t="s">
        <v>3035</v>
      </c>
      <c r="D4716" s="3527"/>
      <c r="E4716" s="3371">
        <v>0.37</v>
      </c>
      <c r="F4716" s="3361">
        <v>0.95</v>
      </c>
      <c r="G4716" s="3372">
        <v>0.6</v>
      </c>
    </row>
    <row r="4717" spans="1:7">
      <c r="A4717" s="3568"/>
      <c r="B4717" s="3527"/>
      <c r="C4717" s="2269"/>
      <c r="D4717" s="3568"/>
      <c r="E4717" s="2274"/>
      <c r="F4717" s="3361"/>
      <c r="G4717" s="3372"/>
    </row>
    <row r="4718" spans="1:7">
      <c r="A4718" s="3568"/>
      <c r="B4718" s="3527"/>
      <c r="C4718" s="2730"/>
      <c r="D4718" s="3570"/>
      <c r="E4718" s="3371"/>
      <c r="F4718" s="3361"/>
      <c r="G4718" s="3372"/>
    </row>
    <row r="4719" spans="1:7">
      <c r="A4719" s="3568"/>
      <c r="B4719" s="3527"/>
      <c r="C4719" s="2730"/>
      <c r="D4719" s="3570"/>
      <c r="E4719" s="3371"/>
      <c r="F4719" s="3361"/>
      <c r="G4719" s="3372"/>
    </row>
    <row r="4720" spans="1:7">
      <c r="A4720" s="3568"/>
      <c r="B4720" s="3527"/>
      <c r="C4720" s="3373"/>
      <c r="D4720" s="3570"/>
      <c r="E4720" s="3371"/>
      <c r="F4720" s="3361"/>
      <c r="G4720" s="3372"/>
    </row>
    <row r="4721" spans="1:7">
      <c r="A4721" s="3569"/>
      <c r="B4721" s="3534"/>
      <c r="C4721" s="3373"/>
      <c r="D4721" s="3571"/>
      <c r="E4721" s="3371"/>
      <c r="F4721" s="3361"/>
      <c r="G4721" s="3372"/>
    </row>
    <row r="4723" spans="1:7">
      <c r="A4723" s="3897" t="s">
        <v>0</v>
      </c>
      <c r="B4723" s="3533" t="s">
        <v>1</v>
      </c>
      <c r="C4723" s="3533" t="s">
        <v>2</v>
      </c>
      <c r="D4723" s="3550" t="s">
        <v>3</v>
      </c>
      <c r="E4723" s="3533" t="s">
        <v>4</v>
      </c>
      <c r="F4723" s="3550" t="s">
        <v>1989</v>
      </c>
      <c r="G4723" s="3533" t="s">
        <v>1941</v>
      </c>
    </row>
    <row r="4724" spans="1:7">
      <c r="A4724" s="3517"/>
      <c r="B4724" s="3550"/>
      <c r="C4724" s="3550"/>
      <c r="D4724" s="3521"/>
      <c r="E4724" s="3550"/>
      <c r="F4724" s="3529"/>
      <c r="G4724" s="3550"/>
    </row>
    <row r="4725" spans="1:7" ht="30">
      <c r="A4725" s="3375" t="s">
        <v>3917</v>
      </c>
      <c r="B4725" s="3539" t="s">
        <v>2512</v>
      </c>
      <c r="C4725" s="3373" t="s">
        <v>3341</v>
      </c>
      <c r="D4725" s="3542" t="s">
        <v>1860</v>
      </c>
      <c r="E4725" s="3371">
        <v>0.2</v>
      </c>
      <c r="F4725" s="3376">
        <v>1.08</v>
      </c>
      <c r="G4725" s="3376">
        <v>0.86</v>
      </c>
    </row>
    <row r="4726" spans="1:7" ht="30">
      <c r="A4726" s="3377"/>
      <c r="B4726" s="3539"/>
      <c r="C4726" s="3373" t="s">
        <v>3342</v>
      </c>
      <c r="D4726" s="3542"/>
      <c r="E4726" s="3371">
        <v>0.2</v>
      </c>
      <c r="F4726" s="3376">
        <v>1.08</v>
      </c>
      <c r="G4726" s="3376">
        <v>0.86</v>
      </c>
    </row>
    <row r="4727" spans="1:7" ht="30">
      <c r="A4727" s="3377"/>
      <c r="B4727" s="3539"/>
      <c r="C4727" s="3373" t="s">
        <v>3343</v>
      </c>
      <c r="D4727" s="3542"/>
      <c r="E4727" s="3371">
        <v>0.2</v>
      </c>
      <c r="F4727" s="3376">
        <v>1.08</v>
      </c>
      <c r="G4727" s="3376">
        <v>0.86</v>
      </c>
    </row>
    <row r="4728" spans="1:7">
      <c r="A4728" s="3377"/>
      <c r="B4728" s="3539"/>
      <c r="C4728" s="3359"/>
      <c r="D4728" s="3542"/>
      <c r="E4728" s="3371"/>
      <c r="F4728" s="3376"/>
      <c r="G4728" s="3376"/>
    </row>
    <row r="4729" spans="1:7">
      <c r="A4729" s="737"/>
      <c r="B4729" s="3539"/>
      <c r="C4729" s="3359"/>
      <c r="D4729" s="3542"/>
      <c r="E4729" s="3371"/>
      <c r="F4729" s="3376"/>
      <c r="G4729" s="3376"/>
    </row>
    <row r="4730" spans="1:7">
      <c r="A4730" s="3377"/>
      <c r="B4730" s="3539"/>
      <c r="C4730" s="3359"/>
      <c r="D4730" s="3542"/>
      <c r="E4730" s="3371"/>
      <c r="F4730" s="3376"/>
      <c r="G4730" s="3361"/>
    </row>
    <row r="4731" spans="1:7">
      <c r="A4731" s="3377"/>
      <c r="B4731" s="3539"/>
      <c r="C4731" s="3359"/>
      <c r="D4731" s="3542"/>
      <c r="E4731" s="3371"/>
      <c r="F4731" s="3376"/>
      <c r="G4731" s="3361"/>
    </row>
    <row r="4732" spans="1:7">
      <c r="A4732" s="3378"/>
      <c r="B4732" s="3539"/>
      <c r="C4732" s="3359"/>
      <c r="D4732" s="3542"/>
      <c r="E4732" s="3371"/>
      <c r="F4732" s="3376"/>
      <c r="G4732" s="3361"/>
    </row>
    <row r="4733" spans="1:7" ht="15.75" thickBot="1"/>
    <row r="4734" spans="1:7">
      <c r="A4734" s="3516" t="s">
        <v>0</v>
      </c>
      <c r="B4734" s="3518" t="s">
        <v>1</v>
      </c>
      <c r="C4734" s="3518" t="s">
        <v>2</v>
      </c>
      <c r="D4734" s="3520" t="s">
        <v>3</v>
      </c>
      <c r="E4734" s="3518" t="s">
        <v>4</v>
      </c>
      <c r="F4734" s="3520" t="s">
        <v>1989</v>
      </c>
      <c r="G4734" s="3522" t="s">
        <v>1941</v>
      </c>
    </row>
    <row r="4735" spans="1:7">
      <c r="A4735" s="3544"/>
      <c r="B4735" s="3533"/>
      <c r="C4735" s="3519"/>
      <c r="D4735" s="3521"/>
      <c r="E4735" s="3519"/>
      <c r="F4735" s="3521"/>
      <c r="G4735" s="3523"/>
    </row>
    <row r="4736" spans="1:7" ht="30">
      <c r="A4736" s="3395" t="s">
        <v>3922</v>
      </c>
      <c r="B4736" s="3396" t="s">
        <v>202</v>
      </c>
      <c r="C4736" s="3370" t="s">
        <v>2804</v>
      </c>
      <c r="D4736" s="504" t="s">
        <v>1860</v>
      </c>
      <c r="E4736" s="3371">
        <v>0.37</v>
      </c>
      <c r="F4736" s="3361">
        <v>1.74</v>
      </c>
      <c r="G4736" s="3397">
        <v>1.1000000000000001</v>
      </c>
    </row>
    <row r="4737" spans="1:7" ht="30">
      <c r="A4737" s="2975"/>
      <c r="B4737" s="504"/>
      <c r="C4737" s="3370" t="s">
        <v>2805</v>
      </c>
      <c r="D4737" s="504"/>
      <c r="E4737" s="3371">
        <v>0.37</v>
      </c>
      <c r="F4737" s="3361">
        <v>1.74</v>
      </c>
      <c r="G4737" s="3397">
        <v>1.1000000000000001</v>
      </c>
    </row>
    <row r="4738" spans="1:7" ht="30.75" thickBot="1">
      <c r="A4738" s="2976"/>
      <c r="B4738" s="1491"/>
      <c r="C4738" s="1664" t="s">
        <v>2653</v>
      </c>
      <c r="D4738" s="1665"/>
      <c r="E4738" s="3398">
        <v>0.37</v>
      </c>
      <c r="F4738" s="3368">
        <v>1.74</v>
      </c>
      <c r="G4738" s="3399">
        <v>1.1000000000000001</v>
      </c>
    </row>
    <row r="4739" spans="1:7" ht="15.75" thickBot="1"/>
    <row r="4740" spans="1:7">
      <c r="A4740" s="3516" t="s">
        <v>0</v>
      </c>
      <c r="B4740" s="3518" t="s">
        <v>1</v>
      </c>
      <c r="C4740" s="3518" t="s">
        <v>2</v>
      </c>
      <c r="D4740" s="3520" t="s">
        <v>3</v>
      </c>
      <c r="E4740" s="3518" t="s">
        <v>4</v>
      </c>
      <c r="F4740" s="3520" t="s">
        <v>1989</v>
      </c>
      <c r="G4740" s="3522" t="s">
        <v>1941</v>
      </c>
    </row>
    <row r="4741" spans="1:7">
      <c r="A4741" s="3517"/>
      <c r="B4741" s="3519"/>
      <c r="C4741" s="3519"/>
      <c r="D4741" s="3521"/>
      <c r="E4741" s="3519"/>
      <c r="F4741" s="3529"/>
      <c r="G4741" s="3523"/>
    </row>
    <row r="4742" spans="1:7" ht="30">
      <c r="A4742" s="3400" t="s">
        <v>3923</v>
      </c>
      <c r="B4742" s="3526" t="s">
        <v>2512</v>
      </c>
      <c r="C4742" s="3373" t="s">
        <v>2651</v>
      </c>
      <c r="D4742" s="3401" t="s">
        <v>1860</v>
      </c>
      <c r="E4742" s="3371">
        <v>0.22</v>
      </c>
      <c r="F4742" s="3376">
        <v>1.89</v>
      </c>
      <c r="G4742" s="3402">
        <v>1.47</v>
      </c>
    </row>
    <row r="4743" spans="1:7" ht="30">
      <c r="A4743" s="940"/>
      <c r="B4743" s="3527"/>
      <c r="C4743" s="3373" t="s">
        <v>2652</v>
      </c>
      <c r="D4743" s="3401"/>
      <c r="E4743" s="3371">
        <v>0.22</v>
      </c>
      <c r="F4743" s="3376">
        <v>1.89</v>
      </c>
      <c r="G4743" s="3402">
        <v>1.47</v>
      </c>
    </row>
    <row r="4744" spans="1:7" ht="30.75" thickBot="1">
      <c r="A4744" s="3403"/>
      <c r="B4744" s="3528"/>
      <c r="C4744" s="3366" t="s">
        <v>2653</v>
      </c>
      <c r="D4744" s="3404"/>
      <c r="E4744" s="3398">
        <v>0.22</v>
      </c>
      <c r="F4744" s="3405">
        <v>1.89</v>
      </c>
      <c r="G4744" s="3406">
        <v>1.47</v>
      </c>
    </row>
    <row r="4745" spans="1:7" ht="15.75" thickBot="1"/>
    <row r="4746" spans="1:7">
      <c r="A4746" s="3516" t="s">
        <v>0</v>
      </c>
      <c r="B4746" s="3518" t="s">
        <v>1</v>
      </c>
      <c r="C4746" s="3518" t="s">
        <v>2</v>
      </c>
      <c r="D4746" s="3520" t="s">
        <v>3</v>
      </c>
      <c r="E4746" s="3518" t="s">
        <v>4</v>
      </c>
      <c r="F4746" s="3520" t="s">
        <v>1989</v>
      </c>
      <c r="G4746" s="3522" t="s">
        <v>1941</v>
      </c>
    </row>
    <row r="4747" spans="1:7">
      <c r="A4747" s="3517"/>
      <c r="B4747" s="3519"/>
      <c r="C4747" s="3519"/>
      <c r="D4747" s="3521"/>
      <c r="E4747" s="3519"/>
      <c r="F4747" s="3529"/>
      <c r="G4747" s="3523"/>
    </row>
    <row r="4748" spans="1:7" ht="30">
      <c r="A4748" s="3535" t="s">
        <v>3935</v>
      </c>
      <c r="B4748" s="3526" t="s">
        <v>2512</v>
      </c>
      <c r="C4748" s="3359" t="s">
        <v>2949</v>
      </c>
      <c r="D4748" s="3526" t="s">
        <v>1860</v>
      </c>
      <c r="E4748" s="3371">
        <v>0.37</v>
      </c>
      <c r="F4748" s="3376">
        <v>2.14</v>
      </c>
      <c r="G4748" s="3402">
        <v>1.35</v>
      </c>
    </row>
    <row r="4749" spans="1:7" ht="30">
      <c r="A4749" s="3536"/>
      <c r="B4749" s="3527"/>
      <c r="C4749" s="3359" t="s">
        <v>2950</v>
      </c>
      <c r="D4749" s="3527"/>
      <c r="E4749" s="3371">
        <v>0.37</v>
      </c>
      <c r="F4749" s="3376">
        <v>2.14</v>
      </c>
      <c r="G4749" s="3402">
        <v>1.35</v>
      </c>
    </row>
    <row r="4750" spans="1:7">
      <c r="A4750" s="3536"/>
      <c r="B4750" s="3527"/>
      <c r="C4750" s="3359" t="s">
        <v>3936</v>
      </c>
      <c r="D4750" s="3527"/>
      <c r="E4750" s="3371">
        <v>0.38</v>
      </c>
      <c r="F4750" s="3376">
        <v>1.2</v>
      </c>
      <c r="G4750" s="3402">
        <v>0.74</v>
      </c>
    </row>
    <row r="4751" spans="1:7" ht="15.75" thickBot="1">
      <c r="A4751" s="3537"/>
      <c r="B4751" s="3528"/>
      <c r="C4751" s="3413" t="s">
        <v>3937</v>
      </c>
      <c r="D4751" s="3528"/>
      <c r="E4751" s="3398">
        <v>0.38</v>
      </c>
      <c r="F4751" s="3405">
        <v>1.2</v>
      </c>
      <c r="G4751" s="3406">
        <v>0.74</v>
      </c>
    </row>
    <row r="4752" spans="1:7" ht="15.75" thickBot="1"/>
    <row r="4753" spans="1:7">
      <c r="A4753" s="3516" t="s">
        <v>0</v>
      </c>
      <c r="B4753" s="3518" t="s">
        <v>1</v>
      </c>
      <c r="C4753" s="3518" t="s">
        <v>2</v>
      </c>
      <c r="D4753" s="3520" t="s">
        <v>3</v>
      </c>
      <c r="E4753" s="3518" t="s">
        <v>4</v>
      </c>
      <c r="F4753" s="3520" t="s">
        <v>1989</v>
      </c>
      <c r="G4753" s="3522" t="s">
        <v>1941</v>
      </c>
    </row>
    <row r="4754" spans="1:7">
      <c r="A4754" s="3517"/>
      <c r="B4754" s="3519"/>
      <c r="C4754" s="3519"/>
      <c r="D4754" s="3521"/>
      <c r="E4754" s="3519"/>
      <c r="F4754" s="3521"/>
      <c r="G4754" s="3523"/>
    </row>
    <row r="4755" spans="1:7">
      <c r="A4755" s="3535" t="s">
        <v>3938</v>
      </c>
      <c r="B4755" s="3526" t="s">
        <v>2701</v>
      </c>
      <c r="C4755" s="3359" t="s">
        <v>3583</v>
      </c>
      <c r="D4755" s="3396" t="s">
        <v>1860</v>
      </c>
      <c r="E4755" s="3360">
        <v>0.25</v>
      </c>
      <c r="F4755" s="3361">
        <v>2.39</v>
      </c>
      <c r="G4755" s="3363">
        <v>1.8</v>
      </c>
    </row>
    <row r="4756" spans="1:7">
      <c r="A4756" s="3536"/>
      <c r="B4756" s="3527"/>
      <c r="C4756" s="3359" t="s">
        <v>3939</v>
      </c>
      <c r="D4756" s="504"/>
      <c r="E4756" s="3360">
        <v>0.24</v>
      </c>
      <c r="F4756" s="3361">
        <v>0.78</v>
      </c>
      <c r="G4756" s="3363">
        <v>0.59</v>
      </c>
    </row>
    <row r="4757" spans="1:7">
      <c r="A4757" s="3536"/>
      <c r="B4757" s="3527"/>
      <c r="C4757" s="3373" t="s">
        <v>3940</v>
      </c>
      <c r="D4757" s="504"/>
      <c r="E4757" s="3360">
        <v>0.25</v>
      </c>
      <c r="F4757" s="3361">
        <v>9.8800000000000008</v>
      </c>
      <c r="G4757" s="3363">
        <v>7.41</v>
      </c>
    </row>
    <row r="4758" spans="1:7">
      <c r="A4758" s="3536"/>
      <c r="B4758" s="3527"/>
      <c r="C4758" s="3373" t="s">
        <v>3568</v>
      </c>
      <c r="D4758" s="504"/>
      <c r="E4758" s="3360">
        <v>0.25</v>
      </c>
      <c r="F4758" s="3361">
        <v>6.37</v>
      </c>
      <c r="G4758" s="3363">
        <v>4.78</v>
      </c>
    </row>
    <row r="4759" spans="1:7">
      <c r="A4759" s="3536"/>
      <c r="B4759" s="3527"/>
      <c r="C4759" s="3373" t="s">
        <v>3861</v>
      </c>
      <c r="D4759" s="504"/>
      <c r="E4759" s="3360">
        <v>0.31</v>
      </c>
      <c r="F4759" s="3361">
        <v>13.99</v>
      </c>
      <c r="G4759" s="3363">
        <v>9.65</v>
      </c>
    </row>
    <row r="4760" spans="1:7" ht="30">
      <c r="A4760" s="3536"/>
      <c r="B4760" s="3527"/>
      <c r="C4760" s="3373" t="s">
        <v>3616</v>
      </c>
      <c r="D4760" s="504"/>
      <c r="E4760" s="3360">
        <v>0.19</v>
      </c>
      <c r="F4760" s="3361">
        <v>7.61</v>
      </c>
      <c r="G4760" s="3363">
        <v>6.13</v>
      </c>
    </row>
    <row r="4761" spans="1:7" ht="30.75" thickBot="1">
      <c r="A4761" s="3537"/>
      <c r="B4761" s="3528"/>
      <c r="C4761" s="3366" t="s">
        <v>3617</v>
      </c>
      <c r="D4761" s="1491"/>
      <c r="E4761" s="3367">
        <v>0.19</v>
      </c>
      <c r="F4761" s="3368">
        <v>7.61</v>
      </c>
      <c r="G4761" s="3369">
        <v>6.13</v>
      </c>
    </row>
    <row r="4762" spans="1:7" ht="15.75" thickBot="1"/>
    <row r="4763" spans="1:7">
      <c r="A4763" s="3516" t="s">
        <v>0</v>
      </c>
      <c r="B4763" s="3518" t="s">
        <v>1</v>
      </c>
      <c r="C4763" s="3518" t="s">
        <v>2</v>
      </c>
      <c r="D4763" s="3520" t="s">
        <v>3</v>
      </c>
      <c r="E4763" s="3518" t="s">
        <v>4</v>
      </c>
      <c r="F4763" s="3520" t="s">
        <v>1989</v>
      </c>
      <c r="G4763" s="3522" t="s">
        <v>1941</v>
      </c>
    </row>
    <row r="4764" spans="1:7">
      <c r="A4764" s="3544"/>
      <c r="B4764" s="3533"/>
      <c r="C4764" s="3519"/>
      <c r="D4764" s="3521"/>
      <c r="E4764" s="3519"/>
      <c r="F4764" s="3521"/>
      <c r="G4764" s="3523"/>
    </row>
    <row r="4765" spans="1:7" ht="30">
      <c r="A4765" s="3535" t="s">
        <v>3961</v>
      </c>
      <c r="B4765" s="3526" t="s">
        <v>202</v>
      </c>
      <c r="C4765" s="3370" t="s">
        <v>3401</v>
      </c>
      <c r="D4765" s="3526" t="s">
        <v>1860</v>
      </c>
      <c r="E4765" s="3371">
        <v>0.37</v>
      </c>
      <c r="F4765" s="3361">
        <v>1.47</v>
      </c>
      <c r="G4765" s="3397">
        <v>0.93</v>
      </c>
    </row>
    <row r="4766" spans="1:7" ht="30.75" thickBot="1">
      <c r="A4766" s="3537"/>
      <c r="B4766" s="3528"/>
      <c r="C4766" s="3427" t="s">
        <v>3402</v>
      </c>
      <c r="D4766" s="3528"/>
      <c r="E4766" s="3398">
        <v>0.37</v>
      </c>
      <c r="F4766" s="3368">
        <v>1.47</v>
      </c>
      <c r="G4766" s="3399">
        <v>0.93</v>
      </c>
    </row>
    <row r="4767" spans="1:7" ht="15.75" thickBot="1"/>
    <row r="4768" spans="1:7">
      <c r="A4768" s="3516" t="s">
        <v>0</v>
      </c>
      <c r="B4768" s="3518" t="s">
        <v>1</v>
      </c>
      <c r="C4768" s="3518" t="s">
        <v>2</v>
      </c>
      <c r="D4768" s="3520" t="s">
        <v>3</v>
      </c>
      <c r="E4768" s="3518" t="s">
        <v>4</v>
      </c>
      <c r="F4768" s="3520" t="s">
        <v>1989</v>
      </c>
      <c r="G4768" s="3522" t="s">
        <v>1941</v>
      </c>
    </row>
    <row r="4769" spans="1:7" ht="15.75" thickBot="1">
      <c r="A4769" s="3545"/>
      <c r="B4769" s="3546"/>
      <c r="C4769" s="3546"/>
      <c r="D4769" s="3547"/>
      <c r="E4769" s="3546"/>
      <c r="F4769" s="3547"/>
      <c r="G4769" s="3548"/>
    </row>
    <row r="4770" spans="1:7" ht="30">
      <c r="A4770" s="3536" t="s">
        <v>3962</v>
      </c>
      <c r="B4770" s="3534" t="s">
        <v>2512</v>
      </c>
      <c r="C4770" s="3428" t="s">
        <v>3958</v>
      </c>
      <c r="D4770" s="3541" t="s">
        <v>1860</v>
      </c>
      <c r="E4770" s="2274">
        <v>0.3</v>
      </c>
      <c r="F4770" s="2750">
        <v>7.55</v>
      </c>
      <c r="G4770" s="3429">
        <v>5.29</v>
      </c>
    </row>
    <row r="4771" spans="1:7" ht="30">
      <c r="A4771" s="3536"/>
      <c r="B4771" s="3539"/>
      <c r="C4771" s="3359" t="s">
        <v>3959</v>
      </c>
      <c r="D4771" s="3542"/>
      <c r="E4771" s="3371">
        <v>0.3</v>
      </c>
      <c r="F4771" s="3376">
        <v>7.55</v>
      </c>
      <c r="G4771" s="3402">
        <v>5.29</v>
      </c>
    </row>
    <row r="4772" spans="1:7">
      <c r="A4772" s="3538"/>
      <c r="B4772" s="3539"/>
      <c r="C4772" s="3359" t="s">
        <v>3960</v>
      </c>
      <c r="D4772" s="3542"/>
      <c r="E4772" s="3371">
        <v>0.3</v>
      </c>
      <c r="F4772" s="3376">
        <v>7.55</v>
      </c>
      <c r="G4772" s="3402">
        <v>5.29</v>
      </c>
    </row>
    <row r="4773" spans="1:7" ht="30">
      <c r="A4773" s="3535" t="s">
        <v>3957</v>
      </c>
      <c r="B4773" s="3539"/>
      <c r="C4773" s="3359" t="s">
        <v>3341</v>
      </c>
      <c r="D4773" s="3542"/>
      <c r="E4773" s="3371">
        <v>0.22</v>
      </c>
      <c r="F4773" s="3376">
        <v>1.08</v>
      </c>
      <c r="G4773" s="3402">
        <v>0.84</v>
      </c>
    </row>
    <row r="4774" spans="1:7" ht="30">
      <c r="A4774" s="3536"/>
      <c r="B4774" s="3539"/>
      <c r="C4774" s="3359" t="s">
        <v>3342</v>
      </c>
      <c r="D4774" s="3542"/>
      <c r="E4774" s="3371">
        <v>0.22</v>
      </c>
      <c r="F4774" s="3376">
        <v>1.08</v>
      </c>
      <c r="G4774" s="3402">
        <v>0.84</v>
      </c>
    </row>
    <row r="4775" spans="1:7" ht="30.75" thickBot="1">
      <c r="A4775" s="3537"/>
      <c r="B4775" s="3540"/>
      <c r="C4775" s="3413" t="s">
        <v>3343</v>
      </c>
      <c r="D4775" s="3543"/>
      <c r="E4775" s="3398">
        <v>0.22</v>
      </c>
      <c r="F4775" s="3405">
        <v>1.08</v>
      </c>
      <c r="G4775" s="3406">
        <v>0.84</v>
      </c>
    </row>
    <row r="4776" spans="1:7" ht="15.75" thickBot="1"/>
    <row r="4777" spans="1:7">
      <c r="A4777" s="3516" t="s">
        <v>0</v>
      </c>
      <c r="B4777" s="3518" t="s">
        <v>1</v>
      </c>
      <c r="C4777" s="3518" t="s">
        <v>2</v>
      </c>
      <c r="D4777" s="3520" t="s">
        <v>3</v>
      </c>
      <c r="E4777" s="3518" t="s">
        <v>4</v>
      </c>
      <c r="F4777" s="3520" t="s">
        <v>1989</v>
      </c>
      <c r="G4777" s="3522" t="s">
        <v>1941</v>
      </c>
    </row>
    <row r="4778" spans="1:7">
      <c r="A4778" s="3517"/>
      <c r="B4778" s="3519"/>
      <c r="C4778" s="3519"/>
      <c r="D4778" s="3521"/>
      <c r="E4778" s="3519"/>
      <c r="F4778" s="3529"/>
      <c r="G4778" s="3523"/>
    </row>
    <row r="4779" spans="1:7" ht="30">
      <c r="A4779" s="3530" t="s">
        <v>3976</v>
      </c>
      <c r="B4779" s="3526" t="s">
        <v>2512</v>
      </c>
      <c r="C4779" s="3359" t="s">
        <v>3034</v>
      </c>
      <c r="D4779" s="3526" t="s">
        <v>1860</v>
      </c>
      <c r="E4779" s="3371">
        <v>0.37</v>
      </c>
      <c r="F4779" s="3376">
        <v>2.14</v>
      </c>
      <c r="G4779" s="3402">
        <v>1.37</v>
      </c>
    </row>
    <row r="4780" spans="1:7" ht="30.75" thickBot="1">
      <c r="A4780" s="3531"/>
      <c r="B4780" s="3528"/>
      <c r="C4780" s="3413" t="s">
        <v>2948</v>
      </c>
      <c r="D4780" s="3528"/>
      <c r="E4780" s="3398">
        <v>0.37</v>
      </c>
      <c r="F4780" s="3405">
        <v>2.14</v>
      </c>
      <c r="G4780" s="3406">
        <v>1.37</v>
      </c>
    </row>
    <row r="4781" spans="1:7" ht="15.75" thickBot="1"/>
    <row r="4782" spans="1:7">
      <c r="A4782" s="3614" t="s">
        <v>0</v>
      </c>
      <c r="B4782" s="3518" t="s">
        <v>1</v>
      </c>
      <c r="C4782" s="3518" t="s">
        <v>2</v>
      </c>
      <c r="D4782" s="3518" t="s">
        <v>3</v>
      </c>
      <c r="E4782" s="3518" t="s">
        <v>4</v>
      </c>
      <c r="F4782" s="3518" t="s">
        <v>1989</v>
      </c>
      <c r="G4782" s="3522" t="s">
        <v>1941</v>
      </c>
    </row>
    <row r="4783" spans="1:7">
      <c r="A4783" s="3895"/>
      <c r="B4783" s="3533"/>
      <c r="C4783" s="3533"/>
      <c r="D4783" s="3533"/>
      <c r="E4783" s="3533"/>
      <c r="F4783" s="3533"/>
      <c r="G4783" s="3896"/>
    </row>
    <row r="4784" spans="1:7" ht="21">
      <c r="A4784" s="3898" t="s">
        <v>3976</v>
      </c>
      <c r="B4784" s="3900" t="s">
        <v>202</v>
      </c>
      <c r="C4784" s="3435" t="s">
        <v>2948</v>
      </c>
      <c r="D4784" s="3539" t="s">
        <v>1860</v>
      </c>
      <c r="E4784" s="3371">
        <v>0.37</v>
      </c>
      <c r="F4784" s="3361">
        <v>2</v>
      </c>
      <c r="G4784" s="3397">
        <v>1.26</v>
      </c>
    </row>
    <row r="4785" spans="1:7" ht="21.75" thickBot="1">
      <c r="A4785" s="3899"/>
      <c r="B4785" s="3901"/>
      <c r="C4785" s="3436" t="s">
        <v>2950</v>
      </c>
      <c r="D4785" s="3540"/>
      <c r="E4785" s="3398">
        <v>0.37</v>
      </c>
      <c r="F4785" s="3368">
        <v>2</v>
      </c>
      <c r="G4785" s="3399">
        <v>1.26</v>
      </c>
    </row>
    <row r="4786" spans="1:7" ht="15.75" thickBot="1"/>
    <row r="4787" spans="1:7">
      <c r="A4787" s="3516" t="s">
        <v>0</v>
      </c>
      <c r="B4787" s="3518" t="s">
        <v>1</v>
      </c>
      <c r="C4787" s="3518" t="s">
        <v>2</v>
      </c>
      <c r="D4787" s="3520" t="s">
        <v>3</v>
      </c>
      <c r="E4787" s="3518" t="s">
        <v>4</v>
      </c>
      <c r="F4787" s="3520" t="s">
        <v>1989</v>
      </c>
      <c r="G4787" s="3522" t="s">
        <v>1941</v>
      </c>
    </row>
    <row r="4788" spans="1:7">
      <c r="A4788" s="3517"/>
      <c r="B4788" s="3519"/>
      <c r="C4788" s="3519"/>
      <c r="D4788" s="3521"/>
      <c r="E4788" s="3519"/>
      <c r="F4788" s="3529"/>
      <c r="G4788" s="3523"/>
    </row>
    <row r="4789" spans="1:7" ht="15.75" thickBot="1">
      <c r="A4789" s="3364" t="s">
        <v>4007</v>
      </c>
      <c r="B4789" s="3365" t="s">
        <v>2512</v>
      </c>
      <c r="C4789" s="3413" t="s">
        <v>3088</v>
      </c>
      <c r="D4789" s="3404" t="s">
        <v>1860</v>
      </c>
      <c r="E4789" s="3398">
        <v>0.23</v>
      </c>
      <c r="F4789" s="3405">
        <v>2.65</v>
      </c>
      <c r="G4789" s="3406">
        <v>2.04</v>
      </c>
    </row>
    <row r="4791" spans="1:7">
      <c r="A4791" s="3532" t="s">
        <v>0</v>
      </c>
      <c r="B4791" s="3533" t="s">
        <v>1</v>
      </c>
      <c r="C4791" s="3533" t="s">
        <v>2</v>
      </c>
      <c r="D4791" s="3519" t="s">
        <v>3</v>
      </c>
      <c r="E4791" s="3533" t="s">
        <v>4</v>
      </c>
      <c r="F4791" s="3519" t="s">
        <v>1989</v>
      </c>
      <c r="G4791" s="3533" t="s">
        <v>1941</v>
      </c>
    </row>
    <row r="4792" spans="1:7">
      <c r="A4792" s="3517"/>
      <c r="B4792" s="3519"/>
      <c r="C4792" s="3519"/>
      <c r="D4792" s="3521"/>
      <c r="E4792" s="3519"/>
      <c r="F4792" s="3529"/>
      <c r="G4792" s="3519"/>
    </row>
    <row r="4793" spans="1:7" ht="30">
      <c r="A4793" s="3526" t="s">
        <v>4013</v>
      </c>
      <c r="B4793" s="3358" t="s">
        <v>2512</v>
      </c>
      <c r="C4793" s="3359" t="s">
        <v>4014</v>
      </c>
      <c r="D4793" s="3401" t="s">
        <v>1860</v>
      </c>
      <c r="E4793" s="3371">
        <v>0.36</v>
      </c>
      <c r="F4793" s="3376">
        <v>2.13</v>
      </c>
      <c r="G4793" s="3376">
        <v>1.36</v>
      </c>
    </row>
    <row r="4794" spans="1:7" ht="30">
      <c r="A4794" s="3534"/>
      <c r="B4794" s="3358"/>
      <c r="C4794" s="3359" t="s">
        <v>4015</v>
      </c>
      <c r="D4794" s="3401"/>
      <c r="E4794" s="3371">
        <v>0.36</v>
      </c>
      <c r="F4794" s="3376">
        <v>2.13</v>
      </c>
      <c r="G4794" s="3376">
        <v>1.36</v>
      </c>
    </row>
    <row r="4795" spans="1:7" ht="15.75" thickBot="1"/>
    <row r="4796" spans="1:7">
      <c r="A4796" s="3516" t="s">
        <v>0</v>
      </c>
      <c r="B4796" s="3518" t="s">
        <v>1</v>
      </c>
      <c r="C4796" s="3518" t="s">
        <v>2</v>
      </c>
      <c r="D4796" s="3520" t="s">
        <v>3</v>
      </c>
      <c r="E4796" s="3518" t="s">
        <v>4</v>
      </c>
      <c r="F4796" s="3520" t="s">
        <v>1989</v>
      </c>
      <c r="G4796" s="3522" t="s">
        <v>1941</v>
      </c>
    </row>
    <row r="4797" spans="1:7">
      <c r="A4797" s="3517"/>
      <c r="B4797" s="3519"/>
      <c r="C4797" s="3519"/>
      <c r="D4797" s="3521"/>
      <c r="E4797" s="3519"/>
      <c r="F4797" s="3521"/>
      <c r="G4797" s="3523"/>
    </row>
    <row r="4798" spans="1:7">
      <c r="A4798" s="3535" t="s">
        <v>4018</v>
      </c>
      <c r="B4798" s="3526" t="s">
        <v>2701</v>
      </c>
      <c r="C4798" s="3359" t="s">
        <v>3583</v>
      </c>
      <c r="D4798" s="3526" t="s">
        <v>1860</v>
      </c>
      <c r="E4798" s="3360">
        <v>0.25</v>
      </c>
      <c r="F4798" s="3361">
        <v>2.63</v>
      </c>
      <c r="G4798" s="3363">
        <v>1.9724999999999999</v>
      </c>
    </row>
    <row r="4799" spans="1:7">
      <c r="A4799" s="3536"/>
      <c r="B4799" s="3527"/>
      <c r="C4799" s="3359" t="s">
        <v>3568</v>
      </c>
      <c r="D4799" s="3527"/>
      <c r="E4799" s="3360">
        <v>0.22</v>
      </c>
      <c r="F4799" s="3361">
        <v>7.55</v>
      </c>
      <c r="G4799" s="3363">
        <v>5.8898590903151984</v>
      </c>
    </row>
    <row r="4800" spans="1:7" ht="15.75" thickBot="1">
      <c r="A4800" s="3537"/>
      <c r="B4800" s="3528"/>
      <c r="C4800" s="3366" t="s">
        <v>3939</v>
      </c>
      <c r="D4800" s="3528"/>
      <c r="E4800" s="3367">
        <v>0.25</v>
      </c>
      <c r="F4800" s="3368">
        <v>0.86</v>
      </c>
      <c r="G4800" s="3369">
        <v>0.64500000000000002</v>
      </c>
    </row>
    <row r="4801" spans="1:7" ht="15.75" thickBot="1"/>
    <row r="4802" spans="1:7">
      <c r="A4802" s="3516" t="s">
        <v>0</v>
      </c>
      <c r="B4802" s="3518" t="s">
        <v>1</v>
      </c>
      <c r="C4802" s="3518" t="s">
        <v>2</v>
      </c>
      <c r="D4802" s="3520" t="s">
        <v>3</v>
      </c>
      <c r="E4802" s="3518" t="s">
        <v>4</v>
      </c>
      <c r="F4802" s="3520" t="s">
        <v>1989</v>
      </c>
      <c r="G4802" s="3522" t="s">
        <v>1941</v>
      </c>
    </row>
    <row r="4803" spans="1:7">
      <c r="A4803" s="3517"/>
      <c r="B4803" s="3519"/>
      <c r="C4803" s="3519"/>
      <c r="D4803" s="3521"/>
      <c r="E4803" s="3519"/>
      <c r="F4803" s="3521"/>
      <c r="G4803" s="3523"/>
    </row>
    <row r="4804" spans="1:7">
      <c r="A4804" s="3535" t="s">
        <v>4040</v>
      </c>
      <c r="B4804" s="3526" t="s">
        <v>2701</v>
      </c>
      <c r="C4804" s="3359" t="s">
        <v>2284</v>
      </c>
      <c r="D4804" s="3526" t="s">
        <v>1860</v>
      </c>
      <c r="E4804" s="3360">
        <v>0.25</v>
      </c>
      <c r="F4804" s="3361">
        <v>2.63</v>
      </c>
      <c r="G4804" s="3363">
        <v>1.9724999999999999</v>
      </c>
    </row>
    <row r="4805" spans="1:7" ht="15.75" thickBot="1">
      <c r="A4805" s="3537"/>
      <c r="B4805" s="3528"/>
      <c r="C4805" s="3366" t="s">
        <v>2743</v>
      </c>
      <c r="D4805" s="3528"/>
      <c r="E4805" s="3367">
        <v>0.25</v>
      </c>
      <c r="F4805" s="3368">
        <v>0.86</v>
      </c>
      <c r="G4805" s="3369">
        <v>0.65</v>
      </c>
    </row>
    <row r="4807" spans="1:7">
      <c r="A4807" s="3532" t="s">
        <v>0</v>
      </c>
      <c r="B4807" s="3533" t="s">
        <v>1</v>
      </c>
      <c r="C4807" s="3533" t="s">
        <v>2</v>
      </c>
      <c r="D4807" s="3519" t="s">
        <v>3</v>
      </c>
      <c r="E4807" s="3533" t="s">
        <v>4</v>
      </c>
      <c r="F4807" s="3519" t="s">
        <v>1989</v>
      </c>
      <c r="G4807" s="3533" t="s">
        <v>1941</v>
      </c>
    </row>
    <row r="4808" spans="1:7">
      <c r="A4808" s="3544"/>
      <c r="B4808" s="3533"/>
      <c r="C4808" s="3519"/>
      <c r="D4808" s="3521"/>
      <c r="E4808" s="3519"/>
      <c r="F4808" s="3521"/>
      <c r="G4808" s="3519"/>
    </row>
    <row r="4809" spans="1:7">
      <c r="A4809" s="3902" t="s">
        <v>4045</v>
      </c>
      <c r="B4809" s="3526" t="s">
        <v>202</v>
      </c>
      <c r="C4809" s="3435" t="s">
        <v>554</v>
      </c>
      <c r="D4809" s="3527" t="s">
        <v>1860</v>
      </c>
      <c r="E4809" s="3371">
        <f>(F4809-G4809)/F4809</f>
        <v>0.26973684210526311</v>
      </c>
      <c r="F4809" s="3361">
        <v>1.52</v>
      </c>
      <c r="G4809" s="3372">
        <v>1.1100000000000001</v>
      </c>
    </row>
    <row r="4810" spans="1:7">
      <c r="A4810" s="3568"/>
      <c r="B4810" s="3527"/>
      <c r="C4810" s="3435" t="s">
        <v>1120</v>
      </c>
      <c r="D4810" s="3527"/>
      <c r="E4810" s="3371">
        <f>(F4810-G4810)/F4810</f>
        <v>0.25000000000000006</v>
      </c>
      <c r="F4810" s="3361">
        <v>0.64</v>
      </c>
      <c r="G4810" s="3372">
        <v>0.48</v>
      </c>
    </row>
    <row r="4811" spans="1:7">
      <c r="A4811" s="3568"/>
      <c r="B4811" s="3527"/>
      <c r="C4811" s="2269"/>
      <c r="D4811" s="3568"/>
      <c r="E4811" s="3371"/>
      <c r="F4811" s="3361"/>
      <c r="G4811" s="3372"/>
    </row>
    <row r="4812" spans="1:7">
      <c r="A4812" s="3568"/>
      <c r="B4812" s="3527"/>
      <c r="C4812" s="2730"/>
      <c r="D4812" s="3570"/>
      <c r="E4812" s="3371"/>
      <c r="F4812" s="3361"/>
      <c r="G4812" s="3372"/>
    </row>
    <row r="4813" spans="1:7">
      <c r="A4813" s="3568"/>
      <c r="B4813" s="3527"/>
      <c r="C4813" s="2730"/>
      <c r="D4813" s="3570"/>
      <c r="E4813" s="3371"/>
      <c r="F4813" s="3361"/>
      <c r="G4813" s="3372"/>
    </row>
    <row r="4814" spans="1:7">
      <c r="A4814" s="3568"/>
      <c r="B4814" s="3527"/>
      <c r="C4814" s="3373"/>
      <c r="D4814" s="3570"/>
      <c r="E4814" s="3371"/>
      <c r="F4814" s="3361"/>
      <c r="G4814" s="3372"/>
    </row>
    <row r="4815" spans="1:7">
      <c r="A4815" s="3569"/>
      <c r="B4815" s="3534"/>
      <c r="C4815" s="3373"/>
      <c r="D4815" s="3571"/>
      <c r="E4815" s="3371"/>
      <c r="F4815" s="3361"/>
      <c r="G4815" s="3372"/>
    </row>
    <row r="4816" spans="1:7" ht="15.75" thickBot="1"/>
    <row r="4817" spans="1:7">
      <c r="A4817" s="3516" t="s">
        <v>0</v>
      </c>
      <c r="B4817" s="3518" t="s">
        <v>1</v>
      </c>
      <c r="C4817" s="3518" t="s">
        <v>2</v>
      </c>
      <c r="D4817" s="3520" t="s">
        <v>3</v>
      </c>
      <c r="E4817" s="3518" t="s">
        <v>4</v>
      </c>
      <c r="F4817" s="3520" t="s">
        <v>1989</v>
      </c>
      <c r="G4817" s="3522" t="s">
        <v>1941</v>
      </c>
    </row>
    <row r="4818" spans="1:7">
      <c r="A4818" s="3517"/>
      <c r="B4818" s="3519"/>
      <c r="C4818" s="3519"/>
      <c r="D4818" s="3521"/>
      <c r="E4818" s="3519"/>
      <c r="F4818" s="3521"/>
      <c r="G4818" s="3523"/>
    </row>
    <row r="4819" spans="1:7">
      <c r="A4819" s="3524" t="s">
        <v>4050</v>
      </c>
      <c r="B4819" s="3526" t="s">
        <v>2701</v>
      </c>
      <c r="C4819" s="3359" t="s">
        <v>1975</v>
      </c>
      <c r="D4819" s="3526" t="s">
        <v>1860</v>
      </c>
      <c r="E4819" s="3360">
        <v>0.26</v>
      </c>
      <c r="F4819" s="3361">
        <v>2.0499999999999998</v>
      </c>
      <c r="G4819" s="3363">
        <v>1.5169999999999999</v>
      </c>
    </row>
    <row r="4820" spans="1:7">
      <c r="A4820" s="3524"/>
      <c r="B4820" s="3527"/>
      <c r="C4820" s="3373" t="s">
        <v>2743</v>
      </c>
      <c r="D4820" s="3527"/>
      <c r="E4820" s="3360">
        <v>0.25</v>
      </c>
      <c r="F4820" s="3361">
        <v>0.89</v>
      </c>
      <c r="G4820" s="3363">
        <v>0.66749999999999998</v>
      </c>
    </row>
    <row r="4821" spans="1:7">
      <c r="A4821" s="3524"/>
      <c r="B4821" s="3527"/>
      <c r="C4821" s="3373" t="s">
        <v>2455</v>
      </c>
      <c r="D4821" s="3527"/>
      <c r="E4821" s="3360">
        <v>0.25</v>
      </c>
      <c r="F4821" s="3361">
        <v>2.02</v>
      </c>
      <c r="G4821" s="3363">
        <v>1.5150000000000001</v>
      </c>
    </row>
    <row r="4822" spans="1:7">
      <c r="A4822" s="3524"/>
      <c r="B4822" s="3527"/>
      <c r="C4822" s="3373" t="s">
        <v>2175</v>
      </c>
      <c r="D4822" s="3527"/>
      <c r="E4822" s="3360">
        <v>0.25</v>
      </c>
      <c r="F4822" s="3361">
        <v>5.48</v>
      </c>
      <c r="G4822" s="3363">
        <v>4.1100000000000003</v>
      </c>
    </row>
    <row r="4823" spans="1:7">
      <c r="A4823" s="3524"/>
      <c r="B4823" s="3527"/>
      <c r="C4823" s="3373" t="s">
        <v>554</v>
      </c>
      <c r="D4823" s="3527"/>
      <c r="E4823" s="3360">
        <v>0.23</v>
      </c>
      <c r="F4823" s="3361">
        <v>1.43</v>
      </c>
      <c r="G4823" s="3363">
        <v>1.1000000000000001</v>
      </c>
    </row>
    <row r="4824" spans="1:7">
      <c r="A4824" s="3524"/>
      <c r="B4824" s="3527"/>
      <c r="C4824" s="3373" t="s">
        <v>1439</v>
      </c>
      <c r="D4824" s="3527"/>
      <c r="E4824" s="3360">
        <v>0.2</v>
      </c>
      <c r="F4824" s="3361">
        <v>13.49</v>
      </c>
      <c r="G4824" s="3363">
        <v>10.792000000000002</v>
      </c>
    </row>
    <row r="4825" spans="1:7">
      <c r="A4825" s="3524"/>
      <c r="B4825" s="3527"/>
      <c r="C4825" s="3373" t="s">
        <v>1773</v>
      </c>
      <c r="D4825" s="3527"/>
      <c r="E4825" s="3360">
        <v>0.2</v>
      </c>
      <c r="F4825" s="3361">
        <v>13.49</v>
      </c>
      <c r="G4825" s="3363">
        <v>10.792000000000002</v>
      </c>
    </row>
    <row r="4826" spans="1:7">
      <c r="A4826" s="3524"/>
      <c r="B4826" s="3527"/>
      <c r="C4826" s="3373" t="s">
        <v>3967</v>
      </c>
      <c r="D4826" s="3527"/>
      <c r="E4826" s="3360">
        <v>0.15</v>
      </c>
      <c r="F4826" s="3361">
        <v>1.68</v>
      </c>
      <c r="G4826" s="3363">
        <v>1.4279999999999999</v>
      </c>
    </row>
    <row r="4827" spans="1:7" ht="15.75" thickBot="1">
      <c r="A4827" s="3525"/>
      <c r="B4827" s="3528"/>
      <c r="C4827" s="3366" t="s">
        <v>3896</v>
      </c>
      <c r="D4827" s="3528"/>
      <c r="E4827" s="3367">
        <v>0.15</v>
      </c>
      <c r="F4827" s="3368">
        <v>1.68</v>
      </c>
      <c r="G4827" s="3369">
        <v>1.4279999999999999</v>
      </c>
    </row>
  </sheetData>
  <protectedRanges>
    <protectedRange password="C98C" sqref="C394" name="Range1_1_1" securityDescriptor="O:WDG:WDD:(A;;CC;;;S-1-5-21-839522115-1004336348-725345543-1339)(A;;CC;;;S-1-5-21-839522115-1004336348-725345543-1243)"/>
    <protectedRange password="C98C" sqref="C393" name="Range1_1_1_1" securityDescriptor="O:WDG:WDD:(A;;CC;;;S-1-5-21-839522115-1004336348-725345543-1339)(A;;CC;;;S-1-5-21-839522115-1004336348-725345543-1243)"/>
  </protectedRanges>
  <mergeCells count="3049">
    <mergeCell ref="A4807:A4808"/>
    <mergeCell ref="B4807:B4808"/>
    <mergeCell ref="C4807:C4808"/>
    <mergeCell ref="D4807:D4808"/>
    <mergeCell ref="E4807:E4808"/>
    <mergeCell ref="F4807:F4808"/>
    <mergeCell ref="G4807:G4808"/>
    <mergeCell ref="A4809:A4815"/>
    <mergeCell ref="B4809:B4815"/>
    <mergeCell ref="D4809:D4815"/>
    <mergeCell ref="A4802:A4803"/>
    <mergeCell ref="B4802:B4803"/>
    <mergeCell ref="C4802:C4803"/>
    <mergeCell ref="D4802:D4803"/>
    <mergeCell ref="E4802:E4803"/>
    <mergeCell ref="F4802:F4803"/>
    <mergeCell ref="G4802:G4803"/>
    <mergeCell ref="A4804:A4805"/>
    <mergeCell ref="B4804:B4805"/>
    <mergeCell ref="D4804:D4805"/>
    <mergeCell ref="A4723:A4724"/>
    <mergeCell ref="B4723:B4724"/>
    <mergeCell ref="C4723:C4724"/>
    <mergeCell ref="D4723:D4724"/>
    <mergeCell ref="E4723:E4724"/>
    <mergeCell ref="F4723:F4724"/>
    <mergeCell ref="G4723:G4724"/>
    <mergeCell ref="B4725:B4732"/>
    <mergeCell ref="D4725:D4732"/>
    <mergeCell ref="A4746:A4747"/>
    <mergeCell ref="B4746:B4747"/>
    <mergeCell ref="C4746:C4747"/>
    <mergeCell ref="D4746:D4747"/>
    <mergeCell ref="E4787:E4788"/>
    <mergeCell ref="F4787:F4788"/>
    <mergeCell ref="G4787:G4788"/>
    <mergeCell ref="A4782:A4783"/>
    <mergeCell ref="B4782:B4783"/>
    <mergeCell ref="C4782:C4783"/>
    <mergeCell ref="D4782:D4783"/>
    <mergeCell ref="E4782:E4783"/>
    <mergeCell ref="F4782:F4783"/>
    <mergeCell ref="G4782:G4783"/>
    <mergeCell ref="A4784:A4785"/>
    <mergeCell ref="B4784:B4785"/>
    <mergeCell ref="D4784:D4785"/>
    <mergeCell ref="E4746:E4747"/>
    <mergeCell ref="F4746:F4747"/>
    <mergeCell ref="G4746:G4747"/>
    <mergeCell ref="A4748:A4751"/>
    <mergeCell ref="B4748:B4751"/>
    <mergeCell ref="D4748:D4751"/>
    <mergeCell ref="A4707:A4708"/>
    <mergeCell ref="B4707:B4708"/>
    <mergeCell ref="C4707:C4708"/>
    <mergeCell ref="D4707:D4708"/>
    <mergeCell ref="E4707:E4708"/>
    <mergeCell ref="F4707:F4708"/>
    <mergeCell ref="G4707:G4708"/>
    <mergeCell ref="A4713:A4714"/>
    <mergeCell ref="B4713:B4714"/>
    <mergeCell ref="C4713:C4714"/>
    <mergeCell ref="D4713:D4714"/>
    <mergeCell ref="E4713:E4714"/>
    <mergeCell ref="F4713:F4714"/>
    <mergeCell ref="G4713:G4714"/>
    <mergeCell ref="A4715:A4721"/>
    <mergeCell ref="B4715:B4721"/>
    <mergeCell ref="D4715:D4721"/>
    <mergeCell ref="A4703:A4704"/>
    <mergeCell ref="B4703:B4704"/>
    <mergeCell ref="C4703:C4704"/>
    <mergeCell ref="D4703:D4704"/>
    <mergeCell ref="E4703:E4704"/>
    <mergeCell ref="F4703:F4704"/>
    <mergeCell ref="G4703:G4704"/>
    <mergeCell ref="A4676:A4677"/>
    <mergeCell ref="B4676:B4677"/>
    <mergeCell ref="C4676:C4677"/>
    <mergeCell ref="D4676:D4677"/>
    <mergeCell ref="E4676:E4677"/>
    <mergeCell ref="F4676:F4677"/>
    <mergeCell ref="G4676:G4677"/>
    <mergeCell ref="B4678:B4682"/>
    <mergeCell ref="D4678:D4682"/>
    <mergeCell ref="A4684:A4685"/>
    <mergeCell ref="B4684:B4685"/>
    <mergeCell ref="C4684:C4685"/>
    <mergeCell ref="D4684:D4685"/>
    <mergeCell ref="E4684:E4685"/>
    <mergeCell ref="F4684:F4685"/>
    <mergeCell ref="G4684:G4685"/>
    <mergeCell ref="B4686:B4701"/>
    <mergeCell ref="D4686:D4701"/>
    <mergeCell ref="A4665:A4666"/>
    <mergeCell ref="B4665:B4666"/>
    <mergeCell ref="C4665:C4666"/>
    <mergeCell ref="D4665:D4666"/>
    <mergeCell ref="E4665:E4666"/>
    <mergeCell ref="F4665:F4666"/>
    <mergeCell ref="G4665:G4666"/>
    <mergeCell ref="A4667:A4671"/>
    <mergeCell ref="B4667:B4674"/>
    <mergeCell ref="D4667:D4674"/>
    <mergeCell ref="E4667:E4669"/>
    <mergeCell ref="F4667:F4669"/>
    <mergeCell ref="G4667:G4669"/>
    <mergeCell ref="E4670:E4671"/>
    <mergeCell ref="F4670:F4671"/>
    <mergeCell ref="G4670:G4671"/>
    <mergeCell ref="A4672:A4674"/>
    <mergeCell ref="E4672:E4674"/>
    <mergeCell ref="F4672:F4674"/>
    <mergeCell ref="A4640:A4641"/>
    <mergeCell ref="B4640:B4641"/>
    <mergeCell ref="C4640:C4641"/>
    <mergeCell ref="D4640:D4641"/>
    <mergeCell ref="E4640:E4641"/>
    <mergeCell ref="F4640:F4641"/>
    <mergeCell ref="G4640:G4641"/>
    <mergeCell ref="A4642:A4663"/>
    <mergeCell ref="B4642:B4663"/>
    <mergeCell ref="A4632:A4638"/>
    <mergeCell ref="B4632:B4638"/>
    <mergeCell ref="D4632:D4638"/>
    <mergeCell ref="C4570:C4571"/>
    <mergeCell ref="D4570:D4571"/>
    <mergeCell ref="E4570:E4571"/>
    <mergeCell ref="F4570:F4571"/>
    <mergeCell ref="G4570:G4571"/>
    <mergeCell ref="A4572:A4578"/>
    <mergeCell ref="B4572:B4578"/>
    <mergeCell ref="D4572:D4578"/>
    <mergeCell ref="E4575:E4578"/>
    <mergeCell ref="A4585:A4586"/>
    <mergeCell ref="B4585:B4586"/>
    <mergeCell ref="C4585:C4586"/>
    <mergeCell ref="A4630:A4631"/>
    <mergeCell ref="B4630:B4631"/>
    <mergeCell ref="C4630:C4631"/>
    <mergeCell ref="D4630:D4631"/>
    <mergeCell ref="E4630:E4631"/>
    <mergeCell ref="F4630:F4631"/>
    <mergeCell ref="G4630:G4631"/>
    <mergeCell ref="A4626:A4628"/>
    <mergeCell ref="E4626:E4628"/>
    <mergeCell ref="F4626:F4628"/>
    <mergeCell ref="G4626:G4628"/>
    <mergeCell ref="B4626:B4628"/>
    <mergeCell ref="B4597:B4598"/>
    <mergeCell ref="D4585:D4586"/>
    <mergeCell ref="E4585:E4586"/>
    <mergeCell ref="F4585:F4586"/>
    <mergeCell ref="G4585:G4586"/>
    <mergeCell ref="A4548:A4549"/>
    <mergeCell ref="B4548:B4549"/>
    <mergeCell ref="C4548:C4549"/>
    <mergeCell ref="D4548:D4549"/>
    <mergeCell ref="E4548:E4549"/>
    <mergeCell ref="F4548:F4549"/>
    <mergeCell ref="G4548:G4549"/>
    <mergeCell ref="A4587:A4593"/>
    <mergeCell ref="B4587:B4593"/>
    <mergeCell ref="D4587:D4593"/>
    <mergeCell ref="E4590:E4593"/>
    <mergeCell ref="A4580:A4581"/>
    <mergeCell ref="B4580:B4581"/>
    <mergeCell ref="C4580:C4581"/>
    <mergeCell ref="D4580:D4581"/>
    <mergeCell ref="E4580:E4581"/>
    <mergeCell ref="F4580:F4581"/>
    <mergeCell ref="G4580:G4581"/>
    <mergeCell ref="A4595:A4596"/>
    <mergeCell ref="B4595:B4596"/>
    <mergeCell ref="C4595:C4596"/>
    <mergeCell ref="D4595:D4596"/>
    <mergeCell ref="E4595:E4596"/>
    <mergeCell ref="D4507:D4508"/>
    <mergeCell ref="E4507:E4508"/>
    <mergeCell ref="F4507:F4508"/>
    <mergeCell ref="G4507:G4508"/>
    <mergeCell ref="A4509:A4515"/>
    <mergeCell ref="B4509:B4515"/>
    <mergeCell ref="D4509:D4515"/>
    <mergeCell ref="E4509:E4511"/>
    <mergeCell ref="E4512:E4515"/>
    <mergeCell ref="B4545:B4546"/>
    <mergeCell ref="A4483:A4484"/>
    <mergeCell ref="B4483:B4484"/>
    <mergeCell ref="C4483:C4484"/>
    <mergeCell ref="D4483:D4484"/>
    <mergeCell ref="E4483:E4484"/>
    <mergeCell ref="F4483:F4484"/>
    <mergeCell ref="G4483:G4484"/>
    <mergeCell ref="A4485:A4503"/>
    <mergeCell ref="D4521:D4541"/>
    <mergeCell ref="E4566:E4568"/>
    <mergeCell ref="E4447:E4448"/>
    <mergeCell ref="F4447:F4448"/>
    <mergeCell ref="G4447:G4448"/>
    <mergeCell ref="C4424:C4425"/>
    <mergeCell ref="D4424:D4425"/>
    <mergeCell ref="E4424:E4425"/>
    <mergeCell ref="F4424:F4425"/>
    <mergeCell ref="A4475:A4476"/>
    <mergeCell ref="B4475:B4476"/>
    <mergeCell ref="C4475:C4476"/>
    <mergeCell ref="D4475:D4476"/>
    <mergeCell ref="E4475:E4476"/>
    <mergeCell ref="F4475:F4476"/>
    <mergeCell ref="G4475:G4476"/>
    <mergeCell ref="A4479:A4480"/>
    <mergeCell ref="B4479:B4480"/>
    <mergeCell ref="C4479:C4480"/>
    <mergeCell ref="D4479:D4480"/>
    <mergeCell ref="E4479:E4480"/>
    <mergeCell ref="F4479:F4480"/>
    <mergeCell ref="G4479:G4480"/>
    <mergeCell ref="A4469:A4470"/>
    <mergeCell ref="B4469:B4470"/>
    <mergeCell ref="C4469:C4470"/>
    <mergeCell ref="D4469:D4470"/>
    <mergeCell ref="E4469:E4470"/>
    <mergeCell ref="F4471:F4472"/>
    <mergeCell ref="G4471:G4472"/>
    <mergeCell ref="A4507:A4508"/>
    <mergeCell ref="B4507:B4508"/>
    <mergeCell ref="C4507:C4508"/>
    <mergeCell ref="F4469:F4470"/>
    <mergeCell ref="G4469:G4470"/>
    <mergeCell ref="A4471:A4472"/>
    <mergeCell ref="B4471:B4472"/>
    <mergeCell ref="D4471:D4472"/>
    <mergeCell ref="E4471:E4472"/>
    <mergeCell ref="A4449:A4461"/>
    <mergeCell ref="B4449:B4461"/>
    <mergeCell ref="D4449:D4461"/>
    <mergeCell ref="A4424:A4425"/>
    <mergeCell ref="B4424:B4425"/>
    <mergeCell ref="G4401:G4402"/>
    <mergeCell ref="A4403:A4409"/>
    <mergeCell ref="B4403:B4409"/>
    <mergeCell ref="D4403:D4409"/>
    <mergeCell ref="A4413:A4414"/>
    <mergeCell ref="B4413:B4414"/>
    <mergeCell ref="C4413:C4414"/>
    <mergeCell ref="D4413:D4414"/>
    <mergeCell ref="E4413:E4414"/>
    <mergeCell ref="F4413:F4414"/>
    <mergeCell ref="G4413:G4414"/>
    <mergeCell ref="A4401:A4402"/>
    <mergeCell ref="B4401:B4402"/>
    <mergeCell ref="C4401:C4402"/>
    <mergeCell ref="D4401:D4402"/>
    <mergeCell ref="E4401:E4402"/>
    <mergeCell ref="F4401:F4402"/>
    <mergeCell ref="G4424:G4425"/>
    <mergeCell ref="A4426:A4428"/>
    <mergeCell ref="B4426:B4431"/>
    <mergeCell ref="D4426:D4431"/>
    <mergeCell ref="E4169:E4170"/>
    <mergeCell ref="F4169:F4170"/>
    <mergeCell ref="G4169:G4170"/>
    <mergeCell ref="A4162:A4163"/>
    <mergeCell ref="D4206:D4209"/>
    <mergeCell ref="E4206:E4209"/>
    <mergeCell ref="F4206:F4208"/>
    <mergeCell ref="E4194:E4195"/>
    <mergeCell ref="F4194:F4195"/>
    <mergeCell ref="G4194:G4195"/>
    <mergeCell ref="B4162:B4163"/>
    <mergeCell ref="C4162:C4163"/>
    <mergeCell ref="D4162:D4163"/>
    <mergeCell ref="E4162:E4163"/>
    <mergeCell ref="F4162:F4163"/>
    <mergeCell ref="G4162:G4163"/>
    <mergeCell ref="A4196:A4202"/>
    <mergeCell ref="B4196:B4202"/>
    <mergeCell ref="D4196:D4202"/>
    <mergeCell ref="E4196:E4198"/>
    <mergeCell ref="A4169:A4170"/>
    <mergeCell ref="B4169:B4170"/>
    <mergeCell ref="C4169:C4170"/>
    <mergeCell ref="D4169:D4170"/>
    <mergeCell ref="A4171:A4177"/>
    <mergeCell ref="B4171:B4177"/>
    <mergeCell ref="E4204:E4205"/>
    <mergeCell ref="F4204:F4205"/>
    <mergeCell ref="D4171:D4177"/>
    <mergeCell ref="A4194:A4195"/>
    <mergeCell ref="B4194:B4195"/>
    <mergeCell ref="C4194:C4195"/>
    <mergeCell ref="G4073:G4074"/>
    <mergeCell ref="G4092:G4093"/>
    <mergeCell ref="A4094:A4100"/>
    <mergeCell ref="B4094:B4100"/>
    <mergeCell ref="D4094:D4100"/>
    <mergeCell ref="D4092:D4093"/>
    <mergeCell ref="A4122:A4124"/>
    <mergeCell ref="E4122:E4124"/>
    <mergeCell ref="F4122:F4124"/>
    <mergeCell ref="G4122:G4124"/>
    <mergeCell ref="A4147:A4148"/>
    <mergeCell ref="B4147:B4148"/>
    <mergeCell ref="E4147:E4148"/>
    <mergeCell ref="F4147:F4148"/>
    <mergeCell ref="A4138:A4139"/>
    <mergeCell ref="B4138:B4139"/>
    <mergeCell ref="C4138:C4139"/>
    <mergeCell ref="D4138:D4139"/>
    <mergeCell ref="A4129:A4135"/>
    <mergeCell ref="B4129:B4135"/>
    <mergeCell ref="B4127:B4128"/>
    <mergeCell ref="C4127:C4128"/>
    <mergeCell ref="D4127:D4128"/>
    <mergeCell ref="E4127:E4128"/>
    <mergeCell ref="F4127:F4128"/>
    <mergeCell ref="G4127:G4128"/>
    <mergeCell ref="C4147:C4148"/>
    <mergeCell ref="D4147:D4148"/>
    <mergeCell ref="F4138:F4139"/>
    <mergeCell ref="G4129:G4132"/>
    <mergeCell ref="A4103:A4104"/>
    <mergeCell ref="B4103:B4104"/>
    <mergeCell ref="G4182:G4183"/>
    <mergeCell ref="G4035:G4036"/>
    <mergeCell ref="E4046:E4047"/>
    <mergeCell ref="F4046:F4047"/>
    <mergeCell ref="B4048:B4054"/>
    <mergeCell ref="D4048:D4054"/>
    <mergeCell ref="E4092:E4093"/>
    <mergeCell ref="A4075:A4081"/>
    <mergeCell ref="B4075:B4081"/>
    <mergeCell ref="D4075:D4081"/>
    <mergeCell ref="B4092:B4093"/>
    <mergeCell ref="A4084:A4085"/>
    <mergeCell ref="D4037:D4043"/>
    <mergeCell ref="E4037:E4040"/>
    <mergeCell ref="A4035:A4036"/>
    <mergeCell ref="B4035:B4036"/>
    <mergeCell ref="D4129:D4135"/>
    <mergeCell ref="E4129:E4132"/>
    <mergeCell ref="A4073:A4074"/>
    <mergeCell ref="A4057:A4058"/>
    <mergeCell ref="A4120:A4121"/>
    <mergeCell ref="B4120:B4121"/>
    <mergeCell ref="C4120:C4121"/>
    <mergeCell ref="D4120:D4121"/>
    <mergeCell ref="E4120:E4121"/>
    <mergeCell ref="F4120:F4121"/>
    <mergeCell ref="G4120:G4121"/>
    <mergeCell ref="C4092:C4093"/>
    <mergeCell ref="F4092:F4093"/>
    <mergeCell ref="B4073:B4074"/>
    <mergeCell ref="C4073:C4074"/>
    <mergeCell ref="D4073:D4074"/>
    <mergeCell ref="A4048:A4054"/>
    <mergeCell ref="B4084:B4085"/>
    <mergeCell ref="C4084:C4085"/>
    <mergeCell ref="D4084:D4085"/>
    <mergeCell ref="E4084:E4085"/>
    <mergeCell ref="E4015:E4018"/>
    <mergeCell ref="B4023:B4024"/>
    <mergeCell ref="A4127:A4128"/>
    <mergeCell ref="A4092:A4093"/>
    <mergeCell ref="E4138:E4139"/>
    <mergeCell ref="F4023:F4024"/>
    <mergeCell ref="A3970:A3976"/>
    <mergeCell ref="B3970:B3976"/>
    <mergeCell ref="F3978:F3979"/>
    <mergeCell ref="A4037:A4043"/>
    <mergeCell ref="B4037:B4043"/>
    <mergeCell ref="E4073:E4074"/>
    <mergeCell ref="F4073:F4074"/>
    <mergeCell ref="C4046:C4047"/>
    <mergeCell ref="C3968:C3969"/>
    <mergeCell ref="D3968:D3969"/>
    <mergeCell ref="E3968:E3969"/>
    <mergeCell ref="F3968:F3969"/>
    <mergeCell ref="G3968:G3969"/>
    <mergeCell ref="G3978:G3979"/>
    <mergeCell ref="A3968:A3969"/>
    <mergeCell ref="A3978:A3979"/>
    <mergeCell ref="B3978:B3979"/>
    <mergeCell ref="C4023:C4024"/>
    <mergeCell ref="D4023:D4024"/>
    <mergeCell ref="E4023:E4024"/>
    <mergeCell ref="C3978:C3979"/>
    <mergeCell ref="D3978:D3979"/>
    <mergeCell ref="E3978:E3979"/>
    <mergeCell ref="C3988:C3989"/>
    <mergeCell ref="A4023:A4024"/>
    <mergeCell ref="E3686:E3687"/>
    <mergeCell ref="C3765:C3766"/>
    <mergeCell ref="A3788:A3789"/>
    <mergeCell ref="A3790:A3810"/>
    <mergeCell ref="A3838:A3844"/>
    <mergeCell ref="A3847:A3848"/>
    <mergeCell ref="A3860:A3866"/>
    <mergeCell ref="E3826:E3827"/>
    <mergeCell ref="E3788:E3789"/>
    <mergeCell ref="C3776:C3777"/>
    <mergeCell ref="D3776:D3777"/>
    <mergeCell ref="E3776:E3777"/>
    <mergeCell ref="A3958:A3964"/>
    <mergeCell ref="A3944:A3945"/>
    <mergeCell ref="B3944:B3945"/>
    <mergeCell ref="A3889:A3890"/>
    <mergeCell ref="A3813:A3814"/>
    <mergeCell ref="B3813:B3814"/>
    <mergeCell ref="B3826:B3827"/>
    <mergeCell ref="E3767:E3769"/>
    <mergeCell ref="A3747:A3748"/>
    <mergeCell ref="B3747:B3748"/>
    <mergeCell ref="C3747:C3748"/>
    <mergeCell ref="D3747:D3748"/>
    <mergeCell ref="E3747:E3748"/>
    <mergeCell ref="B3788:B3789"/>
    <mergeCell ref="C3788:C3789"/>
    <mergeCell ref="A3956:A3957"/>
    <mergeCell ref="D3765:D3766"/>
    <mergeCell ref="B3847:B3848"/>
    <mergeCell ref="C3847:C3848"/>
    <mergeCell ref="B3754:B3755"/>
    <mergeCell ref="F3699:F3703"/>
    <mergeCell ref="D3723:D3724"/>
    <mergeCell ref="E3723:E3724"/>
    <mergeCell ref="F3723:F3724"/>
    <mergeCell ref="C3813:C3814"/>
    <mergeCell ref="D3813:D3814"/>
    <mergeCell ref="E3813:E3814"/>
    <mergeCell ref="F3813:F3814"/>
    <mergeCell ref="D3907:D3908"/>
    <mergeCell ref="E3907:E3908"/>
    <mergeCell ref="A4015:A4021"/>
    <mergeCell ref="B4015:B4021"/>
    <mergeCell ref="B3988:B3989"/>
    <mergeCell ref="A3980:A3986"/>
    <mergeCell ref="B3980:B3986"/>
    <mergeCell ref="F4013:F4014"/>
    <mergeCell ref="D3980:D3986"/>
    <mergeCell ref="A3988:A3989"/>
    <mergeCell ref="B3956:B3957"/>
    <mergeCell ref="E3956:E3957"/>
    <mergeCell ref="D3988:D3989"/>
    <mergeCell ref="E3988:E3989"/>
    <mergeCell ref="F3988:F3989"/>
    <mergeCell ref="B3935:B3941"/>
    <mergeCell ref="D3935:D3941"/>
    <mergeCell ref="F3956:F3957"/>
    <mergeCell ref="B3958:B3964"/>
    <mergeCell ref="D3958:D3964"/>
    <mergeCell ref="E3958:E3960"/>
    <mergeCell ref="C3956:C3957"/>
    <mergeCell ref="D3956:D3957"/>
    <mergeCell ref="A3990:A4010"/>
    <mergeCell ref="A3678:A3680"/>
    <mergeCell ref="B3678:B3683"/>
    <mergeCell ref="D3678:D3683"/>
    <mergeCell ref="E3678:E3683"/>
    <mergeCell ref="A3898:A3904"/>
    <mergeCell ref="B3836:B3837"/>
    <mergeCell ref="C3836:C3837"/>
    <mergeCell ref="E3836:E3837"/>
    <mergeCell ref="F3836:F3837"/>
    <mergeCell ref="F3944:F3945"/>
    <mergeCell ref="A3933:A3934"/>
    <mergeCell ref="A3923:A3924"/>
    <mergeCell ref="A3919:A3921"/>
    <mergeCell ref="A3891:A3894"/>
    <mergeCell ref="D3919:D3921"/>
    <mergeCell ref="B3898:B3904"/>
    <mergeCell ref="A3907:A3908"/>
    <mergeCell ref="B3907:B3908"/>
    <mergeCell ref="C3907:C3908"/>
    <mergeCell ref="D3767:D3773"/>
    <mergeCell ref="A3765:A3766"/>
    <mergeCell ref="A3869:A3870"/>
    <mergeCell ref="A3880:A3886"/>
    <mergeCell ref="F3826:F3827"/>
    <mergeCell ref="A3826:A3827"/>
    <mergeCell ref="F3804:F3805"/>
    <mergeCell ref="F3686:F3687"/>
    <mergeCell ref="B3718:B3721"/>
    <mergeCell ref="D3718:D3721"/>
    <mergeCell ref="E3718:E3721"/>
    <mergeCell ref="F3718:F3721"/>
    <mergeCell ref="E3699:E3703"/>
    <mergeCell ref="A3676:A3677"/>
    <mergeCell ref="A3878:A3879"/>
    <mergeCell ref="B3878:B3879"/>
    <mergeCell ref="C3878:C3879"/>
    <mergeCell ref="D3878:D3879"/>
    <mergeCell ref="E3878:E3879"/>
    <mergeCell ref="F3878:F3879"/>
    <mergeCell ref="E3676:E3677"/>
    <mergeCell ref="F3676:F3677"/>
    <mergeCell ref="A3705:A3706"/>
    <mergeCell ref="B3705:B3706"/>
    <mergeCell ref="C3705:C3706"/>
    <mergeCell ref="D3705:D3706"/>
    <mergeCell ref="E3705:E3706"/>
    <mergeCell ref="F3705:F3706"/>
    <mergeCell ref="A3686:A3687"/>
    <mergeCell ref="B3686:B3687"/>
    <mergeCell ref="C3686:C3687"/>
    <mergeCell ref="D3686:D3687"/>
    <mergeCell ref="A3688:A3703"/>
    <mergeCell ref="B3688:B3703"/>
    <mergeCell ref="E3799:E3800"/>
    <mergeCell ref="C3826:C3827"/>
    <mergeCell ref="D3826:D3827"/>
    <mergeCell ref="A3776:A3777"/>
    <mergeCell ref="B3776:B3777"/>
    <mergeCell ref="D3838:D3844"/>
    <mergeCell ref="E3770:E3773"/>
    <mergeCell ref="F3747:F3748"/>
    <mergeCell ref="F3802:F3803"/>
    <mergeCell ref="D3836:D3837"/>
    <mergeCell ref="F3858:F3859"/>
    <mergeCell ref="G3616:G3617"/>
    <mergeCell ref="E3645:E3646"/>
    <mergeCell ref="F3645:F3646"/>
    <mergeCell ref="A3657:A3658"/>
    <mergeCell ref="B3657:B3658"/>
    <mergeCell ref="C3657:C3658"/>
    <mergeCell ref="D3657:D3658"/>
    <mergeCell ref="E3657:E3658"/>
    <mergeCell ref="F3657:F3658"/>
    <mergeCell ref="G3657:G3658"/>
    <mergeCell ref="A3630:A3631"/>
    <mergeCell ref="A3618:A3624"/>
    <mergeCell ref="D3618:D3624"/>
    <mergeCell ref="A3659:A3665"/>
    <mergeCell ref="D3659:D3665"/>
    <mergeCell ref="A3626:A3627"/>
    <mergeCell ref="B3626:B3627"/>
    <mergeCell ref="C3626:C3627"/>
    <mergeCell ref="D3626:D3627"/>
    <mergeCell ref="E3626:E3627"/>
    <mergeCell ref="F3626:F3627"/>
    <mergeCell ref="B3616:B3617"/>
    <mergeCell ref="C3616:C3617"/>
    <mergeCell ref="B3645:B3646"/>
    <mergeCell ref="C3645:C3646"/>
    <mergeCell ref="D3616:D3617"/>
    <mergeCell ref="E3616:E3617"/>
    <mergeCell ref="F3616:F3617"/>
    <mergeCell ref="B3630:B3631"/>
    <mergeCell ref="F3630:F3631"/>
    <mergeCell ref="D3630:D3631"/>
    <mergeCell ref="E3630:E3631"/>
    <mergeCell ref="G3693:G3698"/>
    <mergeCell ref="A3668:A3669"/>
    <mergeCell ref="B3668:B3669"/>
    <mergeCell ref="C3668:C3669"/>
    <mergeCell ref="D3668:D3669"/>
    <mergeCell ref="A3606:A3607"/>
    <mergeCell ref="B3606:B3607"/>
    <mergeCell ref="C3606:C3607"/>
    <mergeCell ref="D3606:D3607"/>
    <mergeCell ref="E3606:E3607"/>
    <mergeCell ref="F3606:F3607"/>
    <mergeCell ref="G3606:G3607"/>
    <mergeCell ref="A3608:A3610"/>
    <mergeCell ref="A3612:A3613"/>
    <mergeCell ref="B3612:B3613"/>
    <mergeCell ref="C3612:C3613"/>
    <mergeCell ref="D3612:D3613"/>
    <mergeCell ref="E3612:E3613"/>
    <mergeCell ref="F3612:F3613"/>
    <mergeCell ref="G3630:G3631"/>
    <mergeCell ref="A3639:A3641"/>
    <mergeCell ref="G3612:G3613"/>
    <mergeCell ref="A3616:A3617"/>
    <mergeCell ref="E3668:E3669"/>
    <mergeCell ref="F3668:F3669"/>
    <mergeCell ref="G3668:G3669"/>
    <mergeCell ref="G3626:G3627"/>
    <mergeCell ref="B3676:B3677"/>
    <mergeCell ref="C3676:C3677"/>
    <mergeCell ref="D3676:D3677"/>
    <mergeCell ref="G3686:G3687"/>
    <mergeCell ref="G3688:G3689"/>
    <mergeCell ref="G3691:G3692"/>
    <mergeCell ref="B3507:B3508"/>
    <mergeCell ref="A3509:A3517"/>
    <mergeCell ref="C3530:C3531"/>
    <mergeCell ref="D3530:D3531"/>
    <mergeCell ref="G3554:G3555"/>
    <mergeCell ref="E3449:E3451"/>
    <mergeCell ref="E3489:E3491"/>
    <mergeCell ref="E3543:E3544"/>
    <mergeCell ref="B3543:B3544"/>
    <mergeCell ref="F3543:F3544"/>
    <mergeCell ref="C3543:C3544"/>
    <mergeCell ref="G3530:G3531"/>
    <mergeCell ref="B3554:B3555"/>
    <mergeCell ref="C3554:C3555"/>
    <mergeCell ref="G3471:G3472"/>
    <mergeCell ref="G3462:G3463"/>
    <mergeCell ref="G3494:G3495"/>
    <mergeCell ref="G3487:G3488"/>
    <mergeCell ref="B3494:B3495"/>
    <mergeCell ref="C3494:C3495"/>
    <mergeCell ref="D3494:D3495"/>
    <mergeCell ref="E3494:E3495"/>
    <mergeCell ref="F3494:F3495"/>
    <mergeCell ref="B3489:B3491"/>
    <mergeCell ref="D3489:D3491"/>
    <mergeCell ref="G3507:G3508"/>
    <mergeCell ref="D3509:D3517"/>
    <mergeCell ref="A3496:A3504"/>
    <mergeCell ref="B3509:B3517"/>
    <mergeCell ref="E3496:E3499"/>
    <mergeCell ref="B3520:B3521"/>
    <mergeCell ref="D3520:D3521"/>
    <mergeCell ref="A3489:A3491"/>
    <mergeCell ref="A3487:A3488"/>
    <mergeCell ref="B3487:B3488"/>
    <mergeCell ref="G3481:G3482"/>
    <mergeCell ref="G3588:G3589"/>
    <mergeCell ref="G3577:G3578"/>
    <mergeCell ref="B3599:B3600"/>
    <mergeCell ref="C3599:C3600"/>
    <mergeCell ref="D3599:D3600"/>
    <mergeCell ref="E3599:E3600"/>
    <mergeCell ref="F3599:F3600"/>
    <mergeCell ref="G3599:G3600"/>
    <mergeCell ref="G3676:G3677"/>
    <mergeCell ref="A3670:A3673"/>
    <mergeCell ref="D3670:D3673"/>
    <mergeCell ref="D3645:D3646"/>
    <mergeCell ref="G3637:G3638"/>
    <mergeCell ref="E3639:E3643"/>
    <mergeCell ref="B3639:B3643"/>
    <mergeCell ref="D3639:D3643"/>
    <mergeCell ref="A3645:A3646"/>
    <mergeCell ref="A3637:A3638"/>
    <mergeCell ref="B3637:B3638"/>
    <mergeCell ref="C3637:C3638"/>
    <mergeCell ref="D3637:D3638"/>
    <mergeCell ref="E3637:E3638"/>
    <mergeCell ref="F3637:F3638"/>
    <mergeCell ref="D3543:D3544"/>
    <mergeCell ref="C3630:C3631"/>
    <mergeCell ref="G3500:G3504"/>
    <mergeCell ref="A3507:A3508"/>
    <mergeCell ref="A3554:A3555"/>
    <mergeCell ref="F3453:F3454"/>
    <mergeCell ref="B3464:B3468"/>
    <mergeCell ref="D3464:D3468"/>
    <mergeCell ref="A3532:A3540"/>
    <mergeCell ref="A3599:A3600"/>
    <mergeCell ref="A3601:A3603"/>
    <mergeCell ref="C3507:C3508"/>
    <mergeCell ref="D3507:D3508"/>
    <mergeCell ref="E3507:E3508"/>
    <mergeCell ref="F3507:F3508"/>
    <mergeCell ref="B3483:B3485"/>
    <mergeCell ref="B3601:B3603"/>
    <mergeCell ref="C3520:C3521"/>
    <mergeCell ref="G3496:G3499"/>
    <mergeCell ref="E3500:E3504"/>
    <mergeCell ref="F3500:F3504"/>
    <mergeCell ref="E3530:E3531"/>
    <mergeCell ref="F3530:F3531"/>
    <mergeCell ref="D3601:D3603"/>
    <mergeCell ref="E3601:E3603"/>
    <mergeCell ref="E3520:E3521"/>
    <mergeCell ref="F3520:F3521"/>
    <mergeCell ref="B3532:B3540"/>
    <mergeCell ref="D3532:D3540"/>
    <mergeCell ref="G3543:G3544"/>
    <mergeCell ref="B3530:B3531"/>
    <mergeCell ref="C3487:C3488"/>
    <mergeCell ref="D3487:D3488"/>
    <mergeCell ref="B3496:B3504"/>
    <mergeCell ref="F3496:F3499"/>
    <mergeCell ref="A3520:A3521"/>
    <mergeCell ref="F3365:F3366"/>
    <mergeCell ref="E3421:E3422"/>
    <mergeCell ref="B3481:B3482"/>
    <mergeCell ref="C3481:C3482"/>
    <mergeCell ref="D3481:D3482"/>
    <mergeCell ref="A3494:A3495"/>
    <mergeCell ref="D3483:D3485"/>
    <mergeCell ref="E3483:E3485"/>
    <mergeCell ref="F3481:F3482"/>
    <mergeCell ref="A3483:A3485"/>
    <mergeCell ref="B3471:B3472"/>
    <mergeCell ref="E3464:E3467"/>
    <mergeCell ref="A3449:A3451"/>
    <mergeCell ref="B3449:B3451"/>
    <mergeCell ref="D3449:D3451"/>
    <mergeCell ref="D3471:D3472"/>
    <mergeCell ref="E3471:E3472"/>
    <mergeCell ref="F3471:F3472"/>
    <mergeCell ref="C3471:C3472"/>
    <mergeCell ref="A3462:A3463"/>
    <mergeCell ref="A3453:A3454"/>
    <mergeCell ref="B3453:B3454"/>
    <mergeCell ref="F3441:F3442"/>
    <mergeCell ref="A3473:A3479"/>
    <mergeCell ref="D3473:D3479"/>
    <mergeCell ref="A3481:A3482"/>
    <mergeCell ref="C3453:C3454"/>
    <mergeCell ref="D3453:D3454"/>
    <mergeCell ref="E3453:E3454"/>
    <mergeCell ref="A3411:A3412"/>
    <mergeCell ref="D3432:D3433"/>
    <mergeCell ref="D3443:D3445"/>
    <mergeCell ref="C3441:C3442"/>
    <mergeCell ref="E3411:E3412"/>
    <mergeCell ref="C3421:C3422"/>
    <mergeCell ref="D3421:D3422"/>
    <mergeCell ref="B3432:B3433"/>
    <mergeCell ref="C3432:C3433"/>
    <mergeCell ref="C3411:C3412"/>
    <mergeCell ref="D3411:D3412"/>
    <mergeCell ref="A3401:A3402"/>
    <mergeCell ref="D3403:D3408"/>
    <mergeCell ref="F3447:F3448"/>
    <mergeCell ref="B3421:B3422"/>
    <mergeCell ref="F3421:F3422"/>
    <mergeCell ref="B3441:B3442"/>
    <mergeCell ref="A3447:A3448"/>
    <mergeCell ref="B3443:B3445"/>
    <mergeCell ref="E3447:E3448"/>
    <mergeCell ref="A3421:A3422"/>
    <mergeCell ref="D3441:D3442"/>
    <mergeCell ref="G3411:G3412"/>
    <mergeCell ref="G3447:G3448"/>
    <mergeCell ref="B3462:B3463"/>
    <mergeCell ref="C3462:C3463"/>
    <mergeCell ref="D3462:D3463"/>
    <mergeCell ref="E3462:E3463"/>
    <mergeCell ref="F3462:F3463"/>
    <mergeCell ref="G3306:G3307"/>
    <mergeCell ref="A3308:A3310"/>
    <mergeCell ref="B3308:B3310"/>
    <mergeCell ref="D3308:D3310"/>
    <mergeCell ref="E3308:E3310"/>
    <mergeCell ref="A3325:A3327"/>
    <mergeCell ref="B3325:B3327"/>
    <mergeCell ref="G3441:G3442"/>
    <mergeCell ref="B3392:B3393"/>
    <mergeCell ref="C3392:C3393"/>
    <mergeCell ref="D3392:D3393"/>
    <mergeCell ref="F3392:F3393"/>
    <mergeCell ref="B3385:B3386"/>
    <mergeCell ref="C3385:C3386"/>
    <mergeCell ref="D3385:D3386"/>
    <mergeCell ref="B3323:B3324"/>
    <mergeCell ref="C3323:C3324"/>
    <mergeCell ref="D3323:D3324"/>
    <mergeCell ref="E3323:E3324"/>
    <mergeCell ref="G3385:G3386"/>
    <mergeCell ref="G3401:G3402"/>
    <mergeCell ref="E3441:E3442"/>
    <mergeCell ref="F3385:F3386"/>
    <mergeCell ref="F3323:F3324"/>
    <mergeCell ref="F3432:F3433"/>
    <mergeCell ref="G3376:G3377"/>
    <mergeCell ref="F3376:F3377"/>
    <mergeCell ref="A3387:A3389"/>
    <mergeCell ref="E3365:E3366"/>
    <mergeCell ref="G3356:G3357"/>
    <mergeCell ref="D3358:D3363"/>
    <mergeCell ref="B3306:B3307"/>
    <mergeCell ref="C3306:C3307"/>
    <mergeCell ref="A3376:A3377"/>
    <mergeCell ref="B3376:B3377"/>
    <mergeCell ref="C3376:C3377"/>
    <mergeCell ref="E3385:E3386"/>
    <mergeCell ref="D3297:D3298"/>
    <mergeCell ref="E3297:E3298"/>
    <mergeCell ref="F3297:F3298"/>
    <mergeCell ref="E3257:E3258"/>
    <mergeCell ref="F3257:F3258"/>
    <mergeCell ref="G3257:G3258"/>
    <mergeCell ref="A3259:A3265"/>
    <mergeCell ref="D3259:D3265"/>
    <mergeCell ref="A3267:A3268"/>
    <mergeCell ref="B3267:B3268"/>
    <mergeCell ref="C3267:C3268"/>
    <mergeCell ref="D3267:D3268"/>
    <mergeCell ref="E3267:E3268"/>
    <mergeCell ref="F3267:F3268"/>
    <mergeCell ref="G3267:G3268"/>
    <mergeCell ref="A3269:A3276"/>
    <mergeCell ref="D3269:D3276"/>
    <mergeCell ref="A3278:A3279"/>
    <mergeCell ref="B3278:B3279"/>
    <mergeCell ref="C3278:C3279"/>
    <mergeCell ref="C3288:C3289"/>
    <mergeCell ref="A3280:A3286"/>
    <mergeCell ref="D3280:D3286"/>
    <mergeCell ref="A3257:A3258"/>
    <mergeCell ref="B3257:B3258"/>
    <mergeCell ref="C3257:C3258"/>
    <mergeCell ref="D3257:D3258"/>
    <mergeCell ref="E3278:E3279"/>
    <mergeCell ref="F3278:F3279"/>
    <mergeCell ref="F3239:F3240"/>
    <mergeCell ref="D3220:D3221"/>
    <mergeCell ref="G3206:G3207"/>
    <mergeCell ref="A3241:A3245"/>
    <mergeCell ref="B3241:B3245"/>
    <mergeCell ref="D3241:D3245"/>
    <mergeCell ref="E3241:E3245"/>
    <mergeCell ref="F3241:F3244"/>
    <mergeCell ref="G3241:G3244"/>
    <mergeCell ref="B3239:B3240"/>
    <mergeCell ref="C3239:C3240"/>
    <mergeCell ref="D3239:D3240"/>
    <mergeCell ref="A3216:A3218"/>
    <mergeCell ref="D3216:D3218"/>
    <mergeCell ref="E3216:E3218"/>
    <mergeCell ref="E3214:E3215"/>
    <mergeCell ref="F3214:F3215"/>
    <mergeCell ref="F3227:F3228"/>
    <mergeCell ref="A3220:A3221"/>
    <mergeCell ref="B3220:B3221"/>
    <mergeCell ref="C3220:C3221"/>
    <mergeCell ref="E3239:E3240"/>
    <mergeCell ref="A3206:A3207"/>
    <mergeCell ref="D3060:D3061"/>
    <mergeCell ref="E3060:E3061"/>
    <mergeCell ref="A3194:A3195"/>
    <mergeCell ref="B3194:B3195"/>
    <mergeCell ref="C3194:C3195"/>
    <mergeCell ref="D3194:D3195"/>
    <mergeCell ref="B3206:B3207"/>
    <mergeCell ref="C3206:C3207"/>
    <mergeCell ref="D3206:D3207"/>
    <mergeCell ref="E3206:E3207"/>
    <mergeCell ref="F3206:F3207"/>
    <mergeCell ref="E3208:E3211"/>
    <mergeCell ref="F3208:F3211"/>
    <mergeCell ref="E3306:E3307"/>
    <mergeCell ref="F3306:F3307"/>
    <mergeCell ref="G3208:G3211"/>
    <mergeCell ref="D3306:D3307"/>
    <mergeCell ref="G3214:G3215"/>
    <mergeCell ref="A3247:A3248"/>
    <mergeCell ref="B3208:B3211"/>
    <mergeCell ref="D3208:D3211"/>
    <mergeCell ref="C3247:C3248"/>
    <mergeCell ref="D3247:D3248"/>
    <mergeCell ref="E3247:E3248"/>
    <mergeCell ref="F3247:F3248"/>
    <mergeCell ref="G3247:G3248"/>
    <mergeCell ref="D3288:D3289"/>
    <mergeCell ref="E3288:E3289"/>
    <mergeCell ref="F3288:F3289"/>
    <mergeCell ref="A3297:A3298"/>
    <mergeCell ref="B3297:B3298"/>
    <mergeCell ref="C3297:C3298"/>
    <mergeCell ref="F3060:F3061"/>
    <mergeCell ref="A3083:A3084"/>
    <mergeCell ref="C3079:C3080"/>
    <mergeCell ref="E3083:E3084"/>
    <mergeCell ref="F3083:F3084"/>
    <mergeCell ref="C3083:C3084"/>
    <mergeCell ref="D3083:D3084"/>
    <mergeCell ref="A3054:A3057"/>
    <mergeCell ref="B3054:B3057"/>
    <mergeCell ref="A3141:A3142"/>
    <mergeCell ref="C3159:C3160"/>
    <mergeCell ref="F3183:F3184"/>
    <mergeCell ref="A3150:A3151"/>
    <mergeCell ref="B3150:B3151"/>
    <mergeCell ref="C3150:C3151"/>
    <mergeCell ref="D3150:D3151"/>
    <mergeCell ref="E3150:E3151"/>
    <mergeCell ref="D3159:D3160"/>
    <mergeCell ref="E3159:E3160"/>
    <mergeCell ref="F3159:F3160"/>
    <mergeCell ref="F3150:F3151"/>
    <mergeCell ref="A3168:A3169"/>
    <mergeCell ref="B3168:B3169"/>
    <mergeCell ref="C3168:C3169"/>
    <mergeCell ref="D3168:D3169"/>
    <mergeCell ref="B3159:B3160"/>
    <mergeCell ref="E3145:E3147"/>
    <mergeCell ref="A3159:A3160"/>
    <mergeCell ref="C3181:C3182"/>
    <mergeCell ref="A3106:A3107"/>
    <mergeCell ref="B3106:B3107"/>
    <mergeCell ref="B3141:B3142"/>
    <mergeCell ref="C3141:C3142"/>
    <mergeCell ref="D3141:D3142"/>
    <mergeCell ref="E3141:E3142"/>
    <mergeCell ref="E3125:E3127"/>
    <mergeCell ref="A3129:A3130"/>
    <mergeCell ref="B3129:B3130"/>
    <mergeCell ref="B3121:B3122"/>
    <mergeCell ref="C3121:C3122"/>
    <mergeCell ref="D3121:D3122"/>
    <mergeCell ref="E3121:E3122"/>
    <mergeCell ref="F3121:F3122"/>
    <mergeCell ref="C3136:C3137"/>
    <mergeCell ref="D3136:D3137"/>
    <mergeCell ref="E3136:E3137"/>
    <mergeCell ref="F3136:F3137"/>
    <mergeCell ref="A3121:A3122"/>
    <mergeCell ref="A3123:A3127"/>
    <mergeCell ref="E3123:E3124"/>
    <mergeCell ref="C3129:C3130"/>
    <mergeCell ref="A3136:A3137"/>
    <mergeCell ref="B3136:B3137"/>
    <mergeCell ref="A3131:A3133"/>
    <mergeCell ref="B3131:B3133"/>
    <mergeCell ref="E3131:E3133"/>
    <mergeCell ref="F3141:F3142"/>
    <mergeCell ref="D3129:D3130"/>
    <mergeCell ref="D2922:D2923"/>
    <mergeCell ref="G3060:G3061"/>
    <mergeCell ref="A3062:A3064"/>
    <mergeCell ref="D3079:D3080"/>
    <mergeCell ref="B3083:B3084"/>
    <mergeCell ref="G3079:G3080"/>
    <mergeCell ref="G3083:G3084"/>
    <mergeCell ref="G3136:G3137"/>
    <mergeCell ref="G3090:G3091"/>
    <mergeCell ref="G3092:G3094"/>
    <mergeCell ref="F2996:F2997"/>
    <mergeCell ref="G3013:G3014"/>
    <mergeCell ref="A3015:A3017"/>
    <mergeCell ref="C2996:C2997"/>
    <mergeCell ref="D2996:D2997"/>
    <mergeCell ref="C3027:C3028"/>
    <mergeCell ref="E3027:E3028"/>
    <mergeCell ref="D3013:D3014"/>
    <mergeCell ref="E3013:E3014"/>
    <mergeCell ref="F3013:F3014"/>
    <mergeCell ref="A3005:A3006"/>
    <mergeCell ref="B3005:B3006"/>
    <mergeCell ref="C3005:C3006"/>
    <mergeCell ref="D3005:D3006"/>
    <mergeCell ref="E3005:E3006"/>
    <mergeCell ref="F3005:F3006"/>
    <mergeCell ref="A3020:A3021"/>
    <mergeCell ref="B3020:B3021"/>
    <mergeCell ref="G3027:G3028"/>
    <mergeCell ref="A3022:A3024"/>
    <mergeCell ref="D2949:D2954"/>
    <mergeCell ref="F2956:F2957"/>
    <mergeCell ref="A2305:A2306"/>
    <mergeCell ref="B2305:B2306"/>
    <mergeCell ref="C2305:C2306"/>
    <mergeCell ref="D3015:D3017"/>
    <mergeCell ref="E3015:E3017"/>
    <mergeCell ref="A2996:A2997"/>
    <mergeCell ref="B2996:B2997"/>
    <mergeCell ref="E2996:E2997"/>
    <mergeCell ref="D3054:D3057"/>
    <mergeCell ref="E3054:E3057"/>
    <mergeCell ref="E3079:E3080"/>
    <mergeCell ref="F3079:F3080"/>
    <mergeCell ref="B3060:B3061"/>
    <mergeCell ref="C3060:C3061"/>
    <mergeCell ref="G2886:G2887"/>
    <mergeCell ref="G2971:G2972"/>
    <mergeCell ref="A2896:A2897"/>
    <mergeCell ref="B2896:B2897"/>
    <mergeCell ref="C2896:C2897"/>
    <mergeCell ref="D2896:D2897"/>
    <mergeCell ref="E2896:E2897"/>
    <mergeCell ref="F2896:F2897"/>
    <mergeCell ref="F2915:F2916"/>
    <mergeCell ref="G2915:G2916"/>
    <mergeCell ref="A2922:A2923"/>
    <mergeCell ref="B2922:B2923"/>
    <mergeCell ref="C2922:C2923"/>
    <mergeCell ref="D2917:D2919"/>
    <mergeCell ref="A2915:A2916"/>
    <mergeCell ref="B2915:B2916"/>
    <mergeCell ref="F3039:F3040"/>
    <mergeCell ref="A3060:A3061"/>
    <mergeCell ref="F2274:F2275"/>
    <mergeCell ref="A2259:A2260"/>
    <mergeCell ref="E2259:E2260"/>
    <mergeCell ref="G2939:G2940"/>
    <mergeCell ref="A2941:A2945"/>
    <mergeCell ref="A2947:A2948"/>
    <mergeCell ref="B2947:B2948"/>
    <mergeCell ref="C2947:C2948"/>
    <mergeCell ref="D2947:D2948"/>
    <mergeCell ref="F2947:F2948"/>
    <mergeCell ref="A2964:A2965"/>
    <mergeCell ref="B2964:B2965"/>
    <mergeCell ref="C2964:C2965"/>
    <mergeCell ref="D2964:D2965"/>
    <mergeCell ref="F2907:F2908"/>
    <mergeCell ref="A2213:A2214"/>
    <mergeCell ref="B2213:B2214"/>
    <mergeCell ref="B2666:B2667"/>
    <mergeCell ref="C2666:C2667"/>
    <mergeCell ref="D2666:D2667"/>
    <mergeCell ref="A2290:A2291"/>
    <mergeCell ref="B2290:B2291"/>
    <mergeCell ref="C2290:C2291"/>
    <mergeCell ref="D2290:D2291"/>
    <mergeCell ref="E2290:E2291"/>
    <mergeCell ref="F2290:F2291"/>
    <mergeCell ref="A2337:A2338"/>
    <mergeCell ref="B2337:B2338"/>
    <mergeCell ref="C2337:C2338"/>
    <mergeCell ref="D2337:D2338"/>
    <mergeCell ref="E2337:E2338"/>
    <mergeCell ref="F2337:F2338"/>
    <mergeCell ref="A2153:A2154"/>
    <mergeCell ref="B2153:B2154"/>
    <mergeCell ref="C2153:C2154"/>
    <mergeCell ref="D2305:D2306"/>
    <mergeCell ref="E2305:E2306"/>
    <mergeCell ref="F2305:F2306"/>
    <mergeCell ref="A2321:A2322"/>
    <mergeCell ref="C2213:C2214"/>
    <mergeCell ref="D2213:D2214"/>
    <mergeCell ref="E2213:E2214"/>
    <mergeCell ref="F2213:F2214"/>
    <mergeCell ref="A2228:A2229"/>
    <mergeCell ref="B2228:B2229"/>
    <mergeCell ref="E2666:E2667"/>
    <mergeCell ref="B2259:B2260"/>
    <mergeCell ref="D2153:D2154"/>
    <mergeCell ref="E2153:E2154"/>
    <mergeCell ref="F2153:F2154"/>
    <mergeCell ref="D2228:D2229"/>
    <mergeCell ref="E2228:E2229"/>
    <mergeCell ref="F2228:F2229"/>
    <mergeCell ref="A2243:A2244"/>
    <mergeCell ref="B2243:B2244"/>
    <mergeCell ref="C2243:C2244"/>
    <mergeCell ref="D2243:D2244"/>
    <mergeCell ref="E2243:E2244"/>
    <mergeCell ref="F2243:F2244"/>
    <mergeCell ref="A2274:A2275"/>
    <mergeCell ref="B2274:B2275"/>
    <mergeCell ref="C2274:C2275"/>
    <mergeCell ref="D2274:D2275"/>
    <mergeCell ref="E2274:E2275"/>
    <mergeCell ref="A2183:A2184"/>
    <mergeCell ref="B2183:B2184"/>
    <mergeCell ref="C2183:C2184"/>
    <mergeCell ref="D2183:D2184"/>
    <mergeCell ref="E2183:E2184"/>
    <mergeCell ref="F2183:F2184"/>
    <mergeCell ref="A2198:A2199"/>
    <mergeCell ref="B2198:B2199"/>
    <mergeCell ref="C2198:C2199"/>
    <mergeCell ref="D2198:D2199"/>
    <mergeCell ref="E2198:E2199"/>
    <mergeCell ref="F2198:F2199"/>
    <mergeCell ref="A2168:A2169"/>
    <mergeCell ref="B2168:B2169"/>
    <mergeCell ref="C2168:C2169"/>
    <mergeCell ref="D2168:D2169"/>
    <mergeCell ref="E2168:E2169"/>
    <mergeCell ref="F2168:F2169"/>
    <mergeCell ref="F2259:F2260"/>
    <mergeCell ref="C2228:C2229"/>
    <mergeCell ref="C2259:C2260"/>
    <mergeCell ref="D2259:D2260"/>
    <mergeCell ref="A2077:A2078"/>
    <mergeCell ref="B2077:B2078"/>
    <mergeCell ref="C2077:C2078"/>
    <mergeCell ref="D2077:D2078"/>
    <mergeCell ref="E2077:E2078"/>
    <mergeCell ref="F2077:F2078"/>
    <mergeCell ref="A2093:A2094"/>
    <mergeCell ref="B2093:B2094"/>
    <mergeCell ref="C2093:C2094"/>
    <mergeCell ref="D2093:D2094"/>
    <mergeCell ref="E2093:E2094"/>
    <mergeCell ref="F2093:F2094"/>
    <mergeCell ref="A2108:A2109"/>
    <mergeCell ref="B2108:B2109"/>
    <mergeCell ref="C2108:C2109"/>
    <mergeCell ref="D2108:D2109"/>
    <mergeCell ref="A2123:A2124"/>
    <mergeCell ref="B2123:B2124"/>
    <mergeCell ref="C2123:C2124"/>
    <mergeCell ref="D2123:D2124"/>
    <mergeCell ref="E2123:E2124"/>
    <mergeCell ref="F2123:F2124"/>
    <mergeCell ref="A2138:A2139"/>
    <mergeCell ref="B2138:B2139"/>
    <mergeCell ref="C2138:C2139"/>
    <mergeCell ref="D2138:D2139"/>
    <mergeCell ref="E2138:E2139"/>
    <mergeCell ref="F2138:F2139"/>
    <mergeCell ref="A1730:A1731"/>
    <mergeCell ref="B1730:B1731"/>
    <mergeCell ref="C1730:C1731"/>
    <mergeCell ref="D1730:D1731"/>
    <mergeCell ref="E1730:E1731"/>
    <mergeCell ref="F1730:F1731"/>
    <mergeCell ref="A2016:A2017"/>
    <mergeCell ref="B2016:B2017"/>
    <mergeCell ref="C2016:C2017"/>
    <mergeCell ref="D2016:D2017"/>
    <mergeCell ref="E2016:E2017"/>
    <mergeCell ref="F2016:F2017"/>
    <mergeCell ref="A1960:A1961"/>
    <mergeCell ref="B1960:B1961"/>
    <mergeCell ref="C1960:C1961"/>
    <mergeCell ref="D1960:D1961"/>
    <mergeCell ref="E1960:E1961"/>
    <mergeCell ref="F1960:F1961"/>
    <mergeCell ref="C1779:C1780"/>
    <mergeCell ref="D1779:D1780"/>
    <mergeCell ref="E1779:E1780"/>
    <mergeCell ref="F1779:F1780"/>
    <mergeCell ref="A1794:A1795"/>
    <mergeCell ref="B1794:B1795"/>
    <mergeCell ref="C1794:C1795"/>
    <mergeCell ref="D1794:D1795"/>
    <mergeCell ref="E1794:E1795"/>
    <mergeCell ref="F1794:F1795"/>
    <mergeCell ref="A1809:A1810"/>
    <mergeCell ref="B1809:B1810"/>
    <mergeCell ref="C1809:C1810"/>
    <mergeCell ref="D1809:D1810"/>
    <mergeCell ref="A1700:A1701"/>
    <mergeCell ref="B1700:B1701"/>
    <mergeCell ref="C1700:C1701"/>
    <mergeCell ref="D1700:D1701"/>
    <mergeCell ref="E1700:E1701"/>
    <mergeCell ref="F1700:F1701"/>
    <mergeCell ref="A1985:A1986"/>
    <mergeCell ref="B1985:B1986"/>
    <mergeCell ref="C1985:C1986"/>
    <mergeCell ref="D1985:D1986"/>
    <mergeCell ref="E1985:E1986"/>
    <mergeCell ref="F1985:F1986"/>
    <mergeCell ref="A1745:A1746"/>
    <mergeCell ref="B1745:B1746"/>
    <mergeCell ref="C1745:C1746"/>
    <mergeCell ref="D1745:D1746"/>
    <mergeCell ref="E1745:E1746"/>
    <mergeCell ref="F1745:F1746"/>
    <mergeCell ref="A1760:A1761"/>
    <mergeCell ref="B1760:B1761"/>
    <mergeCell ref="C1760:C1761"/>
    <mergeCell ref="D1760:D1761"/>
    <mergeCell ref="E1760:E1761"/>
    <mergeCell ref="F1760:F1761"/>
    <mergeCell ref="A1715:A1716"/>
    <mergeCell ref="B1715:B1716"/>
    <mergeCell ref="C1715:C1716"/>
    <mergeCell ref="D1715:D1716"/>
    <mergeCell ref="E1715:E1716"/>
    <mergeCell ref="F1715:F1716"/>
    <mergeCell ref="A1779:A1780"/>
    <mergeCell ref="B1779:B1780"/>
    <mergeCell ref="A1654:A1655"/>
    <mergeCell ref="B1654:B1655"/>
    <mergeCell ref="C1654:C1655"/>
    <mergeCell ref="D1654:D1655"/>
    <mergeCell ref="E1654:E1655"/>
    <mergeCell ref="F1654:F1655"/>
    <mergeCell ref="A1669:A1670"/>
    <mergeCell ref="B1669:B1670"/>
    <mergeCell ref="C1669:C1670"/>
    <mergeCell ref="D1669:D1670"/>
    <mergeCell ref="E1669:E1670"/>
    <mergeCell ref="F1669:F1670"/>
    <mergeCell ref="A1685:A1686"/>
    <mergeCell ref="B1685:B1686"/>
    <mergeCell ref="C1685:C1686"/>
    <mergeCell ref="D1685:D1686"/>
    <mergeCell ref="E1685:E1686"/>
    <mergeCell ref="F1685:F1686"/>
    <mergeCell ref="A1624:A1625"/>
    <mergeCell ref="B1624:B1625"/>
    <mergeCell ref="C1624:C1625"/>
    <mergeCell ref="D1624:D1625"/>
    <mergeCell ref="E1624:E1625"/>
    <mergeCell ref="F1624:F1625"/>
    <mergeCell ref="A1639:A1640"/>
    <mergeCell ref="B1639:B1640"/>
    <mergeCell ref="C1639:C1640"/>
    <mergeCell ref="D1639:D1640"/>
    <mergeCell ref="E1639:E1640"/>
    <mergeCell ref="F1639:F1640"/>
    <mergeCell ref="A1594:A1595"/>
    <mergeCell ref="B1594:B1595"/>
    <mergeCell ref="C1594:C1595"/>
    <mergeCell ref="D1594:D1595"/>
    <mergeCell ref="E1594:E1595"/>
    <mergeCell ref="F1594:F1595"/>
    <mergeCell ref="A1609:A1610"/>
    <mergeCell ref="B1609:B1610"/>
    <mergeCell ref="C1609:C1610"/>
    <mergeCell ref="D1609:D1610"/>
    <mergeCell ref="E1609:E1610"/>
    <mergeCell ref="F1609:F1610"/>
    <mergeCell ref="A1564:A1565"/>
    <mergeCell ref="B1564:B1565"/>
    <mergeCell ref="C1564:C1565"/>
    <mergeCell ref="D1564:D1565"/>
    <mergeCell ref="E1564:E1565"/>
    <mergeCell ref="F1564:F1565"/>
    <mergeCell ref="A1579:A1580"/>
    <mergeCell ref="B1579:B1580"/>
    <mergeCell ref="C1579:C1580"/>
    <mergeCell ref="D1579:D1580"/>
    <mergeCell ref="E1579:E1580"/>
    <mergeCell ref="F1579:F1580"/>
    <mergeCell ref="A1549:A1550"/>
    <mergeCell ref="B1549:B1550"/>
    <mergeCell ref="C1549:C1550"/>
    <mergeCell ref="D1549:D1550"/>
    <mergeCell ref="E1549:E1550"/>
    <mergeCell ref="F1549:F1550"/>
    <mergeCell ref="A1519:A1520"/>
    <mergeCell ref="B1519:B1520"/>
    <mergeCell ref="C1519:C1520"/>
    <mergeCell ref="D1519:D1520"/>
    <mergeCell ref="E1519:E1520"/>
    <mergeCell ref="F1519:F1520"/>
    <mergeCell ref="A1534:A1535"/>
    <mergeCell ref="B1534:B1535"/>
    <mergeCell ref="C1534:C1535"/>
    <mergeCell ref="D1534:D1535"/>
    <mergeCell ref="E1534:E1535"/>
    <mergeCell ref="F1534:F1535"/>
    <mergeCell ref="A1489:A1490"/>
    <mergeCell ref="B1489:B1490"/>
    <mergeCell ref="C1489:C1490"/>
    <mergeCell ref="D1489:D1490"/>
    <mergeCell ref="E1489:E1490"/>
    <mergeCell ref="F1489:F1490"/>
    <mergeCell ref="A1504:A1505"/>
    <mergeCell ref="B1504:B1505"/>
    <mergeCell ref="C1504:C1505"/>
    <mergeCell ref="D1504:D1505"/>
    <mergeCell ref="E1504:E1505"/>
    <mergeCell ref="F1504:F1505"/>
    <mergeCell ref="A1459:A1460"/>
    <mergeCell ref="B1459:B1460"/>
    <mergeCell ref="C1459:C1460"/>
    <mergeCell ref="D1459:D1460"/>
    <mergeCell ref="E1459:E1460"/>
    <mergeCell ref="F1459:F1460"/>
    <mergeCell ref="A1474:A1475"/>
    <mergeCell ref="B1474:B1475"/>
    <mergeCell ref="C1474:C1475"/>
    <mergeCell ref="D1474:D1475"/>
    <mergeCell ref="E1474:E1475"/>
    <mergeCell ref="F1474:F1475"/>
    <mergeCell ref="A1429:A1430"/>
    <mergeCell ref="B1429:B1430"/>
    <mergeCell ref="C1429:C1430"/>
    <mergeCell ref="D1429:D1430"/>
    <mergeCell ref="E1429:E1430"/>
    <mergeCell ref="F1429:F1430"/>
    <mergeCell ref="A1444:A1445"/>
    <mergeCell ref="B1444:B1445"/>
    <mergeCell ref="C1444:C1445"/>
    <mergeCell ref="D1444:D1445"/>
    <mergeCell ref="E1444:E1445"/>
    <mergeCell ref="F1444:F1445"/>
    <mergeCell ref="A1399:A1400"/>
    <mergeCell ref="B1399:B1400"/>
    <mergeCell ref="C1399:C1400"/>
    <mergeCell ref="D1399:D1400"/>
    <mergeCell ref="E1399:E1400"/>
    <mergeCell ref="F1399:F1400"/>
    <mergeCell ref="A1414:A1415"/>
    <mergeCell ref="B1414:B1415"/>
    <mergeCell ref="C1414:C1415"/>
    <mergeCell ref="D1414:D1415"/>
    <mergeCell ref="E1414:E1415"/>
    <mergeCell ref="F1414:F1415"/>
    <mergeCell ref="A1364:A1365"/>
    <mergeCell ref="B1364:B1365"/>
    <mergeCell ref="C1364:C1365"/>
    <mergeCell ref="D1364:D1365"/>
    <mergeCell ref="E1364:E1365"/>
    <mergeCell ref="F1364:F1365"/>
    <mergeCell ref="A1384:A1385"/>
    <mergeCell ref="B1384:B1385"/>
    <mergeCell ref="C1384:C1385"/>
    <mergeCell ref="D1384:D1385"/>
    <mergeCell ref="E1384:E1385"/>
    <mergeCell ref="F1384:F1385"/>
    <mergeCell ref="A1334:A1335"/>
    <mergeCell ref="B1334:B1335"/>
    <mergeCell ref="C1334:C1335"/>
    <mergeCell ref="D1334:D1335"/>
    <mergeCell ref="E1334:E1335"/>
    <mergeCell ref="F1334:F1335"/>
    <mergeCell ref="A1349:A1350"/>
    <mergeCell ref="B1349:B1350"/>
    <mergeCell ref="C1349:C1350"/>
    <mergeCell ref="D1349:D1350"/>
    <mergeCell ref="E1349:E1350"/>
    <mergeCell ref="F1349:F1350"/>
    <mergeCell ref="A1304:A1305"/>
    <mergeCell ref="B1304:B1305"/>
    <mergeCell ref="C1304:C1305"/>
    <mergeCell ref="D1304:D1305"/>
    <mergeCell ref="E1304:E1305"/>
    <mergeCell ref="F1304:F1305"/>
    <mergeCell ref="A1319:A1320"/>
    <mergeCell ref="B1319:B1320"/>
    <mergeCell ref="C1319:C1320"/>
    <mergeCell ref="D1319:D1320"/>
    <mergeCell ref="E1319:E1320"/>
    <mergeCell ref="F1319:F1320"/>
    <mergeCell ref="A1274:A1275"/>
    <mergeCell ref="B1274:B1275"/>
    <mergeCell ref="C1274:C1275"/>
    <mergeCell ref="D1274:D1275"/>
    <mergeCell ref="E1274:E1275"/>
    <mergeCell ref="F1274:F1275"/>
    <mergeCell ref="A1289:A1290"/>
    <mergeCell ref="B1289:B1290"/>
    <mergeCell ref="C1289:C1290"/>
    <mergeCell ref="D1289:D1290"/>
    <mergeCell ref="E1289:E1290"/>
    <mergeCell ref="F1289:F1290"/>
    <mergeCell ref="A1244:A1245"/>
    <mergeCell ref="B1244:B1245"/>
    <mergeCell ref="C1244:C1245"/>
    <mergeCell ref="D1244:D1245"/>
    <mergeCell ref="E1244:E1245"/>
    <mergeCell ref="F1244:F1245"/>
    <mergeCell ref="A1259:A1260"/>
    <mergeCell ref="B1259:B1260"/>
    <mergeCell ref="C1259:C1260"/>
    <mergeCell ref="D1259:D1260"/>
    <mergeCell ref="E1259:E1260"/>
    <mergeCell ref="F1259:F1260"/>
    <mergeCell ref="A842:A843"/>
    <mergeCell ref="B842:B843"/>
    <mergeCell ref="C842:C843"/>
    <mergeCell ref="D842:D843"/>
    <mergeCell ref="E842:E843"/>
    <mergeCell ref="F842:F843"/>
    <mergeCell ref="A857:A858"/>
    <mergeCell ref="B857:B858"/>
    <mergeCell ref="C857:C858"/>
    <mergeCell ref="D857:D858"/>
    <mergeCell ref="E857:E858"/>
    <mergeCell ref="F857:F858"/>
    <mergeCell ref="A812:A813"/>
    <mergeCell ref="B812:B813"/>
    <mergeCell ref="C812:C813"/>
    <mergeCell ref="D812:D813"/>
    <mergeCell ref="E812:E813"/>
    <mergeCell ref="F812:F813"/>
    <mergeCell ref="A827:A828"/>
    <mergeCell ref="B827:B828"/>
    <mergeCell ref="C827:C828"/>
    <mergeCell ref="D827:D828"/>
    <mergeCell ref="E827:E828"/>
    <mergeCell ref="F827:F828"/>
    <mergeCell ref="A782:A783"/>
    <mergeCell ref="B782:B783"/>
    <mergeCell ref="C782:C783"/>
    <mergeCell ref="D782:D783"/>
    <mergeCell ref="E782:E783"/>
    <mergeCell ref="F782:F783"/>
    <mergeCell ref="A797:A798"/>
    <mergeCell ref="B797:B798"/>
    <mergeCell ref="C797:C798"/>
    <mergeCell ref="D797:D798"/>
    <mergeCell ref="E797:E798"/>
    <mergeCell ref="F797:F798"/>
    <mergeCell ref="A752:A753"/>
    <mergeCell ref="B752:B753"/>
    <mergeCell ref="C752:C753"/>
    <mergeCell ref="D752:D753"/>
    <mergeCell ref="E752:E753"/>
    <mergeCell ref="F752:F753"/>
    <mergeCell ref="A767:A768"/>
    <mergeCell ref="B767:B768"/>
    <mergeCell ref="C767:C768"/>
    <mergeCell ref="D767:D768"/>
    <mergeCell ref="E767:E768"/>
    <mergeCell ref="F767:F768"/>
    <mergeCell ref="A722:A723"/>
    <mergeCell ref="B722:B723"/>
    <mergeCell ref="C722:C723"/>
    <mergeCell ref="D722:D723"/>
    <mergeCell ref="E722:E723"/>
    <mergeCell ref="F722:F723"/>
    <mergeCell ref="A737:A738"/>
    <mergeCell ref="B737:B738"/>
    <mergeCell ref="C737:C738"/>
    <mergeCell ref="D737:D738"/>
    <mergeCell ref="E737:E738"/>
    <mergeCell ref="F737:F738"/>
    <mergeCell ref="A691:A692"/>
    <mergeCell ref="B691:B692"/>
    <mergeCell ref="C691:C692"/>
    <mergeCell ref="D691:D692"/>
    <mergeCell ref="E691:E692"/>
    <mergeCell ref="F691:F692"/>
    <mergeCell ref="A707:A708"/>
    <mergeCell ref="B707:B708"/>
    <mergeCell ref="C707:C708"/>
    <mergeCell ref="D707:D708"/>
    <mergeCell ref="E707:E708"/>
    <mergeCell ref="F707:F708"/>
    <mergeCell ref="A661:A662"/>
    <mergeCell ref="B661:B662"/>
    <mergeCell ref="C661:C662"/>
    <mergeCell ref="D661:D662"/>
    <mergeCell ref="E661:E662"/>
    <mergeCell ref="F661:F662"/>
    <mergeCell ref="A676:A677"/>
    <mergeCell ref="B676:B677"/>
    <mergeCell ref="C676:C677"/>
    <mergeCell ref="D676:D677"/>
    <mergeCell ref="E676:E677"/>
    <mergeCell ref="F676:F677"/>
    <mergeCell ref="A631:A632"/>
    <mergeCell ref="B631:B632"/>
    <mergeCell ref="C631:C632"/>
    <mergeCell ref="D631:D632"/>
    <mergeCell ref="E631:E632"/>
    <mergeCell ref="F631:F632"/>
    <mergeCell ref="A646:A647"/>
    <mergeCell ref="B646:B647"/>
    <mergeCell ref="C646:C647"/>
    <mergeCell ref="D646:D647"/>
    <mergeCell ref="E646:E647"/>
    <mergeCell ref="F646:F647"/>
    <mergeCell ref="A616:A617"/>
    <mergeCell ref="B616:B617"/>
    <mergeCell ref="C616:C617"/>
    <mergeCell ref="D616:D617"/>
    <mergeCell ref="E616:E617"/>
    <mergeCell ref="F616:F617"/>
    <mergeCell ref="A571:A572"/>
    <mergeCell ref="B571:B572"/>
    <mergeCell ref="C571:C572"/>
    <mergeCell ref="D571:D572"/>
    <mergeCell ref="E571:E572"/>
    <mergeCell ref="F571:F572"/>
    <mergeCell ref="A586:A587"/>
    <mergeCell ref="B586:B587"/>
    <mergeCell ref="C586:C587"/>
    <mergeCell ref="D586:D587"/>
    <mergeCell ref="E586:E587"/>
    <mergeCell ref="F586:F587"/>
    <mergeCell ref="E556:E557"/>
    <mergeCell ref="F556:F557"/>
    <mergeCell ref="A511:A512"/>
    <mergeCell ref="B511:B512"/>
    <mergeCell ref="C511:C512"/>
    <mergeCell ref="D511:D512"/>
    <mergeCell ref="E511:E512"/>
    <mergeCell ref="F511:F512"/>
    <mergeCell ref="A526:A527"/>
    <mergeCell ref="B526:B527"/>
    <mergeCell ref="C526:C527"/>
    <mergeCell ref="D526:D527"/>
    <mergeCell ref="E526:E527"/>
    <mergeCell ref="F526:F527"/>
    <mergeCell ref="A601:A602"/>
    <mergeCell ref="B601:B602"/>
    <mergeCell ref="C601:C602"/>
    <mergeCell ref="D601:D602"/>
    <mergeCell ref="E601:E602"/>
    <mergeCell ref="F601:F602"/>
    <mergeCell ref="F2:F3"/>
    <mergeCell ref="A17:A18"/>
    <mergeCell ref="B17:B18"/>
    <mergeCell ref="C17:C18"/>
    <mergeCell ref="D17:D18"/>
    <mergeCell ref="E17:E18"/>
    <mergeCell ref="F17:F18"/>
    <mergeCell ref="A2:A3"/>
    <mergeCell ref="B2:B3"/>
    <mergeCell ref="C2:C3"/>
    <mergeCell ref="D2:D3"/>
    <mergeCell ref="E2:E3"/>
    <mergeCell ref="A47:A48"/>
    <mergeCell ref="B47:B48"/>
    <mergeCell ref="C47:C48"/>
    <mergeCell ref="D47:D48"/>
    <mergeCell ref="E47:E48"/>
    <mergeCell ref="F47:F48"/>
    <mergeCell ref="A32:A33"/>
    <mergeCell ref="B32:B33"/>
    <mergeCell ref="C32:C33"/>
    <mergeCell ref="D32:D33"/>
    <mergeCell ref="E32:E33"/>
    <mergeCell ref="F32:F33"/>
    <mergeCell ref="A77:A78"/>
    <mergeCell ref="B77:B78"/>
    <mergeCell ref="C77:C78"/>
    <mergeCell ref="D77:D78"/>
    <mergeCell ref="E77:E78"/>
    <mergeCell ref="F77:F78"/>
    <mergeCell ref="A62:A63"/>
    <mergeCell ref="B62:B63"/>
    <mergeCell ref="C62:C63"/>
    <mergeCell ref="D62:D63"/>
    <mergeCell ref="E62:E63"/>
    <mergeCell ref="F62:F63"/>
    <mergeCell ref="A107:A108"/>
    <mergeCell ref="B107:B108"/>
    <mergeCell ref="C107:C108"/>
    <mergeCell ref="D107:D108"/>
    <mergeCell ref="E107:E108"/>
    <mergeCell ref="F107:F108"/>
    <mergeCell ref="A92:A93"/>
    <mergeCell ref="B92:B93"/>
    <mergeCell ref="C92:C93"/>
    <mergeCell ref="D92:D93"/>
    <mergeCell ref="E92:E93"/>
    <mergeCell ref="F92:F93"/>
    <mergeCell ref="A137:A138"/>
    <mergeCell ref="B137:B138"/>
    <mergeCell ref="C137:C138"/>
    <mergeCell ref="D137:D13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67:A168"/>
    <mergeCell ref="B167:B168"/>
    <mergeCell ref="C167:C168"/>
    <mergeCell ref="D167:D168"/>
    <mergeCell ref="E167:E168"/>
    <mergeCell ref="F167:F168"/>
    <mergeCell ref="A152:A153"/>
    <mergeCell ref="B152:B153"/>
    <mergeCell ref="C152:C153"/>
    <mergeCell ref="D152:D153"/>
    <mergeCell ref="E152:E153"/>
    <mergeCell ref="F152:F153"/>
    <mergeCell ref="A197:A198"/>
    <mergeCell ref="B197:B198"/>
    <mergeCell ref="C197:C198"/>
    <mergeCell ref="D197:D198"/>
    <mergeCell ref="E197:E198"/>
    <mergeCell ref="F197:F198"/>
    <mergeCell ref="A182:A183"/>
    <mergeCell ref="B182:B183"/>
    <mergeCell ref="C182:C183"/>
    <mergeCell ref="D182:D183"/>
    <mergeCell ref="E182:E183"/>
    <mergeCell ref="F182:F183"/>
    <mergeCell ref="A227:A228"/>
    <mergeCell ref="B227:B228"/>
    <mergeCell ref="C227:C228"/>
    <mergeCell ref="D227:D228"/>
    <mergeCell ref="E227:E228"/>
    <mergeCell ref="F227:F228"/>
    <mergeCell ref="A212:A213"/>
    <mergeCell ref="B212:B213"/>
    <mergeCell ref="C212:C213"/>
    <mergeCell ref="D212:D213"/>
    <mergeCell ref="E212:E213"/>
    <mergeCell ref="F212:F213"/>
    <mergeCell ref="A257:A258"/>
    <mergeCell ref="B257:B258"/>
    <mergeCell ref="C257:C258"/>
    <mergeCell ref="D257:D258"/>
    <mergeCell ref="E257:E258"/>
    <mergeCell ref="F257:F258"/>
    <mergeCell ref="A242:A243"/>
    <mergeCell ref="B242:B243"/>
    <mergeCell ref="C242:C243"/>
    <mergeCell ref="D242:D243"/>
    <mergeCell ref="E242:E243"/>
    <mergeCell ref="F242:F243"/>
    <mergeCell ref="A287:A288"/>
    <mergeCell ref="B287:B288"/>
    <mergeCell ref="C287:C288"/>
    <mergeCell ref="D287:D288"/>
    <mergeCell ref="E287:E288"/>
    <mergeCell ref="F287:F288"/>
    <mergeCell ref="A272:A273"/>
    <mergeCell ref="B272:B273"/>
    <mergeCell ref="C272:C273"/>
    <mergeCell ref="D272:D273"/>
    <mergeCell ref="E272:E273"/>
    <mergeCell ref="F272:F273"/>
    <mergeCell ref="A317:A318"/>
    <mergeCell ref="B317:B318"/>
    <mergeCell ref="C317:C318"/>
    <mergeCell ref="D317:D318"/>
    <mergeCell ref="E317:E318"/>
    <mergeCell ref="F317:F318"/>
    <mergeCell ref="A302:A303"/>
    <mergeCell ref="B302:B303"/>
    <mergeCell ref="C302:C303"/>
    <mergeCell ref="D302:D303"/>
    <mergeCell ref="E302:E303"/>
    <mergeCell ref="F302:F303"/>
    <mergeCell ref="A361:A362"/>
    <mergeCell ref="B361:B362"/>
    <mergeCell ref="C361:C362"/>
    <mergeCell ref="D361:D362"/>
    <mergeCell ref="E361:E362"/>
    <mergeCell ref="F361:F362"/>
    <mergeCell ref="A332:A333"/>
    <mergeCell ref="B332:B333"/>
    <mergeCell ref="C332:C333"/>
    <mergeCell ref="D332:D333"/>
    <mergeCell ref="E332:E333"/>
    <mergeCell ref="F332:F333"/>
    <mergeCell ref="A346:A347"/>
    <mergeCell ref="B346:B347"/>
    <mergeCell ref="C346:C347"/>
    <mergeCell ref="D346:D347"/>
    <mergeCell ref="E346:E347"/>
    <mergeCell ref="F346:F347"/>
    <mergeCell ref="A391:A392"/>
    <mergeCell ref="B391:B392"/>
    <mergeCell ref="C391:C392"/>
    <mergeCell ref="D391:D392"/>
    <mergeCell ref="E391:E392"/>
    <mergeCell ref="F391:F392"/>
    <mergeCell ref="A376:A377"/>
    <mergeCell ref="B376:B377"/>
    <mergeCell ref="C376:C377"/>
    <mergeCell ref="D376:D377"/>
    <mergeCell ref="E376:E377"/>
    <mergeCell ref="F376:F377"/>
    <mergeCell ref="A421:A422"/>
    <mergeCell ref="B421:B422"/>
    <mergeCell ref="C421:C422"/>
    <mergeCell ref="D421:D422"/>
    <mergeCell ref="E421:E422"/>
    <mergeCell ref="F421:F422"/>
    <mergeCell ref="A406:A407"/>
    <mergeCell ref="B406:B407"/>
    <mergeCell ref="C406:C407"/>
    <mergeCell ref="D406:D407"/>
    <mergeCell ref="E406:E407"/>
    <mergeCell ref="F406:F407"/>
    <mergeCell ref="A451:A452"/>
    <mergeCell ref="B451:B452"/>
    <mergeCell ref="C451:C452"/>
    <mergeCell ref="D451:D452"/>
    <mergeCell ref="E451:E452"/>
    <mergeCell ref="F451:F452"/>
    <mergeCell ref="A436:A437"/>
    <mergeCell ref="B436:B437"/>
    <mergeCell ref="C436:C437"/>
    <mergeCell ref="D436:D437"/>
    <mergeCell ref="E436:E437"/>
    <mergeCell ref="F436:F437"/>
    <mergeCell ref="A872:A873"/>
    <mergeCell ref="B872:B873"/>
    <mergeCell ref="C872:C873"/>
    <mergeCell ref="D872:D873"/>
    <mergeCell ref="E872:E873"/>
    <mergeCell ref="F872:F873"/>
    <mergeCell ref="A466:A467"/>
    <mergeCell ref="B466:B467"/>
    <mergeCell ref="C466:C467"/>
    <mergeCell ref="D466:D467"/>
    <mergeCell ref="E466:E467"/>
    <mergeCell ref="F466:F467"/>
    <mergeCell ref="A481:A482"/>
    <mergeCell ref="B481:B482"/>
    <mergeCell ref="C481:C482"/>
    <mergeCell ref="D481:D482"/>
    <mergeCell ref="E481:E482"/>
    <mergeCell ref="F481:F482"/>
    <mergeCell ref="A496:A497"/>
    <mergeCell ref="B496:B497"/>
    <mergeCell ref="C496:C497"/>
    <mergeCell ref="D496:D497"/>
    <mergeCell ref="E496:E497"/>
    <mergeCell ref="F496:F497"/>
    <mergeCell ref="A887:A888"/>
    <mergeCell ref="B887:B888"/>
    <mergeCell ref="C887:C888"/>
    <mergeCell ref="D887:D888"/>
    <mergeCell ref="E887:E888"/>
    <mergeCell ref="F887:F888"/>
    <mergeCell ref="A902:A903"/>
    <mergeCell ref="B902:B903"/>
    <mergeCell ref="C902:C903"/>
    <mergeCell ref="D902:D903"/>
    <mergeCell ref="E902:E903"/>
    <mergeCell ref="F902:F903"/>
    <mergeCell ref="A920:A921"/>
    <mergeCell ref="B920:B921"/>
    <mergeCell ref="C920:C921"/>
    <mergeCell ref="D920:D921"/>
    <mergeCell ref="E920:E921"/>
    <mergeCell ref="F920:F921"/>
    <mergeCell ref="A541:A542"/>
    <mergeCell ref="B541:B542"/>
    <mergeCell ref="C541:C542"/>
    <mergeCell ref="D541:D542"/>
    <mergeCell ref="E541:E542"/>
    <mergeCell ref="F541:F542"/>
    <mergeCell ref="A556:A557"/>
    <mergeCell ref="B556:B557"/>
    <mergeCell ref="C556:C557"/>
    <mergeCell ref="D556:D557"/>
    <mergeCell ref="A935:A936"/>
    <mergeCell ref="B935:B936"/>
    <mergeCell ref="C935:C936"/>
    <mergeCell ref="D935:D936"/>
    <mergeCell ref="E935:E936"/>
    <mergeCell ref="F935:F936"/>
    <mergeCell ref="A950:A951"/>
    <mergeCell ref="B950:B951"/>
    <mergeCell ref="C950:C951"/>
    <mergeCell ref="D950:D951"/>
    <mergeCell ref="E950:E951"/>
    <mergeCell ref="F950:F951"/>
    <mergeCell ref="A965:A966"/>
    <mergeCell ref="B965:B966"/>
    <mergeCell ref="C965:C966"/>
    <mergeCell ref="D965:D966"/>
    <mergeCell ref="E965:E966"/>
    <mergeCell ref="F965:F966"/>
    <mergeCell ref="A980:A981"/>
    <mergeCell ref="B980:B981"/>
    <mergeCell ref="C980:C981"/>
    <mergeCell ref="D980:D981"/>
    <mergeCell ref="E980:E981"/>
    <mergeCell ref="F980:F981"/>
    <mergeCell ref="A995:A996"/>
    <mergeCell ref="B995:B996"/>
    <mergeCell ref="C995:C996"/>
    <mergeCell ref="D995:D996"/>
    <mergeCell ref="E995:E996"/>
    <mergeCell ref="F995:F996"/>
    <mergeCell ref="A1010:A1011"/>
    <mergeCell ref="B1010:B1011"/>
    <mergeCell ref="C1010:C1011"/>
    <mergeCell ref="D1010:D1011"/>
    <mergeCell ref="E1010:E1011"/>
    <mergeCell ref="F1010:F1011"/>
    <mergeCell ref="A1025:A1026"/>
    <mergeCell ref="B1025:B1026"/>
    <mergeCell ref="C1025:C1026"/>
    <mergeCell ref="D1025:D1026"/>
    <mergeCell ref="E1025:E1026"/>
    <mergeCell ref="F1025:F1026"/>
    <mergeCell ref="A1040:A1041"/>
    <mergeCell ref="B1040:B1041"/>
    <mergeCell ref="C1040:C1041"/>
    <mergeCell ref="D1040:D1041"/>
    <mergeCell ref="E1040:E1041"/>
    <mergeCell ref="F1040:F1041"/>
    <mergeCell ref="A1055:A1056"/>
    <mergeCell ref="B1055:B1056"/>
    <mergeCell ref="C1055:C1056"/>
    <mergeCell ref="D1055:D1056"/>
    <mergeCell ref="E1055:E1056"/>
    <mergeCell ref="F1055:F1056"/>
    <mergeCell ref="A1070:A1071"/>
    <mergeCell ref="B1070:B1071"/>
    <mergeCell ref="C1070:C1071"/>
    <mergeCell ref="D1070:D1071"/>
    <mergeCell ref="E1070:E1071"/>
    <mergeCell ref="F1070:F1071"/>
    <mergeCell ref="A1085:A1086"/>
    <mergeCell ref="B1085:B1086"/>
    <mergeCell ref="C1085:C1086"/>
    <mergeCell ref="D1085:D1086"/>
    <mergeCell ref="E1085:E1086"/>
    <mergeCell ref="F1085:F1086"/>
    <mergeCell ref="A1100:A1101"/>
    <mergeCell ref="B1100:B1101"/>
    <mergeCell ref="C1100:C1101"/>
    <mergeCell ref="D1100:D1101"/>
    <mergeCell ref="E1100:E1101"/>
    <mergeCell ref="F1100:F1101"/>
    <mergeCell ref="A1115:A1116"/>
    <mergeCell ref="B1115:B1116"/>
    <mergeCell ref="C1115:C1116"/>
    <mergeCell ref="D1115:D1116"/>
    <mergeCell ref="E1115:E1116"/>
    <mergeCell ref="F1115:F1116"/>
    <mergeCell ref="A1130:A1131"/>
    <mergeCell ref="B1130:B1131"/>
    <mergeCell ref="C1130:C1131"/>
    <mergeCell ref="D1130:D1131"/>
    <mergeCell ref="E1130:E1131"/>
    <mergeCell ref="F1130:F1131"/>
    <mergeCell ref="A1145:A1146"/>
    <mergeCell ref="B1145:B1146"/>
    <mergeCell ref="C1145:C1146"/>
    <mergeCell ref="D1145:D1146"/>
    <mergeCell ref="E1145:E1146"/>
    <mergeCell ref="F1145:F1146"/>
    <mergeCell ref="A1160:A1161"/>
    <mergeCell ref="B1160:B1161"/>
    <mergeCell ref="C1160:C1161"/>
    <mergeCell ref="D1160:D1161"/>
    <mergeCell ref="E1160:E1161"/>
    <mergeCell ref="F1160:F1161"/>
    <mergeCell ref="A1175:A1176"/>
    <mergeCell ref="B1175:B1176"/>
    <mergeCell ref="C1175:C1176"/>
    <mergeCell ref="D1175:D1176"/>
    <mergeCell ref="E1175:E1176"/>
    <mergeCell ref="F1175:F1176"/>
    <mergeCell ref="A1229:A1230"/>
    <mergeCell ref="B1229:B1230"/>
    <mergeCell ref="C1229:C1230"/>
    <mergeCell ref="D1229:D1230"/>
    <mergeCell ref="E1229:E1230"/>
    <mergeCell ref="F1229:F1230"/>
    <mergeCell ref="A1190:A1191"/>
    <mergeCell ref="B1190:B1191"/>
    <mergeCell ref="C1190:C1191"/>
    <mergeCell ref="D1190:D1191"/>
    <mergeCell ref="E1190:E1191"/>
    <mergeCell ref="F1190:F1191"/>
    <mergeCell ref="A1205:A1206"/>
    <mergeCell ref="B1205:B1206"/>
    <mergeCell ref="C1205:C1206"/>
    <mergeCell ref="D1205:D1206"/>
    <mergeCell ref="E1205:E1206"/>
    <mergeCell ref="F1205:F1206"/>
    <mergeCell ref="A1869:A1870"/>
    <mergeCell ref="B1869:B1870"/>
    <mergeCell ref="C1869:C1870"/>
    <mergeCell ref="D1869:D1870"/>
    <mergeCell ref="E1869:E1870"/>
    <mergeCell ref="F1869:F1870"/>
    <mergeCell ref="A1884:A1885"/>
    <mergeCell ref="B1884:B1885"/>
    <mergeCell ref="C1884:C1885"/>
    <mergeCell ref="D1884:D1885"/>
    <mergeCell ref="E1884:E1885"/>
    <mergeCell ref="F1884:F1885"/>
    <mergeCell ref="E1809:E1810"/>
    <mergeCell ref="F1809:F1810"/>
    <mergeCell ref="A1854:A1855"/>
    <mergeCell ref="B1854:B1855"/>
    <mergeCell ref="C1854:C1855"/>
    <mergeCell ref="D1854:D1855"/>
    <mergeCell ref="E1854:E1855"/>
    <mergeCell ref="F1854:F1855"/>
    <mergeCell ref="A1824:A1825"/>
    <mergeCell ref="B1824:B1825"/>
    <mergeCell ref="C1824:C1825"/>
    <mergeCell ref="D1824:D1825"/>
    <mergeCell ref="E1824:E1825"/>
    <mergeCell ref="F1824:F1825"/>
    <mergeCell ref="A1839:A1840"/>
    <mergeCell ref="B1839:B1840"/>
    <mergeCell ref="C1839:C1840"/>
    <mergeCell ref="D1839:D1840"/>
    <mergeCell ref="E1839:E1840"/>
    <mergeCell ref="F1839:F1840"/>
    <mergeCell ref="A1914:A1915"/>
    <mergeCell ref="B1914:B1915"/>
    <mergeCell ref="C1914:C1915"/>
    <mergeCell ref="D1914:D1915"/>
    <mergeCell ref="E1914:E1915"/>
    <mergeCell ref="F1914:F1915"/>
    <mergeCell ref="A1929:A1930"/>
    <mergeCell ref="B1929:B1930"/>
    <mergeCell ref="C1929:C1930"/>
    <mergeCell ref="D1929:D1930"/>
    <mergeCell ref="E1929:E1930"/>
    <mergeCell ref="F1929:F1930"/>
    <mergeCell ref="A1899:A1900"/>
    <mergeCell ref="B1899:B1900"/>
    <mergeCell ref="C1899:C1900"/>
    <mergeCell ref="D1899:D1900"/>
    <mergeCell ref="E1899:E1900"/>
    <mergeCell ref="F1899:F1900"/>
    <mergeCell ref="A1944:A1945"/>
    <mergeCell ref="B1944:B1945"/>
    <mergeCell ref="C1944:C1945"/>
    <mergeCell ref="D1944:D1945"/>
    <mergeCell ref="E1944:E1945"/>
    <mergeCell ref="F1944:F1945"/>
    <mergeCell ref="E2108:E2109"/>
    <mergeCell ref="F2108:F2109"/>
    <mergeCell ref="A2001:A2002"/>
    <mergeCell ref="B2001:B2002"/>
    <mergeCell ref="C2001:C2002"/>
    <mergeCell ref="D2001:D2002"/>
    <mergeCell ref="E2001:E2002"/>
    <mergeCell ref="F2001:F2002"/>
    <mergeCell ref="A2061:A2062"/>
    <mergeCell ref="B2061:B2062"/>
    <mergeCell ref="C2061:C2062"/>
    <mergeCell ref="D2061:D2062"/>
    <mergeCell ref="E2061:E2062"/>
    <mergeCell ref="F2061:F2062"/>
    <mergeCell ref="A2031:A2032"/>
    <mergeCell ref="B2031:B2032"/>
    <mergeCell ref="C2031:C2032"/>
    <mergeCell ref="D2031:D2032"/>
    <mergeCell ref="E2031:E2032"/>
    <mergeCell ref="F2031:F2032"/>
    <mergeCell ref="A2046:A2047"/>
    <mergeCell ref="B2046:B2047"/>
    <mergeCell ref="C2046:C2047"/>
    <mergeCell ref="D2046:D2047"/>
    <mergeCell ref="E2046:E2047"/>
    <mergeCell ref="F2046:F2047"/>
    <mergeCell ref="E2412:E2413"/>
    <mergeCell ref="F2412:F2413"/>
    <mergeCell ref="A2459:A2460"/>
    <mergeCell ref="B2367:B2368"/>
    <mergeCell ref="C2367:C2368"/>
    <mergeCell ref="D2367:D2368"/>
    <mergeCell ref="E2367:E2368"/>
    <mergeCell ref="F2367:F2368"/>
    <mergeCell ref="A2352:A2353"/>
    <mergeCell ref="B2321:B2322"/>
    <mergeCell ref="C2321:C2322"/>
    <mergeCell ref="D2321:D2322"/>
    <mergeCell ref="E2321:E2322"/>
    <mergeCell ref="F2321:F2322"/>
    <mergeCell ref="C2352:C2353"/>
    <mergeCell ref="D2352:D2353"/>
    <mergeCell ref="E2352:E2353"/>
    <mergeCell ref="B2352:B2353"/>
    <mergeCell ref="F2397:F2398"/>
    <mergeCell ref="A2382:A2383"/>
    <mergeCell ref="B2382:B2383"/>
    <mergeCell ref="C2382:C2383"/>
    <mergeCell ref="D2382:D2383"/>
    <mergeCell ref="E2382:E2383"/>
    <mergeCell ref="F2382:F2383"/>
    <mergeCell ref="A2397:A2398"/>
    <mergeCell ref="B2397:B2398"/>
    <mergeCell ref="C2397:C2398"/>
    <mergeCell ref="D2397:D2398"/>
    <mergeCell ref="E2397:E2398"/>
    <mergeCell ref="F2352:F2353"/>
    <mergeCell ref="A2367:A2368"/>
    <mergeCell ref="A2550:A2551"/>
    <mergeCell ref="C2764:C2765"/>
    <mergeCell ref="C2475:C2476"/>
    <mergeCell ref="A2412:A2413"/>
    <mergeCell ref="A2505:A2506"/>
    <mergeCell ref="F2505:F2506"/>
    <mergeCell ref="A2475:A2476"/>
    <mergeCell ref="B2475:B2476"/>
    <mergeCell ref="B2505:B2506"/>
    <mergeCell ref="A2444:A2445"/>
    <mergeCell ref="B2444:B2445"/>
    <mergeCell ref="C2444:C2445"/>
    <mergeCell ref="F2535:F2536"/>
    <mergeCell ref="E2520:E2521"/>
    <mergeCell ref="A2520:A2521"/>
    <mergeCell ref="B2520:B2521"/>
    <mergeCell ref="D2444:D2445"/>
    <mergeCell ref="E2444:E2445"/>
    <mergeCell ref="F2444:F2445"/>
    <mergeCell ref="A2429:A2430"/>
    <mergeCell ref="B2429:B2430"/>
    <mergeCell ref="C2429:C2430"/>
    <mergeCell ref="D2429:D2430"/>
    <mergeCell ref="E2429:E2430"/>
    <mergeCell ref="C2505:C2506"/>
    <mergeCell ref="D2505:D2506"/>
    <mergeCell ref="C2520:C2521"/>
    <mergeCell ref="B2412:B2413"/>
    <mergeCell ref="C2412:C2413"/>
    <mergeCell ref="F2429:F2430"/>
    <mergeCell ref="D2520:D2521"/>
    <mergeCell ref="D2412:D2413"/>
    <mergeCell ref="C2641:C2642"/>
    <mergeCell ref="D2641:D2642"/>
    <mergeCell ref="E2682:E2683"/>
    <mergeCell ref="B2459:B2460"/>
    <mergeCell ref="C2459:C2460"/>
    <mergeCell ref="D2459:D2460"/>
    <mergeCell ref="E2459:E2460"/>
    <mergeCell ref="F2459:F2460"/>
    <mergeCell ref="E2550:E2551"/>
    <mergeCell ref="C2535:C2536"/>
    <mergeCell ref="D2535:D2536"/>
    <mergeCell ref="D2795:D2796"/>
    <mergeCell ref="B2731:B2732"/>
    <mergeCell ref="A2535:A2536"/>
    <mergeCell ref="B2535:B2536"/>
    <mergeCell ref="C2565:C2566"/>
    <mergeCell ref="D2565:D2566"/>
    <mergeCell ref="A2596:A2597"/>
    <mergeCell ref="D2611:D2612"/>
    <mergeCell ref="E2611:E2612"/>
    <mergeCell ref="F2611:F2612"/>
    <mergeCell ref="A2613:A2615"/>
    <mergeCell ref="A2626:A2627"/>
    <mergeCell ref="B2626:B2627"/>
    <mergeCell ref="E2565:E2566"/>
    <mergeCell ref="F2565:F2566"/>
    <mergeCell ref="F2550:F2551"/>
    <mergeCell ref="E2535:E2536"/>
    <mergeCell ref="B2611:B2612"/>
    <mergeCell ref="A2565:A2566"/>
    <mergeCell ref="B2565:B2566"/>
    <mergeCell ref="F2520:F2521"/>
    <mergeCell ref="D2682:D2683"/>
    <mergeCell ref="A2666:A2667"/>
    <mergeCell ref="C2693:C2694"/>
    <mergeCell ref="D2475:D2476"/>
    <mergeCell ref="E2475:E2476"/>
    <mergeCell ref="F2475:F2476"/>
    <mergeCell ref="A2490:A2491"/>
    <mergeCell ref="B2490:B2491"/>
    <mergeCell ref="C2490:C2491"/>
    <mergeCell ref="D2490:D2491"/>
    <mergeCell ref="E2490:E2491"/>
    <mergeCell ref="F2490:F2491"/>
    <mergeCell ref="A2668:A2674"/>
    <mergeCell ref="A2682:A2683"/>
    <mergeCell ref="B2682:B2683"/>
    <mergeCell ref="A2628:A2630"/>
    <mergeCell ref="E2596:E2597"/>
    <mergeCell ref="F2596:F2597"/>
    <mergeCell ref="F2626:F2627"/>
    <mergeCell ref="E2580:E2581"/>
    <mergeCell ref="A2611:A2612"/>
    <mergeCell ref="F2580:F2581"/>
    <mergeCell ref="B2550:B2551"/>
    <mergeCell ref="C2550:C2551"/>
    <mergeCell ref="D2550:D2551"/>
    <mergeCell ref="E2505:E2506"/>
    <mergeCell ref="A2580:A2581"/>
    <mergeCell ref="B2580:B2581"/>
    <mergeCell ref="C2580:C2581"/>
    <mergeCell ref="D2580:D2581"/>
    <mergeCell ref="A2641:A2642"/>
    <mergeCell ref="B2641:B2642"/>
    <mergeCell ref="F2764:F2765"/>
    <mergeCell ref="D2728:D2729"/>
    <mergeCell ref="C2709:C2710"/>
    <mergeCell ref="E2726:E2727"/>
    <mergeCell ref="A2718:A2719"/>
    <mergeCell ref="B2718:B2719"/>
    <mergeCell ref="C2718:C2719"/>
    <mergeCell ref="D2718:D2719"/>
    <mergeCell ref="E2718:E2719"/>
    <mergeCell ref="F2718:F2719"/>
    <mergeCell ref="A2720:A2723"/>
    <mergeCell ref="D2720:D2723"/>
    <mergeCell ref="A2711:A2713"/>
    <mergeCell ref="F2726:F2727"/>
    <mergeCell ref="B2743:B2744"/>
    <mergeCell ref="C2743:C2744"/>
    <mergeCell ref="A2731:A2732"/>
    <mergeCell ref="E2743:E2744"/>
    <mergeCell ref="C2756:C2757"/>
    <mergeCell ref="F2709:F2710"/>
    <mergeCell ref="A2709:A2710"/>
    <mergeCell ref="B2709:B2710"/>
    <mergeCell ref="D2766:D2772"/>
    <mergeCell ref="C2611:C2612"/>
    <mergeCell ref="B2596:B2597"/>
    <mergeCell ref="C2596:C2597"/>
    <mergeCell ref="D2596:D2597"/>
    <mergeCell ref="A2756:A2757"/>
    <mergeCell ref="F2743:F2744"/>
    <mergeCell ref="A2693:A2694"/>
    <mergeCell ref="B2693:B2694"/>
    <mergeCell ref="D2709:D2710"/>
    <mergeCell ref="E2709:E2710"/>
    <mergeCell ref="B2726:B2727"/>
    <mergeCell ref="C2726:C2727"/>
    <mergeCell ref="D2726:D2727"/>
    <mergeCell ref="A2728:A2729"/>
    <mergeCell ref="C2657:C2658"/>
    <mergeCell ref="E2641:E2642"/>
    <mergeCell ref="F2641:F2642"/>
    <mergeCell ref="C2626:C2627"/>
    <mergeCell ref="D2626:D2627"/>
    <mergeCell ref="E2693:E2694"/>
    <mergeCell ref="E2626:E2627"/>
    <mergeCell ref="F2693:F2694"/>
    <mergeCell ref="A2659:A2661"/>
    <mergeCell ref="C2682:C2683"/>
    <mergeCell ref="F2682:F2683"/>
    <mergeCell ref="C2731:C2732"/>
    <mergeCell ref="D2731:D2732"/>
    <mergeCell ref="A2684:A2689"/>
    <mergeCell ref="D2693:D2694"/>
    <mergeCell ref="A2657:A2658"/>
    <mergeCell ref="B2657:B2658"/>
    <mergeCell ref="D2810:D2811"/>
    <mergeCell ref="A2803:A2804"/>
    <mergeCell ref="F2666:F2667"/>
    <mergeCell ref="D2657:D2658"/>
    <mergeCell ref="E2657:E2658"/>
    <mergeCell ref="F2657:F2658"/>
    <mergeCell ref="A2726:A2727"/>
    <mergeCell ref="B2728:B2729"/>
    <mergeCell ref="B2795:B2796"/>
    <mergeCell ref="D2743:D2744"/>
    <mergeCell ref="A2764:A2765"/>
    <mergeCell ref="B2764:B2765"/>
    <mergeCell ref="A2797:A2800"/>
    <mergeCell ref="A2758:A2761"/>
    <mergeCell ref="F2803:F2804"/>
    <mergeCell ref="A2774:A2775"/>
    <mergeCell ref="F2785:F2786"/>
    <mergeCell ref="E2785:E2786"/>
    <mergeCell ref="B2756:B2757"/>
    <mergeCell ref="E2731:E2732"/>
    <mergeCell ref="F2731:F2732"/>
    <mergeCell ref="F2756:F2757"/>
    <mergeCell ref="E2795:E2796"/>
    <mergeCell ref="B2785:B2786"/>
    <mergeCell ref="C2785:C2786"/>
    <mergeCell ref="D2756:D2757"/>
    <mergeCell ref="D2785:D2786"/>
    <mergeCell ref="D2764:D2765"/>
    <mergeCell ref="A2787:A2793"/>
    <mergeCell ref="D2787:D2793"/>
    <mergeCell ref="A2766:A2772"/>
    <mergeCell ref="E2764:E2765"/>
    <mergeCell ref="B2907:B2908"/>
    <mergeCell ref="C2907:C2908"/>
    <mergeCell ref="B2774:B2775"/>
    <mergeCell ref="C2795:C2796"/>
    <mergeCell ref="C2774:C2775"/>
    <mergeCell ref="D2774:D2775"/>
    <mergeCell ref="E2774:E2775"/>
    <mergeCell ref="F2774:F2775"/>
    <mergeCell ref="A2776:A2781"/>
    <mergeCell ref="A2810:A2811"/>
    <mergeCell ref="B2805:B2807"/>
    <mergeCell ref="D2805:D2807"/>
    <mergeCell ref="A2785:A2786"/>
    <mergeCell ref="F2857:F2858"/>
    <mergeCell ref="A2859:A2865"/>
    <mergeCell ref="E2810:E2811"/>
    <mergeCell ref="F2810:F2811"/>
    <mergeCell ref="A2812:A2819"/>
    <mergeCell ref="D2812:D2819"/>
    <mergeCell ref="A2795:A2796"/>
    <mergeCell ref="F2795:F2796"/>
    <mergeCell ref="D2803:D2804"/>
    <mergeCell ref="A2822:A2823"/>
    <mergeCell ref="B2822:B2823"/>
    <mergeCell ref="E2846:E2847"/>
    <mergeCell ref="F2869:F2870"/>
    <mergeCell ref="F2846:F2847"/>
    <mergeCell ref="B2810:B2811"/>
    <mergeCell ref="E2803:E2804"/>
    <mergeCell ref="A2805:A2807"/>
    <mergeCell ref="C2803:C2804"/>
    <mergeCell ref="C2810:C2811"/>
    <mergeCell ref="D2898:D2904"/>
    <mergeCell ref="E2947:E2948"/>
    <mergeCell ref="A2907:A2908"/>
    <mergeCell ref="D2907:D2908"/>
    <mergeCell ref="A2909:A2912"/>
    <mergeCell ref="A2917:A2919"/>
    <mergeCell ref="A2743:A2744"/>
    <mergeCell ref="E2756:E2757"/>
    <mergeCell ref="E2922:E2923"/>
    <mergeCell ref="B2941:B2945"/>
    <mergeCell ref="D2941:D2945"/>
    <mergeCell ref="B2846:B2847"/>
    <mergeCell ref="A2834:A2835"/>
    <mergeCell ref="B2834:B2835"/>
    <mergeCell ref="D2822:D2823"/>
    <mergeCell ref="E2822:E2823"/>
    <mergeCell ref="B2803:B2804"/>
    <mergeCell ref="B2888:B2893"/>
    <mergeCell ref="D2888:D2893"/>
    <mergeCell ref="A2857:A2858"/>
    <mergeCell ref="B2857:B2858"/>
    <mergeCell ref="C2857:C2858"/>
    <mergeCell ref="D2857:D2858"/>
    <mergeCell ref="E2857:E2858"/>
    <mergeCell ref="C2822:C2823"/>
    <mergeCell ref="C2834:C2835"/>
    <mergeCell ref="A2848:A2851"/>
    <mergeCell ref="D2848:D2853"/>
    <mergeCell ref="A2846:A2847"/>
    <mergeCell ref="C2915:C2916"/>
    <mergeCell ref="D2915:D2916"/>
    <mergeCell ref="E2915:E2916"/>
    <mergeCell ref="G2964:G2965"/>
    <mergeCell ref="A2966:A2968"/>
    <mergeCell ref="B2966:B2968"/>
    <mergeCell ref="D2966:D2968"/>
    <mergeCell ref="E2966:E2968"/>
    <mergeCell ref="F2822:F2823"/>
    <mergeCell ref="B2869:B2870"/>
    <mergeCell ref="C2869:C2870"/>
    <mergeCell ref="D2869:D2870"/>
    <mergeCell ref="E2834:E2835"/>
    <mergeCell ref="F2834:F2835"/>
    <mergeCell ref="C2846:C2847"/>
    <mergeCell ref="D2846:D2847"/>
    <mergeCell ref="F2886:F2887"/>
    <mergeCell ref="A2869:A2870"/>
    <mergeCell ref="A2886:A2887"/>
    <mergeCell ref="B2886:B2887"/>
    <mergeCell ref="C2886:C2887"/>
    <mergeCell ref="D2886:D2887"/>
    <mergeCell ref="D2859:D2864"/>
    <mergeCell ref="F2922:F2923"/>
    <mergeCell ref="E2886:E2887"/>
    <mergeCell ref="E2869:E2870"/>
    <mergeCell ref="D2956:D2957"/>
    <mergeCell ref="E2956:E2957"/>
    <mergeCell ref="E2949:E2951"/>
    <mergeCell ref="A2888:A2893"/>
    <mergeCell ref="D2939:D2940"/>
    <mergeCell ref="E2939:E2940"/>
    <mergeCell ref="A2949:A2954"/>
    <mergeCell ref="B2949:B2954"/>
    <mergeCell ref="A2898:A2904"/>
    <mergeCell ref="G3141:G3142"/>
    <mergeCell ref="A3143:A3147"/>
    <mergeCell ref="D2834:D2835"/>
    <mergeCell ref="B2939:B2940"/>
    <mergeCell ref="E2907:E2908"/>
    <mergeCell ref="D2909:D2912"/>
    <mergeCell ref="C2939:C2940"/>
    <mergeCell ref="E3194:E3195"/>
    <mergeCell ref="A3161:A3165"/>
    <mergeCell ref="B3161:B3165"/>
    <mergeCell ref="D3161:D3165"/>
    <mergeCell ref="B3062:B3064"/>
    <mergeCell ref="D3062:D3064"/>
    <mergeCell ref="E3062:E3064"/>
    <mergeCell ref="G2907:G2908"/>
    <mergeCell ref="A3066:A3067"/>
    <mergeCell ref="B3066:B3067"/>
    <mergeCell ref="C3066:C3067"/>
    <mergeCell ref="D3066:D3067"/>
    <mergeCell ref="E3066:E3067"/>
    <mergeCell ref="F3066:F3067"/>
    <mergeCell ref="G3020:G3021"/>
    <mergeCell ref="A2939:A2940"/>
    <mergeCell ref="F2939:F2940"/>
    <mergeCell ref="A2973:A2975"/>
    <mergeCell ref="B2973:B2975"/>
    <mergeCell ref="E2964:E2965"/>
    <mergeCell ref="C3106:C3107"/>
    <mergeCell ref="A3079:A3080"/>
    <mergeCell ref="B3079:B3080"/>
    <mergeCell ref="G3121:G3122"/>
    <mergeCell ref="A3085:A3087"/>
    <mergeCell ref="G3106:G3107"/>
    <mergeCell ref="A3108:A3110"/>
    <mergeCell ref="B3108:B3110"/>
    <mergeCell ref="D3108:D3110"/>
    <mergeCell ref="A3096:A3097"/>
    <mergeCell ref="B3096:B3097"/>
    <mergeCell ref="C3096:C3097"/>
    <mergeCell ref="D3096:D3097"/>
    <mergeCell ref="E3096:E3097"/>
    <mergeCell ref="F3096:F3097"/>
    <mergeCell ref="A3090:A3091"/>
    <mergeCell ref="B3090:B3091"/>
    <mergeCell ref="C3090:C3091"/>
    <mergeCell ref="D3090:D3091"/>
    <mergeCell ref="E3129:E3130"/>
    <mergeCell ref="F3129:F3130"/>
    <mergeCell ref="E3090:E3091"/>
    <mergeCell ref="F3090:F3091"/>
    <mergeCell ref="A3092:A3094"/>
    <mergeCell ref="B3092:B3094"/>
    <mergeCell ref="D3092:D3094"/>
    <mergeCell ref="E3092:E3094"/>
    <mergeCell ref="F3092:F3094"/>
    <mergeCell ref="D3106:D3107"/>
    <mergeCell ref="E3106:E3107"/>
    <mergeCell ref="F3106:F3107"/>
    <mergeCell ref="G3129:G3130"/>
    <mergeCell ref="D3027:D3028"/>
    <mergeCell ref="F2964:F2965"/>
    <mergeCell ref="E2973:E2975"/>
    <mergeCell ref="F2971:F2972"/>
    <mergeCell ref="C3020:C3021"/>
    <mergeCell ref="D3020:D3021"/>
    <mergeCell ref="E3020:E3021"/>
    <mergeCell ref="C2978:C2979"/>
    <mergeCell ref="D2978:D2979"/>
    <mergeCell ref="E2978:E2979"/>
    <mergeCell ref="A2971:A2972"/>
    <mergeCell ref="B2971:B2972"/>
    <mergeCell ref="F2978:F2979"/>
    <mergeCell ref="D3022:D3024"/>
    <mergeCell ref="E3022:E3024"/>
    <mergeCell ref="A3027:A3028"/>
    <mergeCell ref="B3027:B3028"/>
    <mergeCell ref="B3022:B3024"/>
    <mergeCell ref="C3013:C3014"/>
    <mergeCell ref="B3015:B3017"/>
    <mergeCell ref="G2947:G2948"/>
    <mergeCell ref="F3027:F3028"/>
    <mergeCell ref="F3020:F3021"/>
    <mergeCell ref="C3052:C3053"/>
    <mergeCell ref="D3052:D3053"/>
    <mergeCell ref="E3052:E3053"/>
    <mergeCell ref="F3052:F3053"/>
    <mergeCell ref="G3052:G3053"/>
    <mergeCell ref="A2956:A2957"/>
    <mergeCell ref="B2956:B2957"/>
    <mergeCell ref="C2956:C2957"/>
    <mergeCell ref="A3013:A3014"/>
    <mergeCell ref="B3013:B3014"/>
    <mergeCell ref="C2971:C2972"/>
    <mergeCell ref="D2971:D2972"/>
    <mergeCell ref="E2971:E2972"/>
    <mergeCell ref="E3143:E3144"/>
    <mergeCell ref="A2978:A2979"/>
    <mergeCell ref="B2978:B2979"/>
    <mergeCell ref="A3039:A3040"/>
    <mergeCell ref="A3052:A3053"/>
    <mergeCell ref="B3052:B3053"/>
    <mergeCell ref="A3029:A3037"/>
    <mergeCell ref="D3029:D3037"/>
    <mergeCell ref="E3029:E3032"/>
    <mergeCell ref="E3033:E3035"/>
    <mergeCell ref="E3036:E3037"/>
    <mergeCell ref="B3039:B3040"/>
    <mergeCell ref="C3039:C3040"/>
    <mergeCell ref="D3039:D3040"/>
    <mergeCell ref="E3039:E3040"/>
    <mergeCell ref="D2973:D2975"/>
    <mergeCell ref="G3345:G3346"/>
    <mergeCell ref="C3356:C3357"/>
    <mergeCell ref="D3356:D3357"/>
    <mergeCell ref="A3365:A3366"/>
    <mergeCell ref="A3338:A3339"/>
    <mergeCell ref="C3338:C3339"/>
    <mergeCell ref="D3338:D3339"/>
    <mergeCell ref="E3338:E3339"/>
    <mergeCell ref="F3338:F3339"/>
    <mergeCell ref="E3325:E3327"/>
    <mergeCell ref="A3413:A3418"/>
    <mergeCell ref="E3356:E3357"/>
    <mergeCell ref="F3356:F3357"/>
    <mergeCell ref="B3365:B3366"/>
    <mergeCell ref="F3411:F3412"/>
    <mergeCell ref="A3306:A3307"/>
    <mergeCell ref="A3208:A3211"/>
    <mergeCell ref="G3278:G3279"/>
    <mergeCell ref="G3220:G3221"/>
    <mergeCell ref="A3222:A3225"/>
    <mergeCell ref="D3222:D3225"/>
    <mergeCell ref="A3214:A3215"/>
    <mergeCell ref="G3216:G3218"/>
    <mergeCell ref="A3227:A3228"/>
    <mergeCell ref="B3227:B3228"/>
    <mergeCell ref="C3227:C3228"/>
    <mergeCell ref="D3227:D3228"/>
    <mergeCell ref="B3247:B3248"/>
    <mergeCell ref="A3239:A3240"/>
    <mergeCell ref="D3278:D3279"/>
    <mergeCell ref="A3288:A3289"/>
    <mergeCell ref="B3288:B3289"/>
    <mergeCell ref="F3186:F3187"/>
    <mergeCell ref="F3168:F3169"/>
    <mergeCell ref="G3159:G3160"/>
    <mergeCell ref="G3313:G3314"/>
    <mergeCell ref="A3315:A3321"/>
    <mergeCell ref="D3315:D3321"/>
    <mergeCell ref="A3323:A3324"/>
    <mergeCell ref="A3313:A3314"/>
    <mergeCell ref="D3325:D3327"/>
    <mergeCell ref="B3338:B3339"/>
    <mergeCell ref="A3347:A3352"/>
    <mergeCell ref="D3347:D3352"/>
    <mergeCell ref="G3323:G3324"/>
    <mergeCell ref="B3401:B3402"/>
    <mergeCell ref="C3401:C3402"/>
    <mergeCell ref="E3401:E3402"/>
    <mergeCell ref="F3401:F3402"/>
    <mergeCell ref="G3338:G3339"/>
    <mergeCell ref="G3186:G3187"/>
    <mergeCell ref="G3181:G3182"/>
    <mergeCell ref="A3249:A3255"/>
    <mergeCell ref="D3249:D3255"/>
    <mergeCell ref="E3220:E3221"/>
    <mergeCell ref="F3220:F3221"/>
    <mergeCell ref="B3214:B3215"/>
    <mergeCell ref="C3214:C3215"/>
    <mergeCell ref="D3214:D3215"/>
    <mergeCell ref="F3216:F3218"/>
    <mergeCell ref="A3188:A3192"/>
    <mergeCell ref="D3188:D3192"/>
    <mergeCell ref="F3194:F3195"/>
    <mergeCell ref="F3345:F3346"/>
    <mergeCell ref="G3150:G3151"/>
    <mergeCell ref="A3152:A3156"/>
    <mergeCell ref="D3152:D3156"/>
    <mergeCell ref="E3152:E3156"/>
    <mergeCell ref="A3181:A3182"/>
    <mergeCell ref="B3181:B3182"/>
    <mergeCell ref="D3181:D3182"/>
    <mergeCell ref="E3181:E3182"/>
    <mergeCell ref="F3181:F3182"/>
    <mergeCell ref="D3143:D3147"/>
    <mergeCell ref="B3313:B3314"/>
    <mergeCell ref="C3313:C3314"/>
    <mergeCell ref="D3313:D3314"/>
    <mergeCell ref="E3313:E3314"/>
    <mergeCell ref="F3313:F3314"/>
    <mergeCell ref="B3329:B3330"/>
    <mergeCell ref="C3329:C3330"/>
    <mergeCell ref="F3329:F3330"/>
    <mergeCell ref="E3168:E3169"/>
    <mergeCell ref="G3183:G3184"/>
    <mergeCell ref="A3183:A3184"/>
    <mergeCell ref="A3186:A3187"/>
    <mergeCell ref="B3186:B3187"/>
    <mergeCell ref="B3183:B3184"/>
    <mergeCell ref="G3239:G3240"/>
    <mergeCell ref="E3227:E3228"/>
    <mergeCell ref="D3183:D3184"/>
    <mergeCell ref="E3183:E3184"/>
    <mergeCell ref="C3186:C3187"/>
    <mergeCell ref="D3186:D3187"/>
    <mergeCell ref="E3186:E3187"/>
    <mergeCell ref="E3188:E3191"/>
    <mergeCell ref="D3565:D3566"/>
    <mergeCell ref="A3545:A3551"/>
    <mergeCell ref="D3545:D3551"/>
    <mergeCell ref="D3376:D3377"/>
    <mergeCell ref="E3376:E3377"/>
    <mergeCell ref="A3403:A3408"/>
    <mergeCell ref="C3365:C3366"/>
    <mergeCell ref="D3365:D3366"/>
    <mergeCell ref="A3329:A3330"/>
    <mergeCell ref="A3358:A3363"/>
    <mergeCell ref="A3345:A3346"/>
    <mergeCell ref="B3345:B3346"/>
    <mergeCell ref="B3340:B3342"/>
    <mergeCell ref="D3340:D3342"/>
    <mergeCell ref="D3329:D3330"/>
    <mergeCell ref="E3329:E3330"/>
    <mergeCell ref="A3530:A3531"/>
    <mergeCell ref="A3356:A3357"/>
    <mergeCell ref="B3356:B3357"/>
    <mergeCell ref="E3340:E3342"/>
    <mergeCell ref="D3496:D3504"/>
    <mergeCell ref="A3432:A3433"/>
    <mergeCell ref="A3392:A3393"/>
    <mergeCell ref="B3387:B3389"/>
    <mergeCell ref="D3387:D3389"/>
    <mergeCell ref="E3387:E3389"/>
    <mergeCell ref="D3401:D3402"/>
    <mergeCell ref="B3447:B3448"/>
    <mergeCell ref="C3447:C3448"/>
    <mergeCell ref="D3447:D3448"/>
    <mergeCell ref="E3443:E3445"/>
    <mergeCell ref="A3443:A3445"/>
    <mergeCell ref="A3340:A3342"/>
    <mergeCell ref="C3345:C3346"/>
    <mergeCell ref="D3345:D3346"/>
    <mergeCell ref="E3345:E3346"/>
    <mergeCell ref="D3688:D3703"/>
    <mergeCell ref="E3688:E3689"/>
    <mergeCell ref="F3688:F3689"/>
    <mergeCell ref="E3691:E3692"/>
    <mergeCell ref="F3691:F3692"/>
    <mergeCell ref="E3693:E3698"/>
    <mergeCell ref="F3693:F3698"/>
    <mergeCell ref="A3590:A3596"/>
    <mergeCell ref="D3590:D3596"/>
    <mergeCell ref="A3577:A3578"/>
    <mergeCell ref="B3577:B3578"/>
    <mergeCell ref="C3577:C3578"/>
    <mergeCell ref="D3577:D3578"/>
    <mergeCell ref="E3577:E3578"/>
    <mergeCell ref="A3588:A3589"/>
    <mergeCell ref="D3378:D3381"/>
    <mergeCell ref="A3378:A3381"/>
    <mergeCell ref="A3385:A3386"/>
    <mergeCell ref="B3378:B3381"/>
    <mergeCell ref="E3378:E3381"/>
    <mergeCell ref="D3413:D3418"/>
    <mergeCell ref="E3392:E3393"/>
    <mergeCell ref="B3411:B3412"/>
    <mergeCell ref="A3543:A3544"/>
    <mergeCell ref="A3556:A3563"/>
    <mergeCell ref="D3556:D3563"/>
    <mergeCell ref="E3565:E3566"/>
    <mergeCell ref="A3565:A3566"/>
    <mergeCell ref="F3565:F3566"/>
    <mergeCell ref="D3554:D3555"/>
    <mergeCell ref="E3554:E3555"/>
    <mergeCell ref="F3554:F3555"/>
    <mergeCell ref="E3432:E3433"/>
    <mergeCell ref="G3735:G3736"/>
    <mergeCell ref="A3737:A3744"/>
    <mergeCell ref="B3737:B3744"/>
    <mergeCell ref="E3741:E3744"/>
    <mergeCell ref="A3723:A3724"/>
    <mergeCell ref="B3723:B3724"/>
    <mergeCell ref="C3723:C3724"/>
    <mergeCell ref="E3487:E3488"/>
    <mergeCell ref="F3487:F3488"/>
    <mergeCell ref="A3464:A3468"/>
    <mergeCell ref="A3441:A3442"/>
    <mergeCell ref="E3481:E3482"/>
    <mergeCell ref="A3471:A3472"/>
    <mergeCell ref="B3588:B3589"/>
    <mergeCell ref="C3588:C3589"/>
    <mergeCell ref="D3588:D3589"/>
    <mergeCell ref="E3588:E3589"/>
    <mergeCell ref="F3588:F3589"/>
    <mergeCell ref="F3577:F3578"/>
    <mergeCell ref="A3579:A3586"/>
    <mergeCell ref="B3579:B3586"/>
    <mergeCell ref="D3579:D3586"/>
    <mergeCell ref="E3579:E3582"/>
    <mergeCell ref="E3583:E3586"/>
    <mergeCell ref="G3699:G3703"/>
    <mergeCell ref="B3565:B3566"/>
    <mergeCell ref="C3565:C3566"/>
    <mergeCell ref="G3747:G3748"/>
    <mergeCell ref="A3749:A3751"/>
    <mergeCell ref="B3749:B3751"/>
    <mergeCell ref="A3716:A3717"/>
    <mergeCell ref="B3716:B3717"/>
    <mergeCell ref="C3716:C3717"/>
    <mergeCell ref="D3716:D3717"/>
    <mergeCell ref="E3716:E3717"/>
    <mergeCell ref="F3716:F3717"/>
    <mergeCell ref="G3716:G3717"/>
    <mergeCell ref="A3718:A3721"/>
    <mergeCell ref="G3718:G3721"/>
    <mergeCell ref="A3735:A3736"/>
    <mergeCell ref="B3735:B3736"/>
    <mergeCell ref="C3735:C3736"/>
    <mergeCell ref="D3735:D3736"/>
    <mergeCell ref="E3735:E3736"/>
    <mergeCell ref="F3735:F3736"/>
    <mergeCell ref="E3737:E3740"/>
    <mergeCell ref="D3737:D3744"/>
    <mergeCell ref="G3754:G3755"/>
    <mergeCell ref="A3756:A3762"/>
    <mergeCell ref="B3756:B3762"/>
    <mergeCell ref="D3756:D3758"/>
    <mergeCell ref="D3759:D3762"/>
    <mergeCell ref="E3759:E3762"/>
    <mergeCell ref="F3759:F3762"/>
    <mergeCell ref="G3759:G3762"/>
    <mergeCell ref="A3754:A3755"/>
    <mergeCell ref="E3790:E3793"/>
    <mergeCell ref="F3790:F3793"/>
    <mergeCell ref="G3790:G3793"/>
    <mergeCell ref="G3788:G3789"/>
    <mergeCell ref="E3765:E3766"/>
    <mergeCell ref="F3765:F3766"/>
    <mergeCell ref="G3765:G3766"/>
    <mergeCell ref="A3767:A3773"/>
    <mergeCell ref="B3767:B3773"/>
    <mergeCell ref="F3776:F3777"/>
    <mergeCell ref="F3788:F3789"/>
    <mergeCell ref="C3754:C3755"/>
    <mergeCell ref="D3754:D3755"/>
    <mergeCell ref="E3754:E3755"/>
    <mergeCell ref="F3754:F3755"/>
    <mergeCell ref="B3765:B3766"/>
    <mergeCell ref="A3828:A3834"/>
    <mergeCell ref="A3836:A3837"/>
    <mergeCell ref="G3858:G3859"/>
    <mergeCell ref="A3849:A3856"/>
    <mergeCell ref="A3858:A3859"/>
    <mergeCell ref="D3847:D3848"/>
    <mergeCell ref="E3847:E3848"/>
    <mergeCell ref="F3847:F3848"/>
    <mergeCell ref="B3849:B3856"/>
    <mergeCell ref="D3849:D3856"/>
    <mergeCell ref="E3849:E3850"/>
    <mergeCell ref="D3788:D3789"/>
    <mergeCell ref="C3858:C3859"/>
    <mergeCell ref="D3858:D3859"/>
    <mergeCell ref="E3858:E3859"/>
    <mergeCell ref="G3804:G3805"/>
    <mergeCell ref="E3806:E3810"/>
    <mergeCell ref="B3790:B3810"/>
    <mergeCell ref="D3790:D3810"/>
    <mergeCell ref="B3838:B3844"/>
    <mergeCell ref="E3795:E3798"/>
    <mergeCell ref="F3795:F3798"/>
    <mergeCell ref="G3795:G3798"/>
    <mergeCell ref="F3799:F3800"/>
    <mergeCell ref="B3858:B3859"/>
    <mergeCell ref="F3806:F3810"/>
    <mergeCell ref="G3806:G3810"/>
    <mergeCell ref="G3799:G3800"/>
    <mergeCell ref="G3836:G3837"/>
    <mergeCell ref="E3841:E3844"/>
    <mergeCell ref="G3847:G3848"/>
    <mergeCell ref="B3828:B3834"/>
    <mergeCell ref="D3828:D3834"/>
    <mergeCell ref="E3828:E3831"/>
    <mergeCell ref="F3828:F3831"/>
    <mergeCell ref="B3860:B3866"/>
    <mergeCell ref="D3860:D3866"/>
    <mergeCell ref="E3863:E3866"/>
    <mergeCell ref="G3802:G3803"/>
    <mergeCell ref="E3804:E3805"/>
    <mergeCell ref="G3907:G3908"/>
    <mergeCell ref="F3869:F3870"/>
    <mergeCell ref="G3889:G3890"/>
    <mergeCell ref="D3917:D3918"/>
    <mergeCell ref="D3896:D3897"/>
    <mergeCell ref="E3802:E3803"/>
    <mergeCell ref="G3828:G3831"/>
    <mergeCell ref="E3883:E3886"/>
    <mergeCell ref="G3826:G3827"/>
    <mergeCell ref="C3869:C3870"/>
    <mergeCell ref="D3869:D3870"/>
    <mergeCell ref="D3933:D3934"/>
    <mergeCell ref="E3933:E3934"/>
    <mergeCell ref="B3923:B3924"/>
    <mergeCell ref="C3923:C3924"/>
    <mergeCell ref="D3923:D3924"/>
    <mergeCell ref="E3923:E3924"/>
    <mergeCell ref="F3923:F3924"/>
    <mergeCell ref="D3889:D3890"/>
    <mergeCell ref="E3889:E3890"/>
    <mergeCell ref="F3889:F3890"/>
    <mergeCell ref="B3891:B3894"/>
    <mergeCell ref="D3891:D3894"/>
    <mergeCell ref="G3923:G3924"/>
    <mergeCell ref="B3869:B3870"/>
    <mergeCell ref="G3878:G3879"/>
    <mergeCell ref="E3869:E3870"/>
    <mergeCell ref="G3917:G3918"/>
    <mergeCell ref="F3896:F3897"/>
    <mergeCell ref="E3896:E3897"/>
    <mergeCell ref="B3880:B3886"/>
    <mergeCell ref="D3880:D3886"/>
    <mergeCell ref="E3880:E3882"/>
    <mergeCell ref="E3917:E3918"/>
    <mergeCell ref="F3917:F3918"/>
    <mergeCell ref="B3889:B3890"/>
    <mergeCell ref="C3889:C3890"/>
    <mergeCell ref="F3907:F3908"/>
    <mergeCell ref="B3919:B3921"/>
    <mergeCell ref="B3933:B3934"/>
    <mergeCell ref="G3896:G3897"/>
    <mergeCell ref="G3956:G3957"/>
    <mergeCell ref="G4013:G4014"/>
    <mergeCell ref="D4015:D4021"/>
    <mergeCell ref="A3917:A3918"/>
    <mergeCell ref="B3917:B3918"/>
    <mergeCell ref="C3917:C3918"/>
    <mergeCell ref="B3909:B3915"/>
    <mergeCell ref="D3909:D3915"/>
    <mergeCell ref="E3909:E3912"/>
    <mergeCell ref="C3944:C3945"/>
    <mergeCell ref="D3944:D3945"/>
    <mergeCell ref="B3925:B3931"/>
    <mergeCell ref="D3925:D3931"/>
    <mergeCell ref="A3925:A3931"/>
    <mergeCell ref="A3896:A3897"/>
    <mergeCell ref="B3896:B3897"/>
    <mergeCell ref="C3896:C3897"/>
    <mergeCell ref="F3933:F3934"/>
    <mergeCell ref="A3909:A3915"/>
    <mergeCell ref="A3935:A3941"/>
    <mergeCell ref="E3944:E3945"/>
    <mergeCell ref="G3933:G3934"/>
    <mergeCell ref="G3988:G3989"/>
    <mergeCell ref="B3990:B4010"/>
    <mergeCell ref="A4013:A4014"/>
    <mergeCell ref="B4013:B4014"/>
    <mergeCell ref="C4013:C4014"/>
    <mergeCell ref="D4013:D4014"/>
    <mergeCell ref="E4013:E4014"/>
    <mergeCell ref="D3970:D3976"/>
    <mergeCell ref="B3968:B3969"/>
    <mergeCell ref="C3933:C3934"/>
    <mergeCell ref="A4184:A4190"/>
    <mergeCell ref="B4184:B4190"/>
    <mergeCell ref="D4184:D4190"/>
    <mergeCell ref="C4035:C4036"/>
    <mergeCell ref="G4046:G4047"/>
    <mergeCell ref="F4196:F4198"/>
    <mergeCell ref="G4196:G4198"/>
    <mergeCell ref="A4182:A4183"/>
    <mergeCell ref="B4182:B4183"/>
    <mergeCell ref="D4194:D4195"/>
    <mergeCell ref="C4182:C4183"/>
    <mergeCell ref="D4182:D4183"/>
    <mergeCell ref="E4182:E4183"/>
    <mergeCell ref="F4182:F4183"/>
    <mergeCell ref="F4129:F4132"/>
    <mergeCell ref="F4084:F4085"/>
    <mergeCell ref="G4084:G4085"/>
    <mergeCell ref="D4035:D4036"/>
    <mergeCell ref="E4035:E4036"/>
    <mergeCell ref="F4035:F4036"/>
    <mergeCell ref="C4103:C4104"/>
    <mergeCell ref="D4103:D4104"/>
    <mergeCell ref="E4103:E4104"/>
    <mergeCell ref="F4103:F4104"/>
    <mergeCell ref="B4057:B4058"/>
    <mergeCell ref="C4057:C4058"/>
    <mergeCell ref="D4057:D4058"/>
    <mergeCell ref="E4057:E4058"/>
    <mergeCell ref="F4057:F4058"/>
    <mergeCell ref="A4046:A4047"/>
    <mergeCell ref="B4046:B4047"/>
    <mergeCell ref="D4046:D4047"/>
    <mergeCell ref="G4204:G4205"/>
    <mergeCell ref="A4204:A4205"/>
    <mergeCell ref="B4204:B4205"/>
    <mergeCell ref="C4204:C4205"/>
    <mergeCell ref="D4204:D4205"/>
    <mergeCell ref="G4206:G4208"/>
    <mergeCell ref="A4213:A4214"/>
    <mergeCell ref="B4213:B4214"/>
    <mergeCell ref="C4213:C4214"/>
    <mergeCell ref="D4213:D4214"/>
    <mergeCell ref="E4213:E4214"/>
    <mergeCell ref="F4213:F4214"/>
    <mergeCell ref="G4213:G4214"/>
    <mergeCell ref="A4206:A4209"/>
    <mergeCell ref="B4206:B4209"/>
    <mergeCell ref="B4320:B4321"/>
    <mergeCell ref="C4320:C4321"/>
    <mergeCell ref="D4320:D4321"/>
    <mergeCell ref="A4230:A4231"/>
    <mergeCell ref="D4224:D4225"/>
    <mergeCell ref="C4230:C4231"/>
    <mergeCell ref="D4230:D4231"/>
    <mergeCell ref="A4224:A4225"/>
    <mergeCell ref="C4224:C4225"/>
    <mergeCell ref="B4215:B4220"/>
    <mergeCell ref="E4230:E4231"/>
    <mergeCell ref="F4230:F4231"/>
    <mergeCell ref="G4230:G4231"/>
    <mergeCell ref="A4232:A4233"/>
    <mergeCell ref="B4232:B4233"/>
    <mergeCell ref="A4215:A4220"/>
    <mergeCell ref="G4235:G4236"/>
    <mergeCell ref="G4356:G4357"/>
    <mergeCell ref="A4358:A4367"/>
    <mergeCell ref="D4358:D4367"/>
    <mergeCell ref="A4369:A4370"/>
    <mergeCell ref="B4369:B4370"/>
    <mergeCell ref="C4369:C4370"/>
    <mergeCell ref="A4255:A4256"/>
    <mergeCell ref="B4255:B4256"/>
    <mergeCell ref="C4255:C4256"/>
    <mergeCell ref="D4255:D4256"/>
    <mergeCell ref="E4255:E4256"/>
    <mergeCell ref="F4255:F4256"/>
    <mergeCell ref="D4327:D4330"/>
    <mergeCell ref="E4327:E4330"/>
    <mergeCell ref="B4245:B4251"/>
    <mergeCell ref="D4245:D4251"/>
    <mergeCell ref="F4235:F4236"/>
    <mergeCell ref="E4320:E4321"/>
    <mergeCell ref="F4320:F4321"/>
    <mergeCell ref="A4325:A4326"/>
    <mergeCell ref="B4325:B4326"/>
    <mergeCell ref="B4336:B4353"/>
    <mergeCell ref="D4336:D4353"/>
    <mergeCell ref="C4325:C4326"/>
    <mergeCell ref="D4325:D4326"/>
    <mergeCell ref="G4325:G4326"/>
    <mergeCell ref="A4291:A4299"/>
    <mergeCell ref="B4291:B4299"/>
    <mergeCell ref="B4235:B4236"/>
    <mergeCell ref="C4289:C4290"/>
    <mergeCell ref="D4289:D4290"/>
    <mergeCell ref="A4289:A4290"/>
    <mergeCell ref="E4281:E4282"/>
    <mergeCell ref="F4281:F4282"/>
    <mergeCell ref="B4230:B4231"/>
    <mergeCell ref="D4215:D4220"/>
    <mergeCell ref="E4224:E4225"/>
    <mergeCell ref="F4224:F4225"/>
    <mergeCell ref="A4235:A4236"/>
    <mergeCell ref="A4281:A4282"/>
    <mergeCell ref="G4224:G4225"/>
    <mergeCell ref="A4226:A4227"/>
    <mergeCell ref="B4226:B4227"/>
    <mergeCell ref="D4226:D4227"/>
    <mergeCell ref="A4272:A4278"/>
    <mergeCell ref="B4272:B4278"/>
    <mergeCell ref="D4272:D4278"/>
    <mergeCell ref="F4270:F4271"/>
    <mergeCell ref="G4270:G4271"/>
    <mergeCell ref="B4224:B4225"/>
    <mergeCell ref="B4281:B4282"/>
    <mergeCell ref="D4257:D4267"/>
    <mergeCell ref="E4257:E4258"/>
    <mergeCell ref="C4270:C4271"/>
    <mergeCell ref="D4270:D4271"/>
    <mergeCell ref="C4235:C4236"/>
    <mergeCell ref="D4235:D4236"/>
    <mergeCell ref="E4235:E4236"/>
    <mergeCell ref="G4255:G4256"/>
    <mergeCell ref="B4305:B4314"/>
    <mergeCell ref="D4305:D4314"/>
    <mergeCell ref="A4334:A4335"/>
    <mergeCell ref="E4289:E4290"/>
    <mergeCell ref="F4289:F4290"/>
    <mergeCell ref="G4289:G4290"/>
    <mergeCell ref="B4289:B4290"/>
    <mergeCell ref="A4270:A4271"/>
    <mergeCell ref="B4270:B4271"/>
    <mergeCell ref="G4257:G4258"/>
    <mergeCell ref="A4303:A4304"/>
    <mergeCell ref="B4303:B4304"/>
    <mergeCell ref="E4325:E4326"/>
    <mergeCell ref="F4325:F4326"/>
    <mergeCell ref="E4291:E4299"/>
    <mergeCell ref="D4334:D4335"/>
    <mergeCell ref="E4334:E4335"/>
    <mergeCell ref="F4334:F4335"/>
    <mergeCell ref="A4305:A4314"/>
    <mergeCell ref="C4303:C4304"/>
    <mergeCell ref="D4303:D4304"/>
    <mergeCell ref="E4303:E4304"/>
    <mergeCell ref="F4257:F4258"/>
    <mergeCell ref="F4259:F4267"/>
    <mergeCell ref="D4291:D4299"/>
    <mergeCell ref="A4257:A4267"/>
    <mergeCell ref="G4334:G4335"/>
    <mergeCell ref="A4320:A4321"/>
    <mergeCell ref="B4334:B4335"/>
    <mergeCell ref="C4334:C4335"/>
    <mergeCell ref="C4281:C4282"/>
    <mergeCell ref="D4281:D4282"/>
    <mergeCell ref="C4356:C4357"/>
    <mergeCell ref="D4356:D4357"/>
    <mergeCell ref="E4356:E4357"/>
    <mergeCell ref="E4374:E4375"/>
    <mergeCell ref="F4374:F4375"/>
    <mergeCell ref="G4374:G4375"/>
    <mergeCell ref="F4356:F4357"/>
    <mergeCell ref="B4327:B4330"/>
    <mergeCell ref="A4327:A4330"/>
    <mergeCell ref="E4243:E4244"/>
    <mergeCell ref="F4243:F4244"/>
    <mergeCell ref="B4376:B4399"/>
    <mergeCell ref="A4374:A4375"/>
    <mergeCell ref="F4327:F4330"/>
    <mergeCell ref="A4336:A4353"/>
    <mergeCell ref="E4259:E4267"/>
    <mergeCell ref="G4243:G4244"/>
    <mergeCell ref="A4245:A4251"/>
    <mergeCell ref="G4259:G4267"/>
    <mergeCell ref="A4243:A4244"/>
    <mergeCell ref="B4243:B4244"/>
    <mergeCell ref="C4243:C4244"/>
    <mergeCell ref="D4243:D4244"/>
    <mergeCell ref="G4281:G4282"/>
    <mergeCell ref="B4374:B4375"/>
    <mergeCell ref="C4374:C4375"/>
    <mergeCell ref="D4374:D4375"/>
    <mergeCell ref="G4327:G4330"/>
    <mergeCell ref="A4376:A4399"/>
    <mergeCell ref="E4270:E4271"/>
    <mergeCell ref="B4257:B4267"/>
    <mergeCell ref="G4320:G4321"/>
    <mergeCell ref="B4465:B4466"/>
    <mergeCell ref="E4437:E4439"/>
    <mergeCell ref="A4415:A4421"/>
    <mergeCell ref="B4415:B4421"/>
    <mergeCell ref="D4415:D4421"/>
    <mergeCell ref="E4415:E4417"/>
    <mergeCell ref="D4435:D4436"/>
    <mergeCell ref="E4435:E4436"/>
    <mergeCell ref="A4550:A4562"/>
    <mergeCell ref="A4447:A4448"/>
    <mergeCell ref="F4303:F4304"/>
    <mergeCell ref="G4303:G4304"/>
    <mergeCell ref="A4543:A4544"/>
    <mergeCell ref="B4543:B4544"/>
    <mergeCell ref="C4543:C4544"/>
    <mergeCell ref="D4543:D4544"/>
    <mergeCell ref="E4543:E4544"/>
    <mergeCell ref="F4543:F4544"/>
    <mergeCell ref="G4543:G4544"/>
    <mergeCell ref="A4519:A4520"/>
    <mergeCell ref="B4519:B4520"/>
    <mergeCell ref="C4519:C4520"/>
    <mergeCell ref="D4519:D4520"/>
    <mergeCell ref="E4519:E4520"/>
    <mergeCell ref="F4519:F4520"/>
    <mergeCell ref="G4519:G4520"/>
    <mergeCell ref="A4521:A4541"/>
    <mergeCell ref="G4369:G4370"/>
    <mergeCell ref="D4369:D4370"/>
    <mergeCell ref="D4376:D4399"/>
    <mergeCell ref="A4356:A4357"/>
    <mergeCell ref="B4356:B4357"/>
    <mergeCell ref="E4369:E4370"/>
    <mergeCell ref="F4369:F4370"/>
    <mergeCell ref="G4429:G4431"/>
    <mergeCell ref="A4435:A4436"/>
    <mergeCell ref="B4435:B4436"/>
    <mergeCell ref="C4435:C4436"/>
    <mergeCell ref="F4435:F4436"/>
    <mergeCell ref="G4435:G4436"/>
    <mergeCell ref="A4437:A4443"/>
    <mergeCell ref="B4437:B4443"/>
    <mergeCell ref="D4437:D4443"/>
    <mergeCell ref="A4463:A4464"/>
    <mergeCell ref="B4463:B4464"/>
    <mergeCell ref="C4463:C4464"/>
    <mergeCell ref="D4463:D4464"/>
    <mergeCell ref="E4463:E4464"/>
    <mergeCell ref="F4463:F4464"/>
    <mergeCell ref="G4463:G4464"/>
    <mergeCell ref="G4426:G4428"/>
    <mergeCell ref="A4429:A4431"/>
    <mergeCell ref="E4429:E4431"/>
    <mergeCell ref="E4426:E4428"/>
    <mergeCell ref="F4426:F4428"/>
    <mergeCell ref="F4429:F4431"/>
    <mergeCell ref="B4447:B4448"/>
    <mergeCell ref="C4447:C4448"/>
    <mergeCell ref="D4447:D4448"/>
    <mergeCell ref="D4550:D4562"/>
    <mergeCell ref="A4600:A4601"/>
    <mergeCell ref="B4600:B4601"/>
    <mergeCell ref="C4600:C4601"/>
    <mergeCell ref="D4600:D4601"/>
    <mergeCell ref="E4600:E4601"/>
    <mergeCell ref="F4600:F4601"/>
    <mergeCell ref="G4600:G4601"/>
    <mergeCell ref="A4602:A4622"/>
    <mergeCell ref="B4602:B4622"/>
    <mergeCell ref="D4602:D4622"/>
    <mergeCell ref="A4624:A4625"/>
    <mergeCell ref="B4624:B4625"/>
    <mergeCell ref="C4624:C4625"/>
    <mergeCell ref="D4624:D4625"/>
    <mergeCell ref="E4624:E4625"/>
    <mergeCell ref="F4624:F4625"/>
    <mergeCell ref="G4624:G4625"/>
    <mergeCell ref="A4564:A4565"/>
    <mergeCell ref="B4564:B4565"/>
    <mergeCell ref="C4564:C4565"/>
    <mergeCell ref="D4564:D4565"/>
    <mergeCell ref="E4564:E4565"/>
    <mergeCell ref="A4570:A4571"/>
    <mergeCell ref="B4570:B4571"/>
    <mergeCell ref="F4595:F4596"/>
    <mergeCell ref="G4595:G4596"/>
    <mergeCell ref="F4564:F4565"/>
    <mergeCell ref="G4564:G4565"/>
    <mergeCell ref="A4566:A4568"/>
    <mergeCell ref="B4566:B4568"/>
    <mergeCell ref="D4566:D4568"/>
    <mergeCell ref="D4765:D4766"/>
    <mergeCell ref="F4734:F4735"/>
    <mergeCell ref="G4734:G4735"/>
    <mergeCell ref="A4740:A4741"/>
    <mergeCell ref="B4740:B4741"/>
    <mergeCell ref="C4740:C4741"/>
    <mergeCell ref="D4740:D4741"/>
    <mergeCell ref="E4740:E4741"/>
    <mergeCell ref="F4740:F4741"/>
    <mergeCell ref="G4740:G4741"/>
    <mergeCell ref="B4742:B4744"/>
    <mergeCell ref="A4734:A4735"/>
    <mergeCell ref="B4734:B4735"/>
    <mergeCell ref="C4734:C4735"/>
    <mergeCell ref="D4734:D4735"/>
    <mergeCell ref="E4734:E4735"/>
    <mergeCell ref="A4768:A4769"/>
    <mergeCell ref="B4768:B4769"/>
    <mergeCell ref="C4768:C4769"/>
    <mergeCell ref="D4768:D4769"/>
    <mergeCell ref="E4768:E4769"/>
    <mergeCell ref="F4768:F4769"/>
    <mergeCell ref="G4768:G4769"/>
    <mergeCell ref="D4787:D4788"/>
    <mergeCell ref="A4798:A4800"/>
    <mergeCell ref="B4798:B4800"/>
    <mergeCell ref="A4796:A4797"/>
    <mergeCell ref="B4796:B4797"/>
    <mergeCell ref="C4796:C4797"/>
    <mergeCell ref="D4796:D4797"/>
    <mergeCell ref="E4796:E4797"/>
    <mergeCell ref="F4796:F4797"/>
    <mergeCell ref="G4796:G4797"/>
    <mergeCell ref="A4770:A4772"/>
    <mergeCell ref="B4770:B4775"/>
    <mergeCell ref="D4770:D4775"/>
    <mergeCell ref="A4773:A4775"/>
    <mergeCell ref="A4753:A4754"/>
    <mergeCell ref="B4753:B4754"/>
    <mergeCell ref="C4753:C4754"/>
    <mergeCell ref="D4753:D4754"/>
    <mergeCell ref="E4753:E4754"/>
    <mergeCell ref="F4753:F4754"/>
    <mergeCell ref="G4753:G4754"/>
    <mergeCell ref="A4755:A4761"/>
    <mergeCell ref="B4755:B4761"/>
    <mergeCell ref="A4763:A4764"/>
    <mergeCell ref="B4763:B4764"/>
    <mergeCell ref="C4763:C4764"/>
    <mergeCell ref="D4763:D4764"/>
    <mergeCell ref="E4763:E4764"/>
    <mergeCell ref="F4763:F4764"/>
    <mergeCell ref="G4763:G4764"/>
    <mergeCell ref="A4765:A4766"/>
    <mergeCell ref="B4765:B4766"/>
    <mergeCell ref="A4817:A4818"/>
    <mergeCell ref="B4817:B4818"/>
    <mergeCell ref="C4817:C4818"/>
    <mergeCell ref="D4817:D4818"/>
    <mergeCell ref="E4817:E4818"/>
    <mergeCell ref="F4817:F4818"/>
    <mergeCell ref="G4817:G4818"/>
    <mergeCell ref="A4819:A4827"/>
    <mergeCell ref="B4819:B4827"/>
    <mergeCell ref="D4819:D4827"/>
    <mergeCell ref="D4798:D4800"/>
    <mergeCell ref="A4777:A4778"/>
    <mergeCell ref="B4777:B4778"/>
    <mergeCell ref="C4777:C4778"/>
    <mergeCell ref="D4777:D4778"/>
    <mergeCell ref="E4777:E4778"/>
    <mergeCell ref="F4777:F4778"/>
    <mergeCell ref="G4777:G4778"/>
    <mergeCell ref="A4779:A4780"/>
    <mergeCell ref="B4779:B4780"/>
    <mergeCell ref="D4779:D4780"/>
    <mergeCell ref="A4791:A4792"/>
    <mergeCell ref="B4791:B4792"/>
    <mergeCell ref="C4791:C4792"/>
    <mergeCell ref="D4791:D4792"/>
    <mergeCell ref="E4791:E4792"/>
    <mergeCell ref="F4791:F4792"/>
    <mergeCell ref="G4791:G4792"/>
    <mergeCell ref="A4793:A4794"/>
    <mergeCell ref="A4787:A4788"/>
    <mergeCell ref="B4787:B4788"/>
    <mergeCell ref="C4787:C4788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88"/>
  <sheetViews>
    <sheetView showGridLines="0" topLeftCell="A6247" zoomScale="70" zoomScaleNormal="70" workbookViewId="0">
      <selection activeCell="C6308" sqref="C6308"/>
    </sheetView>
  </sheetViews>
  <sheetFormatPr defaultRowHeight="15" outlineLevelRow="2"/>
  <cols>
    <col min="1" max="1" width="20.7109375" customWidth="1"/>
    <col min="2" max="2" width="28" bestFit="1" customWidth="1"/>
    <col min="3" max="3" width="96.140625" bestFit="1" customWidth="1"/>
    <col min="4" max="6" width="20.7109375" customWidth="1"/>
    <col min="7" max="7" width="9.28515625" customWidth="1"/>
    <col min="8" max="8" width="11.28515625" bestFit="1" customWidth="1"/>
    <col min="9" max="9" width="17.140625" customWidth="1"/>
    <col min="10" max="10" width="12" bestFit="1" customWidth="1"/>
    <col min="11" max="12" width="10.28515625" bestFit="1" customWidth="1"/>
    <col min="15" max="15" width="9.140625" style="176"/>
  </cols>
  <sheetData>
    <row r="1" spans="1:10" ht="15.75" thickBot="1"/>
    <row r="2" spans="1:10" ht="15.75" thickTop="1">
      <c r="A2" s="3782" t="s">
        <v>0</v>
      </c>
      <c r="B2" s="3781" t="s">
        <v>1</v>
      </c>
      <c r="C2" s="3781" t="s">
        <v>2</v>
      </c>
      <c r="D2" s="3781" t="s">
        <v>3</v>
      </c>
      <c r="E2" s="3781" t="s">
        <v>4</v>
      </c>
      <c r="F2" s="3765" t="s">
        <v>5</v>
      </c>
      <c r="G2" t="s">
        <v>76</v>
      </c>
      <c r="H2" t="s">
        <v>77</v>
      </c>
      <c r="I2" t="s">
        <v>78</v>
      </c>
      <c r="J2" t="s">
        <v>79</v>
      </c>
    </row>
    <row r="3" spans="1:10" ht="25.5" customHeight="1" thickBot="1">
      <c r="A3" s="3783"/>
      <c r="B3" s="3767"/>
      <c r="C3" s="3767"/>
      <c r="D3" s="3767"/>
      <c r="E3" s="3767"/>
      <c r="F3" s="3766"/>
    </row>
    <row r="4" spans="1:10" ht="15.75" hidden="1" outlineLevel="1" thickTop="1">
      <c r="A4" s="7" t="s">
        <v>48</v>
      </c>
      <c r="B4" s="5" t="s">
        <v>49</v>
      </c>
      <c r="C4" s="5" t="s">
        <v>51</v>
      </c>
      <c r="D4" s="5" t="s">
        <v>54</v>
      </c>
      <c r="E4" s="11">
        <v>0.15</v>
      </c>
      <c r="F4" s="6">
        <v>6758</v>
      </c>
      <c r="G4">
        <v>1410</v>
      </c>
      <c r="H4">
        <v>9528780</v>
      </c>
      <c r="I4">
        <v>7951</v>
      </c>
      <c r="J4">
        <f>G4*I4</f>
        <v>11210910</v>
      </c>
    </row>
    <row r="5" spans="1:10" hidden="1" outlineLevel="1">
      <c r="A5" s="8"/>
      <c r="B5" s="1" t="s">
        <v>50</v>
      </c>
      <c r="C5" s="1" t="s">
        <v>52</v>
      </c>
      <c r="D5" s="5" t="s">
        <v>54</v>
      </c>
      <c r="E5" s="11">
        <v>0.15</v>
      </c>
      <c r="F5" s="6">
        <v>6758</v>
      </c>
      <c r="G5">
        <v>1410</v>
      </c>
      <c r="H5">
        <v>9528780</v>
      </c>
      <c r="I5">
        <v>7951</v>
      </c>
      <c r="J5">
        <f>G5*I5</f>
        <v>11210910</v>
      </c>
    </row>
    <row r="6" spans="1:10" hidden="1" outlineLevel="1">
      <c r="A6" s="8"/>
      <c r="B6" s="1"/>
      <c r="C6" s="1" t="s">
        <v>53</v>
      </c>
      <c r="D6" s="5" t="s">
        <v>54</v>
      </c>
      <c r="E6" s="12">
        <v>0.1</v>
      </c>
      <c r="F6" s="2">
        <v>6220</v>
      </c>
      <c r="G6">
        <v>1330</v>
      </c>
      <c r="H6">
        <v>8272600</v>
      </c>
      <c r="I6">
        <v>6911</v>
      </c>
      <c r="J6">
        <f>G6*I6</f>
        <v>9191630</v>
      </c>
    </row>
    <row r="7" spans="1:10" hidden="1" outlineLevel="1">
      <c r="A7" s="8"/>
      <c r="B7" s="1"/>
      <c r="C7" s="1"/>
      <c r="D7" s="1"/>
      <c r="E7" s="1"/>
      <c r="F7" s="2"/>
    </row>
    <row r="8" spans="1:10" hidden="1" outlineLevel="1">
      <c r="A8" s="8"/>
      <c r="B8" s="1"/>
      <c r="C8" s="1"/>
      <c r="D8" s="1"/>
      <c r="E8" s="1"/>
      <c r="F8" s="2"/>
      <c r="H8">
        <f>SUM(H4:H7)</f>
        <v>27330160</v>
      </c>
      <c r="J8">
        <f>SUM(J4:J7)</f>
        <v>31613450</v>
      </c>
    </row>
    <row r="9" spans="1:10" hidden="1" outlineLevel="1">
      <c r="A9" s="8"/>
      <c r="B9" s="1"/>
      <c r="C9" s="1"/>
      <c r="D9" s="1"/>
      <c r="E9" s="1"/>
      <c r="F9" s="2"/>
    </row>
    <row r="10" spans="1:10" hidden="1" outlineLevel="1">
      <c r="A10" s="8"/>
      <c r="B10" s="1"/>
      <c r="C10" s="1"/>
      <c r="D10" s="1"/>
      <c r="E10" s="1"/>
      <c r="F10" s="2"/>
      <c r="H10">
        <f>J8-H8</f>
        <v>4283290</v>
      </c>
    </row>
    <row r="11" spans="1:10" hidden="1" outlineLevel="1">
      <c r="A11" s="8"/>
      <c r="B11" s="1"/>
      <c r="C11" s="1"/>
      <c r="D11" s="1"/>
      <c r="E11" s="1"/>
      <c r="F11" s="2"/>
      <c r="H11">
        <v>5139948</v>
      </c>
    </row>
    <row r="12" spans="1:10" hidden="1" outlineLevel="1">
      <c r="A12" s="8"/>
      <c r="B12" s="1"/>
      <c r="C12" s="1"/>
      <c r="D12" s="1"/>
      <c r="E12" s="1"/>
      <c r="F12" s="2"/>
    </row>
    <row r="13" spans="1:10" hidden="1" outlineLevel="1">
      <c r="A13" s="8"/>
      <c r="B13" s="1"/>
      <c r="C13" s="1"/>
      <c r="D13" s="1"/>
      <c r="E13" s="1"/>
      <c r="F13" s="2"/>
    </row>
    <row r="14" spans="1:10" hidden="1" outlineLevel="1">
      <c r="A14" s="8"/>
      <c r="B14" s="1"/>
      <c r="C14" s="1"/>
      <c r="D14" s="1"/>
      <c r="E14" s="1"/>
      <c r="F14" s="2"/>
    </row>
    <row r="15" spans="1:10" ht="15.75" hidden="1" outlineLevel="1" thickBot="1">
      <c r="A15" s="9"/>
      <c r="B15" s="3"/>
      <c r="C15" s="3"/>
      <c r="D15" s="3"/>
      <c r="E15" s="3"/>
      <c r="F15" s="4"/>
    </row>
    <row r="16" spans="1:10" ht="16.5" collapsed="1" thickTop="1" thickBot="1"/>
    <row r="17" spans="1:12" ht="15.75" thickTop="1">
      <c r="A17" s="3782" t="s">
        <v>0</v>
      </c>
      <c r="B17" s="3781" t="s">
        <v>1</v>
      </c>
      <c r="C17" s="3781" t="s">
        <v>2</v>
      </c>
      <c r="D17" s="3781" t="s">
        <v>3</v>
      </c>
      <c r="E17" s="3781" t="s">
        <v>4</v>
      </c>
      <c r="F17" s="3765" t="s">
        <v>5</v>
      </c>
      <c r="G17" t="s">
        <v>76</v>
      </c>
      <c r="H17" t="s">
        <v>77</v>
      </c>
      <c r="I17" t="s">
        <v>78</v>
      </c>
      <c r="J17" t="s">
        <v>79</v>
      </c>
    </row>
    <row r="18" spans="1:12" ht="24.75" customHeight="1" collapsed="1" thickBot="1">
      <c r="A18" s="3783"/>
      <c r="B18" s="3767"/>
      <c r="C18" s="3767"/>
      <c r="D18" s="3767"/>
      <c r="E18" s="3767"/>
      <c r="F18" s="3766"/>
    </row>
    <row r="19" spans="1:12" ht="15.75" hidden="1" outlineLevel="1" thickTop="1">
      <c r="A19" s="7" t="s">
        <v>48</v>
      </c>
      <c r="B19" s="5" t="s">
        <v>55</v>
      </c>
      <c r="C19" s="5" t="s">
        <v>56</v>
      </c>
      <c r="D19" s="5" t="s">
        <v>20</v>
      </c>
      <c r="E19" s="13">
        <v>0.15</v>
      </c>
      <c r="F19" s="6">
        <v>9269</v>
      </c>
      <c r="G19">
        <v>609</v>
      </c>
      <c r="H19">
        <v>5644821</v>
      </c>
      <c r="I19">
        <v>10905</v>
      </c>
      <c r="J19">
        <f>G19*I19</f>
        <v>6641145</v>
      </c>
      <c r="L19">
        <f>I19*1.2</f>
        <v>13086</v>
      </c>
    </row>
    <row r="20" spans="1:12" hidden="1" outlineLevel="1">
      <c r="A20" s="8"/>
      <c r="B20" s="1"/>
      <c r="C20" s="1" t="s">
        <v>57</v>
      </c>
      <c r="D20" s="5" t="s">
        <v>20</v>
      </c>
      <c r="E20" s="14">
        <v>0.15</v>
      </c>
      <c r="F20" s="2">
        <v>5278</v>
      </c>
      <c r="G20">
        <v>535</v>
      </c>
      <c r="H20">
        <v>2823730</v>
      </c>
      <c r="I20">
        <v>6209</v>
      </c>
      <c r="J20">
        <f>G20*I20</f>
        <v>3321815</v>
      </c>
      <c r="L20">
        <f>I20*1.2</f>
        <v>7450.7999999999993</v>
      </c>
    </row>
    <row r="21" spans="1:12" hidden="1" outlineLevel="1">
      <c r="A21" s="8"/>
      <c r="B21" s="1"/>
      <c r="C21" s="1" t="s">
        <v>58</v>
      </c>
      <c r="D21" s="5" t="s">
        <v>20</v>
      </c>
      <c r="E21" s="14">
        <v>0.15</v>
      </c>
      <c r="F21" s="2">
        <v>4144</v>
      </c>
      <c r="G21">
        <v>692</v>
      </c>
      <c r="H21">
        <v>2867648</v>
      </c>
      <c r="I21">
        <v>4875</v>
      </c>
      <c r="J21">
        <f>G21*I21</f>
        <v>3373500</v>
      </c>
      <c r="L21">
        <f>I21*1.2</f>
        <v>5850</v>
      </c>
    </row>
    <row r="22" spans="1:12" hidden="1" outlineLevel="1">
      <c r="A22" s="8"/>
      <c r="B22" s="1"/>
      <c r="C22" s="1" t="s">
        <v>59</v>
      </c>
      <c r="D22" s="5" t="s">
        <v>20</v>
      </c>
      <c r="E22" s="14">
        <v>0.15</v>
      </c>
      <c r="F22" s="2">
        <v>4288</v>
      </c>
      <c r="G22">
        <v>866</v>
      </c>
      <c r="H22">
        <v>3713408</v>
      </c>
      <c r="I22">
        <v>5045</v>
      </c>
      <c r="J22">
        <f>G22*I22</f>
        <v>4368970</v>
      </c>
      <c r="L22">
        <f>I22*1.2</f>
        <v>6054</v>
      </c>
    </row>
    <row r="23" spans="1:12" hidden="1" outlineLevel="1">
      <c r="A23" s="8"/>
      <c r="B23" s="1"/>
      <c r="C23" s="1"/>
      <c r="D23" s="1"/>
      <c r="E23" s="1"/>
      <c r="F23" s="2"/>
    </row>
    <row r="24" spans="1:12" hidden="1" outlineLevel="1">
      <c r="A24" s="8"/>
      <c r="B24" s="1"/>
      <c r="C24" s="1"/>
      <c r="D24" s="1"/>
      <c r="E24" s="1"/>
      <c r="F24" s="2"/>
      <c r="H24">
        <f>SUM(H19:H23)</f>
        <v>15049607</v>
      </c>
      <c r="J24">
        <f>SUM(J19:J23)</f>
        <v>17705430</v>
      </c>
    </row>
    <row r="25" spans="1:12" hidden="1" outlineLevel="1">
      <c r="A25" s="8"/>
      <c r="B25" s="1"/>
      <c r="C25" s="1"/>
      <c r="D25" s="1"/>
      <c r="E25" s="1"/>
      <c r="F25" s="2"/>
    </row>
    <row r="26" spans="1:12" hidden="1" outlineLevel="1">
      <c r="A26" s="8"/>
      <c r="B26" s="1"/>
      <c r="C26" s="1"/>
      <c r="D26" s="1"/>
      <c r="E26" s="1"/>
      <c r="F26" s="2"/>
      <c r="H26">
        <f>J24-H24</f>
        <v>2655823</v>
      </c>
      <c r="I26" t="s">
        <v>80</v>
      </c>
    </row>
    <row r="27" spans="1:12" hidden="1" outlineLevel="1">
      <c r="A27" s="8"/>
      <c r="B27" s="1"/>
      <c r="C27" s="1"/>
      <c r="D27" s="1"/>
      <c r="E27" s="1"/>
      <c r="F27" s="2"/>
      <c r="H27">
        <v>3186988</v>
      </c>
      <c r="I27" t="s">
        <v>81</v>
      </c>
    </row>
    <row r="28" spans="1:12" hidden="1" outlineLevel="1">
      <c r="A28" s="8"/>
      <c r="B28" s="1"/>
      <c r="C28" s="1"/>
      <c r="D28" s="1"/>
      <c r="E28" s="1"/>
      <c r="F28" s="2"/>
    </row>
    <row r="29" spans="1:12" hidden="1" outlineLevel="1">
      <c r="A29" s="8"/>
      <c r="B29" s="1"/>
      <c r="C29" s="1"/>
      <c r="D29" s="1"/>
      <c r="E29" s="1"/>
      <c r="F29" s="2"/>
    </row>
    <row r="30" spans="1:12" ht="15.75" hidden="1" outlineLevel="1" thickBot="1">
      <c r="A30" s="9"/>
      <c r="B30" s="3"/>
      <c r="C30" s="3"/>
      <c r="D30" s="3"/>
      <c r="E30" s="3"/>
      <c r="F30" s="4"/>
    </row>
    <row r="31" spans="1:12" ht="16.5" collapsed="1" thickTop="1" thickBot="1"/>
    <row r="32" spans="1:12" ht="15.75" thickTop="1">
      <c r="A32" s="3782" t="s">
        <v>0</v>
      </c>
      <c r="B32" s="3781" t="s">
        <v>1</v>
      </c>
      <c r="C32" s="3781" t="s">
        <v>2</v>
      </c>
      <c r="D32" s="3781" t="s">
        <v>3</v>
      </c>
      <c r="E32" s="3781" t="s">
        <v>4</v>
      </c>
      <c r="F32" s="3765" t="s">
        <v>5</v>
      </c>
      <c r="G32" t="s">
        <v>76</v>
      </c>
      <c r="H32" t="s">
        <v>77</v>
      </c>
      <c r="I32" t="s">
        <v>78</v>
      </c>
      <c r="J32" t="s">
        <v>79</v>
      </c>
    </row>
    <row r="33" spans="1:10" ht="24.75" customHeight="1" collapsed="1" thickBot="1">
      <c r="A33" s="3783"/>
      <c r="B33" s="3767"/>
      <c r="C33" s="3767"/>
      <c r="D33" s="3767"/>
      <c r="E33" s="3767"/>
      <c r="F33" s="3766"/>
    </row>
    <row r="34" spans="1:10" ht="15.75" hidden="1" outlineLevel="1" thickTop="1">
      <c r="A34" s="7" t="s">
        <v>105</v>
      </c>
      <c r="B34" s="5" t="s">
        <v>106</v>
      </c>
      <c r="C34" s="5" t="s">
        <v>107</v>
      </c>
      <c r="D34" s="5" t="s">
        <v>20</v>
      </c>
      <c r="E34" s="11">
        <v>0.15</v>
      </c>
      <c r="F34" s="6">
        <v>10447</v>
      </c>
      <c r="G34" s="15">
        <v>300</v>
      </c>
      <c r="H34" s="15">
        <v>3134100</v>
      </c>
      <c r="I34" s="15">
        <v>12291</v>
      </c>
      <c r="J34" s="15">
        <f>G34*I34</f>
        <v>3687300</v>
      </c>
    </row>
    <row r="35" spans="1:10" hidden="1" outlineLevel="1">
      <c r="A35" s="8"/>
      <c r="B35" s="1"/>
      <c r="C35" s="1" t="s">
        <v>108</v>
      </c>
      <c r="D35" s="1" t="s">
        <v>20</v>
      </c>
      <c r="E35" s="11">
        <v>0.15</v>
      </c>
      <c r="F35" s="2">
        <v>10447</v>
      </c>
      <c r="G35" s="15"/>
      <c r="H35" s="15"/>
      <c r="I35" s="15"/>
      <c r="J35" s="15"/>
    </row>
    <row r="36" spans="1:10" hidden="1" outlineLevel="1">
      <c r="A36" s="8"/>
      <c r="B36" s="1"/>
      <c r="C36" s="1"/>
      <c r="D36" s="1"/>
      <c r="E36" s="1"/>
      <c r="F36" s="2"/>
      <c r="G36" s="15"/>
      <c r="H36" s="15">
        <f>J34-H34</f>
        <v>553200</v>
      </c>
      <c r="I36" s="15" t="s">
        <v>80</v>
      </c>
      <c r="J36" s="15"/>
    </row>
    <row r="37" spans="1:10" hidden="1" outlineLevel="1">
      <c r="A37" s="8"/>
      <c r="B37" s="1"/>
      <c r="C37" s="1"/>
      <c r="D37" s="1"/>
      <c r="E37" s="1"/>
      <c r="F37" s="2"/>
      <c r="G37" s="15"/>
      <c r="H37" s="15">
        <f>H36*1.2</f>
        <v>663840</v>
      </c>
      <c r="I37" s="15" t="s">
        <v>81</v>
      </c>
      <c r="J37" s="15"/>
    </row>
    <row r="38" spans="1:10" hidden="1" outlineLevel="1">
      <c r="A38" s="8"/>
      <c r="B38" s="1"/>
      <c r="C38" s="1"/>
      <c r="D38" s="1"/>
      <c r="E38" s="1"/>
      <c r="F38" s="2"/>
    </row>
    <row r="39" spans="1:10" hidden="1" outlineLevel="1">
      <c r="A39" s="8"/>
      <c r="B39" s="1"/>
      <c r="C39" s="1"/>
      <c r="D39" s="1"/>
      <c r="E39" s="1"/>
      <c r="F39" s="2"/>
    </row>
    <row r="40" spans="1:10" hidden="1" outlineLevel="1">
      <c r="A40" s="8"/>
      <c r="B40" s="1"/>
      <c r="C40" s="1"/>
      <c r="D40" s="1"/>
      <c r="E40" s="1"/>
      <c r="F40" s="2"/>
    </row>
    <row r="41" spans="1:10" hidden="1" outlineLevel="1">
      <c r="A41" s="8"/>
      <c r="B41" s="1"/>
      <c r="C41" s="1"/>
      <c r="D41" s="1"/>
      <c r="E41" s="1"/>
      <c r="F41" s="2"/>
    </row>
    <row r="42" spans="1:10" hidden="1" outlineLevel="1">
      <c r="A42" s="8"/>
      <c r="B42" s="1"/>
      <c r="C42" s="1"/>
      <c r="D42" s="1"/>
      <c r="E42" s="1"/>
      <c r="F42" s="2"/>
    </row>
    <row r="43" spans="1:10" hidden="1" outlineLevel="1">
      <c r="A43" s="8"/>
      <c r="B43" s="1"/>
      <c r="C43" s="1"/>
      <c r="D43" s="1"/>
      <c r="E43" s="1"/>
      <c r="F43" s="2"/>
    </row>
    <row r="44" spans="1:10" hidden="1" outlineLevel="1">
      <c r="A44" s="8"/>
      <c r="B44" s="1"/>
      <c r="C44" s="1"/>
      <c r="D44" s="1"/>
      <c r="E44" s="1"/>
      <c r="F44" s="2"/>
    </row>
    <row r="45" spans="1:10" ht="15.75" hidden="1" outlineLevel="1" thickBot="1">
      <c r="A45" s="9"/>
      <c r="B45" s="3"/>
      <c r="C45" s="3"/>
      <c r="D45" s="3"/>
      <c r="E45" s="3"/>
      <c r="F45" s="4"/>
    </row>
    <row r="46" spans="1:10" ht="16.5" collapsed="1" thickTop="1" thickBot="1"/>
    <row r="47" spans="1:10" ht="15.75" thickTop="1">
      <c r="A47" s="3782" t="s">
        <v>0</v>
      </c>
      <c r="B47" s="3781" t="s">
        <v>1</v>
      </c>
      <c r="C47" s="3781" t="s">
        <v>2</v>
      </c>
      <c r="D47" s="3781" t="s">
        <v>3</v>
      </c>
      <c r="E47" s="3781" t="s">
        <v>4</v>
      </c>
      <c r="F47" s="3765" t="s">
        <v>5</v>
      </c>
      <c r="G47" t="s">
        <v>76</v>
      </c>
      <c r="H47" t="s">
        <v>77</v>
      </c>
      <c r="I47" t="s">
        <v>78</v>
      </c>
      <c r="J47" t="s">
        <v>79</v>
      </c>
    </row>
    <row r="48" spans="1:10" ht="24.75" customHeight="1" collapsed="1" thickBot="1">
      <c r="A48" s="3783"/>
      <c r="B48" s="3767"/>
      <c r="C48" s="3767"/>
      <c r="D48" s="3767"/>
      <c r="E48" s="3767"/>
      <c r="F48" s="3766"/>
    </row>
    <row r="49" spans="1:12" ht="15.75" hidden="1" outlineLevel="1" thickTop="1">
      <c r="A49" s="7" t="s">
        <v>111</v>
      </c>
      <c r="B49" s="5" t="s">
        <v>114</v>
      </c>
      <c r="C49" s="5" t="s">
        <v>113</v>
      </c>
      <c r="D49" s="5" t="s">
        <v>112</v>
      </c>
      <c r="E49" s="11">
        <v>0.15</v>
      </c>
      <c r="F49" s="6">
        <v>107409</v>
      </c>
      <c r="G49">
        <v>120</v>
      </c>
      <c r="H49">
        <f>F49*G49</f>
        <v>12889080</v>
      </c>
      <c r="I49">
        <v>126364</v>
      </c>
      <c r="J49">
        <v>15163680</v>
      </c>
      <c r="K49">
        <f>I49*1.1</f>
        <v>139000.40000000002</v>
      </c>
      <c r="L49">
        <f>F49/I49</f>
        <v>0.84999683454148334</v>
      </c>
    </row>
    <row r="50" spans="1:12" hidden="1" outlineLevel="1">
      <c r="A50" s="8"/>
      <c r="B50" s="1"/>
      <c r="C50" s="1"/>
      <c r="D50" s="1"/>
      <c r="E50" s="1"/>
      <c r="F50" s="2"/>
    </row>
    <row r="51" spans="1:12" hidden="1" outlineLevel="1">
      <c r="A51" s="8"/>
      <c r="B51" s="1"/>
      <c r="C51" s="1"/>
      <c r="D51" s="1"/>
      <c r="E51" s="1"/>
      <c r="F51" s="2"/>
    </row>
    <row r="52" spans="1:12" hidden="1" outlineLevel="1">
      <c r="A52" s="8"/>
      <c r="B52" s="1"/>
      <c r="C52" s="1"/>
      <c r="D52" s="1"/>
      <c r="E52" s="1"/>
      <c r="F52" s="2"/>
      <c r="H52">
        <v>2274600</v>
      </c>
      <c r="I52" t="s">
        <v>80</v>
      </c>
    </row>
    <row r="53" spans="1:12" hidden="1" outlineLevel="1">
      <c r="A53" s="8"/>
      <c r="B53" s="1"/>
      <c r="C53" s="1"/>
      <c r="D53" s="1"/>
      <c r="E53" s="1"/>
      <c r="F53" s="2"/>
      <c r="H53">
        <v>2502060</v>
      </c>
      <c r="I53" t="s">
        <v>81</v>
      </c>
    </row>
    <row r="54" spans="1:12" hidden="1" outlineLevel="1">
      <c r="A54" s="8"/>
      <c r="B54" s="1"/>
      <c r="C54" s="1"/>
      <c r="D54" s="1"/>
      <c r="E54" s="1"/>
      <c r="F54" s="2"/>
    </row>
    <row r="55" spans="1:12" hidden="1" outlineLevel="1">
      <c r="A55" s="8"/>
      <c r="B55" s="1"/>
      <c r="C55" s="1"/>
      <c r="D55" s="1"/>
      <c r="E55" s="1"/>
      <c r="F55" s="2"/>
    </row>
    <row r="56" spans="1:12" hidden="1" outlineLevel="1">
      <c r="A56" s="8"/>
      <c r="B56" s="1"/>
      <c r="C56" s="1"/>
      <c r="D56" s="1"/>
      <c r="E56" s="1"/>
      <c r="F56" s="2"/>
    </row>
    <row r="57" spans="1:12" hidden="1" outlineLevel="1">
      <c r="A57" s="8"/>
      <c r="B57" s="1"/>
      <c r="C57" s="1"/>
      <c r="D57" s="1"/>
      <c r="E57" s="1"/>
      <c r="F57" s="2"/>
    </row>
    <row r="58" spans="1:12" hidden="1" outlineLevel="1">
      <c r="A58" s="8"/>
      <c r="B58" s="1"/>
      <c r="C58" s="1"/>
      <c r="D58" s="1"/>
      <c r="E58" s="1"/>
      <c r="F58" s="2"/>
    </row>
    <row r="59" spans="1:12" hidden="1" outlineLevel="1">
      <c r="A59" s="8"/>
      <c r="B59" s="1"/>
      <c r="C59" s="1"/>
      <c r="D59" s="1"/>
      <c r="E59" s="1"/>
      <c r="F59" s="2"/>
    </row>
    <row r="60" spans="1:12" ht="15.75" hidden="1" outlineLevel="1" thickBot="1">
      <c r="A60" s="9"/>
      <c r="B60" s="3"/>
      <c r="C60" s="3"/>
      <c r="D60" s="3"/>
      <c r="E60" s="3"/>
      <c r="F60" s="4"/>
    </row>
    <row r="61" spans="1:12" ht="16.5" collapsed="1" thickTop="1" thickBot="1"/>
    <row r="62" spans="1:12" ht="15.75" thickTop="1">
      <c r="A62" s="3782" t="s">
        <v>0</v>
      </c>
      <c r="B62" s="3781" t="s">
        <v>1</v>
      </c>
      <c r="C62" s="3781" t="s">
        <v>2</v>
      </c>
      <c r="D62" s="3781" t="s">
        <v>3</v>
      </c>
      <c r="E62" s="3781" t="s">
        <v>4</v>
      </c>
      <c r="F62" s="3765" t="s">
        <v>5</v>
      </c>
      <c r="G62" t="s">
        <v>76</v>
      </c>
      <c r="H62" t="s">
        <v>77</v>
      </c>
      <c r="I62" t="s">
        <v>78</v>
      </c>
      <c r="J62" t="s">
        <v>79</v>
      </c>
    </row>
    <row r="63" spans="1:12" ht="24.75" customHeight="1" collapsed="1" thickBot="1">
      <c r="A63" s="3783"/>
      <c r="B63" s="3767"/>
      <c r="C63" s="3767"/>
      <c r="D63" s="3767"/>
      <c r="E63" s="3767"/>
      <c r="F63" s="3766"/>
    </row>
    <row r="64" spans="1:12" ht="15.75" hidden="1" outlineLevel="1" thickTop="1">
      <c r="A64" s="7" t="s">
        <v>111</v>
      </c>
      <c r="B64" s="5" t="s">
        <v>115</v>
      </c>
      <c r="C64" s="5" t="s">
        <v>41</v>
      </c>
      <c r="D64" s="5" t="s">
        <v>54</v>
      </c>
      <c r="E64" s="11">
        <v>0.1</v>
      </c>
      <c r="F64" s="2">
        <v>3960</v>
      </c>
      <c r="G64">
        <v>1202</v>
      </c>
      <c r="H64">
        <v>4759920</v>
      </c>
      <c r="I64">
        <v>4400</v>
      </c>
      <c r="J64">
        <f>G64*I64</f>
        <v>5288800</v>
      </c>
    </row>
    <row r="65" spans="1:12" hidden="1" outlineLevel="1">
      <c r="A65" s="8"/>
      <c r="B65" s="1" t="s">
        <v>116</v>
      </c>
      <c r="C65" s="1" t="s">
        <v>40</v>
      </c>
      <c r="D65" s="5" t="s">
        <v>54</v>
      </c>
      <c r="E65" s="11">
        <v>0.1</v>
      </c>
      <c r="F65" s="2">
        <v>3960</v>
      </c>
      <c r="I65">
        <v>4400</v>
      </c>
      <c r="J65">
        <f>G65*I65</f>
        <v>0</v>
      </c>
    </row>
    <row r="66" spans="1:12" hidden="1" outlineLevel="1">
      <c r="A66" s="8"/>
      <c r="B66" s="1"/>
      <c r="C66" s="1" t="s">
        <v>117</v>
      </c>
      <c r="D66" s="5" t="s">
        <v>54</v>
      </c>
      <c r="E66" s="11">
        <v>0.1</v>
      </c>
      <c r="F66" s="2">
        <v>3930</v>
      </c>
      <c r="G66">
        <v>1199</v>
      </c>
      <c r="H66">
        <v>4712070</v>
      </c>
      <c r="I66">
        <v>4367</v>
      </c>
      <c r="J66">
        <f>G66*I66</f>
        <v>5236033</v>
      </c>
    </row>
    <row r="67" spans="1:12" hidden="1" outlineLevel="1">
      <c r="A67" s="8"/>
      <c r="B67" s="1"/>
      <c r="C67" s="1" t="s">
        <v>118</v>
      </c>
      <c r="D67" s="5" t="s">
        <v>54</v>
      </c>
      <c r="E67" s="11">
        <v>0.1</v>
      </c>
      <c r="F67" s="2">
        <v>7650</v>
      </c>
      <c r="G67">
        <v>1567</v>
      </c>
      <c r="H67">
        <v>11987550</v>
      </c>
      <c r="I67">
        <v>8500</v>
      </c>
      <c r="J67">
        <f>G67*I67</f>
        <v>13319500</v>
      </c>
    </row>
    <row r="68" spans="1:12" hidden="1" outlineLevel="1">
      <c r="A68" s="8"/>
      <c r="B68" s="1"/>
      <c r="C68" s="1"/>
      <c r="D68" s="5"/>
      <c r="E68" s="11"/>
      <c r="F68" s="2"/>
    </row>
    <row r="69" spans="1:12" hidden="1" outlineLevel="1">
      <c r="A69" s="8"/>
      <c r="B69" s="1"/>
      <c r="C69" s="1"/>
      <c r="D69" s="1"/>
      <c r="E69" s="1"/>
      <c r="F69" s="2"/>
    </row>
    <row r="70" spans="1:12" hidden="1" outlineLevel="1">
      <c r="A70" s="8"/>
      <c r="B70" s="1"/>
      <c r="C70" s="1"/>
      <c r="D70" s="1"/>
      <c r="E70" s="1"/>
      <c r="F70" s="2"/>
      <c r="H70">
        <f>SUM(H64:H69)</f>
        <v>21459540</v>
      </c>
      <c r="J70">
        <f>SUM(J64:J69)</f>
        <v>23844333</v>
      </c>
    </row>
    <row r="71" spans="1:12" hidden="1" outlineLevel="1">
      <c r="A71" s="8"/>
      <c r="B71" s="1"/>
      <c r="C71" s="1"/>
      <c r="D71" s="1"/>
      <c r="E71" s="1"/>
      <c r="F71" s="2"/>
    </row>
    <row r="72" spans="1:12" hidden="1" outlineLevel="1">
      <c r="A72" s="8"/>
      <c r="B72" s="1"/>
      <c r="C72" s="1"/>
      <c r="D72" s="1"/>
      <c r="E72" s="1"/>
      <c r="F72" s="2"/>
      <c r="H72" s="15">
        <v>2384793</v>
      </c>
    </row>
    <row r="73" spans="1:12" hidden="1" outlineLevel="1">
      <c r="A73" s="8"/>
      <c r="B73" s="1"/>
      <c r="C73" s="1"/>
      <c r="D73" s="1"/>
      <c r="E73" s="1"/>
      <c r="F73" s="2"/>
      <c r="H73" s="15">
        <v>2861751.6</v>
      </c>
    </row>
    <row r="74" spans="1:12" hidden="1" outlineLevel="1">
      <c r="A74" s="8"/>
      <c r="B74" s="1"/>
      <c r="C74" s="1"/>
      <c r="D74" s="1"/>
      <c r="E74" s="1"/>
      <c r="F74" s="2"/>
    </row>
    <row r="75" spans="1:12" ht="15.75" hidden="1" outlineLevel="1" thickBot="1">
      <c r="A75" s="9"/>
      <c r="B75" s="3"/>
      <c r="C75" s="3"/>
      <c r="D75" s="3"/>
      <c r="E75" s="3"/>
      <c r="F75" s="4"/>
    </row>
    <row r="76" spans="1:12" ht="16.5" collapsed="1" thickTop="1" thickBot="1"/>
    <row r="77" spans="1:12" ht="15.75" thickTop="1">
      <c r="A77" s="3782" t="s">
        <v>0</v>
      </c>
      <c r="B77" s="3781" t="s">
        <v>1</v>
      </c>
      <c r="C77" s="3781" t="s">
        <v>2</v>
      </c>
      <c r="D77" s="3781" t="s">
        <v>3</v>
      </c>
      <c r="E77" s="3781" t="s">
        <v>4</v>
      </c>
      <c r="F77" s="3765" t="s">
        <v>5</v>
      </c>
      <c r="G77" t="s">
        <v>76</v>
      </c>
      <c r="H77" t="s">
        <v>77</v>
      </c>
      <c r="I77" t="s">
        <v>78</v>
      </c>
      <c r="J77" t="s">
        <v>79</v>
      </c>
    </row>
    <row r="78" spans="1:12" ht="24.75" customHeight="1" collapsed="1" thickBot="1">
      <c r="A78" s="3783"/>
      <c r="B78" s="3767"/>
      <c r="C78" s="3767"/>
      <c r="D78" s="3767"/>
      <c r="E78" s="3767"/>
      <c r="F78" s="3766"/>
    </row>
    <row r="79" spans="1:12" ht="15.75" hidden="1" outlineLevel="1" thickTop="1">
      <c r="A79" s="7" t="s">
        <v>182</v>
      </c>
      <c r="B79" s="5" t="s">
        <v>106</v>
      </c>
      <c r="C79" s="5" t="s">
        <v>155</v>
      </c>
      <c r="D79" s="5" t="s">
        <v>20</v>
      </c>
      <c r="E79" s="11">
        <v>0.15</v>
      </c>
      <c r="F79" s="6">
        <v>5278</v>
      </c>
      <c r="H79">
        <f>F79*G79</f>
        <v>0</v>
      </c>
    </row>
    <row r="80" spans="1:12" hidden="1" outlineLevel="1">
      <c r="A80" s="8"/>
      <c r="B80" s="1"/>
      <c r="C80" s="1" t="s">
        <v>154</v>
      </c>
      <c r="D80" s="5" t="s">
        <v>20</v>
      </c>
      <c r="E80" s="11">
        <v>0.15</v>
      </c>
      <c r="F80" s="2">
        <v>4144</v>
      </c>
      <c r="G80">
        <v>367</v>
      </c>
      <c r="H80">
        <f>F80*G80</f>
        <v>1520848</v>
      </c>
      <c r="I80">
        <v>4875</v>
      </c>
      <c r="J80">
        <f>G80*I80</f>
        <v>1789125</v>
      </c>
      <c r="K80">
        <f>I80*1.2</f>
        <v>5850</v>
      </c>
      <c r="L80">
        <f>F80*1.2</f>
        <v>4972.8</v>
      </c>
    </row>
    <row r="81" spans="1:12" hidden="1" outlineLevel="1">
      <c r="A81" s="8"/>
      <c r="B81" s="1"/>
      <c r="C81" s="1" t="s">
        <v>183</v>
      </c>
      <c r="D81" s="5" t="s">
        <v>20</v>
      </c>
      <c r="E81" s="11">
        <v>0.15</v>
      </c>
      <c r="F81" s="2">
        <v>7179</v>
      </c>
      <c r="G81">
        <v>584</v>
      </c>
      <c r="H81">
        <f>F81*G81</f>
        <v>4192536</v>
      </c>
      <c r="I81">
        <v>8446</v>
      </c>
      <c r="J81">
        <f>G81*I81</f>
        <v>4932464</v>
      </c>
      <c r="K81">
        <f>I81*1.2</f>
        <v>10135.199999999999</v>
      </c>
      <c r="L81">
        <f>F81*1.2</f>
        <v>8614.7999999999993</v>
      </c>
    </row>
    <row r="82" spans="1:12" hidden="1" outlineLevel="1">
      <c r="A82" s="8"/>
      <c r="B82" s="1"/>
      <c r="C82" s="1"/>
      <c r="D82" s="1"/>
      <c r="E82" s="1"/>
      <c r="F82" s="2"/>
    </row>
    <row r="83" spans="1:12" hidden="1" outlineLevel="1">
      <c r="A83" s="8"/>
      <c r="B83" s="1"/>
      <c r="C83" s="1"/>
      <c r="D83" s="1"/>
      <c r="E83" s="1"/>
      <c r="F83" s="2"/>
      <c r="H83">
        <f>SUM(H79:H82)</f>
        <v>5713384</v>
      </c>
      <c r="J83">
        <f>SUM(J79:J82)</f>
        <v>6721589</v>
      </c>
    </row>
    <row r="84" spans="1:12" hidden="1" outlineLevel="1">
      <c r="A84" s="8"/>
      <c r="B84" s="1"/>
      <c r="C84" s="1"/>
      <c r="D84" s="1"/>
      <c r="E84" s="1"/>
      <c r="F84" s="2"/>
      <c r="H84">
        <f>J83-H83</f>
        <v>1008205</v>
      </c>
    </row>
    <row r="85" spans="1:12" hidden="1" outlineLevel="1">
      <c r="A85" s="8"/>
      <c r="B85" s="1"/>
      <c r="C85" s="1"/>
      <c r="D85" s="1"/>
      <c r="E85" s="1"/>
      <c r="F85" s="2"/>
      <c r="H85">
        <f>H84*1.2</f>
        <v>1209846</v>
      </c>
    </row>
    <row r="86" spans="1:12" hidden="1" outlineLevel="1">
      <c r="A86" s="8"/>
      <c r="B86" s="1"/>
      <c r="C86" s="1"/>
      <c r="D86" s="1"/>
      <c r="E86" s="1"/>
      <c r="F86" s="2"/>
    </row>
    <row r="87" spans="1:12" hidden="1" outlineLevel="1">
      <c r="A87" s="8"/>
      <c r="B87" s="1"/>
      <c r="C87" s="1"/>
      <c r="D87" s="1"/>
      <c r="E87" s="1"/>
      <c r="F87" s="2"/>
    </row>
    <row r="88" spans="1:12" hidden="1" outlineLevel="1">
      <c r="A88" s="8"/>
      <c r="B88" s="1"/>
      <c r="C88" s="1"/>
      <c r="D88" s="1"/>
      <c r="E88" s="1"/>
      <c r="F88" s="2"/>
    </row>
    <row r="89" spans="1:12" hidden="1" outlineLevel="1">
      <c r="A89" s="8"/>
      <c r="B89" s="1"/>
      <c r="C89" s="1"/>
      <c r="D89" s="1"/>
      <c r="E89" s="1"/>
      <c r="F89" s="2"/>
    </row>
    <row r="90" spans="1:12" ht="15.75" hidden="1" outlineLevel="1" thickBot="1">
      <c r="A90" s="9"/>
      <c r="B90" s="3"/>
      <c r="C90" s="3"/>
      <c r="D90" s="3"/>
      <c r="E90" s="3"/>
      <c r="F90" s="4"/>
    </row>
    <row r="91" spans="1:12" ht="16.5" collapsed="1" thickTop="1" thickBot="1"/>
    <row r="92" spans="1:12" ht="15.75" thickTop="1">
      <c r="A92" s="3782" t="s">
        <v>0</v>
      </c>
      <c r="B92" s="3781" t="s">
        <v>1</v>
      </c>
      <c r="C92" s="3781" t="s">
        <v>2</v>
      </c>
      <c r="D92" s="3781" t="s">
        <v>3</v>
      </c>
      <c r="E92" s="3781" t="s">
        <v>4</v>
      </c>
      <c r="F92" s="3765" t="s">
        <v>5</v>
      </c>
      <c r="G92" t="s">
        <v>76</v>
      </c>
      <c r="H92" t="s">
        <v>77</v>
      </c>
      <c r="I92" t="s">
        <v>78</v>
      </c>
      <c r="J92" t="s">
        <v>79</v>
      </c>
    </row>
    <row r="93" spans="1:12" ht="24.75" customHeight="1" collapsed="1" thickBot="1">
      <c r="A93" s="3783"/>
      <c r="B93" s="3767"/>
      <c r="C93" s="3767"/>
      <c r="D93" s="3767"/>
      <c r="E93" s="3767"/>
      <c r="F93" s="3766"/>
    </row>
    <row r="94" spans="1:12" ht="15.75" hidden="1" outlineLevel="1" thickTop="1">
      <c r="A94" s="7" t="s">
        <v>182</v>
      </c>
      <c r="B94" s="5" t="s">
        <v>115</v>
      </c>
      <c r="C94" s="5" t="s">
        <v>184</v>
      </c>
      <c r="D94" s="5" t="s">
        <v>54</v>
      </c>
      <c r="E94" s="11">
        <v>0.1</v>
      </c>
      <c r="F94" s="6">
        <v>11597</v>
      </c>
      <c r="G94">
        <v>913</v>
      </c>
      <c r="H94">
        <f t="shared" ref="H94:H100" si="0">F94*G94</f>
        <v>10588061</v>
      </c>
      <c r="I94">
        <v>12885</v>
      </c>
      <c r="J94">
        <f t="shared" ref="J94:J100" si="1">G94*I94</f>
        <v>11764005</v>
      </c>
    </row>
    <row r="95" spans="1:12" hidden="1" outlineLevel="1">
      <c r="A95" s="8"/>
      <c r="B95" s="1" t="s">
        <v>116</v>
      </c>
      <c r="C95" s="1" t="s">
        <v>185</v>
      </c>
      <c r="D95" s="5" t="s">
        <v>54</v>
      </c>
      <c r="E95" s="11">
        <v>0.1</v>
      </c>
      <c r="F95" s="2">
        <v>11597</v>
      </c>
      <c r="G95">
        <v>825</v>
      </c>
      <c r="H95">
        <f t="shared" si="0"/>
        <v>9567525</v>
      </c>
      <c r="I95">
        <v>12885</v>
      </c>
      <c r="J95">
        <f t="shared" si="1"/>
        <v>10630125</v>
      </c>
    </row>
    <row r="96" spans="1:12" hidden="1" outlineLevel="1">
      <c r="A96" s="8"/>
      <c r="B96" s="1"/>
      <c r="C96" s="1" t="s">
        <v>186</v>
      </c>
      <c r="D96" s="5" t="s">
        <v>54</v>
      </c>
      <c r="E96" s="11">
        <v>0.1</v>
      </c>
      <c r="F96" s="2">
        <v>4236</v>
      </c>
      <c r="G96">
        <v>2574</v>
      </c>
      <c r="H96">
        <f t="shared" si="0"/>
        <v>10903464</v>
      </c>
      <c r="I96">
        <v>4707</v>
      </c>
      <c r="J96">
        <f t="shared" si="1"/>
        <v>12115818</v>
      </c>
    </row>
    <row r="97" spans="1:12" hidden="1" outlineLevel="1">
      <c r="A97" s="8"/>
      <c r="B97" s="1"/>
      <c r="C97" s="1" t="s">
        <v>187</v>
      </c>
      <c r="D97" s="5" t="s">
        <v>54</v>
      </c>
      <c r="E97" s="11">
        <v>0.1</v>
      </c>
      <c r="F97" s="2">
        <v>4236</v>
      </c>
      <c r="H97">
        <f t="shared" si="0"/>
        <v>0</v>
      </c>
      <c r="I97">
        <v>4707</v>
      </c>
      <c r="J97">
        <f t="shared" si="1"/>
        <v>0</v>
      </c>
    </row>
    <row r="98" spans="1:12" hidden="1" outlineLevel="1">
      <c r="A98" s="8"/>
      <c r="B98" s="1"/>
      <c r="C98" s="1" t="s">
        <v>188</v>
      </c>
      <c r="D98" s="5" t="s">
        <v>54</v>
      </c>
      <c r="E98" s="11">
        <v>0.1</v>
      </c>
      <c r="F98" s="2">
        <v>4236</v>
      </c>
      <c r="H98">
        <f t="shared" si="0"/>
        <v>0</v>
      </c>
      <c r="I98">
        <v>4707</v>
      </c>
      <c r="J98">
        <f t="shared" si="1"/>
        <v>0</v>
      </c>
    </row>
    <row r="99" spans="1:12" hidden="1" outlineLevel="1">
      <c r="A99" s="8"/>
      <c r="B99" s="1"/>
      <c r="C99" s="1" t="s">
        <v>189</v>
      </c>
      <c r="D99" s="5" t="s">
        <v>54</v>
      </c>
      <c r="E99" s="11">
        <v>0.1</v>
      </c>
      <c r="F99" s="2">
        <v>2613</v>
      </c>
      <c r="G99">
        <v>2518</v>
      </c>
      <c r="H99">
        <f t="shared" si="0"/>
        <v>6579534</v>
      </c>
      <c r="I99">
        <v>2903</v>
      </c>
      <c r="J99">
        <f t="shared" si="1"/>
        <v>7309754</v>
      </c>
    </row>
    <row r="100" spans="1:12" hidden="1" outlineLevel="1">
      <c r="A100" s="8"/>
      <c r="B100" s="1"/>
      <c r="C100" s="1" t="s">
        <v>53</v>
      </c>
      <c r="D100" s="5" t="s">
        <v>54</v>
      </c>
      <c r="E100" s="11">
        <v>0.1</v>
      </c>
      <c r="F100" s="2">
        <v>6220</v>
      </c>
      <c r="G100">
        <v>2022</v>
      </c>
      <c r="H100">
        <f t="shared" si="0"/>
        <v>12576840</v>
      </c>
      <c r="I100">
        <v>6911</v>
      </c>
      <c r="J100">
        <f t="shared" si="1"/>
        <v>13974042</v>
      </c>
    </row>
    <row r="101" spans="1:12" hidden="1" outlineLevel="1">
      <c r="A101" s="8"/>
      <c r="B101" s="1"/>
      <c r="C101" s="1"/>
      <c r="D101" s="1"/>
      <c r="E101" s="1"/>
      <c r="F101" s="2"/>
    </row>
    <row r="102" spans="1:12" hidden="1" outlineLevel="1">
      <c r="A102" s="8"/>
      <c r="B102" s="1"/>
      <c r="C102" s="1"/>
      <c r="D102" s="1"/>
      <c r="E102" s="1"/>
      <c r="F102" s="2"/>
      <c r="H102">
        <f>SUM(H94:H101)</f>
        <v>50215424</v>
      </c>
      <c r="J102">
        <f>SUM(J94:J101)</f>
        <v>55793744</v>
      </c>
    </row>
    <row r="103" spans="1:12" hidden="1" outlineLevel="1">
      <c r="A103" s="8"/>
      <c r="B103" s="1"/>
      <c r="C103" s="1"/>
      <c r="D103" s="1"/>
      <c r="E103" s="1"/>
      <c r="F103" s="2"/>
    </row>
    <row r="104" spans="1:12" hidden="1" outlineLevel="1">
      <c r="A104" s="8"/>
      <c r="B104" s="1"/>
      <c r="C104" s="1"/>
      <c r="D104" s="1"/>
      <c r="E104" s="1"/>
      <c r="F104" s="2"/>
      <c r="H104">
        <f>J102-H102</f>
        <v>5578320</v>
      </c>
    </row>
    <row r="105" spans="1:12" ht="15.75" hidden="1" outlineLevel="1" thickBot="1">
      <c r="A105" s="9"/>
      <c r="B105" s="3"/>
      <c r="C105" s="3"/>
      <c r="D105" s="3"/>
      <c r="E105" s="3"/>
      <c r="F105" s="4"/>
      <c r="H105">
        <f>H104*1.2</f>
        <v>6693984</v>
      </c>
    </row>
    <row r="106" spans="1:12" ht="16.5" collapsed="1" thickTop="1" thickBot="1"/>
    <row r="107" spans="1:12" ht="15.75" thickTop="1">
      <c r="A107" s="3782" t="s">
        <v>0</v>
      </c>
      <c r="B107" s="3781" t="s">
        <v>1</v>
      </c>
      <c r="C107" s="3781" t="s">
        <v>2</v>
      </c>
      <c r="D107" s="3781" t="s">
        <v>3</v>
      </c>
      <c r="E107" s="3781" t="s">
        <v>4</v>
      </c>
      <c r="F107" s="3765" t="s">
        <v>5</v>
      </c>
      <c r="G107" t="s">
        <v>76</v>
      </c>
      <c r="H107" t="s">
        <v>77</v>
      </c>
      <c r="I107" t="s">
        <v>78</v>
      </c>
      <c r="J107" t="s">
        <v>79</v>
      </c>
    </row>
    <row r="108" spans="1:12" ht="24.75" customHeight="1" collapsed="1" thickBot="1">
      <c r="A108" s="3783"/>
      <c r="B108" s="3767"/>
      <c r="C108" s="3767"/>
      <c r="D108" s="3767"/>
      <c r="E108" s="3767"/>
      <c r="F108" s="3766"/>
    </row>
    <row r="109" spans="1:12" ht="15.75" outlineLevel="1" thickTop="1">
      <c r="A109" s="7" t="s">
        <v>182</v>
      </c>
      <c r="B109" s="5" t="s">
        <v>114</v>
      </c>
      <c r="C109" s="5" t="s">
        <v>183</v>
      </c>
      <c r="D109" s="5" t="s">
        <v>70</v>
      </c>
      <c r="E109" s="11">
        <v>0.15</v>
      </c>
      <c r="F109" s="6">
        <v>7179</v>
      </c>
      <c r="G109">
        <v>448</v>
      </c>
      <c r="H109">
        <f>F109*G109</f>
        <v>3216192</v>
      </c>
      <c r="I109">
        <v>8446</v>
      </c>
      <c r="J109">
        <f>G109*I109</f>
        <v>3783808</v>
      </c>
      <c r="K109">
        <f>I109*1.2</f>
        <v>10135.199999999999</v>
      </c>
      <c r="L109">
        <f>F109*1.2</f>
        <v>8614.7999999999993</v>
      </c>
    </row>
    <row r="110" spans="1:12" outlineLevel="1">
      <c r="A110" s="8"/>
      <c r="B110" s="1"/>
      <c r="C110" s="1" t="s">
        <v>155</v>
      </c>
      <c r="D110" s="5" t="s">
        <v>70</v>
      </c>
      <c r="E110" s="12">
        <v>0.15</v>
      </c>
      <c r="F110" s="2">
        <v>5278</v>
      </c>
      <c r="G110">
        <v>270</v>
      </c>
      <c r="H110">
        <f>F110*G110</f>
        <v>1425060</v>
      </c>
      <c r="I110">
        <v>6209</v>
      </c>
      <c r="J110">
        <f>G110*I110</f>
        <v>1676430</v>
      </c>
      <c r="K110">
        <f>I110*1.2</f>
        <v>7450.7999999999993</v>
      </c>
      <c r="L110">
        <f>F110*1.2</f>
        <v>6333.5999999999995</v>
      </c>
    </row>
    <row r="111" spans="1:12" outlineLevel="1">
      <c r="A111" s="8"/>
      <c r="B111" s="1"/>
      <c r="C111" s="1"/>
      <c r="D111" s="1"/>
      <c r="E111" s="1"/>
      <c r="F111" s="2"/>
    </row>
    <row r="112" spans="1:12" outlineLevel="1">
      <c r="A112" s="8"/>
      <c r="B112" s="1"/>
      <c r="C112" s="1"/>
      <c r="D112" s="1"/>
      <c r="E112" s="1"/>
      <c r="F112" s="2"/>
      <c r="H112">
        <f>SUM(H109:H111)</f>
        <v>4641252</v>
      </c>
      <c r="J112">
        <f>SUM(J109:J111)</f>
        <v>5460238</v>
      </c>
    </row>
    <row r="113" spans="1:10" outlineLevel="1">
      <c r="A113" s="8"/>
      <c r="B113" s="1"/>
      <c r="C113" s="1"/>
      <c r="D113" s="1"/>
      <c r="E113" s="1"/>
      <c r="F113" s="2"/>
    </row>
    <row r="114" spans="1:10" outlineLevel="1">
      <c r="A114" s="8"/>
      <c r="B114" s="1"/>
      <c r="C114" s="1"/>
      <c r="D114" s="1"/>
      <c r="E114" s="1"/>
      <c r="F114" s="2"/>
      <c r="H114">
        <f>J112-H112</f>
        <v>818986</v>
      </c>
    </row>
    <row r="115" spans="1:10" outlineLevel="1">
      <c r="A115" s="8"/>
      <c r="B115" s="1"/>
      <c r="C115" s="1"/>
      <c r="D115" s="1"/>
      <c r="E115" s="1"/>
      <c r="F115" s="2"/>
      <c r="H115">
        <f>H114*1.2</f>
        <v>982783.2</v>
      </c>
    </row>
    <row r="116" spans="1:10" outlineLevel="1">
      <c r="A116" s="8"/>
      <c r="B116" s="1"/>
      <c r="C116" s="1"/>
      <c r="D116" s="1"/>
      <c r="E116" s="1"/>
      <c r="F116" s="2"/>
    </row>
    <row r="117" spans="1:10" outlineLevel="1">
      <c r="A117" s="8"/>
      <c r="B117" s="1"/>
      <c r="C117" s="1"/>
      <c r="D117" s="1"/>
      <c r="E117" s="1"/>
      <c r="F117" s="2"/>
    </row>
    <row r="118" spans="1:10" outlineLevel="1">
      <c r="A118" s="8"/>
      <c r="B118" s="1"/>
      <c r="C118" s="1"/>
      <c r="D118" s="1"/>
      <c r="E118" s="1"/>
      <c r="F118" s="2"/>
    </row>
    <row r="119" spans="1:10" outlineLevel="1">
      <c r="A119" s="8"/>
      <c r="B119" s="1"/>
      <c r="C119" s="1"/>
      <c r="D119" s="1"/>
      <c r="E119" s="1"/>
      <c r="F119" s="2"/>
    </row>
    <row r="120" spans="1:10" ht="15.75" outlineLevel="1" thickBot="1">
      <c r="A120" s="9"/>
      <c r="B120" s="3"/>
      <c r="C120" s="3"/>
      <c r="D120" s="3"/>
      <c r="E120" s="3"/>
      <c r="F120" s="4"/>
    </row>
    <row r="121" spans="1:10" ht="16.5" thickTop="1" thickBot="1"/>
    <row r="122" spans="1:10" ht="15.75" thickTop="1">
      <c r="A122" s="3782" t="s">
        <v>0</v>
      </c>
      <c r="B122" s="3781" t="s">
        <v>1</v>
      </c>
      <c r="C122" s="3781" t="s">
        <v>2</v>
      </c>
      <c r="D122" s="3781" t="s">
        <v>3</v>
      </c>
      <c r="E122" s="3781" t="s">
        <v>4</v>
      </c>
      <c r="F122" s="3765" t="s">
        <v>5</v>
      </c>
      <c r="G122" t="s">
        <v>76</v>
      </c>
      <c r="H122" t="s">
        <v>77</v>
      </c>
      <c r="I122" t="s">
        <v>78</v>
      </c>
      <c r="J122" t="s">
        <v>79</v>
      </c>
    </row>
    <row r="123" spans="1:10" ht="24.75" customHeight="1" collapsed="1" thickBot="1">
      <c r="A123" s="3783"/>
      <c r="B123" s="3767"/>
      <c r="C123" s="3767"/>
      <c r="D123" s="3767"/>
      <c r="E123" s="3767"/>
      <c r="F123" s="3766"/>
    </row>
    <row r="124" spans="1:10" ht="15.75" outlineLevel="1" thickTop="1">
      <c r="A124" s="7" t="s">
        <v>207</v>
      </c>
      <c r="B124" s="5" t="s">
        <v>115</v>
      </c>
      <c r="C124" s="5" t="s">
        <v>160</v>
      </c>
      <c r="D124" s="5" t="s">
        <v>30</v>
      </c>
      <c r="E124" s="11">
        <v>0.15</v>
      </c>
      <c r="F124" s="6">
        <v>105864</v>
      </c>
      <c r="G124">
        <v>145</v>
      </c>
      <c r="H124">
        <f>F124*G124</f>
        <v>15350280</v>
      </c>
      <c r="I124">
        <v>124545</v>
      </c>
      <c r="J124">
        <f>G124*I124</f>
        <v>18059025</v>
      </c>
    </row>
    <row r="125" spans="1:10" outlineLevel="1">
      <c r="A125" s="8"/>
      <c r="B125" s="1" t="s">
        <v>116</v>
      </c>
      <c r="C125" s="1" t="s">
        <v>161</v>
      </c>
      <c r="D125" s="5" t="s">
        <v>30</v>
      </c>
      <c r="E125" s="11">
        <v>0.15</v>
      </c>
      <c r="F125" s="6">
        <v>105864</v>
      </c>
      <c r="G125">
        <v>75</v>
      </c>
      <c r="H125">
        <f>F125*G125</f>
        <v>7939800</v>
      </c>
      <c r="I125">
        <v>124545</v>
      </c>
      <c r="J125">
        <f>G125*I125</f>
        <v>9340875</v>
      </c>
    </row>
    <row r="126" spans="1:10" outlineLevel="1">
      <c r="A126" s="8"/>
      <c r="B126" s="1"/>
      <c r="C126" s="1" t="s">
        <v>113</v>
      </c>
      <c r="D126" s="5" t="s">
        <v>30</v>
      </c>
      <c r="E126" s="11">
        <v>0.15</v>
      </c>
      <c r="F126" s="6">
        <v>105864</v>
      </c>
      <c r="G126">
        <v>216</v>
      </c>
      <c r="H126">
        <f>F126*G126</f>
        <v>22866624</v>
      </c>
      <c r="I126">
        <v>124545</v>
      </c>
      <c r="J126">
        <f>G126*I126</f>
        <v>26901720</v>
      </c>
    </row>
    <row r="127" spans="1:10" outlineLevel="1">
      <c r="A127" s="8"/>
      <c r="B127" s="1"/>
      <c r="C127" s="1"/>
      <c r="D127" s="1"/>
      <c r="E127" s="1"/>
      <c r="F127" s="2"/>
    </row>
    <row r="128" spans="1:10" outlineLevel="1">
      <c r="A128" s="8"/>
      <c r="B128" s="1"/>
      <c r="C128" s="1"/>
      <c r="D128" s="1"/>
      <c r="E128" s="1"/>
      <c r="F128" s="2"/>
      <c r="H128">
        <f>SUM(H124:H127)</f>
        <v>46156704</v>
      </c>
      <c r="J128">
        <f>SUM(J124:J127)</f>
        <v>54301620</v>
      </c>
    </row>
    <row r="129" spans="1:13" outlineLevel="1">
      <c r="A129" s="8"/>
      <c r="B129" s="1"/>
      <c r="C129" s="1"/>
      <c r="D129" s="1"/>
      <c r="E129" s="1"/>
      <c r="F129" s="2"/>
    </row>
    <row r="130" spans="1:13" outlineLevel="1">
      <c r="A130" s="8"/>
      <c r="B130" s="1"/>
      <c r="C130" s="1"/>
      <c r="D130" s="1"/>
      <c r="E130" s="1"/>
      <c r="F130" s="2"/>
      <c r="H130">
        <f>J128-H128</f>
        <v>8144916</v>
      </c>
    </row>
    <row r="131" spans="1:13" outlineLevel="1">
      <c r="A131" s="8"/>
      <c r="B131" s="1"/>
      <c r="C131" s="1"/>
      <c r="D131" s="1"/>
      <c r="E131" s="1"/>
      <c r="F131" s="2"/>
      <c r="H131">
        <f>H130*1.1</f>
        <v>8959407.6000000015</v>
      </c>
    </row>
    <row r="132" spans="1:13" outlineLevel="1">
      <c r="A132" s="8"/>
      <c r="B132" s="1"/>
      <c r="C132" s="1"/>
      <c r="D132" s="1"/>
      <c r="E132" s="1"/>
      <c r="F132" s="2"/>
    </row>
    <row r="133" spans="1:13" outlineLevel="1">
      <c r="A133" s="8"/>
      <c r="B133" s="1"/>
      <c r="C133" s="1"/>
      <c r="D133" s="1"/>
      <c r="E133" s="1"/>
      <c r="F133" s="2"/>
    </row>
    <row r="134" spans="1:13" outlineLevel="1">
      <c r="A134" s="8"/>
      <c r="B134" s="1"/>
      <c r="C134" s="1"/>
      <c r="D134" s="1"/>
      <c r="E134" s="1"/>
      <c r="F134" s="2"/>
    </row>
    <row r="135" spans="1:13" ht="15.75" outlineLevel="1" thickBot="1">
      <c r="A135" s="9"/>
      <c r="B135" s="3"/>
      <c r="C135" s="3"/>
      <c r="D135" s="3"/>
      <c r="E135" s="3"/>
      <c r="F135" s="4"/>
    </row>
    <row r="136" spans="1:13" ht="16.5" thickTop="1" thickBot="1"/>
    <row r="137" spans="1:13" ht="15.75" thickTop="1">
      <c r="A137" s="3782" t="s">
        <v>0</v>
      </c>
      <c r="B137" s="3781" t="s">
        <v>1</v>
      </c>
      <c r="C137" s="3781" t="s">
        <v>2</v>
      </c>
      <c r="D137" s="3781" t="s">
        <v>3</v>
      </c>
      <c r="E137" s="3781" t="s">
        <v>4</v>
      </c>
      <c r="F137" s="3765" t="s">
        <v>5</v>
      </c>
    </row>
    <row r="138" spans="1:13" ht="24.75" customHeight="1" collapsed="1" thickBot="1">
      <c r="A138" s="3783"/>
      <c r="B138" s="3767"/>
      <c r="C138" s="3767"/>
      <c r="D138" s="3767"/>
      <c r="E138" s="3767"/>
      <c r="F138" s="3766"/>
    </row>
    <row r="139" spans="1:13" ht="15.75" outlineLevel="1" thickTop="1">
      <c r="A139" s="7" t="s">
        <v>271</v>
      </c>
      <c r="B139" s="5" t="s">
        <v>106</v>
      </c>
      <c r="C139" s="5" t="s">
        <v>226</v>
      </c>
      <c r="D139" s="5" t="s">
        <v>272</v>
      </c>
      <c r="E139" s="13">
        <v>0.25</v>
      </c>
      <c r="F139" s="6">
        <v>3697</v>
      </c>
      <c r="G139">
        <v>735</v>
      </c>
      <c r="H139">
        <f>F139*G139</f>
        <v>2717295</v>
      </c>
      <c r="I139">
        <v>4930</v>
      </c>
      <c r="J139">
        <f>G139*I139</f>
        <v>3623550</v>
      </c>
    </row>
    <row r="140" spans="1:13" outlineLevel="1">
      <c r="A140" s="8"/>
      <c r="B140" s="1"/>
      <c r="C140" s="1" t="s">
        <v>227</v>
      </c>
      <c r="D140" s="1" t="s">
        <v>272</v>
      </c>
      <c r="E140" s="14">
        <v>0.25</v>
      </c>
      <c r="F140" s="6">
        <v>3697</v>
      </c>
      <c r="G140">
        <v>840</v>
      </c>
      <c r="H140">
        <f>F140*G140</f>
        <v>3105480</v>
      </c>
      <c r="I140">
        <v>4930</v>
      </c>
      <c r="J140">
        <f>G140*I140</f>
        <v>4141200</v>
      </c>
    </row>
    <row r="141" spans="1:13" outlineLevel="1">
      <c r="A141" s="8"/>
      <c r="B141" s="1"/>
      <c r="C141" s="1" t="s">
        <v>228</v>
      </c>
      <c r="D141" s="1" t="s">
        <v>272</v>
      </c>
      <c r="E141" s="14">
        <v>0.25</v>
      </c>
      <c r="F141" s="6">
        <v>3697</v>
      </c>
      <c r="G141">
        <v>861</v>
      </c>
      <c r="H141">
        <f>F141*G141</f>
        <v>3183117</v>
      </c>
      <c r="I141">
        <v>4930</v>
      </c>
      <c r="J141">
        <f>G141*I141</f>
        <v>4244730</v>
      </c>
    </row>
    <row r="142" spans="1:13" outlineLevel="1">
      <c r="A142" s="8"/>
      <c r="B142" s="1"/>
      <c r="C142" s="1"/>
      <c r="D142" s="1"/>
      <c r="E142" s="14"/>
      <c r="F142" s="6"/>
      <c r="H142">
        <f>SUM(J139:J141)-SUM(H139:H141)</f>
        <v>3003588</v>
      </c>
    </row>
    <row r="143" spans="1:13" outlineLevel="1">
      <c r="A143" s="8"/>
      <c r="B143" s="1"/>
      <c r="C143" s="1"/>
      <c r="D143" s="1"/>
      <c r="E143" s="14"/>
      <c r="F143" s="6"/>
      <c r="H143">
        <f>H142*1.2</f>
        <v>3604305.6</v>
      </c>
    </row>
    <row r="144" spans="1:13" outlineLevel="1">
      <c r="A144" s="8"/>
      <c r="B144" s="1"/>
      <c r="C144" s="1" t="s">
        <v>273</v>
      </c>
      <c r="D144" s="1" t="s">
        <v>272</v>
      </c>
      <c r="E144" s="14">
        <v>0.15</v>
      </c>
      <c r="F144" s="2">
        <v>3756</v>
      </c>
      <c r="G144">
        <v>304</v>
      </c>
      <c r="H144">
        <f>F144*G144</f>
        <v>1141824</v>
      </c>
      <c r="I144">
        <v>4419</v>
      </c>
      <c r="J144">
        <f>I144*G144</f>
        <v>1343376</v>
      </c>
      <c r="K144">
        <f>J144-H144</f>
        <v>201552</v>
      </c>
      <c r="L144">
        <f>K144*1.2</f>
        <v>241862.39999999999</v>
      </c>
      <c r="M144">
        <f>I144*1.2</f>
        <v>5302.8</v>
      </c>
    </row>
    <row r="145" spans="1:13" outlineLevel="1">
      <c r="A145" s="8"/>
      <c r="B145" s="1"/>
      <c r="C145" s="1" t="s">
        <v>177</v>
      </c>
      <c r="D145" s="1" t="s">
        <v>272</v>
      </c>
      <c r="E145" s="14">
        <v>0.15</v>
      </c>
      <c r="F145" s="2">
        <v>3756</v>
      </c>
      <c r="G145">
        <v>304</v>
      </c>
      <c r="H145">
        <f>F145*G145</f>
        <v>1141824</v>
      </c>
      <c r="I145">
        <v>4419</v>
      </c>
      <c r="J145">
        <f>I145*G145</f>
        <v>1343376</v>
      </c>
      <c r="K145">
        <f>J145-H145</f>
        <v>201552</v>
      </c>
      <c r="L145">
        <f>K145*1.2</f>
        <v>241862.39999999999</v>
      </c>
      <c r="M145">
        <f>I145*1.2</f>
        <v>5302.8</v>
      </c>
    </row>
    <row r="146" spans="1:13" outlineLevel="1">
      <c r="A146" s="8"/>
      <c r="B146" s="1"/>
      <c r="C146" s="1" t="s">
        <v>178</v>
      </c>
      <c r="D146" s="1" t="s">
        <v>272</v>
      </c>
      <c r="E146" s="14">
        <v>0.15</v>
      </c>
      <c r="F146" s="2">
        <v>3756</v>
      </c>
      <c r="G146">
        <v>304</v>
      </c>
      <c r="H146">
        <f>F146*G146</f>
        <v>1141824</v>
      </c>
      <c r="I146">
        <v>4419</v>
      </c>
      <c r="J146">
        <f>I146*G146</f>
        <v>1343376</v>
      </c>
      <c r="K146">
        <f>J146-H146</f>
        <v>201552</v>
      </c>
      <c r="L146">
        <f>K146*1.2</f>
        <v>241862.39999999999</v>
      </c>
      <c r="M146">
        <f>I146*1.2</f>
        <v>5302.8</v>
      </c>
    </row>
    <row r="147" spans="1:13" outlineLevel="1">
      <c r="A147" s="8"/>
      <c r="B147" s="1"/>
      <c r="C147" s="1" t="s">
        <v>263</v>
      </c>
      <c r="D147" s="1" t="s">
        <v>272</v>
      </c>
      <c r="E147" s="14">
        <v>0.15</v>
      </c>
      <c r="F147" s="2">
        <v>5723</v>
      </c>
      <c r="G147">
        <v>1092</v>
      </c>
      <c r="H147">
        <f>F147*G147</f>
        <v>6249516</v>
      </c>
      <c r="I147">
        <v>6733</v>
      </c>
      <c r="J147">
        <f>I147*G147</f>
        <v>7352436</v>
      </c>
      <c r="K147">
        <f>J147-H147</f>
        <v>1102920</v>
      </c>
      <c r="L147">
        <f>K147*1.2</f>
        <v>1323504</v>
      </c>
      <c r="M147">
        <f>I147*1.2</f>
        <v>8079.5999999999995</v>
      </c>
    </row>
    <row r="148" spans="1:13" outlineLevel="1">
      <c r="A148" s="8"/>
      <c r="B148" s="1"/>
      <c r="C148" s="1" t="s">
        <v>274</v>
      </c>
      <c r="D148" s="1" t="s">
        <v>272</v>
      </c>
      <c r="E148" s="14">
        <v>0.15</v>
      </c>
      <c r="F148" s="2">
        <v>4471</v>
      </c>
      <c r="G148">
        <v>286</v>
      </c>
      <c r="H148">
        <f>F148*G148</f>
        <v>1278706</v>
      </c>
      <c r="I148">
        <v>5260</v>
      </c>
      <c r="J148">
        <f>I148*G148</f>
        <v>1504360</v>
      </c>
      <c r="K148">
        <f>J148-H148</f>
        <v>225654</v>
      </c>
      <c r="L148">
        <f>K148*1.2</f>
        <v>270784.8</v>
      </c>
      <c r="M148">
        <f>I148*1.2</f>
        <v>6312</v>
      </c>
    </row>
    <row r="149" spans="1:13" outlineLevel="1">
      <c r="A149" s="8"/>
      <c r="B149" s="1"/>
      <c r="C149" s="1"/>
      <c r="D149" s="1"/>
      <c r="E149" s="1"/>
      <c r="F149" s="2"/>
    </row>
    <row r="150" spans="1:13" outlineLevel="1">
      <c r="A150" s="8"/>
      <c r="B150" s="1"/>
      <c r="C150" s="1"/>
      <c r="D150" s="1"/>
      <c r="E150" s="1"/>
      <c r="F150" s="2"/>
      <c r="H150">
        <f>SUM(H144:H149)</f>
        <v>10953694</v>
      </c>
      <c r="J150">
        <f>SUM(J144:J149)</f>
        <v>12886924</v>
      </c>
      <c r="K150">
        <f>SUM(K144:K149)</f>
        <v>1933230</v>
      </c>
    </row>
    <row r="151" spans="1:13" outlineLevel="1">
      <c r="A151" s="8"/>
      <c r="B151" s="1"/>
      <c r="C151" s="1"/>
      <c r="D151" s="1"/>
      <c r="E151" s="1"/>
      <c r="F151" s="2"/>
    </row>
    <row r="152" spans="1:13" ht="15.75" outlineLevel="1" thickBot="1">
      <c r="A152" s="9"/>
      <c r="B152" s="3"/>
      <c r="C152" s="3"/>
      <c r="D152" s="3"/>
      <c r="E152" s="3"/>
      <c r="F152" s="4"/>
    </row>
    <row r="153" spans="1:13" ht="16.5" thickTop="1" thickBot="1"/>
    <row r="154" spans="1:13" ht="15.75" thickTop="1">
      <c r="A154" s="3782" t="s">
        <v>0</v>
      </c>
      <c r="B154" s="3781" t="s">
        <v>1</v>
      </c>
      <c r="C154" s="3781" t="s">
        <v>2</v>
      </c>
      <c r="D154" s="3781" t="s">
        <v>3</v>
      </c>
      <c r="E154" s="3781" t="s">
        <v>4</v>
      </c>
      <c r="F154" s="3765" t="s">
        <v>5</v>
      </c>
    </row>
    <row r="155" spans="1:13" ht="24.75" customHeight="1" collapsed="1" thickBot="1">
      <c r="A155" s="3783"/>
      <c r="B155" s="3767"/>
      <c r="C155" s="3767"/>
      <c r="D155" s="3767"/>
      <c r="E155" s="3767"/>
      <c r="F155" s="3766"/>
    </row>
    <row r="156" spans="1:13" ht="15.75" outlineLevel="1" thickTop="1">
      <c r="A156" s="7" t="s">
        <v>284</v>
      </c>
      <c r="B156" s="5" t="s">
        <v>285</v>
      </c>
      <c r="C156" s="5" t="s">
        <v>160</v>
      </c>
      <c r="D156" s="5" t="s">
        <v>286</v>
      </c>
      <c r="E156" s="11">
        <v>0.05</v>
      </c>
      <c r="F156" s="6">
        <v>123051</v>
      </c>
      <c r="G156">
        <v>38</v>
      </c>
      <c r="H156">
        <f>F156*G156</f>
        <v>4675938</v>
      </c>
      <c r="I156">
        <v>129527</v>
      </c>
      <c r="J156">
        <f>G156*I156</f>
        <v>4922026</v>
      </c>
      <c r="K156">
        <f>I156-F156</f>
        <v>6476</v>
      </c>
    </row>
    <row r="157" spans="1:13" outlineLevel="1">
      <c r="A157" s="8"/>
      <c r="B157" s="1"/>
      <c r="C157" s="1" t="s">
        <v>113</v>
      </c>
      <c r="D157" s="1" t="s">
        <v>286</v>
      </c>
      <c r="E157" s="11">
        <v>0.05</v>
      </c>
      <c r="F157" s="6">
        <v>123051</v>
      </c>
    </row>
    <row r="158" spans="1:13" outlineLevel="1">
      <c r="A158" s="8"/>
      <c r="B158" s="1"/>
      <c r="C158" s="1" t="s">
        <v>161</v>
      </c>
      <c r="D158" s="1" t="s">
        <v>286</v>
      </c>
      <c r="E158" s="11">
        <v>0.05</v>
      </c>
      <c r="F158" s="6">
        <v>123051</v>
      </c>
    </row>
    <row r="159" spans="1:13" outlineLevel="1">
      <c r="A159" s="8"/>
      <c r="B159" s="1"/>
      <c r="C159" s="1"/>
      <c r="D159" s="1"/>
      <c r="E159" s="1"/>
      <c r="F159" s="2"/>
      <c r="H159">
        <f>J156-H156</f>
        <v>246088</v>
      </c>
    </row>
    <row r="160" spans="1:13" outlineLevel="1">
      <c r="A160" s="8"/>
      <c r="B160" s="1"/>
      <c r="C160" s="1"/>
      <c r="D160" s="1"/>
      <c r="E160" s="1"/>
      <c r="F160" s="2"/>
      <c r="H160">
        <f>H159*1.1</f>
        <v>270696.80000000005</v>
      </c>
    </row>
    <row r="161" spans="1:12" outlineLevel="1">
      <c r="A161" s="8"/>
      <c r="B161" s="1"/>
      <c r="C161" s="1"/>
      <c r="D161" s="1"/>
      <c r="E161" s="1"/>
      <c r="F161" s="2"/>
    </row>
    <row r="162" spans="1:12" outlineLevel="1">
      <c r="A162" s="8"/>
      <c r="B162" s="1"/>
      <c r="C162" s="1"/>
      <c r="D162" s="1"/>
      <c r="E162" s="1"/>
      <c r="F162" s="2"/>
    </row>
    <row r="163" spans="1:12" outlineLevel="1">
      <c r="A163" s="8"/>
      <c r="B163" s="1"/>
      <c r="C163" s="1"/>
      <c r="D163" s="1"/>
      <c r="E163" s="1"/>
      <c r="F163" s="2"/>
    </row>
    <row r="164" spans="1:12" outlineLevel="1">
      <c r="A164" s="8"/>
      <c r="B164" s="1"/>
      <c r="C164" s="1"/>
      <c r="D164" s="1"/>
      <c r="E164" s="1"/>
      <c r="F164" s="2"/>
    </row>
    <row r="165" spans="1:12" outlineLevel="1">
      <c r="A165" s="8"/>
      <c r="B165" s="1"/>
      <c r="C165" s="1"/>
      <c r="D165" s="1"/>
      <c r="E165" s="1"/>
      <c r="F165" s="2"/>
    </row>
    <row r="166" spans="1:12" outlineLevel="1">
      <c r="A166" s="8"/>
      <c r="B166" s="1"/>
      <c r="C166" s="1"/>
      <c r="D166" s="1"/>
      <c r="E166" s="1"/>
      <c r="F166" s="2"/>
    </row>
    <row r="167" spans="1:12" ht="15.75" outlineLevel="1" thickBot="1">
      <c r="A167" s="9"/>
      <c r="B167" s="3"/>
      <c r="C167" s="3"/>
      <c r="D167" s="3"/>
      <c r="E167" s="3"/>
      <c r="F167" s="4"/>
    </row>
    <row r="168" spans="1:12" ht="16.5" thickTop="1" thickBot="1"/>
    <row r="169" spans="1:12" ht="15.75" thickTop="1">
      <c r="A169" s="3782" t="s">
        <v>0</v>
      </c>
      <c r="B169" s="3781" t="s">
        <v>1</v>
      </c>
      <c r="C169" s="3781" t="s">
        <v>2</v>
      </c>
      <c r="D169" s="3781" t="s">
        <v>3</v>
      </c>
      <c r="E169" s="3781" t="s">
        <v>4</v>
      </c>
      <c r="F169" s="3765" t="s">
        <v>5</v>
      </c>
      <c r="G169" t="s">
        <v>76</v>
      </c>
      <c r="H169" t="s">
        <v>77</v>
      </c>
      <c r="I169" t="s">
        <v>78</v>
      </c>
      <c r="J169" t="s">
        <v>79</v>
      </c>
    </row>
    <row r="170" spans="1:12" ht="24.75" customHeight="1" collapsed="1" thickBot="1">
      <c r="A170" s="3783"/>
      <c r="B170" s="3767"/>
      <c r="C170" s="3767"/>
      <c r="D170" s="3767"/>
      <c r="E170" s="3767"/>
      <c r="F170" s="3766"/>
    </row>
    <row r="171" spans="1:12" ht="15.75" outlineLevel="1" thickTop="1">
      <c r="A171" s="7" t="s">
        <v>297</v>
      </c>
      <c r="B171" s="5" t="s">
        <v>114</v>
      </c>
      <c r="C171" s="5" t="s">
        <v>154</v>
      </c>
      <c r="D171" s="98" t="s">
        <v>298</v>
      </c>
      <c r="E171" s="11">
        <v>0.15</v>
      </c>
      <c r="F171" s="6">
        <v>4144</v>
      </c>
      <c r="G171">
        <v>675</v>
      </c>
      <c r="H171">
        <f>F171*G171</f>
        <v>2797200</v>
      </c>
      <c r="I171">
        <v>4875</v>
      </c>
      <c r="J171">
        <f>I171*G171</f>
        <v>3290625</v>
      </c>
      <c r="L171">
        <f>J171-H171</f>
        <v>493425</v>
      </c>
    </row>
    <row r="172" spans="1:12" outlineLevel="1">
      <c r="A172" s="8"/>
      <c r="B172" s="1"/>
      <c r="C172" s="1"/>
      <c r="D172" s="1"/>
      <c r="E172" s="1"/>
      <c r="F172" s="2"/>
      <c r="L172">
        <f>L171*1.2</f>
        <v>592110</v>
      </c>
    </row>
    <row r="173" spans="1:12" outlineLevel="1">
      <c r="A173" s="8"/>
      <c r="B173" s="1"/>
      <c r="C173" s="1"/>
      <c r="D173" s="1"/>
      <c r="E173" s="1"/>
      <c r="F173" s="2"/>
      <c r="H173">
        <f>F171*1.2</f>
        <v>4972.8</v>
      </c>
      <c r="I173">
        <f>I171*1.2</f>
        <v>5850</v>
      </c>
    </row>
    <row r="174" spans="1:12" outlineLevel="1">
      <c r="A174" s="8"/>
      <c r="B174" s="1"/>
      <c r="C174" s="1"/>
      <c r="D174" s="1"/>
      <c r="E174" s="1"/>
      <c r="F174" s="2"/>
    </row>
    <row r="175" spans="1:12" outlineLevel="1">
      <c r="A175" s="8"/>
      <c r="B175" s="1"/>
      <c r="C175" s="1"/>
      <c r="D175" s="1"/>
      <c r="E175" s="1"/>
      <c r="F175" s="2"/>
    </row>
    <row r="176" spans="1:12" outlineLevel="1">
      <c r="A176" s="8"/>
      <c r="B176" s="1"/>
      <c r="C176" s="1"/>
      <c r="D176" s="1"/>
      <c r="E176" s="1"/>
      <c r="F176" s="2"/>
    </row>
    <row r="177" spans="1:12" outlineLevel="1">
      <c r="A177" s="8"/>
      <c r="B177" s="1"/>
      <c r="C177" s="1"/>
      <c r="D177" s="1"/>
      <c r="E177" s="1"/>
      <c r="F177" s="2"/>
    </row>
    <row r="178" spans="1:12" outlineLevel="1">
      <c r="A178" s="8"/>
      <c r="B178" s="1"/>
      <c r="C178" s="1"/>
      <c r="D178" s="1"/>
      <c r="E178" s="1"/>
      <c r="F178" s="2"/>
    </row>
    <row r="179" spans="1:12" outlineLevel="1">
      <c r="A179" s="8"/>
      <c r="B179" s="1"/>
      <c r="C179" s="1"/>
      <c r="D179" s="1"/>
      <c r="E179" s="1"/>
      <c r="F179" s="2"/>
    </row>
    <row r="180" spans="1:12" outlineLevel="1">
      <c r="A180" s="8"/>
      <c r="B180" s="1"/>
      <c r="C180" s="1"/>
      <c r="D180" s="1"/>
      <c r="E180" s="1"/>
      <c r="F180" s="2"/>
    </row>
    <row r="181" spans="1:12" outlineLevel="1">
      <c r="A181" s="8"/>
      <c r="B181" s="1"/>
      <c r="C181" s="1"/>
      <c r="D181" s="1"/>
      <c r="E181" s="1"/>
      <c r="F181" s="2"/>
    </row>
    <row r="182" spans="1:12" ht="15.75" outlineLevel="1" thickBot="1">
      <c r="A182" s="9"/>
      <c r="B182" s="3"/>
      <c r="C182" s="3"/>
      <c r="D182" s="3"/>
      <c r="E182" s="3"/>
      <c r="F182" s="4"/>
    </row>
    <row r="183" spans="1:12" ht="16.5" thickTop="1" thickBot="1"/>
    <row r="184" spans="1:12" ht="15.75" thickTop="1">
      <c r="A184" s="3782" t="s">
        <v>0</v>
      </c>
      <c r="B184" s="3781" t="s">
        <v>1</v>
      </c>
      <c r="C184" s="3781" t="s">
        <v>2</v>
      </c>
      <c r="D184" s="3781" t="s">
        <v>3</v>
      </c>
      <c r="E184" s="3781" t="s">
        <v>4</v>
      </c>
      <c r="F184" s="3765" t="s">
        <v>5</v>
      </c>
      <c r="G184" t="s">
        <v>76</v>
      </c>
      <c r="H184" t="s">
        <v>77</v>
      </c>
      <c r="I184" t="s">
        <v>78</v>
      </c>
      <c r="J184" t="s">
        <v>79</v>
      </c>
    </row>
    <row r="185" spans="1:12" ht="24.75" customHeight="1" collapsed="1" thickBot="1">
      <c r="A185" s="3783"/>
      <c r="B185" s="3767"/>
      <c r="C185" s="3767"/>
      <c r="D185" s="3767"/>
      <c r="E185" s="3767"/>
      <c r="F185" s="3766"/>
    </row>
    <row r="186" spans="1:12" ht="15.75" outlineLevel="1" thickTop="1">
      <c r="A186" s="7" t="s">
        <v>309</v>
      </c>
      <c r="B186" s="5" t="s">
        <v>106</v>
      </c>
      <c r="C186" s="5" t="s">
        <v>27</v>
      </c>
      <c r="D186" s="5" t="s">
        <v>298</v>
      </c>
      <c r="E186" s="11">
        <v>0.15</v>
      </c>
      <c r="F186" s="6">
        <v>6227</v>
      </c>
      <c r="G186">
        <v>1650</v>
      </c>
      <c r="H186">
        <f>F186*G186</f>
        <v>10274550</v>
      </c>
      <c r="I186">
        <v>7326</v>
      </c>
      <c r="J186">
        <f>G186*I186</f>
        <v>12087900</v>
      </c>
      <c r="K186">
        <f>J186-H186</f>
        <v>1813350</v>
      </c>
      <c r="L186">
        <f>K186*1.2</f>
        <v>2176020</v>
      </c>
    </row>
    <row r="187" spans="1:12" outlineLevel="1">
      <c r="A187" s="8"/>
      <c r="B187" s="1"/>
      <c r="C187" s="1" t="s">
        <v>28</v>
      </c>
      <c r="D187" s="1" t="s">
        <v>298</v>
      </c>
      <c r="E187" s="11">
        <v>0.15</v>
      </c>
      <c r="F187" s="6">
        <v>6227</v>
      </c>
    </row>
    <row r="188" spans="1:12" outlineLevel="1">
      <c r="A188" s="8"/>
      <c r="B188" s="1"/>
      <c r="C188" s="1" t="s">
        <v>29</v>
      </c>
      <c r="D188" s="1" t="s">
        <v>298</v>
      </c>
      <c r="E188" s="11">
        <v>0.15</v>
      </c>
      <c r="F188" s="6">
        <v>6227</v>
      </c>
    </row>
    <row r="189" spans="1:12" outlineLevel="1">
      <c r="A189" s="8"/>
      <c r="B189" s="1"/>
      <c r="C189" s="1" t="s">
        <v>71</v>
      </c>
      <c r="D189" s="1" t="s">
        <v>298</v>
      </c>
      <c r="E189" s="11">
        <v>0.15</v>
      </c>
      <c r="F189" s="2">
        <v>98815</v>
      </c>
      <c r="G189">
        <v>540</v>
      </c>
      <c r="H189">
        <f>F189*G189</f>
        <v>53360100</v>
      </c>
      <c r="I189">
        <v>116252</v>
      </c>
      <c r="J189">
        <f>G189*I189</f>
        <v>62776080</v>
      </c>
      <c r="K189">
        <f>J189-H189</f>
        <v>9415980</v>
      </c>
      <c r="L189">
        <f>K189*1.1</f>
        <v>10357578</v>
      </c>
    </row>
    <row r="190" spans="1:12" outlineLevel="1">
      <c r="A190" s="8"/>
      <c r="B190" s="1"/>
      <c r="C190" s="1" t="s">
        <v>74</v>
      </c>
      <c r="D190" s="1" t="s">
        <v>298</v>
      </c>
      <c r="E190" s="11">
        <v>0.15</v>
      </c>
      <c r="F190" s="2">
        <v>98815</v>
      </c>
    </row>
    <row r="191" spans="1:12" outlineLevel="1">
      <c r="A191" s="8"/>
      <c r="B191" s="1"/>
      <c r="C191" s="1" t="s">
        <v>73</v>
      </c>
      <c r="D191" s="1" t="s">
        <v>298</v>
      </c>
      <c r="E191" s="11">
        <v>0.15</v>
      </c>
      <c r="F191" s="2">
        <v>98815</v>
      </c>
    </row>
    <row r="192" spans="1:12" outlineLevel="1">
      <c r="A192" s="8"/>
      <c r="B192" s="1"/>
      <c r="C192" s="1"/>
      <c r="D192" s="1"/>
      <c r="E192" s="1"/>
      <c r="F192" s="2"/>
    </row>
    <row r="193" spans="1:10" outlineLevel="1">
      <c r="A193" s="8"/>
      <c r="B193" s="1"/>
      <c r="C193" s="1"/>
      <c r="D193" s="1"/>
      <c r="E193" s="1"/>
      <c r="F193" s="2"/>
    </row>
    <row r="194" spans="1:10" outlineLevel="1">
      <c r="A194" s="8"/>
      <c r="B194" s="1"/>
      <c r="C194" s="1"/>
      <c r="D194" s="1"/>
      <c r="E194" s="1"/>
      <c r="F194" s="2"/>
    </row>
    <row r="195" spans="1:10" outlineLevel="1">
      <c r="A195" s="8"/>
      <c r="B195" s="1"/>
      <c r="C195" s="1"/>
      <c r="D195" s="1"/>
      <c r="E195" s="1"/>
      <c r="F195" s="2"/>
    </row>
    <row r="196" spans="1:10" outlineLevel="1">
      <c r="A196" s="8"/>
      <c r="B196" s="1"/>
      <c r="C196" s="1"/>
      <c r="D196" s="1"/>
      <c r="E196" s="1"/>
      <c r="F196" s="2"/>
    </row>
    <row r="197" spans="1:10" ht="15.75" outlineLevel="1" thickBot="1">
      <c r="A197" s="9"/>
      <c r="B197" s="3"/>
      <c r="C197" s="3"/>
      <c r="D197" s="3"/>
      <c r="E197" s="3"/>
      <c r="F197" s="4"/>
    </row>
    <row r="198" spans="1:10" ht="16.5" thickTop="1" thickBot="1"/>
    <row r="199" spans="1:10" ht="15.75" thickTop="1">
      <c r="A199" s="3782" t="s">
        <v>0</v>
      </c>
      <c r="B199" s="3781" t="s">
        <v>1</v>
      </c>
      <c r="C199" s="3781" t="s">
        <v>2</v>
      </c>
      <c r="D199" s="3781" t="s">
        <v>3</v>
      </c>
      <c r="E199" s="3781" t="s">
        <v>4</v>
      </c>
      <c r="F199" s="3765" t="s">
        <v>5</v>
      </c>
      <c r="G199" t="s">
        <v>76</v>
      </c>
      <c r="H199" t="s">
        <v>77</v>
      </c>
      <c r="I199" t="s">
        <v>78</v>
      </c>
      <c r="J199" t="s">
        <v>79</v>
      </c>
    </row>
    <row r="200" spans="1:10" ht="24.75" customHeight="1" collapsed="1" thickBot="1">
      <c r="A200" s="3783"/>
      <c r="B200" s="3767"/>
      <c r="C200" s="3767"/>
      <c r="D200" s="3767"/>
      <c r="E200" s="3767"/>
      <c r="F200" s="3766"/>
    </row>
    <row r="201" spans="1:10" ht="15.75" outlineLevel="1" thickTop="1">
      <c r="A201" s="7" t="s">
        <v>310</v>
      </c>
      <c r="B201" s="5" t="s">
        <v>115</v>
      </c>
      <c r="C201" s="5" t="s">
        <v>53</v>
      </c>
      <c r="D201" s="5" t="s">
        <v>311</v>
      </c>
      <c r="E201" s="11">
        <v>0.2</v>
      </c>
      <c r="F201" s="6">
        <v>5529</v>
      </c>
      <c r="G201">
        <v>3888</v>
      </c>
      <c r="H201">
        <f>F201*G201</f>
        <v>21496752</v>
      </c>
      <c r="I201">
        <v>6911</v>
      </c>
      <c r="J201">
        <f>G201*I201</f>
        <v>26869968</v>
      </c>
    </row>
    <row r="202" spans="1:10" outlineLevel="1">
      <c r="A202" s="8"/>
      <c r="B202" s="1" t="s">
        <v>116</v>
      </c>
      <c r="C202" s="1" t="s">
        <v>189</v>
      </c>
      <c r="D202" s="5" t="s">
        <v>311</v>
      </c>
      <c r="E202" s="11">
        <v>0.2</v>
      </c>
      <c r="F202" s="2">
        <v>2322</v>
      </c>
      <c r="G202">
        <v>4178</v>
      </c>
      <c r="H202">
        <f>F202*G202</f>
        <v>9701316</v>
      </c>
      <c r="I202">
        <v>2903</v>
      </c>
      <c r="J202">
        <f>G202*I202</f>
        <v>12128734</v>
      </c>
    </row>
    <row r="203" spans="1:10" outlineLevel="1">
      <c r="A203" s="8"/>
      <c r="B203" s="1"/>
      <c r="C203" s="1"/>
      <c r="D203" s="1"/>
      <c r="E203" s="1"/>
      <c r="F203" s="2"/>
    </row>
    <row r="204" spans="1:10" outlineLevel="1">
      <c r="A204" s="8"/>
      <c r="B204" s="1"/>
      <c r="C204" s="1"/>
      <c r="D204" s="1"/>
      <c r="E204" s="1"/>
      <c r="F204" s="2"/>
      <c r="H204">
        <f>SUM(H201:H203)</f>
        <v>31198068</v>
      </c>
      <c r="J204">
        <f>SUM(J201:J203)</f>
        <v>38998702</v>
      </c>
    </row>
    <row r="205" spans="1:10" outlineLevel="1">
      <c r="A205" s="8"/>
      <c r="B205" s="1"/>
      <c r="C205" s="1"/>
      <c r="D205" s="1"/>
      <c r="E205" s="1"/>
      <c r="F205" s="2"/>
    </row>
    <row r="206" spans="1:10" outlineLevel="1">
      <c r="A206" s="8"/>
      <c r="B206" s="1"/>
      <c r="C206" s="1"/>
      <c r="D206" s="1"/>
      <c r="E206" s="1"/>
      <c r="F206" s="2"/>
      <c r="H206">
        <f>J204-H204</f>
        <v>7800634</v>
      </c>
    </row>
    <row r="207" spans="1:10" outlineLevel="1">
      <c r="A207" s="8"/>
      <c r="B207" s="1"/>
      <c r="C207" s="1"/>
      <c r="D207" s="1"/>
      <c r="E207" s="1"/>
      <c r="F207" s="2"/>
      <c r="H207">
        <f>H206*1.2</f>
        <v>9360760.7999999989</v>
      </c>
    </row>
    <row r="208" spans="1:10" outlineLevel="1">
      <c r="A208" s="8"/>
      <c r="B208" s="1"/>
      <c r="C208" s="1"/>
      <c r="D208" s="1"/>
      <c r="E208" s="1"/>
      <c r="F208" s="2"/>
    </row>
    <row r="209" spans="1:11" outlineLevel="1">
      <c r="A209" s="8"/>
      <c r="B209" s="1"/>
      <c r="C209" s="1"/>
      <c r="D209" s="1"/>
      <c r="E209" s="1"/>
      <c r="F209" s="2"/>
    </row>
    <row r="210" spans="1:11" outlineLevel="1">
      <c r="A210" s="8"/>
      <c r="B210" s="1"/>
      <c r="C210" s="1"/>
      <c r="D210" s="1"/>
      <c r="E210" s="1"/>
      <c r="F210" s="2"/>
    </row>
    <row r="211" spans="1:11" outlineLevel="1">
      <c r="A211" s="8"/>
      <c r="B211" s="1"/>
      <c r="C211" s="1"/>
      <c r="D211" s="1"/>
      <c r="E211" s="1"/>
      <c r="F211" s="2"/>
    </row>
    <row r="212" spans="1:11" ht="15.75" outlineLevel="1" thickBot="1">
      <c r="A212" s="9"/>
      <c r="B212" s="3"/>
      <c r="C212" s="3"/>
      <c r="D212" s="3"/>
      <c r="E212" s="3"/>
      <c r="F212" s="4"/>
    </row>
    <row r="213" spans="1:11" ht="16.5" thickTop="1" thickBot="1"/>
    <row r="214" spans="1:11" ht="15.75" thickTop="1">
      <c r="A214" s="3782" t="s">
        <v>0</v>
      </c>
      <c r="B214" s="3781" t="s">
        <v>1</v>
      </c>
      <c r="C214" s="3781" t="s">
        <v>2</v>
      </c>
      <c r="D214" s="3781" t="s">
        <v>3</v>
      </c>
      <c r="E214" s="3781" t="s">
        <v>4</v>
      </c>
      <c r="F214" s="3765" t="s">
        <v>5</v>
      </c>
      <c r="G214" t="s">
        <v>76</v>
      </c>
      <c r="H214" t="s">
        <v>77</v>
      </c>
      <c r="I214" t="s">
        <v>78</v>
      </c>
      <c r="J214" t="s">
        <v>79</v>
      </c>
    </row>
    <row r="215" spans="1:11" ht="24.75" customHeight="1" collapsed="1" thickBot="1">
      <c r="A215" s="3783"/>
      <c r="B215" s="3767"/>
      <c r="C215" s="3767"/>
      <c r="D215" s="3767"/>
      <c r="E215" s="3767"/>
      <c r="F215" s="3766"/>
    </row>
    <row r="216" spans="1:11" ht="15.75" outlineLevel="1" thickTop="1">
      <c r="A216" s="7" t="s">
        <v>324</v>
      </c>
      <c r="B216" s="5" t="s">
        <v>329</v>
      </c>
      <c r="C216" s="5" t="s">
        <v>326</v>
      </c>
      <c r="D216" s="5" t="s">
        <v>325</v>
      </c>
      <c r="E216" s="11">
        <v>0.1</v>
      </c>
      <c r="F216" s="6">
        <v>131882</v>
      </c>
      <c r="G216">
        <v>2648</v>
      </c>
      <c r="H216">
        <f>F216*G216</f>
        <v>349223536</v>
      </c>
      <c r="I216">
        <v>146536</v>
      </c>
      <c r="J216">
        <f>I216*G216</f>
        <v>388027328</v>
      </c>
      <c r="K216">
        <f>J216-H216</f>
        <v>38803792</v>
      </c>
    </row>
    <row r="217" spans="1:11" outlineLevel="1">
      <c r="A217" s="8"/>
      <c r="B217" s="1" t="s">
        <v>330</v>
      </c>
      <c r="C217" s="1" t="s">
        <v>327</v>
      </c>
      <c r="D217" s="1" t="s">
        <v>325</v>
      </c>
      <c r="E217" s="11">
        <v>0.1</v>
      </c>
      <c r="F217" s="2">
        <v>131882</v>
      </c>
      <c r="H217">
        <f>I216-F216</f>
        <v>14654</v>
      </c>
      <c r="K217">
        <f>K216*1.1</f>
        <v>42684171.200000003</v>
      </c>
    </row>
    <row r="218" spans="1:11" outlineLevel="1">
      <c r="A218" s="8"/>
      <c r="B218" s="1" t="s">
        <v>331</v>
      </c>
      <c r="C218" s="1" t="s">
        <v>328</v>
      </c>
      <c r="D218" s="1" t="s">
        <v>325</v>
      </c>
      <c r="E218" s="11">
        <v>0.1</v>
      </c>
      <c r="F218" s="2">
        <v>131882</v>
      </c>
      <c r="H218">
        <f>H217*1.1</f>
        <v>16119.400000000001</v>
      </c>
    </row>
    <row r="219" spans="1:11" outlineLevel="1">
      <c r="A219" s="8"/>
      <c r="B219" s="1" t="s">
        <v>332</v>
      </c>
      <c r="C219" s="1"/>
      <c r="D219" s="1"/>
      <c r="E219" s="1"/>
      <c r="F219" s="2"/>
    </row>
    <row r="220" spans="1:11" outlineLevel="1">
      <c r="A220" s="8"/>
      <c r="B220" s="1" t="s">
        <v>333</v>
      </c>
      <c r="C220" s="1"/>
      <c r="D220" s="1"/>
      <c r="E220" s="1"/>
      <c r="F220" s="2"/>
    </row>
    <row r="221" spans="1:11" outlineLevel="1">
      <c r="A221" s="8"/>
      <c r="B221" s="1" t="s">
        <v>334</v>
      </c>
      <c r="C221" s="1"/>
      <c r="D221" s="1"/>
      <c r="E221" s="1"/>
      <c r="F221" s="2"/>
    </row>
    <row r="222" spans="1:11" outlineLevel="1">
      <c r="A222" s="8"/>
      <c r="B222" s="1"/>
      <c r="C222" s="1"/>
      <c r="D222" s="1"/>
      <c r="E222" s="1"/>
      <c r="F222" s="2"/>
    </row>
    <row r="223" spans="1:11" outlineLevel="1">
      <c r="A223" s="8"/>
      <c r="B223" s="1"/>
      <c r="C223" s="1"/>
      <c r="D223" s="1"/>
      <c r="E223" s="1"/>
      <c r="F223" s="2"/>
    </row>
    <row r="224" spans="1:11" outlineLevel="1">
      <c r="A224" s="8"/>
      <c r="B224" s="1"/>
      <c r="C224" s="1"/>
      <c r="D224" s="1"/>
      <c r="E224" s="1"/>
      <c r="F224" s="2"/>
    </row>
    <row r="225" spans="1:13" outlineLevel="1">
      <c r="A225" s="8"/>
      <c r="B225" s="1"/>
      <c r="C225" s="1"/>
      <c r="D225" s="1"/>
      <c r="E225" s="1"/>
      <c r="F225" s="2"/>
    </row>
    <row r="226" spans="1:13" outlineLevel="1">
      <c r="A226" s="8"/>
      <c r="B226" s="1"/>
      <c r="C226" s="1"/>
      <c r="D226" s="1"/>
      <c r="E226" s="1"/>
      <c r="F226" s="2"/>
    </row>
    <row r="227" spans="1:13" ht="15.75" outlineLevel="1" thickBot="1">
      <c r="A227" s="9"/>
      <c r="B227" s="3"/>
      <c r="C227" s="3"/>
      <c r="D227" s="3"/>
      <c r="E227" s="3"/>
      <c r="F227" s="4"/>
    </row>
    <row r="228" spans="1:13" ht="16.5" thickTop="1" thickBot="1"/>
    <row r="229" spans="1:13" ht="15.75" thickTop="1">
      <c r="A229" s="3782" t="s">
        <v>0</v>
      </c>
      <c r="B229" s="3781" t="s">
        <v>1</v>
      </c>
      <c r="C229" s="3781" t="s">
        <v>2</v>
      </c>
      <c r="D229" s="3781" t="s">
        <v>3</v>
      </c>
      <c r="E229" s="3781" t="s">
        <v>4</v>
      </c>
      <c r="F229" s="3765" t="s">
        <v>5</v>
      </c>
      <c r="G229" t="s">
        <v>76</v>
      </c>
      <c r="H229" t="s">
        <v>77</v>
      </c>
      <c r="I229" t="s">
        <v>78</v>
      </c>
      <c r="J229" t="s">
        <v>79</v>
      </c>
    </row>
    <row r="230" spans="1:13" ht="24.75" customHeight="1" collapsed="1" thickBot="1">
      <c r="A230" s="3783"/>
      <c r="B230" s="3767"/>
      <c r="C230" s="3767"/>
      <c r="D230" s="3767"/>
      <c r="E230" s="3767"/>
      <c r="F230" s="3766"/>
    </row>
    <row r="231" spans="1:13" ht="15.75" outlineLevel="1" thickTop="1">
      <c r="A231" s="7" t="s">
        <v>354</v>
      </c>
      <c r="B231" s="5" t="s">
        <v>106</v>
      </c>
      <c r="C231" s="5" t="s">
        <v>160</v>
      </c>
      <c r="D231" s="5" t="s">
        <v>343</v>
      </c>
      <c r="E231" s="11">
        <v>0.15</v>
      </c>
      <c r="F231" s="6">
        <v>111706</v>
      </c>
      <c r="G231">
        <v>488</v>
      </c>
      <c r="H231">
        <f>F231*G231</f>
        <v>54512528</v>
      </c>
      <c r="I231">
        <v>131419</v>
      </c>
      <c r="J231">
        <f>G231*I231</f>
        <v>64132472</v>
      </c>
      <c r="L231">
        <f>I231-F231</f>
        <v>19713</v>
      </c>
      <c r="M231">
        <f>L231*1.1</f>
        <v>21684.300000000003</v>
      </c>
    </row>
    <row r="232" spans="1:13" outlineLevel="1">
      <c r="A232" s="8"/>
      <c r="B232" s="1"/>
      <c r="C232" s="1" t="s">
        <v>113</v>
      </c>
      <c r="D232" s="5" t="s">
        <v>343</v>
      </c>
      <c r="E232" s="11">
        <v>0.15</v>
      </c>
      <c r="F232" s="6">
        <v>111706</v>
      </c>
      <c r="L232">
        <f>L231*G231</f>
        <v>9619944</v>
      </c>
    </row>
    <row r="233" spans="1:13" outlineLevel="1">
      <c r="A233" s="8"/>
      <c r="B233" s="1"/>
      <c r="C233" s="1" t="s">
        <v>161</v>
      </c>
      <c r="D233" s="5" t="s">
        <v>343</v>
      </c>
      <c r="E233" s="11">
        <v>0.15</v>
      </c>
      <c r="F233" s="6">
        <v>111706</v>
      </c>
    </row>
    <row r="234" spans="1:13" outlineLevel="1">
      <c r="A234" s="8"/>
      <c r="B234" s="1"/>
      <c r="C234" s="1"/>
      <c r="D234" s="1"/>
      <c r="E234" s="1"/>
      <c r="F234" s="2"/>
      <c r="H234">
        <f>J231-H231</f>
        <v>9619944</v>
      </c>
    </row>
    <row r="235" spans="1:13" outlineLevel="1">
      <c r="A235" s="8"/>
      <c r="B235" s="1"/>
      <c r="C235" s="1"/>
      <c r="D235" s="1"/>
      <c r="E235" s="1"/>
      <c r="F235" s="2"/>
      <c r="H235">
        <f>H234*1.1</f>
        <v>10581938.4</v>
      </c>
    </row>
    <row r="236" spans="1:13" outlineLevel="1">
      <c r="A236" s="8"/>
      <c r="B236" s="1"/>
      <c r="C236" s="1"/>
      <c r="D236" s="1"/>
      <c r="E236" s="1"/>
      <c r="F236" s="2"/>
    </row>
    <row r="237" spans="1:13" outlineLevel="1">
      <c r="A237" s="8"/>
      <c r="B237" s="1"/>
      <c r="C237" s="1"/>
      <c r="D237" s="1"/>
      <c r="E237" s="1"/>
      <c r="F237" s="2"/>
    </row>
    <row r="238" spans="1:13" outlineLevel="1">
      <c r="A238" s="8"/>
      <c r="B238" s="1"/>
      <c r="C238" s="1"/>
      <c r="D238" s="1"/>
      <c r="E238" s="1"/>
      <c r="F238" s="2"/>
    </row>
    <row r="239" spans="1:13" outlineLevel="1">
      <c r="A239" s="8"/>
      <c r="B239" s="1"/>
      <c r="C239" s="1"/>
      <c r="D239" s="1"/>
      <c r="E239" s="1"/>
      <c r="F239" s="2"/>
    </row>
    <row r="240" spans="1:13" outlineLevel="1">
      <c r="A240" s="8"/>
      <c r="B240" s="1"/>
      <c r="C240" s="1"/>
      <c r="D240" s="1"/>
      <c r="E240" s="1"/>
      <c r="F240" s="2"/>
    </row>
    <row r="241" spans="1:10" outlineLevel="1">
      <c r="A241" s="8"/>
      <c r="B241" s="1"/>
      <c r="C241" s="1"/>
      <c r="D241" s="1"/>
      <c r="E241" s="1"/>
      <c r="F241" s="2"/>
    </row>
    <row r="242" spans="1:10" ht="15.75" outlineLevel="1" thickBot="1">
      <c r="A242" s="9"/>
      <c r="B242" s="3"/>
      <c r="C242" s="3"/>
      <c r="D242" s="3"/>
      <c r="E242" s="3"/>
      <c r="F242" s="4"/>
    </row>
    <row r="243" spans="1:10" ht="16.5" thickTop="1" thickBot="1"/>
    <row r="244" spans="1:10" ht="15.75" thickTop="1">
      <c r="A244" s="3782" t="s">
        <v>0</v>
      </c>
      <c r="B244" s="3781" t="s">
        <v>1</v>
      </c>
      <c r="C244" s="3781" t="s">
        <v>2</v>
      </c>
      <c r="D244" s="3781" t="s">
        <v>3</v>
      </c>
      <c r="E244" s="3781" t="s">
        <v>4</v>
      </c>
      <c r="F244" s="3765" t="s">
        <v>5</v>
      </c>
      <c r="G244" t="s">
        <v>76</v>
      </c>
      <c r="H244" t="s">
        <v>77</v>
      </c>
      <c r="I244" t="s">
        <v>78</v>
      </c>
      <c r="J244" t="s">
        <v>79</v>
      </c>
    </row>
    <row r="245" spans="1:10" ht="24.75" customHeight="1" collapsed="1" thickBot="1">
      <c r="A245" s="3783"/>
      <c r="B245" s="3767"/>
      <c r="C245" s="3767"/>
      <c r="D245" s="3767"/>
      <c r="E245" s="3767"/>
      <c r="F245" s="3766"/>
    </row>
    <row r="246" spans="1:10" ht="15.75" outlineLevel="1" thickTop="1">
      <c r="A246" s="7" t="s">
        <v>354</v>
      </c>
      <c r="B246" s="5" t="s">
        <v>115</v>
      </c>
      <c r="C246" s="5" t="s">
        <v>71</v>
      </c>
      <c r="D246" s="5" t="s">
        <v>355</v>
      </c>
      <c r="E246" s="11">
        <v>0.1</v>
      </c>
      <c r="F246" s="6">
        <v>109904</v>
      </c>
      <c r="G246">
        <v>908</v>
      </c>
      <c r="H246">
        <f>F246*G246</f>
        <v>99792832</v>
      </c>
      <c r="I246">
        <v>122115</v>
      </c>
      <c r="J246">
        <f>G246*I246</f>
        <v>110880420</v>
      </c>
    </row>
    <row r="247" spans="1:10" outlineLevel="1">
      <c r="A247" s="8"/>
      <c r="B247" s="1" t="s">
        <v>116</v>
      </c>
      <c r="C247" s="1" t="s">
        <v>74</v>
      </c>
      <c r="D247" s="5" t="s">
        <v>355</v>
      </c>
      <c r="E247" s="11">
        <v>0.1</v>
      </c>
      <c r="F247" s="6">
        <v>109904</v>
      </c>
    </row>
    <row r="248" spans="1:10" outlineLevel="1">
      <c r="A248" s="8"/>
      <c r="B248" s="1"/>
      <c r="C248" s="1" t="s">
        <v>73</v>
      </c>
      <c r="D248" s="5" t="s">
        <v>355</v>
      </c>
      <c r="E248" s="11">
        <v>0.1</v>
      </c>
      <c r="F248" s="6">
        <v>109904</v>
      </c>
      <c r="H248">
        <f>J246-H246</f>
        <v>11087588</v>
      </c>
    </row>
    <row r="249" spans="1:10" outlineLevel="1">
      <c r="A249" s="8"/>
      <c r="B249" s="1"/>
      <c r="C249" s="1"/>
      <c r="D249" s="1"/>
      <c r="E249" s="1"/>
      <c r="F249" s="2"/>
      <c r="H249">
        <f>H248*1.1</f>
        <v>12196346.800000001</v>
      </c>
    </row>
    <row r="250" spans="1:10" outlineLevel="1">
      <c r="A250" s="8"/>
      <c r="B250" s="1"/>
      <c r="C250" s="1"/>
      <c r="D250" s="1"/>
      <c r="E250" s="1"/>
      <c r="F250" s="2"/>
      <c r="H250">
        <f>H249/12500</f>
        <v>975.70774400000005</v>
      </c>
    </row>
    <row r="251" spans="1:10" outlineLevel="1">
      <c r="A251" s="8"/>
      <c r="B251" s="1"/>
      <c r="C251" s="1"/>
      <c r="D251" s="1"/>
      <c r="E251" s="1"/>
      <c r="F251" s="2"/>
    </row>
    <row r="252" spans="1:10" outlineLevel="1">
      <c r="A252" s="8"/>
      <c r="B252" s="1"/>
      <c r="C252" s="1"/>
      <c r="D252" s="1"/>
      <c r="E252" s="1"/>
      <c r="F252" s="2"/>
    </row>
    <row r="253" spans="1:10" outlineLevel="1">
      <c r="A253" s="8"/>
      <c r="B253" s="1"/>
      <c r="C253" s="1"/>
      <c r="D253" s="1"/>
      <c r="E253" s="1"/>
      <c r="F253" s="2"/>
    </row>
    <row r="254" spans="1:10" outlineLevel="1">
      <c r="A254" s="8"/>
      <c r="B254" s="1"/>
      <c r="C254" s="1"/>
      <c r="D254" s="1"/>
      <c r="E254" s="1"/>
      <c r="F254" s="2"/>
    </row>
    <row r="255" spans="1:10" outlineLevel="1">
      <c r="A255" s="8"/>
      <c r="B255" s="1"/>
      <c r="C255" s="1"/>
      <c r="D255" s="1"/>
      <c r="E255" s="1"/>
      <c r="F255" s="2"/>
    </row>
    <row r="256" spans="1:10" outlineLevel="1">
      <c r="A256" s="8"/>
      <c r="B256" s="1"/>
      <c r="C256" s="1"/>
      <c r="D256" s="1"/>
      <c r="E256" s="1"/>
      <c r="F256" s="2"/>
    </row>
    <row r="257" spans="1:10" ht="15.75" outlineLevel="1" thickBot="1">
      <c r="A257" s="9"/>
      <c r="B257" s="3"/>
      <c r="C257" s="3"/>
      <c r="D257" s="3"/>
      <c r="E257" s="3"/>
      <c r="F257" s="4"/>
    </row>
    <row r="258" spans="1:10" ht="16.5" thickTop="1" thickBot="1"/>
    <row r="259" spans="1:10" ht="15.75" thickTop="1">
      <c r="A259" s="3782" t="s">
        <v>0</v>
      </c>
      <c r="B259" s="3781" t="s">
        <v>1</v>
      </c>
      <c r="C259" s="3781" t="s">
        <v>2</v>
      </c>
      <c r="D259" s="3781" t="s">
        <v>3</v>
      </c>
      <c r="E259" s="3781" t="s">
        <v>4</v>
      </c>
      <c r="F259" s="3765" t="s">
        <v>5</v>
      </c>
    </row>
    <row r="260" spans="1:10" ht="24.75" customHeight="1" collapsed="1" thickBot="1">
      <c r="A260" s="3783"/>
      <c r="B260" s="3767"/>
      <c r="C260" s="3767"/>
      <c r="D260" s="3767"/>
      <c r="E260" s="3767"/>
      <c r="F260" s="3766"/>
    </row>
    <row r="261" spans="1:10" ht="15.75" outlineLevel="1" thickTop="1">
      <c r="A261" s="7" t="s">
        <v>354</v>
      </c>
      <c r="B261" s="5" t="s">
        <v>356</v>
      </c>
      <c r="C261" s="5" t="s">
        <v>160</v>
      </c>
      <c r="D261" s="5" t="s">
        <v>343</v>
      </c>
      <c r="E261" s="11">
        <v>0.15</v>
      </c>
      <c r="F261" s="6">
        <v>111706</v>
      </c>
      <c r="G261">
        <v>376</v>
      </c>
      <c r="H261">
        <f>F261*G261</f>
        <v>42001456</v>
      </c>
      <c r="I261">
        <v>131419</v>
      </c>
      <c r="J261">
        <f>G261*I261</f>
        <v>49413544</v>
      </c>
    </row>
    <row r="262" spans="1:10" outlineLevel="1">
      <c r="A262" s="8"/>
      <c r="B262" s="1"/>
      <c r="C262" s="1" t="s">
        <v>113</v>
      </c>
      <c r="D262" s="5" t="s">
        <v>343</v>
      </c>
      <c r="E262" s="11">
        <v>0.15</v>
      </c>
      <c r="F262" s="6">
        <v>111706</v>
      </c>
      <c r="I262">
        <f>I261-F261</f>
        <v>19713</v>
      </c>
    </row>
    <row r="263" spans="1:10" outlineLevel="1">
      <c r="A263" s="8"/>
      <c r="B263" s="1"/>
      <c r="C263" s="1" t="s">
        <v>161</v>
      </c>
      <c r="D263" s="5" t="s">
        <v>343</v>
      </c>
      <c r="E263" s="11">
        <v>0.15</v>
      </c>
      <c r="F263" s="6">
        <v>111706</v>
      </c>
      <c r="H263">
        <f>J261-H261</f>
        <v>7412088</v>
      </c>
    </row>
    <row r="264" spans="1:10" outlineLevel="1">
      <c r="A264" s="8"/>
      <c r="B264" s="1"/>
      <c r="C264" s="1"/>
      <c r="D264" s="1"/>
      <c r="E264" s="1"/>
      <c r="F264" s="2"/>
      <c r="H264">
        <f>H263*1.1</f>
        <v>8153296.8000000007</v>
      </c>
    </row>
    <row r="265" spans="1:10" outlineLevel="1">
      <c r="A265" s="8"/>
      <c r="B265" s="1"/>
      <c r="C265" s="1"/>
      <c r="D265" s="1"/>
      <c r="E265" s="1"/>
      <c r="F265" s="2"/>
    </row>
    <row r="266" spans="1:10" outlineLevel="1">
      <c r="A266" s="8"/>
      <c r="B266" s="1"/>
      <c r="C266" s="1"/>
      <c r="D266" s="1"/>
      <c r="E266" s="1"/>
      <c r="F266" s="2"/>
    </row>
    <row r="267" spans="1:10" outlineLevel="1">
      <c r="A267" s="8"/>
      <c r="B267" s="1"/>
      <c r="C267" s="1"/>
      <c r="D267" s="1"/>
      <c r="E267" s="1"/>
      <c r="F267" s="2"/>
    </row>
    <row r="268" spans="1:10" outlineLevel="1">
      <c r="A268" s="8"/>
      <c r="B268" s="1"/>
      <c r="C268" s="1"/>
      <c r="D268" s="1"/>
      <c r="E268" s="1"/>
      <c r="F268" s="2"/>
    </row>
    <row r="269" spans="1:10" outlineLevel="1">
      <c r="A269" s="8"/>
      <c r="B269" s="1"/>
      <c r="C269" s="1"/>
      <c r="D269" s="1"/>
      <c r="E269" s="1"/>
      <c r="F269" s="2"/>
    </row>
    <row r="270" spans="1:10" outlineLevel="1">
      <c r="A270" s="8"/>
      <c r="B270" s="1"/>
      <c r="C270" s="1"/>
      <c r="D270" s="1"/>
      <c r="E270" s="1"/>
      <c r="F270" s="2"/>
    </row>
    <row r="271" spans="1:10" outlineLevel="1">
      <c r="A271" s="8"/>
      <c r="B271" s="1"/>
      <c r="C271" s="1"/>
      <c r="D271" s="1"/>
      <c r="E271" s="1"/>
      <c r="F271" s="2"/>
    </row>
    <row r="272" spans="1:10" ht="15.75" outlineLevel="1" thickBot="1">
      <c r="A272" s="9"/>
      <c r="B272" s="3"/>
      <c r="C272" s="3"/>
      <c r="D272" s="3"/>
      <c r="E272" s="3"/>
      <c r="F272" s="4"/>
    </row>
    <row r="273" spans="1:13" ht="16.5" thickTop="1" thickBot="1"/>
    <row r="274" spans="1:13" ht="15.75" thickTop="1">
      <c r="A274" s="3782" t="s">
        <v>0</v>
      </c>
      <c r="B274" s="3781" t="s">
        <v>1</v>
      </c>
      <c r="C274" s="3781" t="s">
        <v>2</v>
      </c>
      <c r="D274" s="3781" t="s">
        <v>3</v>
      </c>
      <c r="E274" s="3781" t="s">
        <v>4</v>
      </c>
      <c r="F274" s="3765" t="s">
        <v>5</v>
      </c>
    </row>
    <row r="275" spans="1:13" ht="24.75" customHeight="1" collapsed="1" thickBot="1">
      <c r="A275" s="3783"/>
      <c r="B275" s="3767"/>
      <c r="C275" s="3767"/>
      <c r="D275" s="3767"/>
      <c r="E275" s="3767"/>
      <c r="F275" s="3766"/>
    </row>
    <row r="276" spans="1:13" ht="15.75" outlineLevel="1" thickTop="1">
      <c r="A276" s="7" t="s">
        <v>396</v>
      </c>
      <c r="B276" s="5" t="s">
        <v>106</v>
      </c>
      <c r="C276" s="5" t="s">
        <v>393</v>
      </c>
      <c r="D276" s="5" t="s">
        <v>343</v>
      </c>
      <c r="E276" s="11">
        <v>0.25</v>
      </c>
      <c r="F276" s="6">
        <v>6473</v>
      </c>
      <c r="G276">
        <v>1390</v>
      </c>
      <c r="H276">
        <f>F276*G276</f>
        <v>8997470</v>
      </c>
      <c r="I276">
        <v>8631</v>
      </c>
      <c r="J276">
        <f>G276*I276</f>
        <v>11997090</v>
      </c>
      <c r="K276">
        <f>J276-H276</f>
        <v>2999620</v>
      </c>
      <c r="L276">
        <f>K276*1.2</f>
        <v>3599544</v>
      </c>
      <c r="M276">
        <f>L276/12500</f>
        <v>287.96352000000002</v>
      </c>
    </row>
    <row r="277" spans="1:13" outlineLevel="1">
      <c r="A277" s="8"/>
      <c r="B277" s="1"/>
      <c r="C277" s="1" t="s">
        <v>155</v>
      </c>
      <c r="D277" s="1" t="s">
        <v>343</v>
      </c>
      <c r="E277" s="12">
        <v>0.15</v>
      </c>
      <c r="F277" s="2">
        <v>5278</v>
      </c>
      <c r="G277">
        <v>630</v>
      </c>
      <c r="H277">
        <f>F277*G277</f>
        <v>3325140</v>
      </c>
      <c r="I277">
        <v>6209</v>
      </c>
      <c r="J277">
        <f>G277*I277</f>
        <v>3911670</v>
      </c>
      <c r="K277">
        <f>J277-H277</f>
        <v>586530</v>
      </c>
      <c r="L277">
        <f>K277*1.2</f>
        <v>703836</v>
      </c>
    </row>
    <row r="278" spans="1:13" outlineLevel="1">
      <c r="A278" s="8"/>
      <c r="B278" s="1"/>
      <c r="C278" s="1" t="s">
        <v>154</v>
      </c>
      <c r="D278" s="1" t="s">
        <v>343</v>
      </c>
      <c r="E278" s="12">
        <v>0.15</v>
      </c>
      <c r="F278" s="2">
        <v>4144</v>
      </c>
      <c r="G278">
        <v>615</v>
      </c>
      <c r="H278">
        <f>F278*G278</f>
        <v>2548560</v>
      </c>
      <c r="I278">
        <v>4875</v>
      </c>
      <c r="J278">
        <f>G278*I278</f>
        <v>2998125</v>
      </c>
      <c r="K278">
        <f>J278-H278</f>
        <v>449565</v>
      </c>
      <c r="L278">
        <f>K278*1.2</f>
        <v>539478</v>
      </c>
    </row>
    <row r="279" spans="1:13" outlineLevel="1">
      <c r="A279" s="8"/>
      <c r="B279" s="1"/>
      <c r="C279" s="1" t="s">
        <v>183</v>
      </c>
      <c r="D279" s="1" t="s">
        <v>343</v>
      </c>
      <c r="E279" s="12">
        <v>0.15</v>
      </c>
      <c r="F279" s="2">
        <v>7149</v>
      </c>
      <c r="G279">
        <v>600</v>
      </c>
      <c r="H279">
        <f>F279*G279</f>
        <v>4289400</v>
      </c>
      <c r="I279">
        <v>8446</v>
      </c>
      <c r="J279">
        <f>G279*I279</f>
        <v>5067600</v>
      </c>
      <c r="K279">
        <f>J279-H279</f>
        <v>778200</v>
      </c>
      <c r="L279">
        <f>K279*1.2</f>
        <v>933840</v>
      </c>
    </row>
    <row r="280" spans="1:13" outlineLevel="1">
      <c r="A280" s="8"/>
      <c r="B280" s="1"/>
      <c r="C280" s="1"/>
      <c r="D280" s="1"/>
      <c r="E280" s="1"/>
      <c r="F280" s="2"/>
    </row>
    <row r="281" spans="1:13" outlineLevel="1">
      <c r="A281" s="8"/>
      <c r="B281" s="1"/>
      <c r="C281" s="1"/>
      <c r="D281" s="1"/>
      <c r="E281" s="1"/>
      <c r="F281" s="2"/>
    </row>
    <row r="282" spans="1:13" outlineLevel="1">
      <c r="A282" s="8"/>
      <c r="B282" s="1"/>
      <c r="C282" s="1"/>
      <c r="D282" s="1"/>
      <c r="E282" s="1"/>
      <c r="F282" s="2"/>
    </row>
    <row r="283" spans="1:13" outlineLevel="1">
      <c r="A283" s="8"/>
      <c r="B283" s="1"/>
      <c r="C283" s="1"/>
      <c r="D283" s="1"/>
      <c r="E283" s="1"/>
      <c r="F283" s="2"/>
    </row>
    <row r="284" spans="1:13" outlineLevel="1">
      <c r="A284" s="8"/>
      <c r="B284" s="1"/>
      <c r="C284" s="1"/>
      <c r="D284" s="1"/>
      <c r="E284" s="1"/>
      <c r="F284" s="2"/>
    </row>
    <row r="285" spans="1:13" outlineLevel="1">
      <c r="A285" s="8"/>
      <c r="B285" s="1"/>
      <c r="C285" s="1"/>
      <c r="D285" s="1"/>
      <c r="E285" s="1"/>
      <c r="F285" s="2"/>
    </row>
    <row r="286" spans="1:13" outlineLevel="1">
      <c r="A286" s="8"/>
      <c r="B286" s="1"/>
      <c r="C286" s="1"/>
      <c r="D286" s="1"/>
      <c r="E286" s="1"/>
      <c r="F286" s="2"/>
    </row>
    <row r="287" spans="1:13" ht="15.75" outlineLevel="1" thickBot="1">
      <c r="A287" s="9"/>
      <c r="B287" s="3"/>
      <c r="C287" s="3"/>
      <c r="D287" s="3"/>
      <c r="E287" s="3"/>
      <c r="F287" s="4"/>
    </row>
    <row r="288" spans="1:13" ht="16.5" thickTop="1" thickBot="1"/>
    <row r="289" spans="1:14" ht="15.75" thickTop="1">
      <c r="A289" s="3782" t="s">
        <v>0</v>
      </c>
      <c r="B289" s="3781" t="s">
        <v>1</v>
      </c>
      <c r="C289" s="3781" t="s">
        <v>2</v>
      </c>
      <c r="D289" s="3781" t="s">
        <v>3</v>
      </c>
      <c r="E289" s="3781" t="s">
        <v>4</v>
      </c>
      <c r="F289" s="3765" t="s">
        <v>5</v>
      </c>
    </row>
    <row r="290" spans="1:14" ht="24.75" customHeight="1" collapsed="1" thickBot="1">
      <c r="A290" s="3783"/>
      <c r="B290" s="3767"/>
      <c r="C290" s="3767"/>
      <c r="D290" s="3767"/>
      <c r="E290" s="3767"/>
      <c r="F290" s="3766"/>
    </row>
    <row r="291" spans="1:14" ht="15.75" outlineLevel="1" thickTop="1">
      <c r="A291" s="7" t="s">
        <v>397</v>
      </c>
      <c r="B291" s="5" t="s">
        <v>285</v>
      </c>
      <c r="C291" s="5" t="s">
        <v>113</v>
      </c>
      <c r="D291" s="5" t="s">
        <v>286</v>
      </c>
      <c r="E291" s="11">
        <v>0.15</v>
      </c>
      <c r="F291" s="6">
        <v>110098</v>
      </c>
      <c r="G291">
        <v>126</v>
      </c>
      <c r="H291">
        <v>13872348</v>
      </c>
      <c r="I291">
        <v>129527</v>
      </c>
      <c r="J291">
        <f>G291*I291</f>
        <v>16320402</v>
      </c>
      <c r="K291">
        <f>J291-H291</f>
        <v>2448054</v>
      </c>
      <c r="L291">
        <f>K291*1.1</f>
        <v>2692859.4000000004</v>
      </c>
      <c r="M291">
        <f>L291+L296</f>
        <v>3035740.4000000004</v>
      </c>
      <c r="N291">
        <f>M291/140</f>
        <v>21683.860000000004</v>
      </c>
    </row>
    <row r="292" spans="1:14" outlineLevel="1">
      <c r="A292" s="8"/>
      <c r="B292" s="1"/>
      <c r="C292" s="1" t="s">
        <v>160</v>
      </c>
      <c r="D292" s="5" t="s">
        <v>286</v>
      </c>
      <c r="E292" s="11">
        <v>0.15</v>
      </c>
      <c r="F292" s="2">
        <v>110098</v>
      </c>
      <c r="I292">
        <f>I291-F291</f>
        <v>19429</v>
      </c>
      <c r="M292">
        <f>M291/9200</f>
        <v>329.97178260869572</v>
      </c>
    </row>
    <row r="293" spans="1:14" outlineLevel="1">
      <c r="A293" s="8"/>
      <c r="B293" s="1"/>
      <c r="C293" s="1" t="s">
        <v>398</v>
      </c>
      <c r="D293" s="5" t="s">
        <v>286</v>
      </c>
      <c r="E293" s="11">
        <v>0.15</v>
      </c>
      <c r="F293" s="2">
        <v>110098</v>
      </c>
    </row>
    <row r="294" spans="1:14" outlineLevel="1">
      <c r="A294" s="8"/>
      <c r="B294" s="1"/>
      <c r="C294" s="1" t="s">
        <v>399</v>
      </c>
      <c r="D294" s="5" t="s">
        <v>286</v>
      </c>
      <c r="E294" s="11">
        <v>0.15</v>
      </c>
      <c r="F294" s="2">
        <v>110098</v>
      </c>
    </row>
    <row r="295" spans="1:14" outlineLevel="1">
      <c r="A295" s="8"/>
      <c r="B295" s="1"/>
      <c r="C295" s="1" t="s">
        <v>400</v>
      </c>
      <c r="D295" s="5" t="s">
        <v>286</v>
      </c>
      <c r="E295" s="11">
        <v>0.15</v>
      </c>
      <c r="F295" s="2">
        <v>110098</v>
      </c>
    </row>
    <row r="296" spans="1:14" outlineLevel="1">
      <c r="A296" s="8"/>
      <c r="B296" s="1"/>
      <c r="C296" s="1" t="s">
        <v>327</v>
      </c>
      <c r="D296" s="5" t="s">
        <v>286</v>
      </c>
      <c r="E296" s="11">
        <v>0.15</v>
      </c>
      <c r="F296" s="2">
        <v>126171</v>
      </c>
      <c r="G296">
        <v>14</v>
      </c>
      <c r="H296">
        <v>1766394</v>
      </c>
      <c r="I296">
        <v>148436</v>
      </c>
      <c r="J296">
        <f>G296*I296</f>
        <v>2078104</v>
      </c>
      <c r="K296">
        <f>J296-H296</f>
        <v>311710</v>
      </c>
      <c r="L296">
        <f>K296*1.1</f>
        <v>342881</v>
      </c>
    </row>
    <row r="297" spans="1:14" outlineLevel="1">
      <c r="A297" s="8"/>
      <c r="B297" s="1"/>
      <c r="C297" s="1" t="s">
        <v>326</v>
      </c>
      <c r="D297" s="5" t="s">
        <v>286</v>
      </c>
      <c r="E297" s="11">
        <v>0.15</v>
      </c>
      <c r="F297" s="2">
        <v>126171</v>
      </c>
    </row>
    <row r="298" spans="1:14" outlineLevel="1">
      <c r="A298" s="8"/>
      <c r="B298" s="1"/>
      <c r="C298" s="1" t="s">
        <v>328</v>
      </c>
      <c r="D298" s="5" t="s">
        <v>286</v>
      </c>
      <c r="E298" s="11">
        <v>0.15</v>
      </c>
      <c r="F298" s="2">
        <v>126171</v>
      </c>
    </row>
    <row r="299" spans="1:14" outlineLevel="1">
      <c r="A299" s="8"/>
      <c r="B299" s="1"/>
      <c r="C299" s="1"/>
      <c r="D299" s="1"/>
      <c r="E299" s="1"/>
      <c r="F299" s="2"/>
    </row>
    <row r="300" spans="1:14" outlineLevel="1">
      <c r="A300" s="8"/>
      <c r="B300" s="1"/>
      <c r="C300" s="1"/>
      <c r="D300" s="1"/>
      <c r="E300" s="1"/>
      <c r="F300" s="2"/>
    </row>
    <row r="301" spans="1:14" outlineLevel="1">
      <c r="A301" s="8"/>
      <c r="B301" s="1"/>
      <c r="C301" s="1"/>
      <c r="D301" s="1"/>
      <c r="E301" s="1"/>
      <c r="F301" s="2"/>
    </row>
    <row r="302" spans="1:14" ht="15.75" outlineLevel="1" thickBot="1">
      <c r="A302" s="9"/>
      <c r="B302" s="3"/>
      <c r="C302" s="3"/>
      <c r="D302" s="3"/>
      <c r="E302" s="3"/>
      <c r="F302" s="4"/>
    </row>
    <row r="303" spans="1:14" ht="16.5" thickTop="1" thickBot="1"/>
    <row r="304" spans="1:14" ht="15.75" thickTop="1">
      <c r="A304" s="3782" t="s">
        <v>0</v>
      </c>
      <c r="B304" s="3781" t="s">
        <v>1</v>
      </c>
      <c r="C304" s="3781" t="s">
        <v>2</v>
      </c>
      <c r="D304" s="3781" t="s">
        <v>3</v>
      </c>
      <c r="E304" s="3781" t="s">
        <v>4</v>
      </c>
      <c r="F304" s="3765" t="s">
        <v>5</v>
      </c>
    </row>
    <row r="305" spans="1:13" ht="24.75" customHeight="1" collapsed="1" thickBot="1">
      <c r="A305" s="3783"/>
      <c r="B305" s="3767"/>
      <c r="C305" s="3767"/>
      <c r="D305" s="3767"/>
      <c r="E305" s="3767"/>
      <c r="F305" s="3766"/>
    </row>
    <row r="306" spans="1:13" ht="15.75" outlineLevel="1" thickTop="1">
      <c r="A306" s="7" t="s">
        <v>417</v>
      </c>
      <c r="B306" s="5" t="s">
        <v>329</v>
      </c>
      <c r="C306" s="5" t="s">
        <v>160</v>
      </c>
      <c r="D306" s="5" t="s">
        <v>343</v>
      </c>
      <c r="E306" s="175">
        <v>0.23200000000000001</v>
      </c>
      <c r="F306" s="6">
        <v>104664</v>
      </c>
      <c r="G306">
        <v>10006</v>
      </c>
      <c r="H306">
        <f>F306*G306</f>
        <v>1047267984</v>
      </c>
      <c r="I306">
        <v>127639</v>
      </c>
      <c r="J306">
        <f>G306*I306</f>
        <v>1277155834</v>
      </c>
      <c r="K306">
        <f>J306-H306</f>
        <v>229887850</v>
      </c>
      <c r="L306">
        <f>K306*1.1</f>
        <v>252876635.00000003</v>
      </c>
    </row>
    <row r="307" spans="1:13" outlineLevel="1">
      <c r="A307" s="8"/>
      <c r="B307" s="1" t="s">
        <v>330</v>
      </c>
      <c r="C307" s="1" t="s">
        <v>113</v>
      </c>
      <c r="D307" s="5" t="s">
        <v>343</v>
      </c>
      <c r="E307" s="175">
        <v>0.23200000000000001</v>
      </c>
      <c r="F307" s="6">
        <v>104664</v>
      </c>
      <c r="G307" s="176">
        <v>10006</v>
      </c>
      <c r="H307" s="176">
        <f>F307*G307</f>
        <v>1047267984</v>
      </c>
      <c r="I307" s="176">
        <v>132353</v>
      </c>
      <c r="J307" s="176">
        <f>G307*I307</f>
        <v>1324324118</v>
      </c>
      <c r="K307" s="176">
        <f>J307-H307</f>
        <v>277056134</v>
      </c>
      <c r="L307" s="176">
        <f>K307*1.1</f>
        <v>304761747.40000004</v>
      </c>
      <c r="M307">
        <f>L307/9200</f>
        <v>33126.276891304355</v>
      </c>
    </row>
    <row r="308" spans="1:13" outlineLevel="1">
      <c r="A308" s="8"/>
      <c r="B308" s="1" t="s">
        <v>331</v>
      </c>
      <c r="C308" s="1" t="s">
        <v>161</v>
      </c>
      <c r="D308" s="5" t="s">
        <v>343</v>
      </c>
      <c r="E308" s="175">
        <v>0.23200000000000001</v>
      </c>
      <c r="F308" s="6">
        <v>104664</v>
      </c>
    </row>
    <row r="309" spans="1:13" outlineLevel="1">
      <c r="A309" s="8"/>
      <c r="B309" s="1" t="s">
        <v>332</v>
      </c>
      <c r="C309" s="1"/>
      <c r="D309" s="1"/>
      <c r="E309" s="1"/>
      <c r="F309" s="2"/>
      <c r="I309">
        <f>I307-F307</f>
        <v>27689</v>
      </c>
    </row>
    <row r="310" spans="1:13" outlineLevel="1">
      <c r="A310" s="8"/>
      <c r="B310" s="1" t="s">
        <v>333</v>
      </c>
      <c r="C310" s="1"/>
      <c r="D310" s="1"/>
      <c r="E310" s="1"/>
      <c r="F310" s="2"/>
      <c r="I310">
        <f>I309*1.1</f>
        <v>30457.9</v>
      </c>
    </row>
    <row r="311" spans="1:13" outlineLevel="1">
      <c r="A311" s="8"/>
      <c r="B311" s="1" t="s">
        <v>334</v>
      </c>
      <c r="C311" s="1"/>
      <c r="D311" s="1"/>
      <c r="E311" s="1"/>
      <c r="F311" s="2"/>
      <c r="I311">
        <v>29485</v>
      </c>
    </row>
    <row r="312" spans="1:13" outlineLevel="1">
      <c r="A312" s="8"/>
      <c r="B312" s="1"/>
      <c r="C312" s="1"/>
      <c r="D312" s="1"/>
      <c r="E312" s="1"/>
      <c r="F312" s="2"/>
      <c r="I312">
        <f>I310-I311</f>
        <v>972.90000000000146</v>
      </c>
    </row>
    <row r="313" spans="1:13" outlineLevel="1">
      <c r="A313" s="8"/>
      <c r="B313" s="1"/>
      <c r="C313" s="1"/>
      <c r="D313" s="1"/>
      <c r="E313" s="1"/>
      <c r="F313" s="2"/>
      <c r="I313">
        <f>I312*G307</f>
        <v>9734837.4000000153</v>
      </c>
    </row>
    <row r="314" spans="1:13" outlineLevel="1">
      <c r="A314" s="8"/>
      <c r="B314" s="1"/>
      <c r="C314" s="1"/>
      <c r="D314" s="1"/>
      <c r="E314" s="1"/>
      <c r="F314" s="2"/>
    </row>
    <row r="315" spans="1:13" outlineLevel="1">
      <c r="A315" s="8"/>
      <c r="B315" s="1"/>
      <c r="C315" s="1"/>
      <c r="D315" s="1"/>
      <c r="E315" s="1"/>
      <c r="F315" s="2"/>
    </row>
    <row r="316" spans="1:13" outlineLevel="1">
      <c r="A316" s="8"/>
      <c r="B316" s="1"/>
      <c r="C316" s="1"/>
      <c r="D316" s="1"/>
      <c r="E316" s="1"/>
      <c r="F316" s="2"/>
    </row>
    <row r="317" spans="1:13" ht="15.75" outlineLevel="1" thickBot="1">
      <c r="A317" s="9"/>
      <c r="B317" s="3"/>
      <c r="C317" s="3"/>
      <c r="D317" s="3"/>
      <c r="E317" s="3"/>
      <c r="F317" s="4"/>
    </row>
    <row r="318" spans="1:13" ht="16.5" thickTop="1" thickBot="1"/>
    <row r="319" spans="1:13" ht="15.75" thickTop="1">
      <c r="A319" s="3782" t="s">
        <v>0</v>
      </c>
      <c r="B319" s="3781" t="s">
        <v>1</v>
      </c>
      <c r="C319" s="3781" t="s">
        <v>2</v>
      </c>
      <c r="D319" s="3781" t="s">
        <v>3</v>
      </c>
      <c r="E319" s="3781" t="s">
        <v>4</v>
      </c>
      <c r="F319" s="3765" t="s">
        <v>5</v>
      </c>
    </row>
    <row r="320" spans="1:13" ht="24.75" customHeight="1" collapsed="1" thickBot="1">
      <c r="A320" s="3783"/>
      <c r="B320" s="3767"/>
      <c r="C320" s="3767"/>
      <c r="D320" s="3767"/>
      <c r="E320" s="3767"/>
      <c r="F320" s="3766"/>
    </row>
    <row r="321" spans="1:12" ht="15.75" outlineLevel="1" thickTop="1">
      <c r="A321" s="7" t="s">
        <v>431</v>
      </c>
      <c r="B321" s="5" t="s">
        <v>115</v>
      </c>
      <c r="C321" s="5" t="s">
        <v>341</v>
      </c>
      <c r="D321" s="5" t="s">
        <v>325</v>
      </c>
      <c r="E321" s="11">
        <v>0.2</v>
      </c>
      <c r="F321" s="6">
        <v>4400</v>
      </c>
      <c r="G321">
        <v>4420</v>
      </c>
      <c r="H321">
        <f>F321*G321</f>
        <v>19448000</v>
      </c>
      <c r="I321">
        <v>5500</v>
      </c>
      <c r="J321">
        <f>G321*I321</f>
        <v>24310000</v>
      </c>
      <c r="K321">
        <f>J321-H321</f>
        <v>4862000</v>
      </c>
      <c r="L321">
        <f>K321*1.2</f>
        <v>5834400</v>
      </c>
    </row>
    <row r="322" spans="1:12" outlineLevel="1">
      <c r="A322" s="8"/>
      <c r="B322" s="1" t="s">
        <v>116</v>
      </c>
      <c r="C322" s="1"/>
      <c r="D322" s="1"/>
      <c r="E322" s="1"/>
      <c r="F322" s="2"/>
    </row>
    <row r="323" spans="1:12" outlineLevel="1">
      <c r="A323" s="8"/>
      <c r="B323" s="1"/>
      <c r="C323" s="1"/>
      <c r="D323" s="1"/>
      <c r="E323" s="1"/>
      <c r="F323" s="2"/>
    </row>
    <row r="324" spans="1:12" outlineLevel="1">
      <c r="A324" s="8"/>
      <c r="B324" s="1"/>
      <c r="C324" s="1"/>
      <c r="D324" s="1"/>
      <c r="E324" s="1"/>
      <c r="F324" s="2"/>
    </row>
    <row r="325" spans="1:12" outlineLevel="1">
      <c r="A325" s="8"/>
      <c r="B325" s="1"/>
      <c r="C325" s="1"/>
      <c r="D325" s="1"/>
      <c r="E325" s="1"/>
      <c r="F325" s="2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outlineLevel="1">
      <c r="A330" s="8"/>
      <c r="B330" s="1"/>
      <c r="C330" s="1"/>
      <c r="D330" s="1"/>
      <c r="E330" s="1"/>
      <c r="F330" s="2"/>
    </row>
    <row r="331" spans="1:12" outlineLevel="1">
      <c r="A331" s="8"/>
      <c r="B331" s="1"/>
      <c r="C331" s="1"/>
      <c r="D331" s="1"/>
      <c r="E331" s="1"/>
      <c r="F331" s="2"/>
    </row>
    <row r="332" spans="1:12" ht="15.75" outlineLevel="1" thickBot="1">
      <c r="A332" s="9"/>
      <c r="B332" s="3"/>
      <c r="C332" s="3"/>
      <c r="D332" s="3"/>
      <c r="E332" s="3"/>
      <c r="F332" s="4"/>
    </row>
    <row r="333" spans="1:12" ht="16.5" thickTop="1" thickBot="1"/>
    <row r="334" spans="1:12" ht="15.75" thickTop="1">
      <c r="A334" s="3782" t="s">
        <v>0</v>
      </c>
      <c r="B334" s="3781" t="s">
        <v>1</v>
      </c>
      <c r="C334" s="3781" t="s">
        <v>2</v>
      </c>
      <c r="D334" s="3781" t="s">
        <v>3</v>
      </c>
      <c r="E334" s="3781" t="s">
        <v>4</v>
      </c>
      <c r="F334" s="3765" t="s">
        <v>5</v>
      </c>
    </row>
    <row r="335" spans="1:12" ht="24.75" customHeight="1" collapsed="1" thickBot="1">
      <c r="A335" s="3783"/>
      <c r="B335" s="3767"/>
      <c r="C335" s="3767"/>
      <c r="D335" s="3767"/>
      <c r="E335" s="3767"/>
      <c r="F335" s="3766"/>
    </row>
    <row r="336" spans="1:12" ht="15.75" outlineLevel="1" thickTop="1">
      <c r="A336" s="7" t="s">
        <v>461</v>
      </c>
      <c r="B336" s="5" t="s">
        <v>114</v>
      </c>
      <c r="C336" s="5" t="s">
        <v>153</v>
      </c>
      <c r="D336" s="98" t="s">
        <v>298</v>
      </c>
      <c r="E336" s="11">
        <v>0.15</v>
      </c>
      <c r="F336" s="6">
        <v>4481</v>
      </c>
      <c r="G336">
        <v>550</v>
      </c>
      <c r="H336">
        <f>F336*G336</f>
        <v>2464550</v>
      </c>
      <c r="I336">
        <v>5272</v>
      </c>
      <c r="J336">
        <f>G336*I336</f>
        <v>2899600</v>
      </c>
      <c r="K336">
        <f>J336-H336</f>
        <v>435050</v>
      </c>
    </row>
    <row r="337" spans="1:13" outlineLevel="1">
      <c r="A337" s="8"/>
      <c r="B337" s="1"/>
      <c r="C337" s="1"/>
      <c r="D337" s="1"/>
      <c r="E337" s="1"/>
      <c r="F337" s="2"/>
      <c r="K337">
        <f>K336*1.2</f>
        <v>522060</v>
      </c>
    </row>
    <row r="338" spans="1:13" outlineLevel="1">
      <c r="A338" s="8"/>
      <c r="B338" s="1"/>
      <c r="C338" s="1"/>
      <c r="D338" s="1"/>
      <c r="E338" s="1"/>
      <c r="F338" s="2"/>
    </row>
    <row r="339" spans="1:13" outlineLevel="1">
      <c r="A339" s="8"/>
      <c r="B339" s="1"/>
      <c r="C339" s="1"/>
      <c r="D339" s="1"/>
      <c r="E339" s="1"/>
      <c r="F339" s="2"/>
    </row>
    <row r="340" spans="1:13" outlineLevel="1">
      <c r="A340" s="8"/>
      <c r="B340" s="1"/>
      <c r="C340" s="1"/>
      <c r="D340" s="1"/>
      <c r="E340" s="1"/>
      <c r="F340" s="2"/>
    </row>
    <row r="341" spans="1:13" outlineLevel="1">
      <c r="A341" s="8"/>
      <c r="B341" s="1"/>
      <c r="C341" s="1"/>
      <c r="D341" s="1"/>
      <c r="E341" s="1"/>
      <c r="F341" s="2"/>
    </row>
    <row r="342" spans="1:13" outlineLevel="1">
      <c r="A342" s="8"/>
      <c r="B342" s="1"/>
      <c r="C342" s="1"/>
      <c r="D342" s="1"/>
      <c r="E342" s="1"/>
      <c r="F342" s="2"/>
    </row>
    <row r="343" spans="1:13" outlineLevel="1">
      <c r="A343" s="8"/>
      <c r="B343" s="1"/>
      <c r="C343" s="1"/>
      <c r="D343" s="1"/>
      <c r="E343" s="1"/>
      <c r="F343" s="2"/>
    </row>
    <row r="344" spans="1:13" outlineLevel="1">
      <c r="A344" s="8"/>
      <c r="B344" s="1"/>
      <c r="C344" s="1"/>
      <c r="D344" s="1"/>
      <c r="E344" s="1"/>
      <c r="F344" s="2"/>
    </row>
    <row r="345" spans="1:13" outlineLevel="1">
      <c r="A345" s="8"/>
      <c r="B345" s="1"/>
      <c r="C345" s="1"/>
      <c r="D345" s="1"/>
      <c r="E345" s="1"/>
      <c r="F345" s="2"/>
    </row>
    <row r="346" spans="1:13" outlineLevel="1">
      <c r="A346" s="8"/>
      <c r="B346" s="1"/>
      <c r="C346" s="1"/>
      <c r="D346" s="1"/>
      <c r="E346" s="1"/>
      <c r="F346" s="2"/>
    </row>
    <row r="347" spans="1:13" ht="15.75" outlineLevel="1" thickBot="1">
      <c r="A347" s="9"/>
      <c r="B347" s="3"/>
      <c r="C347" s="3"/>
      <c r="D347" s="3"/>
      <c r="E347" s="3"/>
      <c r="F347" s="4"/>
    </row>
    <row r="348" spans="1:13" ht="16.5" thickTop="1" thickBot="1"/>
    <row r="349" spans="1:13" ht="15.75" thickTop="1">
      <c r="A349" s="3782" t="s">
        <v>0</v>
      </c>
      <c r="B349" s="3781" t="s">
        <v>1</v>
      </c>
      <c r="C349" s="3781" t="s">
        <v>2</v>
      </c>
      <c r="D349" s="3781" t="s">
        <v>3</v>
      </c>
      <c r="E349" s="3781" t="s">
        <v>4</v>
      </c>
      <c r="F349" s="3765" t="s">
        <v>5</v>
      </c>
    </row>
    <row r="350" spans="1:13" ht="24.75" customHeight="1" collapsed="1" thickBot="1">
      <c r="A350" s="3783"/>
      <c r="B350" s="3767"/>
      <c r="C350" s="3767"/>
      <c r="D350" s="3767"/>
      <c r="E350" s="3767"/>
      <c r="F350" s="3766"/>
    </row>
    <row r="351" spans="1:13" ht="15.75" outlineLevel="1" thickTop="1">
      <c r="A351" s="7" t="s">
        <v>450</v>
      </c>
      <c r="B351" s="5" t="s">
        <v>106</v>
      </c>
      <c r="C351" s="5" t="s">
        <v>451</v>
      </c>
      <c r="D351" s="5" t="s">
        <v>343</v>
      </c>
      <c r="E351" s="11">
        <v>0.2</v>
      </c>
      <c r="F351" s="6">
        <v>11757</v>
      </c>
      <c r="G351">
        <v>650</v>
      </c>
      <c r="H351">
        <f>F351*G351</f>
        <v>7642050</v>
      </c>
      <c r="I351">
        <v>14696</v>
      </c>
      <c r="J351">
        <f>G351*I351</f>
        <v>9552400</v>
      </c>
      <c r="K351">
        <f>J351-H351</f>
        <v>1910350</v>
      </c>
    </row>
    <row r="352" spans="1:13" outlineLevel="1">
      <c r="A352" s="8"/>
      <c r="B352" s="1"/>
      <c r="C352" s="1" t="s">
        <v>183</v>
      </c>
      <c r="D352" s="5" t="s">
        <v>343</v>
      </c>
      <c r="E352" s="12">
        <v>0.15</v>
      </c>
      <c r="F352" s="2">
        <v>7502</v>
      </c>
      <c r="G352">
        <v>950</v>
      </c>
      <c r="H352">
        <f>F352*G352</f>
        <v>7126900</v>
      </c>
      <c r="I352">
        <v>8826</v>
      </c>
      <c r="J352">
        <f>G352*I352</f>
        <v>8384700</v>
      </c>
      <c r="K352">
        <f>J352-H352</f>
        <v>1257800</v>
      </c>
      <c r="L352">
        <f>I352*1.2</f>
        <v>10591.199999999999</v>
      </c>
      <c r="M352">
        <f>F352*1.2</f>
        <v>9002.4</v>
      </c>
    </row>
    <row r="353" spans="1:13" outlineLevel="1">
      <c r="A353" s="8"/>
      <c r="B353" s="1"/>
      <c r="C353" s="1" t="s">
        <v>452</v>
      </c>
      <c r="D353" s="5" t="s">
        <v>343</v>
      </c>
      <c r="E353" s="12">
        <v>0.15</v>
      </c>
      <c r="F353" s="2">
        <v>3998</v>
      </c>
      <c r="G353">
        <v>250</v>
      </c>
      <c r="H353">
        <f>F353*G353</f>
        <v>999500</v>
      </c>
      <c r="I353">
        <v>4704</v>
      </c>
      <c r="J353">
        <f>G353*I353</f>
        <v>1176000</v>
      </c>
      <c r="K353">
        <f>J353-H353</f>
        <v>176500</v>
      </c>
      <c r="L353">
        <f>I353*1.2</f>
        <v>5644.8</v>
      </c>
      <c r="M353">
        <f>F353*1.2</f>
        <v>4797.5999999999995</v>
      </c>
    </row>
    <row r="354" spans="1:13" outlineLevel="1">
      <c r="A354" s="8"/>
      <c r="B354" s="1"/>
      <c r="C354" s="1"/>
      <c r="D354" s="1"/>
      <c r="E354" s="1"/>
      <c r="F354" s="2"/>
    </row>
    <row r="355" spans="1:13" outlineLevel="1">
      <c r="A355" s="8"/>
      <c r="B355" s="1"/>
      <c r="C355" s="1"/>
      <c r="D355" s="1"/>
      <c r="E355" s="1"/>
      <c r="F355" s="2"/>
      <c r="J355">
        <f>K351</f>
        <v>1910350</v>
      </c>
      <c r="K355">
        <f>K352+K353</f>
        <v>1434300</v>
      </c>
    </row>
    <row r="356" spans="1:13" outlineLevel="1">
      <c r="A356" s="8"/>
      <c r="B356" s="1"/>
      <c r="C356" s="1"/>
      <c r="D356" s="1"/>
      <c r="E356" s="1"/>
      <c r="F356" s="2"/>
      <c r="J356">
        <f>J355*1.2</f>
        <v>2292420</v>
      </c>
      <c r="K356">
        <f>K355*1.2</f>
        <v>1721160</v>
      </c>
    </row>
    <row r="357" spans="1:13" outlineLevel="1">
      <c r="A357" s="8"/>
      <c r="B357" s="1"/>
      <c r="C357" s="1"/>
      <c r="D357" s="1"/>
      <c r="E357" s="1"/>
      <c r="F357" s="2"/>
    </row>
    <row r="358" spans="1:13" outlineLevel="1">
      <c r="A358" s="8"/>
      <c r="B358" s="1"/>
      <c r="C358" s="1"/>
      <c r="D358" s="1"/>
      <c r="E358" s="1"/>
      <c r="F358" s="2"/>
    </row>
    <row r="359" spans="1:13" outlineLevel="1">
      <c r="A359" s="8"/>
      <c r="B359" s="1"/>
      <c r="C359" s="1"/>
      <c r="D359" s="1"/>
      <c r="E359" s="1"/>
      <c r="F359" s="2"/>
    </row>
    <row r="360" spans="1:13" outlineLevel="1">
      <c r="A360" s="8"/>
      <c r="B360" s="1"/>
      <c r="C360" s="1"/>
      <c r="D360" s="1"/>
      <c r="E360" s="1"/>
      <c r="F360" s="2"/>
    </row>
    <row r="361" spans="1:13" outlineLevel="1">
      <c r="A361" s="8"/>
      <c r="B361" s="1"/>
      <c r="C361" s="1"/>
      <c r="D361" s="1"/>
      <c r="E361" s="1"/>
      <c r="F361" s="2"/>
    </row>
    <row r="362" spans="1:13" ht="15.75" outlineLevel="1" thickBot="1">
      <c r="A362" s="9"/>
      <c r="B362" s="3"/>
      <c r="C362" s="3"/>
      <c r="D362" s="3"/>
      <c r="E362" s="3"/>
      <c r="F362" s="4"/>
    </row>
    <row r="363" spans="1:13" ht="16.5" thickTop="1" thickBot="1"/>
    <row r="364" spans="1:13" ht="15.75" thickTop="1">
      <c r="A364" s="3782" t="s">
        <v>0</v>
      </c>
      <c r="B364" s="3781" t="s">
        <v>1</v>
      </c>
      <c r="C364" s="3781" t="s">
        <v>2</v>
      </c>
      <c r="D364" s="3781" t="s">
        <v>3</v>
      </c>
      <c r="E364" s="3781" t="s">
        <v>4</v>
      </c>
      <c r="F364" s="3765" t="s">
        <v>5</v>
      </c>
    </row>
    <row r="365" spans="1:13" ht="24.75" customHeight="1" collapsed="1" thickBot="1">
      <c r="A365" s="3783"/>
      <c r="B365" s="3767"/>
      <c r="C365" s="3767"/>
      <c r="D365" s="3767"/>
      <c r="E365" s="3767"/>
      <c r="F365" s="3766"/>
    </row>
    <row r="366" spans="1:13" ht="15.75" outlineLevel="1" thickTop="1">
      <c r="A366" s="7" t="s">
        <v>453</v>
      </c>
      <c r="B366" s="5" t="s">
        <v>285</v>
      </c>
      <c r="C366" s="5" t="s">
        <v>160</v>
      </c>
      <c r="D366" s="5"/>
      <c r="E366" s="11">
        <v>0.1</v>
      </c>
      <c r="F366" s="6">
        <v>120880</v>
      </c>
      <c r="G366">
        <v>122</v>
      </c>
      <c r="H366">
        <f>F366*G366</f>
        <v>14747360</v>
      </c>
      <c r="I366">
        <v>134311</v>
      </c>
      <c r="J366">
        <f>G366*I366</f>
        <v>16385942</v>
      </c>
      <c r="K366">
        <f>J366-H366</f>
        <v>1638582</v>
      </c>
      <c r="L366">
        <f>F366*1.1</f>
        <v>132968</v>
      </c>
      <c r="M366">
        <f>I366*1.1</f>
        <v>147742.1</v>
      </c>
    </row>
    <row r="367" spans="1:13" outlineLevel="1">
      <c r="A367" s="8"/>
      <c r="B367" s="1"/>
      <c r="C367" s="1" t="s">
        <v>113</v>
      </c>
      <c r="D367" s="1"/>
      <c r="E367" s="11">
        <v>0.1</v>
      </c>
      <c r="F367" s="6">
        <v>120880</v>
      </c>
      <c r="G367">
        <v>144</v>
      </c>
      <c r="H367">
        <f>F367*G367</f>
        <v>17406720</v>
      </c>
      <c r="I367">
        <v>134311</v>
      </c>
      <c r="J367">
        <f>G367*I367</f>
        <v>19340784</v>
      </c>
      <c r="K367">
        <f>J367-H367</f>
        <v>1934064</v>
      </c>
      <c r="M367">
        <f>M366-L366</f>
        <v>14774.100000000006</v>
      </c>
    </row>
    <row r="368" spans="1:13" outlineLevel="1">
      <c r="A368" s="8"/>
      <c r="B368" s="1"/>
      <c r="C368" s="1" t="s">
        <v>327</v>
      </c>
      <c r="D368" s="1"/>
      <c r="E368" s="11">
        <v>0.1</v>
      </c>
      <c r="F368" s="6">
        <v>133592</v>
      </c>
      <c r="G368">
        <v>48</v>
      </c>
      <c r="H368">
        <f>F368*G368</f>
        <v>6412416</v>
      </c>
      <c r="I368">
        <v>148436</v>
      </c>
      <c r="J368">
        <f>G368*I368</f>
        <v>7124928</v>
      </c>
      <c r="K368">
        <f>J368-H368</f>
        <v>712512</v>
      </c>
      <c r="L368">
        <f>F368*1.1</f>
        <v>146951.20000000001</v>
      </c>
      <c r="M368">
        <f>I368*1.1</f>
        <v>163279.6</v>
      </c>
    </row>
    <row r="369" spans="1:13" outlineLevel="1">
      <c r="A369" s="8"/>
      <c r="B369" s="1"/>
      <c r="C369" s="1" t="s">
        <v>326</v>
      </c>
      <c r="D369" s="1"/>
      <c r="E369" s="11">
        <v>0.1</v>
      </c>
      <c r="F369" s="2">
        <v>133592</v>
      </c>
      <c r="G369">
        <v>176</v>
      </c>
      <c r="H369">
        <f>F369*G369</f>
        <v>23512192</v>
      </c>
      <c r="I369">
        <v>148436</v>
      </c>
      <c r="J369">
        <f>G369*I369</f>
        <v>26124736</v>
      </c>
      <c r="K369">
        <f>J369-H369</f>
        <v>2612544</v>
      </c>
      <c r="M369">
        <f>M368-L368</f>
        <v>16328.399999999994</v>
      </c>
    </row>
    <row r="370" spans="1:13" outlineLevel="1">
      <c r="A370" s="8"/>
      <c r="B370" s="1"/>
      <c r="C370" s="1" t="s">
        <v>328</v>
      </c>
      <c r="D370" s="1"/>
      <c r="E370" s="11">
        <v>0.1</v>
      </c>
      <c r="F370" s="2">
        <v>133592</v>
      </c>
      <c r="G370">
        <v>112</v>
      </c>
      <c r="H370">
        <f>F370*G370</f>
        <v>14962304</v>
      </c>
      <c r="I370">
        <v>148436</v>
      </c>
      <c r="J370">
        <f>G370*I370</f>
        <v>16624832</v>
      </c>
      <c r="K370">
        <f>J370-H370</f>
        <v>1662528</v>
      </c>
    </row>
    <row r="371" spans="1:13" outlineLevel="1">
      <c r="A371" s="8"/>
      <c r="B371" s="1"/>
      <c r="C371" s="1"/>
      <c r="D371" s="1"/>
      <c r="E371" s="1"/>
      <c r="F371" s="2"/>
    </row>
    <row r="372" spans="1:13" outlineLevel="1">
      <c r="A372" s="8"/>
      <c r="B372" s="1"/>
      <c r="C372" s="1"/>
      <c r="D372" s="1"/>
      <c r="E372" s="1"/>
      <c r="F372" s="2"/>
      <c r="K372">
        <f>SUM(K366:K371)</f>
        <v>8560230</v>
      </c>
    </row>
    <row r="373" spans="1:13" outlineLevel="1">
      <c r="A373" s="8"/>
      <c r="B373" s="1"/>
      <c r="C373" s="1"/>
      <c r="D373" s="1"/>
      <c r="E373" s="1"/>
      <c r="F373" s="2"/>
      <c r="K373">
        <f>K372*1.1</f>
        <v>9416253</v>
      </c>
    </row>
    <row r="374" spans="1:13" outlineLevel="1">
      <c r="A374" s="8"/>
      <c r="B374" s="1"/>
      <c r="C374" s="1"/>
      <c r="D374" s="1"/>
      <c r="E374" s="1"/>
      <c r="F374" s="2"/>
    </row>
    <row r="375" spans="1:13" outlineLevel="1">
      <c r="A375" s="8"/>
      <c r="B375" s="1"/>
      <c r="C375" s="1"/>
      <c r="D375" s="1"/>
      <c r="E375" s="1"/>
      <c r="F375" s="2"/>
    </row>
    <row r="376" spans="1:13" outlineLevel="1">
      <c r="A376" s="8"/>
      <c r="B376" s="1"/>
      <c r="C376" s="1"/>
      <c r="D376" s="1"/>
      <c r="E376" s="1"/>
      <c r="F376" s="2"/>
    </row>
    <row r="377" spans="1:13" ht="15.75" outlineLevel="1" thickBot="1">
      <c r="A377" s="9"/>
      <c r="B377" s="3"/>
      <c r="C377" s="3"/>
      <c r="D377" s="3"/>
      <c r="E377" s="3"/>
      <c r="F377" s="4"/>
    </row>
    <row r="378" spans="1:13" ht="16.5" thickTop="1" thickBot="1"/>
    <row r="379" spans="1:13" ht="15.75" thickTop="1">
      <c r="A379" s="3782" t="s">
        <v>0</v>
      </c>
      <c r="B379" s="3781" t="s">
        <v>1</v>
      </c>
      <c r="C379" s="3781" t="s">
        <v>2</v>
      </c>
      <c r="D379" s="3781" t="s">
        <v>3</v>
      </c>
      <c r="E379" s="3781" t="s">
        <v>4</v>
      </c>
      <c r="F379" s="3765" t="s">
        <v>5</v>
      </c>
    </row>
    <row r="380" spans="1:13" ht="24.75" customHeight="1" collapsed="1" thickBot="1">
      <c r="A380" s="3783"/>
      <c r="B380" s="3767"/>
      <c r="C380" s="3767"/>
      <c r="D380" s="3767"/>
      <c r="E380" s="3767"/>
      <c r="F380" s="3766"/>
    </row>
    <row r="381" spans="1:13" ht="15.75" outlineLevel="1" thickTop="1">
      <c r="A381" s="7" t="s">
        <v>464</v>
      </c>
      <c r="B381" s="5" t="s">
        <v>115</v>
      </c>
      <c r="C381" s="5" t="s">
        <v>465</v>
      </c>
      <c r="D381" s="5" t="s">
        <v>325</v>
      </c>
      <c r="E381" s="11">
        <v>0.2</v>
      </c>
      <c r="F381" s="6">
        <v>6896</v>
      </c>
      <c r="G381">
        <v>2950</v>
      </c>
      <c r="H381">
        <f>F381*G381</f>
        <v>20343200</v>
      </c>
      <c r="I381">
        <v>8620</v>
      </c>
      <c r="J381">
        <f>G381*I381</f>
        <v>25429000</v>
      </c>
      <c r="K381">
        <f>J381-H381</f>
        <v>5085800</v>
      </c>
      <c r="L381">
        <f>K381*1.2</f>
        <v>6102960</v>
      </c>
    </row>
    <row r="382" spans="1:13" outlineLevel="1">
      <c r="A382" s="8"/>
      <c r="B382" s="1" t="s">
        <v>116</v>
      </c>
      <c r="C382" s="1"/>
      <c r="D382" s="1"/>
      <c r="E382" s="1"/>
      <c r="F382" s="2"/>
    </row>
    <row r="383" spans="1:13" outlineLevel="1">
      <c r="A383" s="8"/>
      <c r="B383" s="1"/>
      <c r="C383" s="1"/>
      <c r="D383" s="1"/>
      <c r="E383" s="1"/>
      <c r="F383" s="2"/>
    </row>
    <row r="384" spans="1:13" outlineLevel="1">
      <c r="A384" s="8"/>
      <c r="B384" s="1"/>
      <c r="C384" s="1"/>
      <c r="D384" s="1"/>
      <c r="E384" s="1"/>
      <c r="F384" s="2"/>
    </row>
    <row r="385" spans="1:13" outlineLevel="1">
      <c r="A385" s="8"/>
      <c r="B385" s="1"/>
      <c r="C385" s="1"/>
      <c r="D385" s="1"/>
      <c r="E385" s="1"/>
      <c r="F385" s="2"/>
    </row>
    <row r="386" spans="1:13" outlineLevel="1">
      <c r="A386" s="8"/>
      <c r="B386" s="1"/>
      <c r="C386" s="1"/>
      <c r="D386" s="1"/>
      <c r="E386" s="1"/>
      <c r="F386" s="2"/>
    </row>
    <row r="387" spans="1:13" outlineLevel="1">
      <c r="A387" s="8"/>
      <c r="B387" s="1"/>
      <c r="C387" s="1"/>
      <c r="D387" s="1"/>
      <c r="E387" s="1"/>
      <c r="F387" s="2"/>
    </row>
    <row r="388" spans="1:13" outlineLevel="1">
      <c r="A388" s="8"/>
      <c r="B388" s="1"/>
      <c r="C388" s="1"/>
      <c r="D388" s="1"/>
      <c r="E388" s="1"/>
      <c r="F388" s="2"/>
    </row>
    <row r="389" spans="1:13" outlineLevel="1">
      <c r="A389" s="8"/>
      <c r="B389" s="1"/>
      <c r="C389" s="1"/>
      <c r="D389" s="1"/>
      <c r="E389" s="1"/>
      <c r="F389" s="2"/>
    </row>
    <row r="390" spans="1:13" outlineLevel="1">
      <c r="A390" s="8"/>
      <c r="B390" s="1"/>
      <c r="C390" s="1"/>
      <c r="D390" s="1"/>
      <c r="E390" s="1"/>
      <c r="F390" s="2"/>
    </row>
    <row r="391" spans="1:13" outlineLevel="1">
      <c r="A391" s="8"/>
      <c r="B391" s="1"/>
      <c r="C391" s="1"/>
      <c r="D391" s="1"/>
      <c r="E391" s="1"/>
      <c r="F391" s="2"/>
    </row>
    <row r="392" spans="1:13" ht="15.75" outlineLevel="1" thickBot="1">
      <c r="A392" s="9"/>
      <c r="B392" s="3"/>
      <c r="C392" s="3"/>
      <c r="D392" s="3"/>
      <c r="E392" s="3"/>
      <c r="F392" s="4"/>
    </row>
    <row r="393" spans="1:13" ht="16.5" thickTop="1" thickBot="1"/>
    <row r="394" spans="1:13" ht="15.75" thickTop="1">
      <c r="A394" s="3782" t="s">
        <v>0</v>
      </c>
      <c r="B394" s="3781" t="s">
        <v>1</v>
      </c>
      <c r="C394" s="3781" t="s">
        <v>2</v>
      </c>
      <c r="D394" s="3781" t="s">
        <v>3</v>
      </c>
      <c r="E394" s="3781" t="s">
        <v>4</v>
      </c>
      <c r="F394" s="3765" t="s">
        <v>5</v>
      </c>
    </row>
    <row r="395" spans="1:13" ht="24.75" customHeight="1" collapsed="1" thickBot="1">
      <c r="A395" s="3783"/>
      <c r="B395" s="3767"/>
      <c r="C395" s="3767"/>
      <c r="D395" s="3767"/>
      <c r="E395" s="3767"/>
      <c r="F395" s="3766"/>
    </row>
    <row r="396" spans="1:13" ht="15.75" outlineLevel="1" thickTop="1">
      <c r="A396" s="7" t="s">
        <v>484</v>
      </c>
      <c r="B396" s="5" t="s">
        <v>106</v>
      </c>
      <c r="C396" s="5" t="s">
        <v>487</v>
      </c>
      <c r="D396" s="5" t="s">
        <v>343</v>
      </c>
      <c r="E396" s="11">
        <v>0.15</v>
      </c>
      <c r="F396" s="6">
        <v>1965</v>
      </c>
      <c r="G396">
        <v>1200</v>
      </c>
      <c r="H396">
        <f>F396*G396</f>
        <v>2358000</v>
      </c>
      <c r="I396">
        <v>2312</v>
      </c>
      <c r="J396">
        <f>G396*I396</f>
        <v>2774400</v>
      </c>
      <c r="K396">
        <f>J396-H396</f>
        <v>416400</v>
      </c>
      <c r="L396">
        <f>K396*1.2</f>
        <v>499680</v>
      </c>
      <c r="M396">
        <f>I396*1.2</f>
        <v>2774.4</v>
      </c>
    </row>
    <row r="397" spans="1:13" outlineLevel="1">
      <c r="A397" s="8"/>
      <c r="B397" s="1"/>
      <c r="C397" s="1" t="s">
        <v>485</v>
      </c>
      <c r="D397" s="5" t="s">
        <v>343</v>
      </c>
      <c r="E397" s="12">
        <v>0.15</v>
      </c>
      <c r="F397" s="2">
        <v>3647</v>
      </c>
      <c r="G397">
        <v>2400</v>
      </c>
      <c r="H397">
        <f>F397*G397</f>
        <v>8752800</v>
      </c>
      <c r="I397">
        <v>4290</v>
      </c>
      <c r="J397">
        <f>G397*I397</f>
        <v>10296000</v>
      </c>
      <c r="K397">
        <f>J397-H397</f>
        <v>1543200</v>
      </c>
      <c r="L397">
        <f>K397*1.2</f>
        <v>1851840</v>
      </c>
      <c r="M397">
        <f>I397*1.2</f>
        <v>5148</v>
      </c>
    </row>
    <row r="398" spans="1:13" outlineLevel="1">
      <c r="A398" s="8"/>
      <c r="B398" s="1"/>
      <c r="C398" s="1" t="s">
        <v>486</v>
      </c>
      <c r="D398" s="5" t="s">
        <v>343</v>
      </c>
      <c r="E398" s="12">
        <v>0.15</v>
      </c>
      <c r="F398" s="2">
        <v>3647</v>
      </c>
    </row>
    <row r="399" spans="1:13" outlineLevel="1">
      <c r="A399" s="8"/>
      <c r="B399" s="1"/>
      <c r="C399" s="1" t="s">
        <v>107</v>
      </c>
      <c r="D399" s="5" t="s">
        <v>343</v>
      </c>
      <c r="E399" s="12">
        <v>0.2</v>
      </c>
      <c r="F399" s="2">
        <v>11353</v>
      </c>
      <c r="G399">
        <v>1310</v>
      </c>
      <c r="H399">
        <f>F399*G399</f>
        <v>14872430</v>
      </c>
      <c r="I399">
        <v>14191</v>
      </c>
      <c r="J399">
        <f>G399*I399</f>
        <v>18590210</v>
      </c>
      <c r="K399">
        <f>J399-H399</f>
        <v>3717780</v>
      </c>
      <c r="L399">
        <f>K399*1.2</f>
        <v>4461336</v>
      </c>
    </row>
    <row r="400" spans="1:13" outlineLevel="1">
      <c r="A400" s="8"/>
      <c r="B400" s="1"/>
      <c r="C400" s="1" t="s">
        <v>507</v>
      </c>
      <c r="D400" s="5" t="s">
        <v>343</v>
      </c>
      <c r="E400" s="12">
        <v>0.2</v>
      </c>
      <c r="F400" s="2">
        <v>11353</v>
      </c>
    </row>
    <row r="401" spans="1:12" outlineLevel="1">
      <c r="A401" s="8"/>
      <c r="B401" s="1"/>
      <c r="C401" s="1"/>
      <c r="D401" s="1"/>
      <c r="E401" s="1"/>
      <c r="F401" s="2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outlineLevel="1">
      <c r="A404" s="8"/>
      <c r="B404" s="1"/>
      <c r="C404" s="1"/>
      <c r="D404" s="1"/>
      <c r="E404" s="1"/>
      <c r="F404" s="2"/>
    </row>
    <row r="405" spans="1:12" outlineLevel="1">
      <c r="A405" s="8"/>
      <c r="B405" s="1"/>
      <c r="C405" s="1"/>
      <c r="D405" s="1"/>
      <c r="E405" s="1"/>
      <c r="F405" s="2"/>
    </row>
    <row r="406" spans="1:12" outlineLevel="1">
      <c r="A406" s="8"/>
      <c r="B406" s="1"/>
      <c r="C406" s="1"/>
      <c r="D406" s="1"/>
      <c r="E406" s="1"/>
      <c r="F406" s="2"/>
    </row>
    <row r="407" spans="1:12" ht="15.75" outlineLevel="1" thickBot="1">
      <c r="A407" s="9"/>
      <c r="B407" s="3"/>
      <c r="C407" s="3"/>
      <c r="D407" s="3"/>
      <c r="E407" s="3"/>
      <c r="F407" s="4"/>
    </row>
    <row r="408" spans="1:12" ht="16.5" thickTop="1" thickBot="1"/>
    <row r="409" spans="1:12" ht="15.75" thickTop="1">
      <c r="A409" s="3782" t="s">
        <v>0</v>
      </c>
      <c r="B409" s="3781" t="s">
        <v>1</v>
      </c>
      <c r="C409" s="3781" t="s">
        <v>2</v>
      </c>
      <c r="D409" s="3781" t="s">
        <v>3</v>
      </c>
      <c r="E409" s="3781" t="s">
        <v>4</v>
      </c>
      <c r="F409" s="3765" t="s">
        <v>5</v>
      </c>
    </row>
    <row r="410" spans="1:12" ht="24.75" customHeight="1" collapsed="1" thickBot="1">
      <c r="A410" s="3783"/>
      <c r="B410" s="3767"/>
      <c r="C410" s="3767"/>
      <c r="D410" s="3767"/>
      <c r="E410" s="3767"/>
      <c r="F410" s="3766"/>
    </row>
    <row r="411" spans="1:12" ht="15.75" outlineLevel="1" thickTop="1">
      <c r="A411" s="7" t="s">
        <v>491</v>
      </c>
      <c r="B411" s="5" t="s">
        <v>115</v>
      </c>
      <c r="C411" s="5" t="s">
        <v>302</v>
      </c>
      <c r="D411" s="5" t="s">
        <v>325</v>
      </c>
      <c r="E411" s="11">
        <v>0.4</v>
      </c>
      <c r="F411" s="6">
        <v>3525</v>
      </c>
      <c r="G411">
        <v>984</v>
      </c>
      <c r="H411">
        <f>F411*G411</f>
        <v>3468600</v>
      </c>
      <c r="I411">
        <v>5875</v>
      </c>
      <c r="J411">
        <f>G411*I411</f>
        <v>5781000</v>
      </c>
      <c r="K411">
        <f>J411-H411</f>
        <v>2312400</v>
      </c>
      <c r="L411">
        <f>K411*1.2</f>
        <v>2774880</v>
      </c>
    </row>
    <row r="412" spans="1:12" outlineLevel="1">
      <c r="A412" s="8"/>
      <c r="B412" s="1" t="s">
        <v>116</v>
      </c>
      <c r="C412" s="1" t="s">
        <v>303</v>
      </c>
      <c r="D412" s="5" t="s">
        <v>325</v>
      </c>
      <c r="E412" s="12">
        <v>0.4</v>
      </c>
      <c r="F412" s="2">
        <v>3525</v>
      </c>
      <c r="G412">
        <v>924</v>
      </c>
      <c r="H412">
        <f>F412*G412</f>
        <v>3257100</v>
      </c>
      <c r="I412">
        <v>5875</v>
      </c>
      <c r="J412">
        <f>G412*I412</f>
        <v>5428500</v>
      </c>
      <c r="K412">
        <f>J412-H412</f>
        <v>2171400</v>
      </c>
      <c r="L412">
        <f>K412*1.2</f>
        <v>2605680</v>
      </c>
    </row>
    <row r="413" spans="1:12" outlineLevel="1">
      <c r="A413" s="8"/>
      <c r="B413" s="1"/>
      <c r="C413" s="1" t="s">
        <v>107</v>
      </c>
      <c r="D413" s="5" t="s">
        <v>325</v>
      </c>
      <c r="E413" s="12">
        <v>0.2</v>
      </c>
      <c r="F413" s="2">
        <v>10813</v>
      </c>
      <c r="G413">
        <v>1148</v>
      </c>
      <c r="H413">
        <f>G413*F413</f>
        <v>12413324</v>
      </c>
      <c r="I413">
        <v>13516</v>
      </c>
      <c r="J413">
        <f>G413*I413</f>
        <v>15516368</v>
      </c>
      <c r="K413">
        <f>J413-H413</f>
        <v>3103044</v>
      </c>
      <c r="L413">
        <f>K413*1.2</f>
        <v>3723652.8</v>
      </c>
    </row>
    <row r="414" spans="1:12" outlineLevel="1">
      <c r="A414" s="8"/>
      <c r="B414" s="1"/>
      <c r="C414" s="1" t="s">
        <v>108</v>
      </c>
      <c r="D414" s="5" t="s">
        <v>325</v>
      </c>
      <c r="E414" s="12">
        <v>0.2</v>
      </c>
      <c r="F414" s="2">
        <v>10813</v>
      </c>
      <c r="I414">
        <v>13516</v>
      </c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outlineLevel="1">
      <c r="A419" s="8"/>
      <c r="B419" s="1"/>
      <c r="C419" s="1"/>
      <c r="D419" s="1"/>
      <c r="E419" s="1"/>
      <c r="F419" s="2"/>
    </row>
    <row r="420" spans="1:12" outlineLevel="1">
      <c r="A420" s="8"/>
      <c r="B420" s="1"/>
      <c r="C420" s="1"/>
      <c r="D420" s="1"/>
      <c r="E420" s="1"/>
      <c r="F420" s="2"/>
    </row>
    <row r="421" spans="1:12" outlineLevel="1">
      <c r="A421" s="8"/>
      <c r="B421" s="1"/>
      <c r="C421" s="1"/>
      <c r="D421" s="1"/>
      <c r="E421" s="1"/>
      <c r="F421" s="2"/>
    </row>
    <row r="422" spans="1:12" ht="15.75" outlineLevel="1" thickBot="1">
      <c r="A422" s="9"/>
      <c r="B422" s="3"/>
      <c r="C422" s="3"/>
      <c r="D422" s="3"/>
      <c r="E422" s="3"/>
      <c r="F422" s="4"/>
    </row>
    <row r="423" spans="1:12" ht="16.5" thickTop="1" thickBot="1"/>
    <row r="424" spans="1:12" ht="15.75" thickTop="1">
      <c r="A424" s="3782" t="s">
        <v>0</v>
      </c>
      <c r="B424" s="3781" t="s">
        <v>1</v>
      </c>
      <c r="C424" s="3781" t="s">
        <v>2</v>
      </c>
      <c r="D424" s="3781" t="s">
        <v>3</v>
      </c>
      <c r="E424" s="3781" t="s">
        <v>4</v>
      </c>
      <c r="F424" s="3765" t="s">
        <v>5</v>
      </c>
    </row>
    <row r="425" spans="1:12" ht="24.75" customHeight="1" collapsed="1" thickBot="1">
      <c r="A425" s="3783"/>
      <c r="B425" s="3767"/>
      <c r="C425" s="3767"/>
      <c r="D425" s="3767"/>
      <c r="E425" s="3767"/>
      <c r="F425" s="3766"/>
    </row>
    <row r="426" spans="1:12" ht="15.75" outlineLevel="1" thickTop="1">
      <c r="A426" s="7" t="s">
        <v>513</v>
      </c>
      <c r="B426" s="5" t="s">
        <v>115</v>
      </c>
      <c r="C426" s="5" t="s">
        <v>226</v>
      </c>
      <c r="D426" s="5" t="s">
        <v>325</v>
      </c>
      <c r="E426" s="175">
        <v>0.2</v>
      </c>
      <c r="F426" s="6">
        <v>4011</v>
      </c>
      <c r="G426">
        <v>3559</v>
      </c>
      <c r="H426">
        <f>F426*G426</f>
        <v>14275149</v>
      </c>
      <c r="I426">
        <v>5014</v>
      </c>
      <c r="J426">
        <f>G426*I426</f>
        <v>17844826</v>
      </c>
      <c r="K426">
        <f>J426-H426</f>
        <v>3569677</v>
      </c>
      <c r="L426">
        <f>K426*1.2</f>
        <v>4283612.3999999994</v>
      </c>
    </row>
    <row r="427" spans="1:12" outlineLevel="1">
      <c r="A427" s="8"/>
      <c r="B427" s="1" t="s">
        <v>116</v>
      </c>
      <c r="C427" s="1" t="s">
        <v>227</v>
      </c>
      <c r="D427" s="5" t="s">
        <v>325</v>
      </c>
      <c r="E427" s="175">
        <v>0.2</v>
      </c>
      <c r="F427" s="2">
        <v>4011</v>
      </c>
    </row>
    <row r="428" spans="1:12" outlineLevel="1">
      <c r="A428" s="8"/>
      <c r="B428" s="1"/>
      <c r="C428" s="1" t="s">
        <v>228</v>
      </c>
      <c r="D428" s="5" t="s">
        <v>325</v>
      </c>
      <c r="E428" s="175">
        <v>0.2</v>
      </c>
      <c r="F428" s="2">
        <v>4011</v>
      </c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outlineLevel="1">
      <c r="A434" s="8"/>
      <c r="B434" s="1"/>
      <c r="C434" s="1"/>
      <c r="D434" s="1"/>
      <c r="E434" s="1"/>
      <c r="F434" s="2"/>
    </row>
    <row r="435" spans="1:12" outlineLevel="1">
      <c r="A435" s="8"/>
      <c r="B435" s="1"/>
      <c r="C435" s="1"/>
      <c r="D435" s="1"/>
      <c r="E435" s="1"/>
      <c r="F435" s="2"/>
    </row>
    <row r="436" spans="1:12" outlineLevel="1">
      <c r="A436" s="8"/>
      <c r="B436" s="1"/>
      <c r="C436" s="1"/>
      <c r="D436" s="1"/>
      <c r="E436" s="1"/>
      <c r="F436" s="2"/>
    </row>
    <row r="437" spans="1:12" ht="15.75" outlineLevel="1" thickBot="1">
      <c r="A437" s="9"/>
      <c r="B437" s="3"/>
      <c r="C437" s="3"/>
      <c r="D437" s="3"/>
      <c r="E437" s="3"/>
      <c r="F437" s="4"/>
    </row>
    <row r="438" spans="1:12" ht="16.5" thickTop="1" thickBot="1"/>
    <row r="439" spans="1:12" ht="15.75" thickTop="1">
      <c r="A439" s="3808" t="s">
        <v>0</v>
      </c>
      <c r="B439" s="3804" t="s">
        <v>1</v>
      </c>
      <c r="C439" s="3804" t="s">
        <v>2</v>
      </c>
      <c r="D439" s="3804" t="s">
        <v>3</v>
      </c>
      <c r="E439" s="3804" t="s">
        <v>4</v>
      </c>
      <c r="F439" s="3806" t="s">
        <v>5</v>
      </c>
      <c r="G439" s="176"/>
      <c r="H439" s="176"/>
      <c r="I439" s="176"/>
      <c r="J439" s="176"/>
      <c r="K439" s="176"/>
      <c r="L439" s="176"/>
    </row>
    <row r="440" spans="1:12" ht="24.75" customHeight="1" collapsed="1" thickBot="1">
      <c r="A440" s="3809"/>
      <c r="B440" s="3805"/>
      <c r="C440" s="3805"/>
      <c r="D440" s="3805"/>
      <c r="E440" s="3805"/>
      <c r="F440" s="3807"/>
      <c r="G440" s="176"/>
      <c r="H440" s="176"/>
      <c r="I440" s="176"/>
      <c r="J440" s="176"/>
      <c r="K440" s="176"/>
      <c r="L440" s="176"/>
    </row>
    <row r="441" spans="1:12" ht="15.75" outlineLevel="1" thickTop="1">
      <c r="A441" s="277" t="s">
        <v>514</v>
      </c>
      <c r="B441" s="191" t="s">
        <v>115</v>
      </c>
      <c r="C441" s="191" t="s">
        <v>328</v>
      </c>
      <c r="D441" s="191" t="s">
        <v>325</v>
      </c>
      <c r="E441" s="278">
        <v>7.0000000000000007E-2</v>
      </c>
      <c r="F441" s="279">
        <v>149724</v>
      </c>
      <c r="G441" s="176">
        <v>463</v>
      </c>
      <c r="H441" s="176">
        <f>F441*G441</f>
        <v>69322212</v>
      </c>
      <c r="I441" s="176">
        <v>160994</v>
      </c>
      <c r="J441" s="176">
        <f>G441*I441</f>
        <v>74540222</v>
      </c>
      <c r="K441" s="176">
        <f>J441-H441</f>
        <v>5218010</v>
      </c>
      <c r="L441" s="176">
        <f>K441*1.1</f>
        <v>5739811</v>
      </c>
    </row>
    <row r="442" spans="1:12" outlineLevel="1">
      <c r="A442" s="280"/>
      <c r="B442" s="31" t="s">
        <v>116</v>
      </c>
      <c r="C442" s="31" t="s">
        <v>326</v>
      </c>
      <c r="D442" s="191" t="s">
        <v>325</v>
      </c>
      <c r="E442" s="278">
        <v>7.0000000000000007E-2</v>
      </c>
      <c r="F442" s="279">
        <v>149724</v>
      </c>
      <c r="G442" s="176"/>
      <c r="H442" s="176"/>
      <c r="I442" s="176">
        <f>I441-F441</f>
        <v>11270</v>
      </c>
      <c r="J442" s="176">
        <f>I442*1.1</f>
        <v>12397.000000000002</v>
      </c>
      <c r="K442" s="176"/>
      <c r="L442" s="176"/>
    </row>
    <row r="443" spans="1:12" outlineLevel="1">
      <c r="A443" s="280"/>
      <c r="B443" s="31"/>
      <c r="C443" s="31" t="s">
        <v>327</v>
      </c>
      <c r="D443" s="191" t="s">
        <v>325</v>
      </c>
      <c r="E443" s="278">
        <v>7.0000000000000007E-2</v>
      </c>
      <c r="F443" s="279">
        <v>149724</v>
      </c>
      <c r="G443" s="176"/>
      <c r="H443" s="176"/>
      <c r="I443" s="176"/>
      <c r="J443" s="176"/>
      <c r="K443" s="176"/>
      <c r="L443" s="176"/>
    </row>
    <row r="444" spans="1:12" outlineLevel="1">
      <c r="A444" s="280"/>
      <c r="B444" s="31"/>
      <c r="C444" s="31"/>
      <c r="D444" s="31"/>
      <c r="E444" s="31"/>
      <c r="F444" s="281"/>
      <c r="G444" s="176"/>
      <c r="H444" s="176"/>
      <c r="I444" s="176"/>
      <c r="J444" s="176"/>
      <c r="K444" s="176"/>
      <c r="L444" s="176"/>
    </row>
    <row r="445" spans="1:12" outlineLevel="1">
      <c r="A445" s="280"/>
      <c r="B445" s="31"/>
      <c r="C445" s="31"/>
      <c r="D445" s="31"/>
      <c r="E445" s="31"/>
      <c r="F445" s="281"/>
      <c r="G445" s="176"/>
      <c r="H445" s="176"/>
      <c r="I445" s="176"/>
      <c r="J445" s="176"/>
      <c r="K445" s="176"/>
      <c r="L445" s="176"/>
    </row>
    <row r="446" spans="1:12" outlineLevel="1">
      <c r="A446" s="280"/>
      <c r="B446" s="31"/>
      <c r="C446" s="31"/>
      <c r="D446" s="31"/>
      <c r="E446" s="31"/>
      <c r="F446" s="281"/>
      <c r="G446" s="176"/>
      <c r="H446" s="176"/>
      <c r="I446" s="176"/>
      <c r="J446" s="176"/>
      <c r="K446" s="176"/>
      <c r="L446" s="176"/>
    </row>
    <row r="447" spans="1:12" outlineLevel="1">
      <c r="A447" s="280"/>
      <c r="B447" s="31"/>
      <c r="C447" s="31"/>
      <c r="D447" s="31"/>
      <c r="E447" s="31"/>
      <c r="F447" s="281"/>
      <c r="G447" s="176"/>
      <c r="H447" s="176"/>
      <c r="I447" s="176"/>
      <c r="J447" s="176"/>
      <c r="K447" s="176"/>
      <c r="L447" s="176"/>
    </row>
    <row r="448" spans="1:12" outlineLevel="1">
      <c r="A448" s="280"/>
      <c r="B448" s="31"/>
      <c r="C448" s="31"/>
      <c r="D448" s="31"/>
      <c r="E448" s="31"/>
      <c r="F448" s="281"/>
      <c r="G448" s="176"/>
      <c r="H448" s="176"/>
      <c r="I448" s="176"/>
      <c r="J448" s="176"/>
      <c r="K448" s="176"/>
      <c r="L448" s="176"/>
    </row>
    <row r="449" spans="1:12" outlineLevel="1">
      <c r="A449" s="280"/>
      <c r="B449" s="31"/>
      <c r="C449" s="31"/>
      <c r="D449" s="31"/>
      <c r="E449" s="31"/>
      <c r="F449" s="281"/>
      <c r="G449" s="176"/>
      <c r="H449" s="176"/>
      <c r="I449" s="176"/>
      <c r="J449" s="176"/>
      <c r="K449" s="176"/>
      <c r="L449" s="176"/>
    </row>
    <row r="450" spans="1:12" outlineLevel="1">
      <c r="A450" s="280"/>
      <c r="B450" s="31"/>
      <c r="C450" s="31"/>
      <c r="D450" s="31"/>
      <c r="E450" s="31"/>
      <c r="F450" s="281"/>
      <c r="G450" s="176"/>
      <c r="H450" s="176"/>
      <c r="I450" s="176"/>
      <c r="J450" s="176"/>
      <c r="K450" s="176"/>
      <c r="L450" s="176"/>
    </row>
    <row r="451" spans="1:12" outlineLevel="1">
      <c r="A451" s="280"/>
      <c r="B451" s="31"/>
      <c r="C451" s="31"/>
      <c r="D451" s="31"/>
      <c r="E451" s="31"/>
      <c r="F451" s="281"/>
      <c r="G451" s="176"/>
      <c r="H451" s="176"/>
      <c r="I451" s="176"/>
      <c r="J451" s="176"/>
      <c r="K451" s="176"/>
      <c r="L451" s="176"/>
    </row>
    <row r="452" spans="1:12" ht="15.75" outlineLevel="1" thickBot="1">
      <c r="A452" s="282"/>
      <c r="B452" s="283"/>
      <c r="C452" s="283"/>
      <c r="D452" s="283"/>
      <c r="E452" s="283"/>
      <c r="F452" s="284"/>
      <c r="G452" s="176"/>
      <c r="H452" s="176"/>
      <c r="I452" s="176"/>
      <c r="J452" s="176"/>
      <c r="K452" s="176"/>
      <c r="L452" s="176"/>
    </row>
    <row r="453" spans="1:12" ht="16.5" thickTop="1" thickBot="1"/>
    <row r="454" spans="1:12" ht="15.75" thickTop="1">
      <c r="A454" s="3782" t="s">
        <v>0</v>
      </c>
      <c r="B454" s="3781" t="s">
        <v>1</v>
      </c>
      <c r="C454" s="3781" t="s">
        <v>2</v>
      </c>
      <c r="D454" s="3781" t="s">
        <v>3</v>
      </c>
      <c r="E454" s="3781" t="s">
        <v>4</v>
      </c>
      <c r="F454" s="3765" t="s">
        <v>5</v>
      </c>
    </row>
    <row r="455" spans="1:12" ht="24.75" customHeight="1" collapsed="1" thickBot="1">
      <c r="A455" s="3783"/>
      <c r="B455" s="3767"/>
      <c r="C455" s="3767"/>
      <c r="D455" s="3767"/>
      <c r="E455" s="3767"/>
      <c r="F455" s="3766"/>
    </row>
    <row r="456" spans="1:12" ht="15.75" outlineLevel="1" thickTop="1">
      <c r="A456" s="277" t="s">
        <v>516</v>
      </c>
      <c r="B456" s="191" t="s">
        <v>334</v>
      </c>
      <c r="C456" s="191" t="s">
        <v>389</v>
      </c>
      <c r="D456" s="191" t="s">
        <v>325</v>
      </c>
      <c r="E456" s="278">
        <v>0.03</v>
      </c>
      <c r="F456" s="279">
        <v>31826</v>
      </c>
      <c r="G456" s="176">
        <v>1474</v>
      </c>
      <c r="H456" s="176">
        <f>F456*G456</f>
        <v>46911524</v>
      </c>
      <c r="I456" s="176">
        <v>32812</v>
      </c>
      <c r="J456" s="176">
        <f>G456*I456</f>
        <v>48364888</v>
      </c>
      <c r="K456" s="176">
        <f>J456-H456</f>
        <v>1453364</v>
      </c>
      <c r="L456" s="176">
        <f>K456*1.2</f>
        <v>1744036.8</v>
      </c>
    </row>
    <row r="457" spans="1:12" outlineLevel="1">
      <c r="A457" s="280"/>
      <c r="B457" s="31"/>
      <c r="C457" s="31" t="s">
        <v>510</v>
      </c>
      <c r="D457" s="191" t="s">
        <v>325</v>
      </c>
      <c r="E457" s="278">
        <v>0.03</v>
      </c>
      <c r="F457" s="281">
        <v>31826</v>
      </c>
      <c r="G457" s="176"/>
      <c r="H457" s="176"/>
      <c r="I457" s="176">
        <f>I456-F456</f>
        <v>986</v>
      </c>
      <c r="J457" s="176"/>
      <c r="K457" s="176"/>
      <c r="L457" s="176"/>
    </row>
    <row r="458" spans="1:12" outlineLevel="1">
      <c r="A458" s="280"/>
      <c r="B458" s="31"/>
      <c r="C458" s="31"/>
      <c r="D458" s="31"/>
      <c r="E458" s="31"/>
      <c r="F458" s="281"/>
      <c r="G458" s="176"/>
      <c r="H458" s="176"/>
      <c r="I458" s="176">
        <f>I457*1.2</f>
        <v>1183.2</v>
      </c>
      <c r="J458" s="176"/>
      <c r="K458" s="176"/>
      <c r="L458" s="176"/>
    </row>
    <row r="459" spans="1:12" outlineLevel="1">
      <c r="A459" s="280"/>
      <c r="B459" s="31"/>
      <c r="C459" s="31"/>
      <c r="D459" s="31"/>
      <c r="E459" s="31"/>
      <c r="F459" s="281"/>
      <c r="G459" s="176"/>
      <c r="H459" s="176"/>
      <c r="I459" s="176"/>
      <c r="J459" s="176"/>
      <c r="K459" s="176"/>
      <c r="L459" s="176"/>
    </row>
    <row r="460" spans="1:12" outlineLevel="1">
      <c r="A460" s="280"/>
      <c r="B460" s="31"/>
      <c r="C460" s="31"/>
      <c r="D460" s="31"/>
      <c r="E460" s="31"/>
      <c r="F460" s="281"/>
      <c r="G460" s="176"/>
      <c r="H460" s="176"/>
      <c r="I460" s="176"/>
      <c r="J460" s="176"/>
      <c r="K460" s="176"/>
      <c r="L460" s="176"/>
    </row>
    <row r="461" spans="1:12" outlineLevel="1">
      <c r="A461" s="280"/>
      <c r="B461" s="31"/>
      <c r="C461" s="31"/>
      <c r="D461" s="31"/>
      <c r="E461" s="31"/>
      <c r="F461" s="281"/>
      <c r="G461" s="176"/>
      <c r="H461" s="176"/>
      <c r="I461" s="176"/>
      <c r="J461" s="176"/>
      <c r="K461" s="176"/>
      <c r="L461" s="176"/>
    </row>
    <row r="462" spans="1:12" outlineLevel="1">
      <c r="A462" s="8"/>
      <c r="B462" s="1"/>
      <c r="C462" s="1"/>
      <c r="D462" s="1"/>
      <c r="E462" s="1"/>
      <c r="F462" s="2"/>
    </row>
    <row r="463" spans="1:12" outlineLevel="1">
      <c r="A463" s="8"/>
      <c r="B463" s="1"/>
      <c r="C463" s="1"/>
      <c r="D463" s="1"/>
      <c r="E463" s="1"/>
      <c r="F463" s="2"/>
    </row>
    <row r="464" spans="1:12" outlineLevel="1">
      <c r="A464" s="8"/>
      <c r="B464" s="1"/>
      <c r="C464" s="1"/>
      <c r="D464" s="1"/>
      <c r="E464" s="1"/>
      <c r="F464" s="2"/>
    </row>
    <row r="465" spans="1:12" outlineLevel="1">
      <c r="A465" s="8"/>
      <c r="B465" s="1"/>
      <c r="C465" s="1"/>
      <c r="D465" s="1"/>
      <c r="E465" s="1"/>
      <c r="F465" s="2"/>
    </row>
    <row r="466" spans="1:12" outlineLevel="1">
      <c r="A466" s="8"/>
      <c r="B466" s="1"/>
      <c r="C466" s="1"/>
      <c r="D466" s="1"/>
      <c r="E466" s="1"/>
      <c r="F466" s="2"/>
    </row>
    <row r="467" spans="1:12" ht="15.75" outlineLevel="1" thickBot="1">
      <c r="A467" s="9"/>
      <c r="B467" s="3"/>
      <c r="C467" s="3"/>
      <c r="D467" s="3"/>
      <c r="E467" s="3"/>
      <c r="F467" s="4"/>
    </row>
    <row r="468" spans="1:12" ht="16.5" thickTop="1" thickBot="1"/>
    <row r="469" spans="1:12" ht="15.75" thickTop="1">
      <c r="A469" s="3782" t="s">
        <v>0</v>
      </c>
      <c r="B469" s="3781" t="s">
        <v>1</v>
      </c>
      <c r="C469" s="3781" t="s">
        <v>2</v>
      </c>
      <c r="D469" s="3781" t="s">
        <v>3</v>
      </c>
      <c r="E469" s="3781" t="s">
        <v>4</v>
      </c>
      <c r="F469" s="3765" t="s">
        <v>5</v>
      </c>
    </row>
    <row r="470" spans="1:12" ht="24.75" customHeight="1" collapsed="1" thickBot="1">
      <c r="A470" s="3783"/>
      <c r="B470" s="3767"/>
      <c r="C470" s="3767"/>
      <c r="D470" s="3767"/>
      <c r="E470" s="3767"/>
      <c r="F470" s="3766"/>
    </row>
    <row r="471" spans="1:12" ht="15.75" outlineLevel="1" thickTop="1">
      <c r="A471" s="7" t="s">
        <v>518</v>
      </c>
      <c r="B471" s="5" t="s">
        <v>106</v>
      </c>
      <c r="C471" s="5" t="s">
        <v>394</v>
      </c>
      <c r="D471" s="5" t="s">
        <v>325</v>
      </c>
      <c r="E471" s="11">
        <v>0.2</v>
      </c>
      <c r="F471" s="6">
        <v>5396</v>
      </c>
      <c r="G471">
        <v>510</v>
      </c>
      <c r="H471">
        <f>F471*G471</f>
        <v>2751960</v>
      </c>
      <c r="I471">
        <v>6746</v>
      </c>
      <c r="J471">
        <f>G471*I471</f>
        <v>3440460</v>
      </c>
      <c r="K471">
        <f>J471-H471</f>
        <v>688500</v>
      </c>
      <c r="L471">
        <f>K471*1.2</f>
        <v>826200</v>
      </c>
    </row>
    <row r="472" spans="1:12" outlineLevel="1">
      <c r="A472" s="8"/>
      <c r="B472" s="1"/>
      <c r="C472" s="1" t="s">
        <v>517</v>
      </c>
      <c r="D472" s="5" t="s">
        <v>325</v>
      </c>
      <c r="E472" s="11">
        <v>0.2</v>
      </c>
      <c r="F472" s="6">
        <v>5396</v>
      </c>
    </row>
    <row r="473" spans="1:12" outlineLevel="1">
      <c r="A473" s="8"/>
      <c r="B473" s="1"/>
      <c r="C473" s="1"/>
      <c r="D473" s="1"/>
      <c r="E473" s="1"/>
      <c r="F473" s="2"/>
    </row>
    <row r="474" spans="1:12" outlineLevel="1">
      <c r="A474" s="8"/>
      <c r="B474" s="1"/>
      <c r="C474" s="1"/>
      <c r="D474" s="1"/>
      <c r="E474" s="1"/>
      <c r="F474" s="2"/>
    </row>
    <row r="475" spans="1:12" outlineLevel="1">
      <c r="A475" s="8"/>
      <c r="B475" s="1"/>
      <c r="C475" s="1"/>
      <c r="D475" s="1"/>
      <c r="E475" s="1"/>
      <c r="F475" s="2"/>
    </row>
    <row r="476" spans="1:12" outlineLevel="1">
      <c r="A476" s="8"/>
      <c r="B476" s="1"/>
      <c r="C476" s="1"/>
      <c r="D476" s="1"/>
      <c r="E476" s="1"/>
      <c r="F476" s="2"/>
    </row>
    <row r="477" spans="1:12" outlineLevel="1">
      <c r="A477" s="8"/>
      <c r="B477" s="1"/>
      <c r="C477" s="1"/>
      <c r="D477" s="1"/>
      <c r="E477" s="1"/>
      <c r="F477" s="2"/>
    </row>
    <row r="478" spans="1:12" outlineLevel="1">
      <c r="A478" s="8"/>
      <c r="B478" s="1"/>
      <c r="C478" s="1"/>
      <c r="D478" s="1"/>
      <c r="E478" s="1"/>
      <c r="F478" s="2"/>
    </row>
    <row r="479" spans="1:12" outlineLevel="1">
      <c r="A479" s="8"/>
      <c r="B479" s="1"/>
      <c r="C479" s="1"/>
      <c r="D479" s="1"/>
      <c r="E479" s="1"/>
      <c r="F479" s="2"/>
    </row>
    <row r="480" spans="1:12" outlineLevel="1">
      <c r="A480" s="8"/>
      <c r="B480" s="1"/>
      <c r="C480" s="1"/>
      <c r="D480" s="1"/>
      <c r="E480" s="1"/>
      <c r="F480" s="2"/>
    </row>
    <row r="481" spans="1:12" outlineLevel="1">
      <c r="A481" s="8"/>
      <c r="B481" s="1"/>
      <c r="C481" s="1"/>
      <c r="D481" s="1"/>
      <c r="E481" s="1"/>
      <c r="F481" s="2"/>
    </row>
    <row r="482" spans="1:12" ht="15.75" outlineLevel="1" thickBot="1">
      <c r="A482" s="9"/>
      <c r="B482" s="3"/>
      <c r="C482" s="3"/>
      <c r="D482" s="3"/>
      <c r="E482" s="3"/>
      <c r="F482" s="4"/>
    </row>
    <row r="483" spans="1:12" ht="16.5" thickTop="1" thickBot="1"/>
    <row r="484" spans="1:12" ht="15.75" thickTop="1">
      <c r="A484" s="3782" t="s">
        <v>0</v>
      </c>
      <c r="B484" s="3781" t="s">
        <v>1</v>
      </c>
      <c r="C484" s="3781" t="s">
        <v>2</v>
      </c>
      <c r="D484" s="3781" t="s">
        <v>3</v>
      </c>
      <c r="E484" s="3781" t="s">
        <v>4</v>
      </c>
      <c r="F484" s="3765" t="s">
        <v>5</v>
      </c>
    </row>
    <row r="485" spans="1:12" ht="24.75" customHeight="1" collapsed="1" thickBot="1">
      <c r="A485" s="3783"/>
      <c r="B485" s="3767"/>
      <c r="C485" s="3767"/>
      <c r="D485" s="3767"/>
      <c r="E485" s="3767"/>
      <c r="F485" s="3766"/>
    </row>
    <row r="486" spans="1:12" ht="15.75" outlineLevel="1" thickTop="1">
      <c r="A486" s="7" t="s">
        <v>548</v>
      </c>
      <c r="B486" s="5" t="s">
        <v>115</v>
      </c>
      <c r="C486" s="5" t="s">
        <v>549</v>
      </c>
      <c r="D486" s="5" t="s">
        <v>325</v>
      </c>
      <c r="E486" s="11">
        <v>0.05</v>
      </c>
      <c r="F486" s="6">
        <v>162867</v>
      </c>
      <c r="G486">
        <v>256</v>
      </c>
      <c r="H486">
        <f>F486*G486</f>
        <v>41693952</v>
      </c>
      <c r="I486">
        <v>171439</v>
      </c>
      <c r="J486">
        <f>G486*I486</f>
        <v>43888384</v>
      </c>
      <c r="K486">
        <f>J486-H486</f>
        <v>2194432</v>
      </c>
      <c r="L486">
        <f>K486*1.2</f>
        <v>2633318.3999999999</v>
      </c>
    </row>
    <row r="487" spans="1:12" outlineLevel="1">
      <c r="A487" s="8"/>
      <c r="B487" s="1" t="s">
        <v>116</v>
      </c>
      <c r="C487" s="1" t="s">
        <v>550</v>
      </c>
      <c r="D487" s="5" t="s">
        <v>325</v>
      </c>
      <c r="E487" s="11">
        <v>0.05</v>
      </c>
      <c r="F487" s="2">
        <v>139348</v>
      </c>
      <c r="G487">
        <v>208</v>
      </c>
      <c r="H487">
        <f>F487*G487</f>
        <v>28984384</v>
      </c>
      <c r="I487">
        <v>146682</v>
      </c>
      <c r="J487">
        <f>G487*I487</f>
        <v>30509856</v>
      </c>
      <c r="K487">
        <f>J487-H487</f>
        <v>1525472</v>
      </c>
      <c r="L487">
        <f>K487*1.2</f>
        <v>1830566.4</v>
      </c>
    </row>
    <row r="488" spans="1:12" outlineLevel="1">
      <c r="A488" s="8"/>
      <c r="B488" s="1"/>
      <c r="C488" s="1"/>
      <c r="D488" s="1"/>
      <c r="E488" s="1"/>
      <c r="F488" s="2"/>
    </row>
    <row r="489" spans="1:12" outlineLevel="1">
      <c r="A489" s="8"/>
      <c r="B489" s="1"/>
      <c r="C489" s="1"/>
      <c r="D489" s="1"/>
      <c r="E489" s="1"/>
      <c r="F489" s="2"/>
      <c r="L489">
        <f>SUM(L486:L488)</f>
        <v>4463884.8</v>
      </c>
    </row>
    <row r="490" spans="1:12" outlineLevel="1">
      <c r="A490" s="8"/>
      <c r="B490" s="1"/>
      <c r="C490" s="1"/>
      <c r="D490" s="1"/>
      <c r="E490" s="1"/>
      <c r="F490" s="2"/>
    </row>
    <row r="491" spans="1:12" outlineLevel="1">
      <c r="A491" s="8"/>
      <c r="B491" s="1"/>
      <c r="C491" s="1"/>
      <c r="D491" s="1"/>
      <c r="E491" s="1"/>
      <c r="F491" s="2"/>
    </row>
    <row r="492" spans="1:12" outlineLevel="1">
      <c r="A492" s="8"/>
      <c r="B492" s="1"/>
      <c r="C492" s="1"/>
      <c r="D492" s="1"/>
      <c r="E492" s="1"/>
      <c r="F492" s="2"/>
    </row>
    <row r="493" spans="1:12" outlineLevel="1">
      <c r="A493" s="8"/>
      <c r="B493" s="1"/>
      <c r="C493" s="1"/>
      <c r="D493" s="1"/>
      <c r="E493" s="1"/>
      <c r="F493" s="2"/>
    </row>
    <row r="494" spans="1:12" outlineLevel="1">
      <c r="A494" s="8"/>
      <c r="B494" s="1"/>
      <c r="C494" s="1"/>
      <c r="D494" s="1"/>
      <c r="E494" s="1"/>
      <c r="F494" s="2"/>
    </row>
    <row r="495" spans="1:12" outlineLevel="1">
      <c r="A495" s="8"/>
      <c r="B495" s="1"/>
      <c r="C495" s="1"/>
      <c r="D495" s="1"/>
      <c r="E495" s="1"/>
      <c r="F495" s="2"/>
    </row>
    <row r="496" spans="1:12" outlineLevel="1">
      <c r="A496" s="8"/>
      <c r="B496" s="1"/>
      <c r="C496" s="1"/>
      <c r="D496" s="1"/>
      <c r="E496" s="1"/>
      <c r="F496" s="2"/>
    </row>
    <row r="497" spans="1:12" ht="15.75" outlineLevel="1" thickBot="1">
      <c r="A497" s="9"/>
      <c r="B497" s="3"/>
      <c r="C497" s="3"/>
      <c r="D497" s="3"/>
      <c r="E497" s="3"/>
      <c r="F497" s="4"/>
    </row>
    <row r="498" spans="1:12" ht="16.5" thickTop="1" thickBot="1"/>
    <row r="499" spans="1:12" ht="15.75" thickTop="1">
      <c r="A499" s="3782" t="s">
        <v>0</v>
      </c>
      <c r="B499" s="3781" t="s">
        <v>1</v>
      </c>
      <c r="C499" s="3781" t="s">
        <v>2</v>
      </c>
      <c r="D499" s="3781" t="s">
        <v>3</v>
      </c>
      <c r="E499" s="3781" t="s">
        <v>4</v>
      </c>
      <c r="F499" s="3765" t="s">
        <v>5</v>
      </c>
    </row>
    <row r="500" spans="1:12" ht="24.75" customHeight="1" collapsed="1" thickBot="1">
      <c r="A500" s="3783"/>
      <c r="B500" s="3767"/>
      <c r="C500" s="3767"/>
      <c r="D500" s="3767"/>
      <c r="E500" s="3767"/>
      <c r="F500" s="3766"/>
    </row>
    <row r="501" spans="1:12" ht="15.75" outlineLevel="1" thickTop="1">
      <c r="A501" s="7" t="s">
        <v>551</v>
      </c>
      <c r="B501" s="5" t="s">
        <v>106</v>
      </c>
      <c r="C501" s="5" t="s">
        <v>552</v>
      </c>
      <c r="D501" s="5" t="s">
        <v>325</v>
      </c>
      <c r="E501" s="11">
        <v>0.2</v>
      </c>
      <c r="F501" s="6">
        <v>7344</v>
      </c>
      <c r="G501">
        <v>2300</v>
      </c>
      <c r="H501">
        <f>F501*G501</f>
        <v>16891200</v>
      </c>
      <c r="I501">
        <v>9180</v>
      </c>
      <c r="J501">
        <f>G501*I501</f>
        <v>21114000</v>
      </c>
      <c r="K501">
        <f>J501-H501</f>
        <v>4222800</v>
      </c>
      <c r="L501">
        <f>K501*1.2</f>
        <v>5067360</v>
      </c>
    </row>
    <row r="502" spans="1:12" outlineLevel="1">
      <c r="A502" s="8"/>
      <c r="B502" s="1"/>
      <c r="C502" s="1" t="s">
        <v>553</v>
      </c>
      <c r="D502" s="5" t="s">
        <v>325</v>
      </c>
      <c r="E502" s="11">
        <v>0.2</v>
      </c>
      <c r="F502" s="2">
        <v>7344</v>
      </c>
    </row>
    <row r="503" spans="1:12" outlineLevel="1">
      <c r="A503" s="8"/>
      <c r="B503" s="1"/>
      <c r="C503" s="1" t="s">
        <v>554</v>
      </c>
      <c r="D503" s="5" t="s">
        <v>325</v>
      </c>
      <c r="E503" s="11">
        <v>0.2</v>
      </c>
      <c r="F503" s="2">
        <v>8316</v>
      </c>
      <c r="G503">
        <v>2030</v>
      </c>
      <c r="H503">
        <f>F503*G503</f>
        <v>16881480</v>
      </c>
      <c r="I503">
        <v>10395</v>
      </c>
      <c r="J503">
        <f>G503*I503</f>
        <v>21101850</v>
      </c>
      <c r="K503">
        <f>J503-H503</f>
        <v>4220370</v>
      </c>
      <c r="L503">
        <f>K503*1.2</f>
        <v>5064444</v>
      </c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  <c r="L505">
        <f>SUM(L501:L504)</f>
        <v>10131804</v>
      </c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outlineLevel="1">
      <c r="A509" s="8"/>
      <c r="B509" s="1"/>
      <c r="C509" s="1"/>
      <c r="D509" s="1"/>
      <c r="E509" s="1"/>
      <c r="F509" s="2"/>
    </row>
    <row r="510" spans="1:12" outlineLevel="1">
      <c r="A510" s="8"/>
      <c r="B510" s="1"/>
      <c r="C510" s="1"/>
      <c r="D510" s="1"/>
      <c r="E510" s="1"/>
      <c r="F510" s="2"/>
    </row>
    <row r="511" spans="1:12" outlineLevel="1">
      <c r="A511" s="8"/>
      <c r="B511" s="1"/>
      <c r="C511" s="1"/>
      <c r="D511" s="1"/>
      <c r="E511" s="1"/>
      <c r="F511" s="2"/>
    </row>
    <row r="512" spans="1:12" ht="15.75" outlineLevel="1" thickBot="1">
      <c r="A512" s="9"/>
      <c r="B512" s="3"/>
      <c r="C512" s="3"/>
      <c r="D512" s="3"/>
      <c r="E512" s="3"/>
      <c r="F512" s="4"/>
    </row>
    <row r="513" spans="1:12" ht="16.5" thickTop="1" thickBot="1"/>
    <row r="514" spans="1:12" ht="15.75" thickTop="1">
      <c r="A514" s="3782" t="s">
        <v>0</v>
      </c>
      <c r="B514" s="3781" t="s">
        <v>1</v>
      </c>
      <c r="C514" s="3781" t="s">
        <v>2</v>
      </c>
      <c r="D514" s="3781" t="s">
        <v>3</v>
      </c>
      <c r="E514" s="3781" t="s">
        <v>4</v>
      </c>
      <c r="F514" s="3765" t="s">
        <v>5</v>
      </c>
    </row>
    <row r="515" spans="1:12" ht="24.75" customHeight="1" collapsed="1" thickBot="1">
      <c r="A515" s="3783"/>
      <c r="B515" s="3767"/>
      <c r="C515" s="3767"/>
      <c r="D515" s="3767"/>
      <c r="E515" s="3767"/>
      <c r="F515" s="3766"/>
    </row>
    <row r="516" spans="1:12" ht="15.75" outlineLevel="1" thickTop="1">
      <c r="A516" s="7" t="s">
        <v>563</v>
      </c>
      <c r="B516" s="5" t="s">
        <v>115</v>
      </c>
      <c r="C516" s="5" t="s">
        <v>27</v>
      </c>
      <c r="D516" s="5" t="s">
        <v>325</v>
      </c>
      <c r="E516" s="11">
        <v>0.2</v>
      </c>
      <c r="F516" s="6">
        <v>6445</v>
      </c>
      <c r="G516">
        <v>3898</v>
      </c>
      <c r="H516">
        <f>F516*G516</f>
        <v>25122610</v>
      </c>
      <c r="I516">
        <v>8056</v>
      </c>
      <c r="J516">
        <f>G516*I516</f>
        <v>31402288</v>
      </c>
      <c r="K516">
        <f>J516-H516</f>
        <v>6279678</v>
      </c>
      <c r="L516">
        <f>K516*1.2</f>
        <v>7535613.5999999996</v>
      </c>
    </row>
    <row r="517" spans="1:12" outlineLevel="1">
      <c r="A517" s="8"/>
      <c r="B517" s="1" t="s">
        <v>116</v>
      </c>
      <c r="C517" s="1" t="s">
        <v>28</v>
      </c>
      <c r="D517" s="5" t="s">
        <v>325</v>
      </c>
      <c r="E517" s="11">
        <v>0.2</v>
      </c>
      <c r="F517" s="6">
        <v>6445</v>
      </c>
    </row>
    <row r="518" spans="1:12" outlineLevel="1">
      <c r="A518" s="8"/>
      <c r="B518" s="1"/>
      <c r="C518" s="1" t="s">
        <v>29</v>
      </c>
      <c r="D518" s="5" t="s">
        <v>325</v>
      </c>
      <c r="E518" s="11">
        <v>0.2</v>
      </c>
      <c r="F518" s="6">
        <v>6445</v>
      </c>
    </row>
    <row r="519" spans="1:12" outlineLevel="1">
      <c r="A519" s="8"/>
      <c r="B519" s="1"/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outlineLevel="1">
      <c r="A524" s="8"/>
      <c r="B524" s="1"/>
      <c r="C524" s="1"/>
      <c r="D524" s="1"/>
      <c r="E524" s="1"/>
      <c r="F524" s="2"/>
    </row>
    <row r="525" spans="1:12" outlineLevel="1">
      <c r="A525" s="8"/>
      <c r="B525" s="1"/>
      <c r="C525" s="1"/>
      <c r="D525" s="1"/>
      <c r="E525" s="1"/>
      <c r="F525" s="2"/>
    </row>
    <row r="526" spans="1:12" outlineLevel="1">
      <c r="A526" s="8"/>
      <c r="B526" s="1"/>
      <c r="C526" s="1"/>
      <c r="D526" s="1"/>
      <c r="E526" s="1"/>
      <c r="F526" s="2"/>
    </row>
    <row r="527" spans="1:12" ht="15.75" outlineLevel="1" thickBot="1">
      <c r="A527" s="9"/>
      <c r="B527" s="3"/>
      <c r="C527" s="3"/>
      <c r="D527" s="3"/>
      <c r="E527" s="3"/>
      <c r="F527" s="4"/>
    </row>
    <row r="528" spans="1:12" ht="16.5" thickTop="1" thickBot="1"/>
    <row r="529" spans="1:12" ht="15.75" thickTop="1">
      <c r="A529" s="3782" t="s">
        <v>0</v>
      </c>
      <c r="B529" s="3781" t="s">
        <v>1</v>
      </c>
      <c r="C529" s="3781" t="s">
        <v>2</v>
      </c>
      <c r="D529" s="3781" t="s">
        <v>3</v>
      </c>
      <c r="E529" s="3781" t="s">
        <v>4</v>
      </c>
      <c r="F529" s="3765" t="s">
        <v>5</v>
      </c>
    </row>
    <row r="530" spans="1:12" ht="24.75" customHeight="1" collapsed="1" thickBot="1">
      <c r="A530" s="3783"/>
      <c r="B530" s="3767"/>
      <c r="C530" s="3767"/>
      <c r="D530" s="3767"/>
      <c r="E530" s="3767"/>
      <c r="F530" s="3766"/>
    </row>
    <row r="531" spans="1:12" ht="15.75" outlineLevel="1" thickTop="1">
      <c r="A531" s="7" t="s">
        <v>581</v>
      </c>
      <c r="B531" s="5" t="s">
        <v>106</v>
      </c>
      <c r="C531" s="5" t="s">
        <v>512</v>
      </c>
      <c r="D531" s="5" t="s">
        <v>325</v>
      </c>
      <c r="E531" s="11">
        <v>0.15</v>
      </c>
      <c r="F531" s="6">
        <v>4908</v>
      </c>
      <c r="G531">
        <v>600</v>
      </c>
      <c r="H531">
        <f>F531*G531</f>
        <v>2944800</v>
      </c>
      <c r="I531">
        <v>5775</v>
      </c>
      <c r="J531">
        <f>G531*I531</f>
        <v>3465000</v>
      </c>
      <c r="K531">
        <f>J531*1.2</f>
        <v>4158000</v>
      </c>
    </row>
    <row r="532" spans="1:12" outlineLevel="1">
      <c r="A532" s="8"/>
      <c r="B532" s="1"/>
      <c r="C532" s="1" t="s">
        <v>582</v>
      </c>
      <c r="D532" s="5" t="s">
        <v>325</v>
      </c>
      <c r="E532" s="11">
        <v>0.15</v>
      </c>
      <c r="F532" s="6">
        <v>4908</v>
      </c>
    </row>
    <row r="533" spans="1:12" outlineLevel="1">
      <c r="A533" s="8"/>
      <c r="B533" s="1"/>
      <c r="C533" s="1" t="s">
        <v>507</v>
      </c>
      <c r="D533" s="5" t="s">
        <v>325</v>
      </c>
      <c r="E533" s="11">
        <v>0.15</v>
      </c>
      <c r="F533" s="2">
        <v>11488</v>
      </c>
      <c r="G533">
        <v>668</v>
      </c>
      <c r="H533">
        <f>F533*G533</f>
        <v>7673984</v>
      </c>
      <c r="I533">
        <v>13516</v>
      </c>
      <c r="J533">
        <f>G533*I533</f>
        <v>9028688</v>
      </c>
      <c r="K533">
        <f>J533*1.2</f>
        <v>10834425.6</v>
      </c>
    </row>
    <row r="534" spans="1:12" outlineLevel="1">
      <c r="A534" s="8"/>
      <c r="B534" s="1"/>
      <c r="C534" s="1" t="s">
        <v>583</v>
      </c>
      <c r="D534" s="5" t="s">
        <v>325</v>
      </c>
      <c r="E534" s="11">
        <v>0.15</v>
      </c>
      <c r="F534" s="2">
        <v>11488</v>
      </c>
      <c r="K534">
        <f>K531+K533</f>
        <v>14992425.6</v>
      </c>
    </row>
    <row r="535" spans="1:12" outlineLevel="1">
      <c r="A535" s="8"/>
      <c r="B535" s="1"/>
      <c r="C535" s="1" t="s">
        <v>155</v>
      </c>
      <c r="D535" s="5" t="s">
        <v>343</v>
      </c>
      <c r="E535" s="11">
        <v>0.15</v>
      </c>
      <c r="F535" s="2">
        <v>5514</v>
      </c>
      <c r="G535">
        <v>715</v>
      </c>
      <c r="H535">
        <f>F535*G535</f>
        <v>3942510</v>
      </c>
      <c r="I535">
        <v>6488</v>
      </c>
      <c r="J535">
        <f>G535*I535</f>
        <v>4638920</v>
      </c>
      <c r="K535">
        <f>J535-H535</f>
        <v>696410</v>
      </c>
      <c r="L535">
        <f>K535*1.2</f>
        <v>835692</v>
      </c>
    </row>
    <row r="536" spans="1:12" outlineLevel="1">
      <c r="A536" s="8"/>
      <c r="B536" s="1"/>
      <c r="C536" s="1"/>
      <c r="D536" s="1"/>
      <c r="E536" s="1"/>
      <c r="F536" s="2"/>
      <c r="G536">
        <f>F535*1.2</f>
        <v>6616.8</v>
      </c>
      <c r="I536">
        <f>I535*1.2</f>
        <v>7785.5999999999995</v>
      </c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outlineLevel="1">
      <c r="A539" s="8"/>
      <c r="B539" s="1"/>
      <c r="C539" s="1"/>
      <c r="D539" s="1"/>
      <c r="E539" s="1"/>
      <c r="F539" s="2"/>
    </row>
    <row r="540" spans="1:12" outlineLevel="1">
      <c r="A540" s="8"/>
      <c r="B540" s="1"/>
      <c r="C540" s="1"/>
      <c r="D540" s="1"/>
      <c r="E540" s="1"/>
      <c r="F540" s="2"/>
    </row>
    <row r="541" spans="1:12" outlineLevel="1">
      <c r="A541" s="8"/>
      <c r="B541" s="1"/>
      <c r="C541" s="1"/>
      <c r="D541" s="1"/>
      <c r="E541" s="1"/>
      <c r="F541" s="2"/>
    </row>
    <row r="542" spans="1:12" ht="15.75" outlineLevel="1" thickBot="1">
      <c r="A542" s="9"/>
      <c r="B542" s="3"/>
      <c r="C542" s="3"/>
      <c r="D542" s="3"/>
      <c r="E542" s="3"/>
      <c r="F542" s="4"/>
    </row>
    <row r="543" spans="1:12" ht="16.5" thickTop="1" thickBot="1"/>
    <row r="544" spans="1:12" ht="15.75" thickTop="1">
      <c r="A544" s="3782" t="s">
        <v>0</v>
      </c>
      <c r="B544" s="3781" t="s">
        <v>1</v>
      </c>
      <c r="C544" s="3781" t="s">
        <v>2</v>
      </c>
      <c r="D544" s="3781" t="s">
        <v>3</v>
      </c>
      <c r="E544" s="3781" t="s">
        <v>4</v>
      </c>
      <c r="F544" s="3765" t="s">
        <v>5</v>
      </c>
    </row>
    <row r="545" spans="1:12" ht="24.75" customHeight="1" collapsed="1" thickBot="1">
      <c r="A545" s="3783"/>
      <c r="B545" s="3767"/>
      <c r="C545" s="3767"/>
      <c r="D545" s="3767"/>
      <c r="E545" s="3767"/>
      <c r="F545" s="3766"/>
    </row>
    <row r="546" spans="1:12" ht="15.75" outlineLevel="1" thickTop="1">
      <c r="A546" s="7" t="s">
        <v>584</v>
      </c>
      <c r="B546" s="5" t="s">
        <v>115</v>
      </c>
      <c r="C546" s="5" t="s">
        <v>582</v>
      </c>
      <c r="D546" s="5" t="s">
        <v>325</v>
      </c>
      <c r="E546" s="11">
        <v>0.15</v>
      </c>
      <c r="F546" s="6">
        <v>4909</v>
      </c>
      <c r="G546">
        <v>2352</v>
      </c>
      <c r="H546">
        <f>F546*G546</f>
        <v>11545968</v>
      </c>
      <c r="I546">
        <v>5775</v>
      </c>
      <c r="J546">
        <f>G546*I546</f>
        <v>13582800</v>
      </c>
      <c r="K546">
        <f>J546-H546</f>
        <v>2036832</v>
      </c>
      <c r="L546">
        <f>K546*1.2</f>
        <v>2444198.4</v>
      </c>
    </row>
    <row r="547" spans="1:12" outlineLevel="1">
      <c r="A547" s="8"/>
      <c r="B547" s="1" t="s">
        <v>116</v>
      </c>
      <c r="C547" s="1" t="s">
        <v>512</v>
      </c>
      <c r="D547" s="5" t="s">
        <v>325</v>
      </c>
      <c r="E547" s="11">
        <v>0.15</v>
      </c>
      <c r="F547" s="6">
        <v>4909</v>
      </c>
    </row>
    <row r="548" spans="1:12" outlineLevel="1">
      <c r="A548" s="8"/>
      <c r="B548" s="1"/>
      <c r="C548" s="1"/>
      <c r="D548" s="1"/>
      <c r="E548" s="1"/>
      <c r="F548" s="2"/>
    </row>
    <row r="549" spans="1:12" outlineLevel="1">
      <c r="A549" s="8"/>
      <c r="B549" s="1"/>
      <c r="C549" s="1"/>
      <c r="D549" s="1"/>
      <c r="E549" s="1"/>
      <c r="F549" s="2"/>
    </row>
    <row r="550" spans="1:12" outlineLevel="1">
      <c r="A550" s="8"/>
      <c r="B550" s="1"/>
      <c r="C550" s="1"/>
      <c r="D550" s="1"/>
      <c r="E550" s="1"/>
      <c r="F550" s="2"/>
    </row>
    <row r="551" spans="1:12" outlineLevel="1">
      <c r="A551" s="8"/>
      <c r="B551" s="1"/>
      <c r="C551" s="1"/>
      <c r="D551" s="1"/>
      <c r="E551" s="1"/>
      <c r="F551" s="2"/>
    </row>
    <row r="552" spans="1:12" outlineLevel="1">
      <c r="A552" s="8"/>
      <c r="B552" s="1"/>
      <c r="C552" s="1"/>
      <c r="D552" s="1"/>
      <c r="E552" s="1"/>
      <c r="F552" s="2"/>
    </row>
    <row r="553" spans="1:12" outlineLevel="1">
      <c r="A553" s="8"/>
      <c r="B553" s="1"/>
      <c r="C553" s="1"/>
      <c r="D553" s="1"/>
      <c r="E553" s="1"/>
      <c r="F553" s="2"/>
    </row>
    <row r="554" spans="1:12" outlineLevel="1">
      <c r="A554" s="8"/>
      <c r="B554" s="1"/>
      <c r="C554" s="1"/>
      <c r="D554" s="1"/>
      <c r="E554" s="1"/>
      <c r="F554" s="2"/>
    </row>
    <row r="555" spans="1:12" outlineLevel="1">
      <c r="A555" s="8"/>
      <c r="B555" s="1"/>
      <c r="C555" s="1"/>
      <c r="D555" s="1"/>
      <c r="E555" s="1"/>
      <c r="F555" s="2"/>
    </row>
    <row r="556" spans="1:12" outlineLevel="1">
      <c r="A556" s="8"/>
      <c r="B556" s="1"/>
      <c r="C556" s="1"/>
      <c r="D556" s="1"/>
      <c r="E556" s="1"/>
      <c r="F556" s="2"/>
    </row>
    <row r="557" spans="1:12" ht="15.75" outlineLevel="1" thickBot="1">
      <c r="A557" s="9"/>
      <c r="B557" s="3"/>
      <c r="C557" s="3"/>
      <c r="D557" s="3"/>
      <c r="E557" s="3"/>
      <c r="F557" s="4"/>
    </row>
    <row r="558" spans="1:12" ht="16.5" thickTop="1" thickBot="1"/>
    <row r="559" spans="1:12" ht="15.75" thickTop="1">
      <c r="A559" s="3782" t="s">
        <v>0</v>
      </c>
      <c r="B559" s="3781" t="s">
        <v>1</v>
      </c>
      <c r="C559" s="3781" t="s">
        <v>2</v>
      </c>
      <c r="D559" s="3781" t="s">
        <v>3</v>
      </c>
      <c r="E559" s="3781" t="s">
        <v>4</v>
      </c>
      <c r="F559" s="3765" t="s">
        <v>5</v>
      </c>
    </row>
    <row r="560" spans="1:12" ht="24.75" customHeight="1" collapsed="1" thickBot="1">
      <c r="A560" s="3783"/>
      <c r="B560" s="3767"/>
      <c r="C560" s="3767"/>
      <c r="D560" s="3767"/>
      <c r="E560" s="3767"/>
      <c r="F560" s="3766"/>
    </row>
    <row r="561" spans="1:13" ht="15.75" outlineLevel="1" thickTop="1">
      <c r="A561" s="7" t="s">
        <v>606</v>
      </c>
      <c r="B561" s="5" t="s">
        <v>114</v>
      </c>
      <c r="C561" s="5" t="s">
        <v>155</v>
      </c>
      <c r="D561" s="5" t="s">
        <v>325</v>
      </c>
      <c r="E561" s="11">
        <v>0.19</v>
      </c>
      <c r="F561" s="6">
        <v>5514</v>
      </c>
      <c r="G561">
        <v>855</v>
      </c>
      <c r="H561">
        <f>F561*G561</f>
        <v>4714470</v>
      </c>
      <c r="I561">
        <v>6797</v>
      </c>
      <c r="J561">
        <f>G561*I561</f>
        <v>5811435</v>
      </c>
      <c r="K561">
        <f>J561-H561</f>
        <v>1096965</v>
      </c>
      <c r="L561">
        <f>K561*1.2</f>
        <v>1316358</v>
      </c>
      <c r="M561">
        <f>F561*1.2</f>
        <v>6616.8</v>
      </c>
    </row>
    <row r="562" spans="1:13" outlineLevel="1">
      <c r="A562" s="8"/>
      <c r="B562" s="1"/>
      <c r="C562" s="1" t="s">
        <v>183</v>
      </c>
      <c r="D562" s="5" t="s">
        <v>325</v>
      </c>
      <c r="E562" s="11">
        <v>0.19</v>
      </c>
      <c r="F562" s="2">
        <v>7502</v>
      </c>
      <c r="G562">
        <v>1130</v>
      </c>
      <c r="H562">
        <f>F562*G562</f>
        <v>8477260</v>
      </c>
      <c r="I562">
        <v>9247</v>
      </c>
      <c r="J562">
        <f>G562*I562</f>
        <v>10449110</v>
      </c>
      <c r="K562">
        <f>J562-H562</f>
        <v>1971850</v>
      </c>
      <c r="L562">
        <f>K562*1.2</f>
        <v>2366220</v>
      </c>
      <c r="M562">
        <f>F562*1.2</f>
        <v>9002.4</v>
      </c>
    </row>
    <row r="563" spans="1:13" outlineLevel="1">
      <c r="A563" s="8"/>
      <c r="B563" s="1"/>
      <c r="C563" s="1"/>
      <c r="D563" s="1"/>
      <c r="E563" s="1"/>
      <c r="F563" s="2"/>
      <c r="L563">
        <f>SUM(L561:L562)</f>
        <v>3682578</v>
      </c>
    </row>
    <row r="564" spans="1:13" outlineLevel="1">
      <c r="A564" s="8"/>
      <c r="B564" s="1"/>
      <c r="C564" s="1"/>
      <c r="D564" s="1"/>
      <c r="E564" s="1"/>
      <c r="F564" s="2"/>
    </row>
    <row r="565" spans="1:13" outlineLevel="1">
      <c r="A565" s="8"/>
      <c r="B565" s="1"/>
      <c r="C565" s="1"/>
      <c r="D565" s="1"/>
      <c r="E565" s="1"/>
      <c r="F565" s="2"/>
    </row>
    <row r="566" spans="1:13" outlineLevel="1">
      <c r="A566" s="8"/>
      <c r="B566" s="1"/>
      <c r="C566" s="1"/>
      <c r="D566" s="1"/>
      <c r="E566" s="1"/>
      <c r="F566" s="2"/>
    </row>
    <row r="567" spans="1:13" outlineLevel="1">
      <c r="A567" s="8"/>
      <c r="B567" s="1"/>
      <c r="C567" s="1"/>
      <c r="D567" s="1"/>
      <c r="E567" s="1"/>
      <c r="F567" s="2"/>
    </row>
    <row r="568" spans="1:13" outlineLevel="1">
      <c r="A568" s="8"/>
      <c r="B568" s="1"/>
      <c r="C568" s="1"/>
      <c r="D568" s="1"/>
      <c r="E568" s="1"/>
      <c r="F568" s="2"/>
    </row>
    <row r="569" spans="1:13" outlineLevel="1">
      <c r="A569" s="8"/>
      <c r="B569" s="1"/>
      <c r="C569" s="1"/>
      <c r="D569" s="1"/>
      <c r="E569" s="1"/>
      <c r="F569" s="2"/>
    </row>
    <row r="570" spans="1:13" outlineLevel="1">
      <c r="A570" s="8"/>
      <c r="B570" s="1"/>
      <c r="C570" s="1"/>
      <c r="D570" s="1"/>
      <c r="E570" s="1"/>
      <c r="F570" s="2"/>
    </row>
    <row r="571" spans="1:13" outlineLevel="1">
      <c r="A571" s="8"/>
      <c r="B571" s="1"/>
      <c r="C571" s="1"/>
      <c r="D571" s="1"/>
      <c r="E571" s="1"/>
      <c r="F571" s="2"/>
    </row>
    <row r="572" spans="1:13" ht="15.75" outlineLevel="1" thickBot="1">
      <c r="A572" s="9"/>
      <c r="B572" s="3"/>
      <c r="C572" s="3"/>
      <c r="D572" s="3"/>
      <c r="E572" s="3"/>
      <c r="F572" s="4"/>
    </row>
    <row r="573" spans="1:13" ht="16.5" thickTop="1" thickBot="1"/>
    <row r="574" spans="1:13" ht="15.75" thickTop="1">
      <c r="A574" s="3782" t="s">
        <v>0</v>
      </c>
      <c r="B574" s="3781" t="s">
        <v>1</v>
      </c>
      <c r="C574" s="3781" t="s">
        <v>2</v>
      </c>
      <c r="D574" s="3781" t="s">
        <v>3</v>
      </c>
      <c r="E574" s="3781" t="s">
        <v>4</v>
      </c>
      <c r="F574" s="3765" t="s">
        <v>5</v>
      </c>
    </row>
    <row r="575" spans="1:13" ht="24.75" customHeight="1" collapsed="1" thickBot="1">
      <c r="A575" s="3783"/>
      <c r="B575" s="3767"/>
      <c r="C575" s="3767"/>
      <c r="D575" s="3767"/>
      <c r="E575" s="3767"/>
      <c r="F575" s="3766"/>
    </row>
    <row r="576" spans="1:13" ht="15.75" outlineLevel="1" thickTop="1">
      <c r="A576" s="7" t="s">
        <v>637</v>
      </c>
      <c r="B576" s="5" t="s">
        <v>329</v>
      </c>
      <c r="C576" s="5" t="s">
        <v>510</v>
      </c>
      <c r="D576" s="5" t="s">
        <v>325</v>
      </c>
      <c r="E576" s="175">
        <v>0.22700000000000001</v>
      </c>
      <c r="F576" s="6">
        <v>27052</v>
      </c>
      <c r="G576">
        <v>3600</v>
      </c>
      <c r="H576">
        <f>F576*G576</f>
        <v>97387200</v>
      </c>
      <c r="I576">
        <v>34999</v>
      </c>
      <c r="J576">
        <f>G576*I576</f>
        <v>125996400</v>
      </c>
      <c r="K576">
        <f>J576-H576</f>
        <v>28609200</v>
      </c>
      <c r="L576">
        <f>K576*1.2</f>
        <v>34331040</v>
      </c>
    </row>
    <row r="577" spans="1:13" outlineLevel="1">
      <c r="A577" s="8"/>
      <c r="B577" s="1" t="s">
        <v>330</v>
      </c>
      <c r="C577" s="1" t="s">
        <v>389</v>
      </c>
      <c r="D577" s="5" t="s">
        <v>325</v>
      </c>
      <c r="E577" s="175">
        <v>0.22700000000000001</v>
      </c>
      <c r="F577" s="6">
        <v>27052</v>
      </c>
    </row>
    <row r="578" spans="1:13" outlineLevel="1">
      <c r="A578" s="8"/>
      <c r="B578" s="1" t="s">
        <v>331</v>
      </c>
      <c r="C578" s="1"/>
      <c r="D578" s="1"/>
      <c r="E578" s="1"/>
      <c r="F578" s="2"/>
    </row>
    <row r="579" spans="1:13" outlineLevel="1">
      <c r="A579" s="8"/>
      <c r="B579" s="1" t="s">
        <v>332</v>
      </c>
      <c r="C579" s="1"/>
      <c r="D579" s="1"/>
      <c r="E579" s="1"/>
      <c r="F579" s="2">
        <v>31826</v>
      </c>
    </row>
    <row r="580" spans="1:13" outlineLevel="1">
      <c r="A580" s="8"/>
      <c r="B580" s="1" t="s">
        <v>333</v>
      </c>
      <c r="C580" s="1"/>
      <c r="D580" s="1"/>
      <c r="E580" s="1"/>
      <c r="F580" s="2"/>
    </row>
    <row r="581" spans="1:13" outlineLevel="1">
      <c r="A581" s="8"/>
      <c r="B581" s="1" t="s">
        <v>334</v>
      </c>
      <c r="C581" s="1"/>
      <c r="D581" s="1"/>
      <c r="E581" s="1"/>
      <c r="F581" s="2"/>
    </row>
    <row r="582" spans="1:13" outlineLevel="1">
      <c r="A582" s="8"/>
      <c r="B582" s="1"/>
      <c r="C582" s="1"/>
      <c r="D582" s="1"/>
      <c r="E582" s="1"/>
      <c r="F582" s="2"/>
    </row>
    <row r="583" spans="1:13" outlineLevel="1">
      <c r="A583" s="8"/>
      <c r="B583" s="1"/>
      <c r="C583" s="1"/>
      <c r="D583" s="1"/>
      <c r="E583" s="1"/>
      <c r="F583" s="2"/>
    </row>
    <row r="584" spans="1:13" outlineLevel="1">
      <c r="A584" s="8"/>
      <c r="B584" s="1"/>
      <c r="C584" s="1"/>
      <c r="D584" s="1"/>
      <c r="E584" s="1"/>
      <c r="F584" s="2"/>
    </row>
    <row r="585" spans="1:13" outlineLevel="1">
      <c r="A585" s="8"/>
      <c r="B585" s="1"/>
      <c r="C585" s="1"/>
      <c r="D585" s="1"/>
      <c r="E585" s="1"/>
      <c r="F585" s="2"/>
    </row>
    <row r="586" spans="1:13" outlineLevel="1">
      <c r="A586" s="8"/>
      <c r="B586" s="1"/>
      <c r="C586" s="1"/>
      <c r="D586" s="1"/>
      <c r="E586" s="1"/>
      <c r="F586" s="2"/>
    </row>
    <row r="587" spans="1:13" ht="15.75" outlineLevel="1" thickBot="1">
      <c r="A587" s="9"/>
      <c r="B587" s="3"/>
      <c r="C587" s="3"/>
      <c r="D587" s="3"/>
      <c r="E587" s="3"/>
      <c r="F587" s="4"/>
    </row>
    <row r="588" spans="1:13" ht="16.5" thickTop="1" thickBot="1"/>
    <row r="589" spans="1:13" ht="15.75" thickTop="1">
      <c r="A589" s="3782" t="s">
        <v>0</v>
      </c>
      <c r="B589" s="3781" t="s">
        <v>1</v>
      </c>
      <c r="C589" s="3781" t="s">
        <v>2</v>
      </c>
      <c r="D589" s="3781" t="s">
        <v>3</v>
      </c>
      <c r="E589" s="3781" t="s">
        <v>4</v>
      </c>
      <c r="F589" s="3765" t="s">
        <v>5</v>
      </c>
    </row>
    <row r="590" spans="1:13" ht="24.75" customHeight="1" collapsed="1" thickBot="1">
      <c r="A590" s="3783"/>
      <c r="B590" s="3767"/>
      <c r="C590" s="3767"/>
      <c r="D590" s="3767"/>
      <c r="E590" s="3767"/>
      <c r="F590" s="3766"/>
    </row>
    <row r="591" spans="1:13" ht="15.75" outlineLevel="1" thickTop="1">
      <c r="A591" s="7" t="s">
        <v>639</v>
      </c>
      <c r="B591" s="5" t="s">
        <v>106</v>
      </c>
      <c r="C591" s="5" t="s">
        <v>273</v>
      </c>
      <c r="D591" s="5" t="s">
        <v>343</v>
      </c>
      <c r="E591" s="11">
        <v>0.15</v>
      </c>
      <c r="F591" s="6">
        <v>4749</v>
      </c>
      <c r="G591">
        <v>462</v>
      </c>
      <c r="H591">
        <f>F591*G591</f>
        <v>2194038</v>
      </c>
      <c r="I591">
        <v>5587</v>
      </c>
      <c r="J591">
        <f>G591*I591</f>
        <v>2581194</v>
      </c>
      <c r="K591">
        <f>J591-H591</f>
        <v>387156</v>
      </c>
      <c r="L591">
        <f>K591*1.2</f>
        <v>464587.2</v>
      </c>
      <c r="M591">
        <f>F591*1.2</f>
        <v>5698.8</v>
      </c>
    </row>
    <row r="592" spans="1:13" outlineLevel="1">
      <c r="A592" s="8"/>
      <c r="B592" s="1"/>
      <c r="C592" s="1" t="s">
        <v>177</v>
      </c>
      <c r="D592" s="5" t="s">
        <v>343</v>
      </c>
      <c r="E592" s="11">
        <v>0.15</v>
      </c>
      <c r="F592" s="2">
        <v>4749</v>
      </c>
    </row>
    <row r="593" spans="1:13" outlineLevel="1">
      <c r="A593" s="8"/>
      <c r="B593" s="1"/>
      <c r="C593" s="1" t="s">
        <v>178</v>
      </c>
      <c r="D593" s="5" t="s">
        <v>343</v>
      </c>
      <c r="E593" s="11">
        <v>0.15</v>
      </c>
      <c r="F593" s="2">
        <v>4749</v>
      </c>
    </row>
    <row r="594" spans="1:13" outlineLevel="1">
      <c r="A594" s="8"/>
      <c r="B594" s="1"/>
      <c r="C594" s="1" t="s">
        <v>27</v>
      </c>
      <c r="D594" s="1" t="s">
        <v>325</v>
      </c>
      <c r="E594" s="11">
        <v>0.15</v>
      </c>
      <c r="F594" s="2">
        <v>7533</v>
      </c>
      <c r="G594">
        <v>1660</v>
      </c>
      <c r="H594">
        <f>F594*G594</f>
        <v>12504780</v>
      </c>
      <c r="I594">
        <v>8862</v>
      </c>
      <c r="J594">
        <f>G594*I594</f>
        <v>14710920</v>
      </c>
      <c r="K594">
        <f>J594-H594</f>
        <v>2206140</v>
      </c>
      <c r="L594">
        <f>K594*1.2</f>
        <v>2647368</v>
      </c>
    </row>
    <row r="595" spans="1:13" outlineLevel="1">
      <c r="A595" s="8"/>
      <c r="B595" s="1"/>
      <c r="C595" s="1" t="s">
        <v>28</v>
      </c>
      <c r="D595" s="1" t="s">
        <v>325</v>
      </c>
      <c r="E595" s="11">
        <v>0.15</v>
      </c>
      <c r="F595" s="2">
        <v>7533</v>
      </c>
    </row>
    <row r="596" spans="1:13" outlineLevel="1">
      <c r="A596" s="8"/>
      <c r="B596" s="1"/>
      <c r="C596" s="1" t="s">
        <v>29</v>
      </c>
      <c r="D596" s="1" t="s">
        <v>325</v>
      </c>
      <c r="E596" s="11">
        <v>0.15</v>
      </c>
      <c r="F596" s="2">
        <v>7533</v>
      </c>
    </row>
    <row r="597" spans="1:13" outlineLevel="1">
      <c r="A597" s="8"/>
      <c r="B597" s="1"/>
      <c r="C597" s="1"/>
      <c r="D597" s="1"/>
      <c r="E597" s="1"/>
      <c r="F597" s="2"/>
    </row>
    <row r="598" spans="1:13" outlineLevel="1">
      <c r="A598" s="8"/>
      <c r="B598" s="1"/>
      <c r="C598" s="1"/>
      <c r="D598" s="1"/>
      <c r="E598" s="1"/>
      <c r="F598" s="2"/>
    </row>
    <row r="599" spans="1:13" outlineLevel="1">
      <c r="A599" s="8"/>
      <c r="B599" s="1"/>
      <c r="C599" s="1"/>
      <c r="D599" s="1"/>
      <c r="E599" s="1"/>
      <c r="F599" s="2"/>
    </row>
    <row r="600" spans="1:13" outlineLevel="1">
      <c r="A600" s="8"/>
      <c r="B600" s="1"/>
      <c r="C600" s="1"/>
      <c r="D600" s="1"/>
      <c r="E600" s="1"/>
      <c r="F600" s="2"/>
    </row>
    <row r="601" spans="1:13" outlineLevel="1">
      <c r="A601" s="8"/>
      <c r="B601" s="1"/>
      <c r="C601" s="1"/>
      <c r="D601" s="1"/>
      <c r="E601" s="1"/>
      <c r="F601" s="2"/>
    </row>
    <row r="602" spans="1:13" ht="15.75" outlineLevel="1" thickBot="1">
      <c r="A602" s="9"/>
      <c r="B602" s="3"/>
      <c r="C602" s="3"/>
      <c r="D602" s="3"/>
      <c r="E602" s="3"/>
      <c r="F602" s="4"/>
    </row>
    <row r="603" spans="1:13" ht="16.5" thickTop="1" thickBot="1"/>
    <row r="604" spans="1:13" ht="15.75" thickTop="1">
      <c r="A604" s="3782" t="s">
        <v>0</v>
      </c>
      <c r="B604" s="3781" t="s">
        <v>1</v>
      </c>
      <c r="C604" s="3781" t="s">
        <v>2</v>
      </c>
      <c r="D604" s="3781" t="s">
        <v>3</v>
      </c>
      <c r="E604" s="3781" t="s">
        <v>4</v>
      </c>
      <c r="F604" s="3765" t="s">
        <v>5</v>
      </c>
    </row>
    <row r="605" spans="1:13" ht="24.75" customHeight="1" collapsed="1" thickBot="1">
      <c r="A605" s="3783"/>
      <c r="B605" s="3767"/>
      <c r="C605" s="3767"/>
      <c r="D605" s="3767"/>
      <c r="E605" s="3767"/>
      <c r="F605" s="3766"/>
    </row>
    <row r="606" spans="1:13" ht="15.75" outlineLevel="1" thickTop="1">
      <c r="A606" s="7" t="s">
        <v>640</v>
      </c>
      <c r="B606" s="5" t="s">
        <v>106</v>
      </c>
      <c r="C606" s="5" t="s">
        <v>22</v>
      </c>
      <c r="D606" s="5" t="s">
        <v>343</v>
      </c>
      <c r="E606" s="11">
        <v>0.15</v>
      </c>
      <c r="F606" s="6">
        <v>10655</v>
      </c>
      <c r="G606">
        <v>170</v>
      </c>
      <c r="H606">
        <f>F606*G606</f>
        <v>1811350</v>
      </c>
      <c r="I606">
        <v>12535</v>
      </c>
      <c r="J606">
        <f>G606*I606</f>
        <v>2130950</v>
      </c>
      <c r="K606">
        <f>J606-H606</f>
        <v>319600</v>
      </c>
      <c r="L606">
        <f>K606*1.2</f>
        <v>383520</v>
      </c>
      <c r="M606">
        <f>F606*1.2</f>
        <v>12786</v>
      </c>
    </row>
    <row r="607" spans="1:13" outlineLevel="1">
      <c r="A607" s="8"/>
      <c r="B607" s="1"/>
      <c r="C607" s="1" t="s">
        <v>641</v>
      </c>
      <c r="D607" s="5" t="s">
        <v>343</v>
      </c>
      <c r="E607" s="11">
        <v>0.15</v>
      </c>
      <c r="F607" s="2">
        <v>6518</v>
      </c>
      <c r="G607">
        <v>122</v>
      </c>
      <c r="H607">
        <f>F607*G607</f>
        <v>795196</v>
      </c>
      <c r="I607">
        <v>7668</v>
      </c>
      <c r="J607">
        <f>G607*I607</f>
        <v>935496</v>
      </c>
      <c r="K607">
        <f>J607-H607</f>
        <v>140300</v>
      </c>
      <c r="L607">
        <f>K607*1.2</f>
        <v>168360</v>
      </c>
      <c r="M607">
        <f>F607*1.2</f>
        <v>7821.5999999999995</v>
      </c>
    </row>
    <row r="608" spans="1:13" outlineLevel="1">
      <c r="A608" s="8"/>
      <c r="B608" s="1"/>
      <c r="C608" s="1" t="s">
        <v>23</v>
      </c>
      <c r="D608" s="5" t="s">
        <v>343</v>
      </c>
      <c r="E608" s="11">
        <v>0.15</v>
      </c>
      <c r="F608" s="2">
        <v>6518</v>
      </c>
      <c r="G608">
        <v>340</v>
      </c>
      <c r="H608">
        <f>F608*G608</f>
        <v>2216120</v>
      </c>
      <c r="I608">
        <v>7668</v>
      </c>
      <c r="J608">
        <f>G608*I608</f>
        <v>2607120</v>
      </c>
      <c r="K608">
        <f>J608-H608</f>
        <v>391000</v>
      </c>
      <c r="L608">
        <f>K608*1.2</f>
        <v>469200</v>
      </c>
      <c r="M608">
        <f>F608*1.2</f>
        <v>7821.5999999999995</v>
      </c>
    </row>
    <row r="609" spans="1:12" outlineLevel="1">
      <c r="A609" s="8"/>
      <c r="B609" s="1"/>
      <c r="C609" s="1" t="s">
        <v>24</v>
      </c>
      <c r="D609" s="5" t="s">
        <v>343</v>
      </c>
      <c r="E609" s="11">
        <v>0.15</v>
      </c>
      <c r="F609" s="2">
        <v>6518</v>
      </c>
    </row>
    <row r="610" spans="1:12" outlineLevel="1">
      <c r="A610" s="8"/>
      <c r="B610" s="1"/>
      <c r="C610" s="1" t="s">
        <v>550</v>
      </c>
      <c r="D610" s="1" t="s">
        <v>325</v>
      </c>
      <c r="E610" s="11">
        <v>0.12</v>
      </c>
      <c r="F610" s="2">
        <v>141988</v>
      </c>
      <c r="G610">
        <v>44</v>
      </c>
      <c r="H610">
        <f>F610*G610</f>
        <v>6247472</v>
      </c>
      <c r="I610">
        <v>161350</v>
      </c>
      <c r="J610">
        <f>G610*I610</f>
        <v>7099400</v>
      </c>
      <c r="K610">
        <f>J610-H610</f>
        <v>851928</v>
      </c>
      <c r="L610">
        <f>K610*1.2</f>
        <v>1022313.6</v>
      </c>
    </row>
    <row r="611" spans="1:12" outlineLevel="1">
      <c r="A611" s="8"/>
      <c r="B611" s="1"/>
      <c r="C611" s="1" t="s">
        <v>549</v>
      </c>
      <c r="D611" s="1" t="s">
        <v>325</v>
      </c>
      <c r="E611" s="11">
        <v>0.12</v>
      </c>
      <c r="F611" s="2">
        <v>165953</v>
      </c>
      <c r="G611">
        <v>48</v>
      </c>
      <c r="H611">
        <f>F611*G611</f>
        <v>7965744</v>
      </c>
      <c r="I611">
        <v>188583</v>
      </c>
      <c r="J611">
        <f>G611*I611</f>
        <v>9051984</v>
      </c>
      <c r="K611">
        <f>J611-H611</f>
        <v>1086240</v>
      </c>
      <c r="L611">
        <f>K611*1.2</f>
        <v>1303488</v>
      </c>
    </row>
    <row r="612" spans="1:12" outlineLevel="1">
      <c r="A612" s="8"/>
      <c r="B612" s="1"/>
      <c r="C612" s="1" t="s">
        <v>161</v>
      </c>
      <c r="D612" s="5" t="s">
        <v>343</v>
      </c>
      <c r="E612" s="12">
        <v>7.0000000000000007E-2</v>
      </c>
      <c r="F612" s="2">
        <v>139922</v>
      </c>
      <c r="G612">
        <v>118</v>
      </c>
      <c r="H612">
        <f>F612*G612</f>
        <v>16510796</v>
      </c>
      <c r="I612">
        <v>150454</v>
      </c>
      <c r="J612">
        <f>G612*I612</f>
        <v>17753572</v>
      </c>
      <c r="K612">
        <f>J612-H612</f>
        <v>1242776</v>
      </c>
      <c r="L612">
        <f>K612*1.2</f>
        <v>1491331.2</v>
      </c>
    </row>
    <row r="613" spans="1:12" outlineLevel="1">
      <c r="A613" s="8"/>
      <c r="B613" s="1"/>
      <c r="C613" s="1" t="s">
        <v>113</v>
      </c>
      <c r="D613" s="5" t="s">
        <v>343</v>
      </c>
      <c r="E613" s="12">
        <v>7.0000000000000007E-2</v>
      </c>
      <c r="F613" s="2">
        <v>139922</v>
      </c>
    </row>
    <row r="614" spans="1:12" outlineLevel="1">
      <c r="A614" s="8"/>
      <c r="B614" s="1"/>
      <c r="C614" s="1" t="s">
        <v>160</v>
      </c>
      <c r="D614" s="5" t="s">
        <v>343</v>
      </c>
      <c r="E614" s="12">
        <v>7.0000000000000007E-2</v>
      </c>
      <c r="F614" s="2">
        <v>139922</v>
      </c>
    </row>
    <row r="615" spans="1:12" outlineLevel="1">
      <c r="A615" s="8"/>
      <c r="B615" s="1"/>
      <c r="C615" s="1"/>
      <c r="D615" s="1"/>
      <c r="E615" s="1"/>
      <c r="F615" s="2"/>
    </row>
    <row r="616" spans="1:12" outlineLevel="1">
      <c r="A616" s="8"/>
      <c r="B616" s="1"/>
      <c r="C616" s="1"/>
      <c r="D616" s="1"/>
      <c r="E616" s="1"/>
      <c r="F616" s="2"/>
    </row>
    <row r="617" spans="1:12" ht="15.75" outlineLevel="1" thickBot="1">
      <c r="A617" s="9"/>
      <c r="B617" s="3"/>
      <c r="C617" s="3"/>
      <c r="D617" s="3"/>
      <c r="E617" s="3"/>
      <c r="F617" s="4"/>
    </row>
    <row r="618" spans="1:12" ht="16.5" thickTop="1" thickBot="1"/>
    <row r="619" spans="1:12" ht="15.75" thickTop="1">
      <c r="A619" s="3782" t="s">
        <v>0</v>
      </c>
      <c r="B619" s="3781" t="s">
        <v>1</v>
      </c>
      <c r="C619" s="3781" t="s">
        <v>2</v>
      </c>
      <c r="D619" s="3781" t="s">
        <v>3</v>
      </c>
      <c r="E619" s="3781" t="s">
        <v>4</v>
      </c>
      <c r="F619" s="3765" t="s">
        <v>5</v>
      </c>
    </row>
    <row r="620" spans="1:12" ht="24.75" customHeight="1" collapsed="1" thickBot="1">
      <c r="A620" s="3783"/>
      <c r="B620" s="3767"/>
      <c r="C620" s="3767"/>
      <c r="D620" s="3767"/>
      <c r="E620" s="3767"/>
      <c r="F620" s="3766"/>
    </row>
    <row r="621" spans="1:12" ht="15.75" outlineLevel="1" thickTop="1">
      <c r="A621" s="7" t="s">
        <v>642</v>
      </c>
      <c r="B621" s="5" t="s">
        <v>329</v>
      </c>
      <c r="C621" s="5" t="s">
        <v>160</v>
      </c>
      <c r="D621" s="1" t="s">
        <v>325</v>
      </c>
      <c r="E621" s="177">
        <v>1.38E-2</v>
      </c>
      <c r="F621" s="6">
        <v>148371</v>
      </c>
      <c r="G621">
        <v>1231</v>
      </c>
      <c r="H621">
        <f>F621*G621</f>
        <v>182644701</v>
      </c>
      <c r="I621">
        <v>150454</v>
      </c>
      <c r="J621">
        <f>G621*I621</f>
        <v>185208874</v>
      </c>
      <c r="K621">
        <f>J621-H621</f>
        <v>2564173</v>
      </c>
      <c r="L621">
        <f>K621*1.1</f>
        <v>2820590.3000000003</v>
      </c>
    </row>
    <row r="622" spans="1:12" outlineLevel="1">
      <c r="A622" s="8"/>
      <c r="B622" s="1" t="s">
        <v>330</v>
      </c>
      <c r="C622" s="1" t="s">
        <v>113</v>
      </c>
      <c r="D622" s="1" t="s">
        <v>325</v>
      </c>
      <c r="E622" s="177">
        <v>1.38E-2</v>
      </c>
      <c r="F622" s="6">
        <v>148371</v>
      </c>
    </row>
    <row r="623" spans="1:12" outlineLevel="1">
      <c r="A623" s="8"/>
      <c r="B623" s="1" t="s">
        <v>331</v>
      </c>
      <c r="C623" s="1" t="s">
        <v>643</v>
      </c>
      <c r="D623" s="1" t="s">
        <v>325</v>
      </c>
      <c r="E623" s="177">
        <v>1.38E-2</v>
      </c>
      <c r="F623" s="6">
        <v>148371</v>
      </c>
    </row>
    <row r="624" spans="1:12" outlineLevel="1">
      <c r="A624" s="8"/>
      <c r="B624" s="1" t="s">
        <v>332</v>
      </c>
      <c r="C624" s="1" t="s">
        <v>161</v>
      </c>
      <c r="D624" s="1" t="s">
        <v>325</v>
      </c>
      <c r="E624" s="177">
        <v>1.38E-2</v>
      </c>
      <c r="F624" s="6">
        <v>148371</v>
      </c>
    </row>
    <row r="625" spans="1:12" outlineLevel="1">
      <c r="A625" s="8"/>
      <c r="B625" s="1" t="s">
        <v>333</v>
      </c>
      <c r="C625" s="1" t="s">
        <v>328</v>
      </c>
      <c r="D625" s="1" t="s">
        <v>325</v>
      </c>
      <c r="E625" s="12">
        <v>0.02</v>
      </c>
      <c r="F625" s="2">
        <v>169044</v>
      </c>
      <c r="G625">
        <v>432</v>
      </c>
      <c r="H625">
        <f>F625*G625</f>
        <v>73027008</v>
      </c>
      <c r="I625">
        <v>172545</v>
      </c>
      <c r="J625">
        <f>G625*I625</f>
        <v>74539440</v>
      </c>
      <c r="K625">
        <f>J625-H625</f>
        <v>1512432</v>
      </c>
      <c r="L625">
        <f>K625*1.1</f>
        <v>1663675.2000000002</v>
      </c>
    </row>
    <row r="626" spans="1:12" outlineLevel="1">
      <c r="A626" s="8"/>
      <c r="B626" s="1" t="s">
        <v>334</v>
      </c>
      <c r="C626" s="1" t="s">
        <v>326</v>
      </c>
      <c r="D626" s="1" t="s">
        <v>325</v>
      </c>
      <c r="E626" s="12">
        <v>0.02</v>
      </c>
      <c r="F626" s="2">
        <v>169044</v>
      </c>
    </row>
    <row r="627" spans="1:12" outlineLevel="1">
      <c r="A627" s="8"/>
      <c r="B627" s="1"/>
      <c r="C627" s="1" t="s">
        <v>327</v>
      </c>
      <c r="D627" s="1" t="s">
        <v>325</v>
      </c>
      <c r="E627" s="12">
        <v>0.02</v>
      </c>
      <c r="F627" s="2">
        <v>169044</v>
      </c>
    </row>
    <row r="628" spans="1:12" outlineLevel="1">
      <c r="A628" s="8"/>
      <c r="B628" s="1"/>
      <c r="C628" s="1"/>
      <c r="D628" s="1"/>
      <c r="E628" s="1"/>
      <c r="F628" s="2"/>
    </row>
    <row r="629" spans="1:12" outlineLevel="1">
      <c r="A629" s="8"/>
      <c r="B629" s="1"/>
      <c r="C629" s="1"/>
      <c r="D629" s="1"/>
      <c r="E629" s="1"/>
      <c r="F629" s="2"/>
    </row>
    <row r="630" spans="1:12" outlineLevel="1">
      <c r="A630" s="8"/>
      <c r="B630" s="1"/>
      <c r="C630" s="1"/>
      <c r="D630" s="1"/>
      <c r="E630" s="1"/>
      <c r="F630" s="2"/>
    </row>
    <row r="631" spans="1:12" outlineLevel="1">
      <c r="A631" s="8"/>
      <c r="B631" s="1"/>
      <c r="C631" s="1"/>
      <c r="D631" s="1"/>
      <c r="E631" s="1"/>
      <c r="F631" s="2"/>
    </row>
    <row r="632" spans="1:12" ht="15.75" outlineLevel="1" thickBot="1">
      <c r="A632" s="9"/>
      <c r="B632" s="3"/>
      <c r="C632" s="3"/>
      <c r="D632" s="3"/>
      <c r="E632" s="3"/>
      <c r="F632" s="4"/>
    </row>
    <row r="633" spans="1:12" ht="16.5" thickTop="1" thickBot="1"/>
    <row r="634" spans="1:12" ht="15.75" thickTop="1">
      <c r="A634" s="3782" t="s">
        <v>0</v>
      </c>
      <c r="B634" s="3781" t="s">
        <v>1</v>
      </c>
      <c r="C634" s="3781" t="s">
        <v>2</v>
      </c>
      <c r="D634" s="3781" t="s">
        <v>3</v>
      </c>
      <c r="E634" s="3781" t="s">
        <v>4</v>
      </c>
      <c r="F634" s="3765" t="s">
        <v>5</v>
      </c>
    </row>
    <row r="635" spans="1:12" ht="24.75" customHeight="1" collapsed="1" thickBot="1">
      <c r="A635" s="3783"/>
      <c r="B635" s="3767"/>
      <c r="C635" s="3767"/>
      <c r="D635" s="3767"/>
      <c r="E635" s="3767"/>
      <c r="F635" s="3766"/>
    </row>
    <row r="636" spans="1:12" ht="15.75" outlineLevel="1" thickTop="1">
      <c r="A636" s="7" t="s">
        <v>646</v>
      </c>
      <c r="B636" s="5" t="s">
        <v>115</v>
      </c>
      <c r="C636" s="5" t="s">
        <v>27</v>
      </c>
      <c r="D636" s="1" t="s">
        <v>325</v>
      </c>
      <c r="E636" s="175">
        <v>0.15</v>
      </c>
      <c r="F636" s="6">
        <v>7533</v>
      </c>
      <c r="G636">
        <v>3429</v>
      </c>
      <c r="H636">
        <f>F636*G636</f>
        <v>25830657</v>
      </c>
      <c r="I636">
        <v>8862</v>
      </c>
      <c r="J636">
        <f>G636*I636</f>
        <v>30387798</v>
      </c>
      <c r="K636">
        <f>J636-H636</f>
        <v>4557141</v>
      </c>
      <c r="L636">
        <f>K636*1.2</f>
        <v>5468569.2000000002</v>
      </c>
    </row>
    <row r="637" spans="1:12" outlineLevel="1">
      <c r="A637" s="8"/>
      <c r="B637" s="1" t="s">
        <v>116</v>
      </c>
      <c r="C637" s="1" t="s">
        <v>28</v>
      </c>
      <c r="D637" s="1" t="s">
        <v>325</v>
      </c>
      <c r="E637" s="175">
        <v>0.15</v>
      </c>
      <c r="F637" s="6">
        <v>7533</v>
      </c>
    </row>
    <row r="638" spans="1:12" outlineLevel="1">
      <c r="A638" s="8"/>
      <c r="B638" s="1"/>
      <c r="C638" s="1" t="s">
        <v>29</v>
      </c>
      <c r="D638" s="1" t="s">
        <v>325</v>
      </c>
      <c r="E638" s="175">
        <v>0.15</v>
      </c>
      <c r="F638" s="6">
        <v>7533</v>
      </c>
    </row>
    <row r="639" spans="1:12" outlineLevel="1">
      <c r="A639" s="8"/>
      <c r="B639" s="1"/>
      <c r="C639" s="1" t="s">
        <v>647</v>
      </c>
      <c r="D639" s="1" t="s">
        <v>325</v>
      </c>
      <c r="E639" s="175">
        <v>0.15</v>
      </c>
      <c r="F639" s="2">
        <v>5393</v>
      </c>
      <c r="G639">
        <v>2178</v>
      </c>
      <c r="H639">
        <f>F639*G639</f>
        <v>11745954</v>
      </c>
      <c r="I639">
        <v>6345</v>
      </c>
      <c r="J639">
        <f>G639*I639</f>
        <v>13819410</v>
      </c>
      <c r="K639">
        <f>J639-H639</f>
        <v>2073456</v>
      </c>
      <c r="L639">
        <f>K639*1.2</f>
        <v>2488147.1999999997</v>
      </c>
    </row>
    <row r="640" spans="1:12" outlineLevel="1">
      <c r="A640" s="8"/>
      <c r="B640" s="1"/>
      <c r="C640" s="1" t="s">
        <v>648</v>
      </c>
      <c r="D640" s="1" t="s">
        <v>325</v>
      </c>
      <c r="E640" s="175">
        <v>0.15</v>
      </c>
      <c r="F640" s="2">
        <v>5393</v>
      </c>
    </row>
    <row r="641" spans="1:12" outlineLevel="1">
      <c r="A641" s="8"/>
      <c r="B641" s="1"/>
      <c r="C641" s="1" t="s">
        <v>465</v>
      </c>
      <c r="D641" s="1" t="s">
        <v>325</v>
      </c>
      <c r="E641" s="175">
        <v>0.15</v>
      </c>
      <c r="F641" s="2">
        <v>8060</v>
      </c>
      <c r="G641">
        <v>2449</v>
      </c>
      <c r="H641">
        <f>F641*G641</f>
        <v>19738940</v>
      </c>
      <c r="I641">
        <v>9482</v>
      </c>
      <c r="J641">
        <f>G641*I641</f>
        <v>23221418</v>
      </c>
      <c r="K641">
        <f>J641-H641</f>
        <v>3482478</v>
      </c>
      <c r="L641">
        <f>K641*1.2</f>
        <v>4178973.5999999996</v>
      </c>
    </row>
    <row r="642" spans="1:12" outlineLevel="1">
      <c r="A642" s="8"/>
      <c r="B642" s="1"/>
      <c r="C642" s="31" t="s">
        <v>160</v>
      </c>
      <c r="D642" s="31" t="s">
        <v>325</v>
      </c>
      <c r="E642" s="285">
        <v>7.0000000000000007E-2</v>
      </c>
      <c r="F642" s="281">
        <v>139922</v>
      </c>
      <c r="G642">
        <v>351</v>
      </c>
      <c r="H642">
        <f>F642*G642</f>
        <v>49112622</v>
      </c>
      <c r="I642">
        <v>150454</v>
      </c>
      <c r="J642">
        <f>G642*I642</f>
        <v>52809354</v>
      </c>
      <c r="K642">
        <f>J642-H642</f>
        <v>3696732</v>
      </c>
      <c r="L642">
        <f>K642*1.1</f>
        <v>4066405.2</v>
      </c>
    </row>
    <row r="643" spans="1:12" outlineLevel="1">
      <c r="A643" s="8"/>
      <c r="B643" s="1"/>
      <c r="C643" s="31" t="s">
        <v>113</v>
      </c>
      <c r="D643" s="31" t="s">
        <v>325</v>
      </c>
      <c r="E643" s="285">
        <v>7.0000000000000007E-2</v>
      </c>
      <c r="F643" s="281">
        <v>139922</v>
      </c>
    </row>
    <row r="644" spans="1:12" outlineLevel="1">
      <c r="A644" s="8"/>
      <c r="B644" s="1"/>
      <c r="C644" s="31" t="s">
        <v>161</v>
      </c>
      <c r="D644" s="31" t="s">
        <v>325</v>
      </c>
      <c r="E644" s="285">
        <v>7.0000000000000007E-2</v>
      </c>
      <c r="F644" s="281">
        <v>139922</v>
      </c>
    </row>
    <row r="645" spans="1:12" outlineLevel="1">
      <c r="A645" s="8"/>
      <c r="B645" s="1"/>
      <c r="C645" s="1"/>
      <c r="D645" s="1"/>
      <c r="E645" s="1"/>
      <c r="F645" s="2"/>
    </row>
    <row r="646" spans="1:12" outlineLevel="1">
      <c r="A646" s="8"/>
      <c r="B646" s="1"/>
      <c r="C646" s="1"/>
      <c r="D646" s="1"/>
      <c r="E646" s="1"/>
      <c r="F646" s="2"/>
    </row>
    <row r="647" spans="1:12" ht="15.75" outlineLevel="1" thickBot="1">
      <c r="A647" s="9"/>
      <c r="B647" s="3"/>
      <c r="C647" s="3"/>
      <c r="D647" s="3"/>
      <c r="E647" s="3"/>
      <c r="F647" s="4"/>
    </row>
    <row r="648" spans="1:12" ht="16.5" thickTop="1" thickBot="1"/>
    <row r="649" spans="1:12" ht="15.75" thickTop="1">
      <c r="A649" s="3782" t="s">
        <v>0</v>
      </c>
      <c r="B649" s="3781" t="s">
        <v>1</v>
      </c>
      <c r="C649" s="3781" t="s">
        <v>2</v>
      </c>
      <c r="D649" s="3781" t="s">
        <v>3</v>
      </c>
      <c r="E649" s="3781" t="s">
        <v>4</v>
      </c>
      <c r="F649" s="3765" t="s">
        <v>5</v>
      </c>
    </row>
    <row r="650" spans="1:12" ht="24.75" customHeight="1" collapsed="1" thickBot="1">
      <c r="A650" s="3783"/>
      <c r="B650" s="3767"/>
      <c r="C650" s="3767"/>
      <c r="D650" s="3767"/>
      <c r="E650" s="3767"/>
      <c r="F650" s="3766"/>
    </row>
    <row r="651" spans="1:12" ht="15.75" outlineLevel="1" thickTop="1">
      <c r="A651" s="7" t="s">
        <v>650</v>
      </c>
      <c r="B651" s="1" t="s">
        <v>334</v>
      </c>
      <c r="C651" s="1" t="s">
        <v>328</v>
      </c>
      <c r="D651" s="1" t="s">
        <v>325</v>
      </c>
      <c r="E651" s="11">
        <v>0.15</v>
      </c>
      <c r="F651" s="6">
        <v>143687</v>
      </c>
      <c r="G651">
        <v>7840</v>
      </c>
      <c r="H651">
        <f>F651*G651</f>
        <v>1126506080</v>
      </c>
      <c r="I651">
        <v>172545</v>
      </c>
      <c r="J651">
        <f>G651*I651</f>
        <v>1352752800</v>
      </c>
      <c r="K651">
        <f>J651-H651</f>
        <v>226246720</v>
      </c>
      <c r="L651">
        <f>K651*1.1</f>
        <v>248871392.00000003</v>
      </c>
    </row>
    <row r="652" spans="1:12" outlineLevel="1">
      <c r="A652" s="8"/>
      <c r="B652" s="1"/>
      <c r="C652" s="1" t="s">
        <v>326</v>
      </c>
      <c r="D652" s="1" t="s">
        <v>325</v>
      </c>
      <c r="E652" s="11">
        <v>0.15</v>
      </c>
      <c r="F652" s="6">
        <v>143687</v>
      </c>
    </row>
    <row r="653" spans="1:12" outlineLevel="1">
      <c r="A653" s="8"/>
      <c r="B653" s="1"/>
      <c r="C653" s="1" t="s">
        <v>327</v>
      </c>
      <c r="D653" s="1" t="s">
        <v>325</v>
      </c>
      <c r="E653" s="11">
        <v>0.15</v>
      </c>
      <c r="F653" s="6">
        <v>143687</v>
      </c>
    </row>
    <row r="654" spans="1:12" outlineLevel="1">
      <c r="A654" s="8"/>
      <c r="B654" s="1"/>
      <c r="C654" s="1"/>
      <c r="D654" s="1"/>
      <c r="E654" s="1"/>
      <c r="F654" s="2"/>
    </row>
    <row r="655" spans="1:12" outlineLevel="1">
      <c r="A655" s="8"/>
      <c r="B655" s="1"/>
      <c r="C655" s="1"/>
      <c r="D655" s="1"/>
      <c r="E655" s="1"/>
      <c r="F655" s="2"/>
    </row>
    <row r="656" spans="1:12" outlineLevel="1">
      <c r="A656" s="8"/>
      <c r="B656" s="1"/>
      <c r="C656" s="1"/>
      <c r="D656" s="1"/>
      <c r="E656" s="1"/>
      <c r="F656" s="2"/>
    </row>
    <row r="657" spans="1:12" outlineLevel="1">
      <c r="A657" s="8"/>
      <c r="B657" s="1"/>
      <c r="C657" s="1"/>
      <c r="D657" s="1"/>
      <c r="E657" s="1"/>
      <c r="F657" s="2"/>
    </row>
    <row r="658" spans="1:12" outlineLevel="1">
      <c r="A658" s="8"/>
      <c r="B658" s="1"/>
      <c r="C658" s="1"/>
      <c r="D658" s="1"/>
      <c r="E658" s="1"/>
      <c r="F658" s="2"/>
    </row>
    <row r="659" spans="1:12" outlineLevel="1">
      <c r="A659" s="8"/>
      <c r="B659" s="1"/>
      <c r="C659" s="1"/>
      <c r="D659" s="1"/>
      <c r="E659" s="1"/>
      <c r="F659" s="2"/>
    </row>
    <row r="660" spans="1:12" outlineLevel="1">
      <c r="A660" s="8"/>
      <c r="B660" s="1"/>
      <c r="C660" s="1"/>
      <c r="D660" s="1"/>
      <c r="E660" s="1"/>
      <c r="F660" s="2"/>
    </row>
    <row r="661" spans="1:12" outlineLevel="1">
      <c r="A661" s="8"/>
      <c r="B661" s="1"/>
      <c r="C661" s="1"/>
      <c r="D661" s="1"/>
      <c r="E661" s="1"/>
      <c r="F661" s="2"/>
    </row>
    <row r="662" spans="1:12" ht="15.75" outlineLevel="1" thickBot="1">
      <c r="A662" s="9"/>
      <c r="B662" s="3"/>
      <c r="C662" s="3"/>
      <c r="D662" s="3"/>
      <c r="E662" s="3"/>
      <c r="F662" s="4"/>
    </row>
    <row r="663" spans="1:12" ht="16.5" thickTop="1" thickBot="1"/>
    <row r="664" spans="1:12" ht="15.75" thickTop="1">
      <c r="A664" s="3808" t="s">
        <v>0</v>
      </c>
      <c r="B664" s="3804" t="s">
        <v>1</v>
      </c>
      <c r="C664" s="3804" t="s">
        <v>2</v>
      </c>
      <c r="D664" s="3804" t="s">
        <v>3</v>
      </c>
      <c r="E664" s="3804" t="s">
        <v>4</v>
      </c>
      <c r="F664" s="3806" t="s">
        <v>5</v>
      </c>
      <c r="G664" s="176"/>
      <c r="H664" s="176"/>
      <c r="I664" s="176"/>
      <c r="J664" s="176"/>
      <c r="K664" s="176"/>
      <c r="L664" s="176"/>
    </row>
    <row r="665" spans="1:12" ht="24.75" customHeight="1" collapsed="1" thickBot="1">
      <c r="A665" s="3809"/>
      <c r="B665" s="3805"/>
      <c r="C665" s="3805"/>
      <c r="D665" s="3805"/>
      <c r="E665" s="3805"/>
      <c r="F665" s="3807"/>
      <c r="G665" s="176"/>
      <c r="H665" s="176"/>
      <c r="I665" s="176"/>
      <c r="J665" s="176"/>
      <c r="K665" s="176"/>
      <c r="L665" s="176"/>
    </row>
    <row r="666" spans="1:12" ht="15.75" outlineLevel="1" thickTop="1">
      <c r="A666" s="277" t="s">
        <v>716</v>
      </c>
      <c r="B666" s="191" t="s">
        <v>329</v>
      </c>
      <c r="C666" s="191" t="s">
        <v>160</v>
      </c>
      <c r="D666" s="31" t="s">
        <v>325</v>
      </c>
      <c r="E666" s="338">
        <v>1.38E-2</v>
      </c>
      <c r="F666" s="279">
        <v>148371</v>
      </c>
      <c r="G666" s="176">
        <v>684</v>
      </c>
      <c r="H666" s="176">
        <f>F666*G666</f>
        <v>101485764</v>
      </c>
      <c r="I666" s="176">
        <v>150454</v>
      </c>
      <c r="J666" s="176">
        <f>G666*I666</f>
        <v>102910536</v>
      </c>
      <c r="K666" s="176">
        <f>J666-H666</f>
        <v>1424772</v>
      </c>
      <c r="L666" s="176">
        <f>K666*1.1</f>
        <v>1567249.2000000002</v>
      </c>
    </row>
    <row r="667" spans="1:12" outlineLevel="1">
      <c r="A667" s="280"/>
      <c r="B667" s="31" t="s">
        <v>330</v>
      </c>
      <c r="C667" s="31" t="s">
        <v>113</v>
      </c>
      <c r="D667" s="31" t="s">
        <v>325</v>
      </c>
      <c r="E667" s="338">
        <v>1.38E-2</v>
      </c>
      <c r="F667" s="279">
        <v>148371</v>
      </c>
      <c r="G667" s="176"/>
      <c r="H667" s="176"/>
      <c r="I667" s="176"/>
      <c r="J667" s="176"/>
      <c r="K667" s="176"/>
      <c r="L667" s="176"/>
    </row>
    <row r="668" spans="1:12" outlineLevel="1">
      <c r="A668" s="280"/>
      <c r="B668" s="31" t="s">
        <v>331</v>
      </c>
      <c r="C668" s="31" t="s">
        <v>643</v>
      </c>
      <c r="D668" s="31" t="s">
        <v>325</v>
      </c>
      <c r="E668" s="338">
        <v>1.38E-2</v>
      </c>
      <c r="F668" s="279">
        <v>148371</v>
      </c>
      <c r="G668" s="176"/>
      <c r="H668" s="176"/>
      <c r="I668" s="176"/>
      <c r="J668" s="176"/>
      <c r="K668" s="176"/>
      <c r="L668" s="176"/>
    </row>
    <row r="669" spans="1:12" outlineLevel="1">
      <c r="A669" s="280"/>
      <c r="B669" s="31" t="s">
        <v>332</v>
      </c>
      <c r="C669" s="31" t="s">
        <v>161</v>
      </c>
      <c r="D669" s="31" t="s">
        <v>325</v>
      </c>
      <c r="E669" s="338">
        <v>1.38E-2</v>
      </c>
      <c r="F669" s="279">
        <v>148371</v>
      </c>
      <c r="G669" s="176"/>
      <c r="H669" s="176"/>
      <c r="I669" s="176"/>
      <c r="J669" s="176"/>
      <c r="K669" s="176"/>
      <c r="L669" s="176"/>
    </row>
    <row r="670" spans="1:12" outlineLevel="1">
      <c r="A670" s="280"/>
      <c r="B670" s="31" t="s">
        <v>333</v>
      </c>
      <c r="C670" s="31" t="s">
        <v>328</v>
      </c>
      <c r="D670" s="31" t="s">
        <v>325</v>
      </c>
      <c r="E670" s="285">
        <v>0.02</v>
      </c>
      <c r="F670" s="281">
        <v>169044</v>
      </c>
      <c r="G670" s="176"/>
      <c r="H670" s="176"/>
      <c r="I670" s="176"/>
      <c r="J670" s="176"/>
      <c r="K670" s="176"/>
      <c r="L670" s="176"/>
    </row>
    <row r="671" spans="1:12" outlineLevel="1">
      <c r="A671" s="280"/>
      <c r="B671" s="31" t="s">
        <v>334</v>
      </c>
      <c r="C671" s="31" t="s">
        <v>326</v>
      </c>
      <c r="D671" s="31" t="s">
        <v>325</v>
      </c>
      <c r="E671" s="285">
        <v>0.02</v>
      </c>
      <c r="F671" s="281">
        <v>169044</v>
      </c>
      <c r="G671" s="176"/>
      <c r="H671" s="176"/>
      <c r="I671" s="176"/>
      <c r="J671" s="176"/>
      <c r="K671" s="176"/>
      <c r="L671" s="176"/>
    </row>
    <row r="672" spans="1:12" outlineLevel="1">
      <c r="A672" s="280"/>
      <c r="B672" s="31"/>
      <c r="C672" s="31" t="s">
        <v>327</v>
      </c>
      <c r="D672" s="31" t="s">
        <v>325</v>
      </c>
      <c r="E672" s="285">
        <v>0.02</v>
      </c>
      <c r="F672" s="281">
        <v>169044</v>
      </c>
      <c r="G672" s="176"/>
      <c r="H672" s="176"/>
      <c r="I672" s="176"/>
      <c r="J672" s="176"/>
      <c r="K672" s="176"/>
      <c r="L672" s="176"/>
    </row>
    <row r="673" spans="1:12" outlineLevel="1">
      <c r="A673" s="280"/>
      <c r="B673" s="31"/>
      <c r="C673" s="31"/>
      <c r="D673" s="31"/>
      <c r="E673" s="31"/>
      <c r="F673" s="281"/>
      <c r="G673" s="176"/>
      <c r="H673" s="176"/>
      <c r="I673" s="176"/>
      <c r="J673" s="176"/>
      <c r="K673" s="176"/>
      <c r="L673" s="176"/>
    </row>
    <row r="674" spans="1:12" outlineLevel="1">
      <c r="A674" s="280"/>
      <c r="B674" s="31"/>
      <c r="C674" s="31"/>
      <c r="D674" s="31"/>
      <c r="E674" s="31"/>
      <c r="F674" s="281"/>
      <c r="G674" s="176"/>
      <c r="H674" s="176"/>
      <c r="I674" s="176"/>
      <c r="J674" s="176"/>
      <c r="K674" s="176"/>
      <c r="L674" s="176"/>
    </row>
    <row r="675" spans="1:12" outlineLevel="1">
      <c r="A675" s="280"/>
      <c r="B675" s="31"/>
      <c r="C675" s="31"/>
      <c r="D675" s="31"/>
      <c r="E675" s="31"/>
      <c r="F675" s="281"/>
      <c r="G675" s="176"/>
      <c r="H675" s="176"/>
      <c r="I675" s="176"/>
      <c r="J675" s="176"/>
      <c r="K675" s="176"/>
      <c r="L675" s="176"/>
    </row>
    <row r="676" spans="1:12" outlineLevel="1">
      <c r="A676" s="280"/>
      <c r="B676" s="31"/>
      <c r="C676" s="31"/>
      <c r="D676" s="31"/>
      <c r="E676" s="31"/>
      <c r="F676" s="281"/>
      <c r="G676" s="176"/>
      <c r="H676" s="176"/>
      <c r="I676" s="176"/>
      <c r="J676" s="176"/>
      <c r="K676" s="176"/>
      <c r="L676" s="176"/>
    </row>
    <row r="677" spans="1:12" ht="15.75" outlineLevel="1" thickBot="1">
      <c r="A677" s="282"/>
      <c r="B677" s="283"/>
      <c r="C677" s="283"/>
      <c r="D677" s="283"/>
      <c r="E677" s="283"/>
      <c r="F677" s="284"/>
      <c r="G677" s="176"/>
      <c r="H677" s="176"/>
      <c r="I677" s="176"/>
      <c r="J677" s="176"/>
      <c r="K677" s="176"/>
      <c r="L677" s="176"/>
    </row>
    <row r="678" spans="1:12" ht="16.5" thickTop="1" thickBot="1"/>
    <row r="679" spans="1:12" ht="15.75" thickTop="1">
      <c r="A679" s="3782" t="s">
        <v>0</v>
      </c>
      <c r="B679" s="3781" t="s">
        <v>1</v>
      </c>
      <c r="C679" s="3781" t="s">
        <v>2</v>
      </c>
      <c r="D679" s="3781" t="s">
        <v>3</v>
      </c>
      <c r="E679" s="3781" t="s">
        <v>4</v>
      </c>
      <c r="F679" s="3765" t="s">
        <v>5</v>
      </c>
    </row>
    <row r="680" spans="1:12" ht="24.75" customHeight="1" collapsed="1" thickBot="1">
      <c r="A680" s="3783"/>
      <c r="B680" s="3767"/>
      <c r="C680" s="3767"/>
      <c r="D680" s="3767"/>
      <c r="E680" s="3767"/>
      <c r="F680" s="3766"/>
    </row>
    <row r="681" spans="1:12" ht="15.75" outlineLevel="1" thickTop="1">
      <c r="A681" s="7" t="s">
        <v>683</v>
      </c>
      <c r="B681" s="5" t="s">
        <v>115</v>
      </c>
      <c r="C681" s="5" t="s">
        <v>684</v>
      </c>
      <c r="D681" s="1" t="s">
        <v>325</v>
      </c>
      <c r="E681" s="11">
        <v>0.15</v>
      </c>
      <c r="F681" s="6">
        <v>5370</v>
      </c>
      <c r="G681">
        <v>2342</v>
      </c>
      <c r="H681">
        <f>F681*G681</f>
        <v>12576540</v>
      </c>
      <c r="I681">
        <v>6318</v>
      </c>
      <c r="J681">
        <f>G681*I681</f>
        <v>14796756</v>
      </c>
      <c r="K681">
        <f>J681-H681</f>
        <v>2220216</v>
      </c>
      <c r="L681">
        <f>K681*1.2</f>
        <v>2664259.1999999997</v>
      </c>
    </row>
    <row r="682" spans="1:12" outlineLevel="1">
      <c r="A682" s="8"/>
      <c r="B682" s="1" t="s">
        <v>116</v>
      </c>
      <c r="C682" s="1" t="s">
        <v>685</v>
      </c>
      <c r="D682" s="1" t="s">
        <v>325</v>
      </c>
      <c r="E682" s="11">
        <v>0.15</v>
      </c>
      <c r="F682" s="2">
        <v>5370</v>
      </c>
    </row>
    <row r="683" spans="1:12" outlineLevel="1">
      <c r="A683" s="8"/>
      <c r="B683" s="1"/>
      <c r="C683" s="1" t="s">
        <v>686</v>
      </c>
      <c r="D683" s="1" t="s">
        <v>325</v>
      </c>
      <c r="E683" s="11">
        <v>0.15</v>
      </c>
      <c r="F683" s="2">
        <v>11842</v>
      </c>
      <c r="G683">
        <v>2256</v>
      </c>
      <c r="H683">
        <f>F683*G683</f>
        <v>26715552</v>
      </c>
      <c r="I683">
        <v>13932</v>
      </c>
      <c r="J683">
        <f>G683*I683</f>
        <v>31430592</v>
      </c>
      <c r="K683">
        <f>J683-H683</f>
        <v>4715040</v>
      </c>
      <c r="L683">
        <f>K683*1.2</f>
        <v>5658048</v>
      </c>
    </row>
    <row r="684" spans="1:12" outlineLevel="1">
      <c r="A684" s="8"/>
      <c r="B684" s="1"/>
      <c r="C684" s="1" t="s">
        <v>687</v>
      </c>
      <c r="D684" s="1" t="s">
        <v>325</v>
      </c>
      <c r="E684" s="11">
        <v>0.15</v>
      </c>
      <c r="F684" s="2">
        <v>11842</v>
      </c>
    </row>
    <row r="685" spans="1:12" outlineLevel="1">
      <c r="A685" s="8"/>
      <c r="B685" s="1"/>
      <c r="C685" s="1"/>
      <c r="D685" s="1"/>
      <c r="E685" s="1"/>
      <c r="F685" s="2"/>
    </row>
    <row r="686" spans="1:12" outlineLevel="1">
      <c r="A686" s="8"/>
      <c r="B686" s="1"/>
      <c r="C686" s="1"/>
      <c r="D686" s="1"/>
      <c r="E686" s="1"/>
      <c r="F686" s="2"/>
    </row>
    <row r="687" spans="1:12" outlineLevel="1">
      <c r="A687" s="8"/>
      <c r="B687" s="1"/>
      <c r="C687" s="1"/>
      <c r="D687" s="1"/>
      <c r="E687" s="1"/>
      <c r="F687" s="2"/>
    </row>
    <row r="688" spans="1:12" outlineLevel="1">
      <c r="A688" s="8"/>
      <c r="B688" s="1"/>
      <c r="C688" s="1"/>
      <c r="D688" s="1"/>
      <c r="E688" s="1"/>
      <c r="F688" s="2"/>
    </row>
    <row r="689" spans="1:6" outlineLevel="1">
      <c r="A689" s="8"/>
      <c r="B689" s="1"/>
      <c r="C689" s="1"/>
      <c r="D689" s="1"/>
      <c r="E689" s="1"/>
      <c r="F689" s="2"/>
    </row>
    <row r="690" spans="1:6" outlineLevel="1">
      <c r="A690" s="8"/>
      <c r="B690" s="1"/>
      <c r="C690" s="1"/>
      <c r="D690" s="1"/>
      <c r="E690" s="1"/>
      <c r="F690" s="2"/>
    </row>
    <row r="691" spans="1:6" outlineLevel="1">
      <c r="A691" s="8"/>
      <c r="B691" s="1"/>
      <c r="C691" s="1"/>
      <c r="D691" s="1"/>
      <c r="E691" s="1"/>
      <c r="F691" s="2"/>
    </row>
    <row r="692" spans="1:6" ht="15.75" outlineLevel="1" thickBot="1">
      <c r="A692" s="9"/>
      <c r="B692" s="3"/>
      <c r="C692" s="3"/>
      <c r="D692" s="3"/>
      <c r="E692" s="3"/>
      <c r="F692" s="4"/>
    </row>
    <row r="693" spans="1:6" ht="16.5" thickTop="1" thickBot="1"/>
    <row r="694" spans="1:6" ht="15.75" thickTop="1">
      <c r="A694" s="3782" t="s">
        <v>0</v>
      </c>
      <c r="B694" s="3781" t="s">
        <v>1</v>
      </c>
      <c r="C694" s="3781" t="s">
        <v>2</v>
      </c>
      <c r="D694" s="3781" t="s">
        <v>3</v>
      </c>
      <c r="E694" s="3781" t="s">
        <v>4</v>
      </c>
      <c r="F694" s="3765" t="s">
        <v>5</v>
      </c>
    </row>
    <row r="695" spans="1:6" ht="24.75" customHeight="1" collapsed="1" thickBot="1">
      <c r="A695" s="3783"/>
      <c r="B695" s="3767"/>
      <c r="C695" s="3767"/>
      <c r="D695" s="3767"/>
      <c r="E695" s="3767"/>
      <c r="F695" s="3766"/>
    </row>
    <row r="696" spans="1:6" ht="15.75" outlineLevel="1" thickTop="1">
      <c r="A696" s="7" t="s">
        <v>727</v>
      </c>
      <c r="B696" s="5" t="s">
        <v>115</v>
      </c>
      <c r="C696" s="5" t="s">
        <v>68</v>
      </c>
      <c r="D696" s="1" t="s">
        <v>325</v>
      </c>
      <c r="E696" s="11">
        <v>0.15</v>
      </c>
      <c r="F696" s="6">
        <v>8583</v>
      </c>
    </row>
    <row r="697" spans="1:6" outlineLevel="1">
      <c r="A697" s="8"/>
      <c r="B697" s="1" t="s">
        <v>116</v>
      </c>
      <c r="C697" s="1" t="s">
        <v>69</v>
      </c>
      <c r="D697" s="1" t="s">
        <v>325</v>
      </c>
      <c r="E697" s="11">
        <v>0.15</v>
      </c>
      <c r="F697" s="2">
        <v>8583</v>
      </c>
    </row>
    <row r="698" spans="1:6" outlineLevel="1">
      <c r="A698" s="8"/>
      <c r="B698" s="1"/>
      <c r="C698" s="1" t="s">
        <v>583</v>
      </c>
      <c r="D698" s="1" t="s">
        <v>325</v>
      </c>
      <c r="E698" s="11">
        <v>0.15</v>
      </c>
      <c r="F698" s="2">
        <v>13088</v>
      </c>
    </row>
    <row r="699" spans="1:6" outlineLevel="1">
      <c r="A699" s="8"/>
      <c r="B699" s="1"/>
      <c r="C699" s="1"/>
      <c r="D699" s="1"/>
      <c r="E699" s="1"/>
      <c r="F699" s="2"/>
    </row>
    <row r="700" spans="1:6" outlineLevel="1">
      <c r="A700" s="8"/>
      <c r="B700" s="1"/>
      <c r="C700" s="1"/>
      <c r="D700" s="1"/>
      <c r="E700" s="1"/>
      <c r="F700" s="2"/>
    </row>
    <row r="701" spans="1:6" outlineLevel="1">
      <c r="A701" s="8"/>
      <c r="B701" s="1"/>
      <c r="C701" s="1"/>
      <c r="D701" s="1"/>
      <c r="E701" s="1"/>
      <c r="F701" s="2"/>
    </row>
    <row r="702" spans="1:6" outlineLevel="1">
      <c r="A702" s="8"/>
      <c r="B702" s="1"/>
      <c r="C702" s="1"/>
      <c r="D702" s="1"/>
      <c r="E702" s="1"/>
      <c r="F702" s="2"/>
    </row>
    <row r="703" spans="1:6" outlineLevel="1">
      <c r="A703" s="8"/>
      <c r="B703" s="1"/>
      <c r="C703" s="1"/>
      <c r="D703" s="1"/>
      <c r="E703" s="1"/>
      <c r="F703" s="2"/>
    </row>
    <row r="704" spans="1:6" outlineLevel="1">
      <c r="A704" s="8"/>
      <c r="B704" s="1"/>
      <c r="C704" s="1"/>
      <c r="D704" s="1"/>
      <c r="E704" s="1"/>
      <c r="F704" s="2"/>
    </row>
    <row r="705" spans="1:6" outlineLevel="1">
      <c r="A705" s="8"/>
      <c r="B705" s="1"/>
      <c r="C705" s="1"/>
      <c r="D705" s="1"/>
      <c r="E705" s="1"/>
      <c r="F705" s="2"/>
    </row>
    <row r="706" spans="1:6" outlineLevel="1">
      <c r="A706" s="8"/>
      <c r="B706" s="1"/>
      <c r="C706" s="1"/>
      <c r="D706" s="1"/>
      <c r="E706" s="1"/>
      <c r="F706" s="2"/>
    </row>
    <row r="707" spans="1:6" ht="15.75" outlineLevel="1" thickBot="1">
      <c r="A707" s="9"/>
      <c r="B707" s="3"/>
      <c r="C707" s="3"/>
      <c r="D707" s="3"/>
      <c r="E707" s="3"/>
      <c r="F707" s="4"/>
    </row>
    <row r="708" spans="1:6" ht="16.5" thickTop="1" thickBot="1"/>
    <row r="709" spans="1:6" ht="15.75" thickTop="1">
      <c r="A709" s="3782" t="s">
        <v>0</v>
      </c>
      <c r="B709" s="3781" t="s">
        <v>1</v>
      </c>
      <c r="C709" s="3781" t="s">
        <v>2</v>
      </c>
      <c r="D709" s="3781" t="s">
        <v>3</v>
      </c>
      <c r="E709" s="3781" t="s">
        <v>4</v>
      </c>
      <c r="F709" s="3765" t="s">
        <v>5</v>
      </c>
    </row>
    <row r="710" spans="1:6" ht="24.75" customHeight="1" collapsed="1" thickBot="1">
      <c r="A710" s="3783"/>
      <c r="B710" s="3767"/>
      <c r="C710" s="3767"/>
      <c r="D710" s="3767"/>
      <c r="E710" s="3767"/>
      <c r="F710" s="3766"/>
    </row>
    <row r="711" spans="1:6" ht="15.75" outlineLevel="1" thickTop="1">
      <c r="A711" s="7" t="s">
        <v>731</v>
      </c>
      <c r="B711" s="5" t="s">
        <v>106</v>
      </c>
      <c r="C711" s="5" t="s">
        <v>732</v>
      </c>
      <c r="D711" s="5" t="s">
        <v>325</v>
      </c>
      <c r="E711" s="11">
        <v>0.15</v>
      </c>
      <c r="F711" s="6">
        <v>4532</v>
      </c>
    </row>
    <row r="712" spans="1:6" outlineLevel="1">
      <c r="A712" s="8"/>
      <c r="B712" s="1"/>
      <c r="C712" s="1" t="s">
        <v>636</v>
      </c>
      <c r="D712" s="5" t="s">
        <v>325</v>
      </c>
      <c r="E712" s="12">
        <v>0.15</v>
      </c>
      <c r="F712" s="2">
        <v>6016</v>
      </c>
    </row>
    <row r="713" spans="1:6" outlineLevel="1">
      <c r="A713" s="8"/>
      <c r="B713" s="1"/>
      <c r="C713" s="1"/>
      <c r="D713" s="1"/>
      <c r="E713" s="1"/>
      <c r="F713" s="2"/>
    </row>
    <row r="714" spans="1:6" outlineLevel="1">
      <c r="A714" s="8"/>
      <c r="B714" s="1"/>
      <c r="C714" s="1"/>
      <c r="D714" s="1"/>
      <c r="E714" s="1"/>
      <c r="F714" s="2"/>
    </row>
    <row r="715" spans="1:6" outlineLevel="1">
      <c r="A715" s="8"/>
      <c r="B715" s="1"/>
      <c r="C715" s="1"/>
      <c r="D715" s="1"/>
      <c r="E715" s="1"/>
      <c r="F715" s="2"/>
    </row>
    <row r="716" spans="1:6" outlineLevel="1">
      <c r="A716" s="8"/>
      <c r="B716" s="1"/>
      <c r="C716" s="1"/>
      <c r="D716" s="1"/>
      <c r="E716" s="1"/>
      <c r="F716" s="2"/>
    </row>
    <row r="717" spans="1:6" outlineLevel="1">
      <c r="A717" s="8"/>
      <c r="B717" s="1"/>
      <c r="C717" s="1"/>
      <c r="D717" s="1"/>
      <c r="E717" s="1"/>
      <c r="F717" s="2"/>
    </row>
    <row r="718" spans="1:6" outlineLevel="1">
      <c r="A718" s="8"/>
      <c r="B718" s="1"/>
      <c r="C718" s="1"/>
      <c r="D718" s="1"/>
      <c r="E718" s="1"/>
      <c r="F718" s="2"/>
    </row>
    <row r="719" spans="1:6" outlineLevel="1">
      <c r="A719" s="8"/>
      <c r="B719" s="1"/>
      <c r="C719" s="1"/>
      <c r="D719" s="1"/>
      <c r="E719" s="1"/>
      <c r="F719" s="2"/>
    </row>
    <row r="720" spans="1:6" outlineLevel="1">
      <c r="A720" s="8"/>
      <c r="B720" s="1"/>
      <c r="C720" s="1"/>
      <c r="D720" s="1"/>
      <c r="E720" s="1"/>
      <c r="F720" s="2"/>
    </row>
    <row r="721" spans="1:12" outlineLevel="1">
      <c r="A721" s="8"/>
      <c r="B721" s="1"/>
      <c r="C721" s="1"/>
      <c r="D721" s="1"/>
      <c r="E721" s="1"/>
      <c r="F721" s="2"/>
    </row>
    <row r="722" spans="1:12" ht="15.75" outlineLevel="1" thickBot="1">
      <c r="A722" s="9"/>
      <c r="B722" s="3"/>
      <c r="C722" s="3"/>
      <c r="D722" s="3"/>
      <c r="E722" s="3"/>
      <c r="F722" s="4"/>
    </row>
    <row r="723" spans="1:12" ht="16.5" thickTop="1" thickBot="1"/>
    <row r="724" spans="1:12" ht="15.75" thickTop="1">
      <c r="A724" s="3808" t="s">
        <v>0</v>
      </c>
      <c r="B724" s="3804" t="s">
        <v>1</v>
      </c>
      <c r="C724" s="3804" t="s">
        <v>2</v>
      </c>
      <c r="D724" s="3804" t="s">
        <v>3</v>
      </c>
      <c r="E724" s="3804" t="s">
        <v>4</v>
      </c>
      <c r="F724" s="3806" t="s">
        <v>5</v>
      </c>
      <c r="G724" s="176"/>
      <c r="H724" s="176"/>
      <c r="I724" s="176"/>
      <c r="J724" s="176"/>
      <c r="K724" s="176"/>
      <c r="L724" s="176"/>
    </row>
    <row r="725" spans="1:12" ht="24.75" customHeight="1" collapsed="1" thickBot="1">
      <c r="A725" s="3809"/>
      <c r="B725" s="3805"/>
      <c r="C725" s="3805"/>
      <c r="D725" s="3805"/>
      <c r="E725" s="3805"/>
      <c r="F725" s="3807"/>
      <c r="G725" s="176"/>
      <c r="H725" s="176"/>
      <c r="I725" s="176"/>
      <c r="J725" s="176"/>
      <c r="K725" s="176"/>
      <c r="L725" s="176"/>
    </row>
    <row r="726" spans="1:12" ht="15.75" outlineLevel="1" thickTop="1">
      <c r="A726" s="277" t="s">
        <v>850</v>
      </c>
      <c r="B726" s="191" t="s">
        <v>329</v>
      </c>
      <c r="C726" s="191" t="s">
        <v>389</v>
      </c>
      <c r="D726" s="191" t="s">
        <v>325</v>
      </c>
      <c r="E726" s="278">
        <v>0.15</v>
      </c>
      <c r="F726" s="279">
        <v>27052</v>
      </c>
      <c r="G726" s="176">
        <v>272</v>
      </c>
      <c r="H726" s="176">
        <f>F726*G726</f>
        <v>7358144</v>
      </c>
      <c r="I726" s="176">
        <v>34999</v>
      </c>
      <c r="J726" s="176">
        <f>I726*G726</f>
        <v>9519728</v>
      </c>
      <c r="K726" s="176">
        <f>J726-H726</f>
        <v>2161584</v>
      </c>
      <c r="L726" s="176">
        <f>K726*1.2</f>
        <v>2593900.7999999998</v>
      </c>
    </row>
    <row r="727" spans="1:12" ht="15.75" outlineLevel="1" thickBot="1">
      <c r="A727" s="280"/>
      <c r="B727" s="31" t="s">
        <v>330</v>
      </c>
      <c r="C727" s="31" t="s">
        <v>510</v>
      </c>
      <c r="D727" s="191" t="s">
        <v>325</v>
      </c>
      <c r="E727" s="278">
        <v>0.15</v>
      </c>
      <c r="F727" s="281">
        <v>27052</v>
      </c>
      <c r="G727" s="176"/>
      <c r="H727" s="176">
        <f>H726*1.2</f>
        <v>8829772.7999999989</v>
      </c>
      <c r="I727" s="176"/>
      <c r="J727" s="176">
        <f>J726*1.2</f>
        <v>11423673.6</v>
      </c>
      <c r="K727" s="176"/>
      <c r="L727" s="176"/>
    </row>
    <row r="728" spans="1:12" ht="15.75" outlineLevel="1" thickTop="1">
      <c r="A728" s="277" t="s">
        <v>851</v>
      </c>
      <c r="B728" s="31" t="s">
        <v>331</v>
      </c>
      <c r="C728" s="31"/>
      <c r="D728" s="31"/>
      <c r="E728" s="31"/>
      <c r="F728" s="281"/>
      <c r="G728" s="176"/>
      <c r="H728" s="176"/>
      <c r="I728" s="176"/>
      <c r="J728" s="176"/>
      <c r="K728" s="176"/>
      <c r="L728" s="176"/>
    </row>
    <row r="729" spans="1:12" outlineLevel="1">
      <c r="A729" s="280"/>
      <c r="B729" s="31" t="s">
        <v>332</v>
      </c>
      <c r="C729" s="31"/>
      <c r="D729" s="31"/>
      <c r="E729" s="31"/>
      <c r="F729" s="281">
        <v>27052</v>
      </c>
      <c r="G729" s="176">
        <v>4181</v>
      </c>
      <c r="H729" s="176">
        <f>F729*G729</f>
        <v>113104412</v>
      </c>
      <c r="I729" s="176">
        <v>34999</v>
      </c>
      <c r="J729" s="176">
        <f>G729*I729</f>
        <v>146330819</v>
      </c>
      <c r="K729" s="176">
        <f>J729-H729</f>
        <v>33226407</v>
      </c>
      <c r="L729" s="176"/>
    </row>
    <row r="730" spans="1:12" outlineLevel="1">
      <c r="A730" s="280"/>
      <c r="B730" s="31" t="s">
        <v>333</v>
      </c>
      <c r="C730" s="31"/>
      <c r="D730" s="31"/>
      <c r="E730" s="31"/>
      <c r="F730" s="281">
        <v>30235</v>
      </c>
      <c r="G730" s="176">
        <v>772</v>
      </c>
      <c r="H730" s="176">
        <f>F730*G730</f>
        <v>23341420</v>
      </c>
      <c r="I730" s="176">
        <v>34999</v>
      </c>
      <c r="J730" s="176">
        <f>G730*I730</f>
        <v>27019228</v>
      </c>
      <c r="K730" s="176">
        <f>J730-H730</f>
        <v>3677808</v>
      </c>
      <c r="L730" s="176"/>
    </row>
    <row r="731" spans="1:12" outlineLevel="1">
      <c r="A731" s="280"/>
      <c r="B731" s="31" t="s">
        <v>334</v>
      </c>
      <c r="C731" s="31"/>
      <c r="D731" s="31"/>
      <c r="E731" s="31"/>
      <c r="F731" s="281"/>
      <c r="G731" s="176"/>
      <c r="H731" s="176"/>
      <c r="I731" s="176"/>
      <c r="J731" s="176"/>
      <c r="K731" s="176">
        <f>SUM(K729:K730)</f>
        <v>36904215</v>
      </c>
      <c r="L731" s="176">
        <f>K731*1.2</f>
        <v>44285058</v>
      </c>
    </row>
    <row r="732" spans="1:12" outlineLevel="1">
      <c r="A732" s="280"/>
      <c r="B732" s="31"/>
      <c r="C732" s="31"/>
      <c r="D732" s="31"/>
      <c r="E732" s="31"/>
      <c r="F732" s="281"/>
      <c r="G732" s="176"/>
      <c r="H732" s="176"/>
      <c r="I732" s="176"/>
      <c r="J732" s="176"/>
      <c r="K732" s="176"/>
      <c r="L732" s="176"/>
    </row>
    <row r="733" spans="1:12" outlineLevel="1">
      <c r="A733" s="280"/>
      <c r="B733" s="31"/>
      <c r="C733" s="31"/>
      <c r="D733" s="31"/>
      <c r="E733" s="31"/>
      <c r="F733" s="281"/>
      <c r="G733" s="176"/>
      <c r="H733" s="176">
        <f>H729*1.2</f>
        <v>135725294.40000001</v>
      </c>
      <c r="I733" s="176"/>
      <c r="J733" s="176">
        <f>J729*1.2</f>
        <v>175596982.79999998</v>
      </c>
      <c r="K733" s="176"/>
      <c r="L733" s="176"/>
    </row>
    <row r="734" spans="1:12" outlineLevel="1">
      <c r="A734" s="280"/>
      <c r="B734" s="31"/>
      <c r="C734" s="31"/>
      <c r="D734" s="31"/>
      <c r="E734" s="31"/>
      <c r="F734" s="281"/>
      <c r="G734" s="176"/>
      <c r="H734" s="176"/>
      <c r="I734" s="176"/>
      <c r="J734" s="176"/>
      <c r="K734" s="176"/>
      <c r="L734" s="176"/>
    </row>
    <row r="735" spans="1:12" outlineLevel="1">
      <c r="A735" s="280"/>
      <c r="B735" s="31"/>
      <c r="C735" s="31"/>
      <c r="D735" s="31"/>
      <c r="E735" s="31"/>
      <c r="F735" s="281"/>
      <c r="G735" s="176"/>
      <c r="H735" s="176"/>
      <c r="I735" s="176"/>
      <c r="J735" s="176"/>
      <c r="K735" s="176"/>
      <c r="L735" s="176"/>
    </row>
    <row r="736" spans="1:12" outlineLevel="1">
      <c r="A736" s="280"/>
      <c r="B736" s="31"/>
      <c r="C736" s="31"/>
      <c r="D736" s="31"/>
      <c r="E736" s="31"/>
      <c r="F736" s="281"/>
      <c r="G736" s="176"/>
      <c r="H736" s="176"/>
      <c r="I736" s="176"/>
      <c r="J736" s="176"/>
      <c r="K736" s="176"/>
      <c r="L736" s="176"/>
    </row>
    <row r="737" spans="1:12" ht="15.75" outlineLevel="1" thickBot="1">
      <c r="A737" s="282"/>
      <c r="B737" s="283"/>
      <c r="C737" s="283"/>
      <c r="D737" s="283"/>
      <c r="E737" s="283"/>
      <c r="F737" s="284"/>
      <c r="G737" s="176"/>
      <c r="H737" s="176"/>
      <c r="I737" s="176"/>
      <c r="J737" s="176"/>
      <c r="K737" s="176"/>
      <c r="L737" s="176"/>
    </row>
    <row r="738" spans="1:12" ht="16.5" thickTop="1" thickBot="1"/>
    <row r="739" spans="1:12" ht="15.75" thickTop="1">
      <c r="A739" s="3782" t="s">
        <v>0</v>
      </c>
      <c r="B739" s="3781" t="s">
        <v>1</v>
      </c>
      <c r="C739" s="3781" t="s">
        <v>2</v>
      </c>
      <c r="D739" s="3781" t="s">
        <v>3</v>
      </c>
      <c r="E739" s="3781" t="s">
        <v>4</v>
      </c>
      <c r="F739" s="3765" t="s">
        <v>5</v>
      </c>
    </row>
    <row r="740" spans="1:12" ht="24.75" customHeight="1" collapsed="1" thickBot="1">
      <c r="A740" s="3783"/>
      <c r="B740" s="3767"/>
      <c r="C740" s="3767"/>
      <c r="D740" s="3767"/>
      <c r="E740" s="3767"/>
      <c r="F740" s="3766"/>
    </row>
    <row r="741" spans="1:12" ht="15.75" outlineLevel="1" thickTop="1">
      <c r="A741" s="7" t="s">
        <v>756</v>
      </c>
      <c r="B741" s="5" t="s">
        <v>329</v>
      </c>
      <c r="C741" s="5" t="s">
        <v>389</v>
      </c>
      <c r="D741" s="5" t="s">
        <v>325</v>
      </c>
      <c r="E741" s="11">
        <v>0.05</v>
      </c>
      <c r="F741" s="6">
        <v>30235</v>
      </c>
      <c r="G741">
        <v>600</v>
      </c>
      <c r="H741">
        <f>F741*G741</f>
        <v>18141000</v>
      </c>
      <c r="I741">
        <v>34999</v>
      </c>
      <c r="J741">
        <f>G741*I741</f>
        <v>20999400</v>
      </c>
      <c r="K741">
        <f>J741-H741</f>
        <v>2858400</v>
      </c>
      <c r="L741">
        <f>K741*1.2</f>
        <v>3430080</v>
      </c>
    </row>
    <row r="742" spans="1:12" outlineLevel="1">
      <c r="A742" s="8"/>
      <c r="B742" s="1" t="s">
        <v>330</v>
      </c>
      <c r="C742" s="1" t="s">
        <v>510</v>
      </c>
      <c r="D742" s="5" t="s">
        <v>325</v>
      </c>
      <c r="E742" s="11">
        <v>0.05</v>
      </c>
      <c r="F742" s="2">
        <v>30235</v>
      </c>
      <c r="H742">
        <f>H741*1.2</f>
        <v>21769200</v>
      </c>
      <c r="J742">
        <f>J741*1.2</f>
        <v>25199280</v>
      </c>
    </row>
    <row r="743" spans="1:12" outlineLevel="1">
      <c r="A743" s="8"/>
      <c r="B743" s="1" t="s">
        <v>331</v>
      </c>
      <c r="C743" s="1"/>
      <c r="D743" s="5"/>
      <c r="E743" s="1"/>
      <c r="F743" s="2"/>
    </row>
    <row r="744" spans="1:12" outlineLevel="1">
      <c r="A744" s="8"/>
      <c r="B744" s="1" t="s">
        <v>332</v>
      </c>
      <c r="C744" s="1"/>
      <c r="D744" s="1"/>
      <c r="E744" s="1"/>
      <c r="F744" s="2"/>
    </row>
    <row r="745" spans="1:12" outlineLevel="1">
      <c r="A745" s="8"/>
      <c r="B745" s="1" t="s">
        <v>333</v>
      </c>
      <c r="C745" s="1"/>
      <c r="D745" s="1"/>
      <c r="E745" s="1"/>
      <c r="F745" s="2"/>
    </row>
    <row r="746" spans="1:12" outlineLevel="1">
      <c r="A746" s="8"/>
      <c r="B746" s="1" t="s">
        <v>334</v>
      </c>
      <c r="C746" s="1"/>
      <c r="D746" s="1"/>
      <c r="E746" s="1"/>
      <c r="F746" s="2"/>
    </row>
    <row r="747" spans="1:12" outlineLevel="1">
      <c r="A747" s="8"/>
      <c r="B747" s="1"/>
      <c r="C747" s="1"/>
      <c r="D747" s="1"/>
      <c r="E747" s="1"/>
      <c r="F747" s="2"/>
    </row>
    <row r="748" spans="1:12" outlineLevel="1">
      <c r="A748" s="8"/>
      <c r="B748" s="1"/>
      <c r="C748" s="1"/>
      <c r="D748" s="1"/>
      <c r="E748" s="1"/>
      <c r="F748" s="2"/>
    </row>
    <row r="749" spans="1:12" outlineLevel="1">
      <c r="A749" s="8"/>
      <c r="B749" s="1"/>
      <c r="C749" s="1"/>
      <c r="D749" s="1"/>
      <c r="E749" s="1"/>
      <c r="F749" s="2"/>
    </row>
    <row r="750" spans="1:12" outlineLevel="1">
      <c r="A750" s="8"/>
      <c r="B750" s="1"/>
      <c r="C750" s="1"/>
      <c r="D750" s="1"/>
      <c r="E750" s="1"/>
      <c r="F750" s="2"/>
    </row>
    <row r="751" spans="1:12" outlineLevel="1">
      <c r="A751" s="8"/>
      <c r="B751" s="1"/>
      <c r="C751" s="1"/>
      <c r="D751" s="1"/>
      <c r="E751" s="1"/>
      <c r="F751" s="2"/>
    </row>
    <row r="752" spans="1:12" ht="15.75" outlineLevel="1" thickBot="1">
      <c r="A752" s="9"/>
      <c r="B752" s="3"/>
      <c r="C752" s="3"/>
      <c r="D752" s="3"/>
      <c r="E752" s="3"/>
      <c r="F752" s="4"/>
    </row>
    <row r="753" spans="1:12" ht="16.5" thickTop="1" thickBot="1"/>
    <row r="754" spans="1:12" ht="15.75" thickTop="1">
      <c r="A754" s="3782" t="s">
        <v>0</v>
      </c>
      <c r="B754" s="3781" t="s">
        <v>1</v>
      </c>
      <c r="C754" s="3781" t="s">
        <v>2</v>
      </c>
      <c r="D754" s="3781" t="s">
        <v>3</v>
      </c>
      <c r="E754" s="3781" t="s">
        <v>4</v>
      </c>
      <c r="F754" s="3765" t="s">
        <v>5</v>
      </c>
    </row>
    <row r="755" spans="1:12" ht="24.75" customHeight="1" collapsed="1" thickBot="1">
      <c r="A755" s="3783"/>
      <c r="B755" s="3767"/>
      <c r="C755" s="3767"/>
      <c r="D755" s="3767"/>
      <c r="E755" s="3767"/>
      <c r="F755" s="3766"/>
    </row>
    <row r="756" spans="1:12" ht="15.75" outlineLevel="1" thickTop="1">
      <c r="A756" s="7" t="s">
        <v>757</v>
      </c>
      <c r="B756" s="5" t="s">
        <v>329</v>
      </c>
      <c r="C756" s="5" t="s">
        <v>177</v>
      </c>
      <c r="D756" s="5" t="s">
        <v>325</v>
      </c>
      <c r="E756" s="11">
        <v>0.2</v>
      </c>
      <c r="F756" s="6">
        <v>4354</v>
      </c>
      <c r="G756">
        <v>30816</v>
      </c>
      <c r="H756">
        <f>F756*G756</f>
        <v>134172864</v>
      </c>
      <c r="I756">
        <v>5321</v>
      </c>
      <c r="J756">
        <f>G756*I756</f>
        <v>163971936</v>
      </c>
      <c r="K756">
        <f>J756-H756</f>
        <v>29799072</v>
      </c>
      <c r="L756">
        <f>K756*1.2</f>
        <v>35758886.399999999</v>
      </c>
    </row>
    <row r="757" spans="1:12" outlineLevel="1">
      <c r="A757" s="8"/>
      <c r="B757" s="1" t="s">
        <v>330</v>
      </c>
      <c r="C757" s="1" t="s">
        <v>273</v>
      </c>
      <c r="D757" s="5" t="s">
        <v>325</v>
      </c>
      <c r="E757" s="11">
        <v>0.2</v>
      </c>
      <c r="F757" s="2">
        <v>4354</v>
      </c>
    </row>
    <row r="758" spans="1:12" outlineLevel="1">
      <c r="A758" s="8"/>
      <c r="B758" s="1" t="s">
        <v>331</v>
      </c>
      <c r="C758" s="1"/>
      <c r="D758" s="5"/>
      <c r="E758" s="1"/>
      <c r="F758" s="2"/>
    </row>
    <row r="759" spans="1:12" outlineLevel="1">
      <c r="A759" s="8"/>
      <c r="B759" s="1" t="s">
        <v>332</v>
      </c>
      <c r="C759" s="1"/>
      <c r="D759" s="1"/>
      <c r="E759" s="1"/>
      <c r="F759" s="2"/>
    </row>
    <row r="760" spans="1:12" outlineLevel="1">
      <c r="A760" s="8"/>
      <c r="B760" s="1" t="s">
        <v>333</v>
      </c>
      <c r="C760" s="1"/>
      <c r="D760" s="1"/>
      <c r="E760" s="1"/>
      <c r="F760" s="2"/>
    </row>
    <row r="761" spans="1:12" outlineLevel="1">
      <c r="A761" s="8"/>
      <c r="B761" s="1" t="s">
        <v>334</v>
      </c>
      <c r="C761" s="1"/>
      <c r="D761" s="1"/>
      <c r="E761" s="1"/>
      <c r="F761" s="2"/>
    </row>
    <row r="762" spans="1:12" outlineLevel="1">
      <c r="A762" s="8"/>
      <c r="B762" s="1"/>
      <c r="C762" s="1"/>
      <c r="D762" s="1"/>
      <c r="E762" s="1"/>
      <c r="F762" s="2"/>
    </row>
    <row r="763" spans="1:12" outlineLevel="1">
      <c r="A763" s="8"/>
      <c r="B763" s="1"/>
      <c r="C763" s="1"/>
      <c r="D763" s="1"/>
      <c r="E763" s="1"/>
      <c r="F763" s="2"/>
    </row>
    <row r="764" spans="1:12" outlineLevel="1">
      <c r="A764" s="8"/>
      <c r="B764" s="1"/>
      <c r="C764" s="1"/>
      <c r="D764" s="1"/>
      <c r="E764" s="1"/>
      <c r="F764" s="2"/>
    </row>
    <row r="765" spans="1:12" outlineLevel="1">
      <c r="A765" s="8"/>
      <c r="B765" s="1"/>
      <c r="C765" s="1"/>
      <c r="D765" s="1"/>
      <c r="E765" s="1"/>
      <c r="F765" s="2"/>
    </row>
    <row r="766" spans="1:12" outlineLevel="1">
      <c r="A766" s="8"/>
      <c r="B766" s="1"/>
      <c r="C766" s="1"/>
      <c r="D766" s="1"/>
      <c r="E766" s="1"/>
      <c r="F766" s="2"/>
    </row>
    <row r="767" spans="1:12" ht="15.75" outlineLevel="1" thickBot="1">
      <c r="A767" s="9"/>
      <c r="B767" s="3"/>
      <c r="C767" s="3"/>
      <c r="D767" s="3"/>
      <c r="E767" s="3"/>
      <c r="F767" s="4"/>
    </row>
    <row r="768" spans="1:12" ht="16.5" thickTop="1" thickBot="1"/>
    <row r="769" spans="1:12" ht="15.75" thickTop="1">
      <c r="A769" s="3782" t="s">
        <v>0</v>
      </c>
      <c r="B769" s="3781" t="s">
        <v>1</v>
      </c>
      <c r="C769" s="3781" t="s">
        <v>2</v>
      </c>
      <c r="D769" s="3781" t="s">
        <v>3</v>
      </c>
      <c r="E769" s="3781" t="s">
        <v>4</v>
      </c>
      <c r="F769" s="3765" t="s">
        <v>5</v>
      </c>
    </row>
    <row r="770" spans="1:12" ht="24.75" customHeight="1" collapsed="1" thickBot="1">
      <c r="A770" s="3783"/>
      <c r="B770" s="3767"/>
      <c r="C770" s="3767"/>
      <c r="D770" s="3767"/>
      <c r="E770" s="3767"/>
      <c r="F770" s="3766"/>
    </row>
    <row r="771" spans="1:12" ht="15.75" outlineLevel="1" thickTop="1">
      <c r="A771" s="7" t="s">
        <v>758</v>
      </c>
      <c r="B771" s="5" t="s">
        <v>115</v>
      </c>
      <c r="C771" s="5" t="s">
        <v>436</v>
      </c>
      <c r="D771" s="1" t="s">
        <v>325</v>
      </c>
      <c r="E771" s="11">
        <v>0.2</v>
      </c>
      <c r="F771" s="6">
        <v>6505</v>
      </c>
      <c r="G771">
        <v>2431</v>
      </c>
      <c r="H771">
        <f>F771*G771</f>
        <v>15813655</v>
      </c>
      <c r="I771">
        <v>8131</v>
      </c>
      <c r="J771">
        <f>G771*I771</f>
        <v>19766461</v>
      </c>
      <c r="K771">
        <f>J771-H771</f>
        <v>3952806</v>
      </c>
      <c r="L771">
        <f>K771*1.2</f>
        <v>4743367.2</v>
      </c>
    </row>
    <row r="772" spans="1:12" outlineLevel="1">
      <c r="A772" s="8"/>
      <c r="B772" s="1" t="s">
        <v>116</v>
      </c>
      <c r="C772" s="1"/>
      <c r="D772" s="1"/>
      <c r="E772" s="11"/>
      <c r="F772" s="2"/>
      <c r="I772">
        <f>I771*1.2</f>
        <v>9757.1999999999989</v>
      </c>
    </row>
    <row r="773" spans="1:12" outlineLevel="1">
      <c r="A773" s="8"/>
      <c r="B773" s="1"/>
      <c r="C773" s="1"/>
      <c r="D773" s="1"/>
      <c r="E773" s="11"/>
      <c r="F773" s="2"/>
      <c r="I773">
        <f>F771*1.2</f>
        <v>7806</v>
      </c>
    </row>
    <row r="774" spans="1:12" outlineLevel="1">
      <c r="A774" s="8"/>
      <c r="B774" s="1"/>
      <c r="C774" s="1"/>
      <c r="D774" s="1"/>
      <c r="E774" s="1"/>
      <c r="F774" s="2"/>
    </row>
    <row r="775" spans="1:12" outlineLevel="1">
      <c r="A775" s="8"/>
      <c r="B775" s="1"/>
      <c r="C775" s="1"/>
      <c r="D775" s="1"/>
      <c r="E775" s="1"/>
      <c r="F775" s="2"/>
    </row>
    <row r="776" spans="1:12" outlineLevel="1">
      <c r="A776" s="8"/>
      <c r="B776" s="1"/>
      <c r="C776" s="1"/>
      <c r="D776" s="1"/>
      <c r="E776" s="1"/>
      <c r="F776" s="2"/>
    </row>
    <row r="777" spans="1:12" outlineLevel="1">
      <c r="A777" s="8"/>
      <c r="B777" s="1"/>
      <c r="C777" s="1"/>
      <c r="D777" s="1"/>
      <c r="E777" s="1"/>
      <c r="F777" s="2"/>
    </row>
    <row r="778" spans="1:12" outlineLevel="1">
      <c r="A778" s="8"/>
      <c r="B778" s="1"/>
      <c r="C778" s="1"/>
      <c r="D778" s="1"/>
      <c r="E778" s="1"/>
      <c r="F778" s="2"/>
    </row>
    <row r="779" spans="1:12" outlineLevel="1">
      <c r="A779" s="8"/>
      <c r="B779" s="1"/>
      <c r="C779" s="1"/>
      <c r="D779" s="1"/>
      <c r="E779" s="1"/>
      <c r="F779" s="2"/>
    </row>
    <row r="780" spans="1:12" outlineLevel="1">
      <c r="A780" s="8"/>
      <c r="B780" s="1"/>
      <c r="C780" s="1"/>
      <c r="D780" s="1"/>
      <c r="E780" s="1"/>
      <c r="F780" s="2"/>
    </row>
    <row r="781" spans="1:12" outlineLevel="1">
      <c r="A781" s="8"/>
      <c r="B781" s="1"/>
      <c r="C781" s="1"/>
      <c r="D781" s="1"/>
      <c r="E781" s="1"/>
      <c r="F781" s="2"/>
    </row>
    <row r="782" spans="1:12" ht="15.75" outlineLevel="1" thickBot="1">
      <c r="A782" s="9"/>
      <c r="B782" s="3"/>
      <c r="C782" s="3"/>
      <c r="D782" s="3"/>
      <c r="E782" s="3"/>
      <c r="F782" s="4"/>
    </row>
    <row r="783" spans="1:12" ht="16.5" thickTop="1" thickBot="1"/>
    <row r="784" spans="1:12" ht="15.75" thickTop="1">
      <c r="A784" s="3808" t="s">
        <v>0</v>
      </c>
      <c r="B784" s="3804" t="s">
        <v>1</v>
      </c>
      <c r="C784" s="3804" t="s">
        <v>2</v>
      </c>
      <c r="D784" s="3804" t="s">
        <v>3</v>
      </c>
      <c r="E784" s="3804" t="s">
        <v>4</v>
      </c>
      <c r="F784" s="3806" t="s">
        <v>5</v>
      </c>
      <c r="G784" s="176"/>
      <c r="H784" s="176"/>
      <c r="I784" s="176"/>
      <c r="J784" s="176"/>
      <c r="K784" s="176"/>
      <c r="L784" s="176"/>
    </row>
    <row r="785" spans="1:12" ht="24.75" customHeight="1" collapsed="1" thickBot="1">
      <c r="A785" s="3809"/>
      <c r="B785" s="3805"/>
      <c r="C785" s="3805"/>
      <c r="D785" s="3805"/>
      <c r="E785" s="3805"/>
      <c r="F785" s="3807"/>
      <c r="G785" s="176"/>
      <c r="H785" s="176"/>
      <c r="I785" s="176"/>
      <c r="J785" s="176"/>
      <c r="K785" s="176"/>
      <c r="L785" s="176"/>
    </row>
    <row r="786" spans="1:12" ht="15.75" outlineLevel="1" thickTop="1">
      <c r="A786" s="277" t="s">
        <v>759</v>
      </c>
      <c r="B786" s="191" t="s">
        <v>106</v>
      </c>
      <c r="C786" s="191" t="s">
        <v>68</v>
      </c>
      <c r="D786" s="191" t="s">
        <v>325</v>
      </c>
      <c r="E786" s="278">
        <v>7.0000000000000007E-2</v>
      </c>
      <c r="F786" s="279">
        <v>9391</v>
      </c>
      <c r="G786" s="176"/>
      <c r="H786" s="176"/>
      <c r="I786" s="176"/>
      <c r="J786" s="176"/>
      <c r="K786" s="176"/>
      <c r="L786" s="176"/>
    </row>
    <row r="787" spans="1:12" outlineLevel="1">
      <c r="A787" s="280"/>
      <c r="B787" s="31"/>
      <c r="C787" s="31" t="s">
        <v>69</v>
      </c>
      <c r="D787" s="191" t="s">
        <v>325</v>
      </c>
      <c r="E787" s="285">
        <v>7.0000000000000007E-2</v>
      </c>
      <c r="F787" s="281">
        <v>9391</v>
      </c>
      <c r="G787" s="176"/>
      <c r="H787" s="176"/>
      <c r="I787" s="176"/>
      <c r="J787" s="176"/>
      <c r="K787" s="176"/>
      <c r="L787" s="176"/>
    </row>
    <row r="788" spans="1:12" outlineLevel="1">
      <c r="A788" s="280"/>
      <c r="B788" s="31"/>
      <c r="C788" s="31" t="s">
        <v>511</v>
      </c>
      <c r="D788" s="191" t="s">
        <v>325</v>
      </c>
      <c r="E788" s="285">
        <v>0.15</v>
      </c>
      <c r="F788" s="281">
        <v>29750</v>
      </c>
      <c r="G788" s="176">
        <v>240</v>
      </c>
      <c r="H788" s="176">
        <f>F788*G788</f>
        <v>7140000</v>
      </c>
      <c r="I788" s="176">
        <v>34999</v>
      </c>
      <c r="J788" s="176">
        <f>G788*I788</f>
        <v>8399760</v>
      </c>
      <c r="K788" s="176">
        <f>J788-H788</f>
        <v>1259760</v>
      </c>
      <c r="L788" s="176">
        <f>K788*1.2</f>
        <v>1511712</v>
      </c>
    </row>
    <row r="789" spans="1:12" outlineLevel="1">
      <c r="A789" s="280"/>
      <c r="B789" s="31"/>
      <c r="C789" s="31" t="s">
        <v>760</v>
      </c>
      <c r="D789" s="191" t="s">
        <v>325</v>
      </c>
      <c r="E789" s="285">
        <v>0.15</v>
      </c>
      <c r="F789" s="281">
        <v>29750</v>
      </c>
      <c r="G789" s="176"/>
      <c r="H789" s="176"/>
      <c r="I789" s="176"/>
      <c r="J789" s="176"/>
      <c r="K789" s="176"/>
      <c r="L789" s="176"/>
    </row>
    <row r="790" spans="1:12" outlineLevel="1">
      <c r="A790" s="280"/>
      <c r="B790" s="31"/>
      <c r="C790" s="31" t="s">
        <v>389</v>
      </c>
      <c r="D790" s="191" t="s">
        <v>325</v>
      </c>
      <c r="E790" s="285">
        <v>0.15</v>
      </c>
      <c r="F790" s="281">
        <v>29750</v>
      </c>
      <c r="G790" s="176"/>
      <c r="H790" s="176"/>
      <c r="I790" s="176"/>
      <c r="J790" s="176"/>
      <c r="K790" s="176"/>
      <c r="L790" s="176"/>
    </row>
    <row r="791" spans="1:12" outlineLevel="1">
      <c r="A791" s="280"/>
      <c r="B791" s="31"/>
      <c r="C791" s="31"/>
      <c r="D791" s="31"/>
      <c r="E791" s="285"/>
      <c r="F791" s="281"/>
      <c r="G791" s="176"/>
      <c r="H791" s="176">
        <f>H788*1.2</f>
        <v>8568000</v>
      </c>
      <c r="I791" s="176"/>
      <c r="J791" s="176">
        <f>J788*1.2</f>
        <v>10079712</v>
      </c>
      <c r="K791" s="176"/>
      <c r="L791" s="176"/>
    </row>
    <row r="792" spans="1:12" outlineLevel="1">
      <c r="A792" s="280"/>
      <c r="B792" s="31"/>
      <c r="C792" s="31"/>
      <c r="D792" s="31"/>
      <c r="E792" s="31"/>
      <c r="F792" s="281"/>
      <c r="G792" s="176"/>
      <c r="H792" s="176"/>
      <c r="I792" s="176"/>
      <c r="J792" s="176"/>
      <c r="K792" s="176"/>
      <c r="L792" s="176"/>
    </row>
    <row r="793" spans="1:12" outlineLevel="1">
      <c r="A793" s="280"/>
      <c r="B793" s="31"/>
      <c r="C793" s="31"/>
      <c r="D793" s="31"/>
      <c r="E793" s="31"/>
      <c r="F793" s="281"/>
      <c r="G793" s="176"/>
      <c r="H793" s="176"/>
      <c r="I793" s="176"/>
      <c r="J793" s="176"/>
      <c r="K793" s="176"/>
      <c r="L793" s="176"/>
    </row>
    <row r="794" spans="1:12" outlineLevel="1">
      <c r="A794" s="280"/>
      <c r="B794" s="31"/>
      <c r="C794" s="31"/>
      <c r="D794" s="31"/>
      <c r="E794" s="31"/>
      <c r="F794" s="281"/>
      <c r="G794" s="176"/>
      <c r="H794" s="176"/>
      <c r="I794" s="176"/>
      <c r="J794" s="176"/>
      <c r="K794" s="176"/>
      <c r="L794" s="176"/>
    </row>
    <row r="795" spans="1:12" outlineLevel="1">
      <c r="A795" s="280"/>
      <c r="B795" s="31"/>
      <c r="C795" s="31"/>
      <c r="D795" s="31"/>
      <c r="E795" s="31"/>
      <c r="F795" s="281"/>
      <c r="G795" s="176"/>
      <c r="H795" s="176"/>
      <c r="I795" s="176"/>
      <c r="J795" s="176"/>
      <c r="K795" s="176"/>
      <c r="L795" s="176"/>
    </row>
    <row r="796" spans="1:12" outlineLevel="1">
      <c r="A796" s="280"/>
      <c r="B796" s="31"/>
      <c r="C796" s="31"/>
      <c r="D796" s="31"/>
      <c r="E796" s="31"/>
      <c r="F796" s="281"/>
      <c r="G796" s="176"/>
      <c r="H796" s="176"/>
      <c r="I796" s="176"/>
      <c r="J796" s="176"/>
      <c r="K796" s="176"/>
      <c r="L796" s="176"/>
    </row>
    <row r="797" spans="1:12" ht="15.75" outlineLevel="1" thickBot="1">
      <c r="A797" s="282"/>
      <c r="B797" s="283"/>
      <c r="C797" s="283"/>
      <c r="D797" s="283"/>
      <c r="E797" s="283"/>
      <c r="F797" s="284"/>
      <c r="G797" s="176"/>
      <c r="H797" s="176"/>
      <c r="I797" s="176"/>
      <c r="J797" s="176"/>
      <c r="K797" s="176"/>
      <c r="L797" s="176"/>
    </row>
    <row r="798" spans="1:12" ht="16.5" thickTop="1" thickBot="1"/>
    <row r="799" spans="1:12" ht="15.75" thickTop="1">
      <c r="A799" s="3782" t="s">
        <v>0</v>
      </c>
      <c r="B799" s="3781" t="s">
        <v>1</v>
      </c>
      <c r="C799" s="3781" t="s">
        <v>2</v>
      </c>
      <c r="D799" s="3781" t="s">
        <v>3</v>
      </c>
      <c r="E799" s="3781" t="s">
        <v>4</v>
      </c>
      <c r="F799" s="3765" t="s">
        <v>5</v>
      </c>
    </row>
    <row r="800" spans="1:12" ht="24.75" customHeight="1" collapsed="1" thickBot="1">
      <c r="A800" s="3783"/>
      <c r="B800" s="3767"/>
      <c r="C800" s="3767"/>
      <c r="D800" s="3767"/>
      <c r="E800" s="3767"/>
      <c r="F800" s="3766"/>
    </row>
    <row r="801" spans="1:6" ht="15.75" outlineLevel="1" thickTop="1">
      <c r="A801" s="7" t="s">
        <v>802</v>
      </c>
      <c r="B801" s="5" t="s">
        <v>116</v>
      </c>
      <c r="C801" s="5" t="s">
        <v>27</v>
      </c>
      <c r="D801" s="5" t="s">
        <v>325</v>
      </c>
      <c r="E801" s="11">
        <v>0.2</v>
      </c>
      <c r="F801" s="6">
        <v>7090</v>
      </c>
    </row>
    <row r="802" spans="1:6" outlineLevel="1">
      <c r="A802" s="8"/>
      <c r="B802" s="1"/>
      <c r="C802" s="1" t="s">
        <v>28</v>
      </c>
      <c r="D802" s="5" t="s">
        <v>325</v>
      </c>
      <c r="E802" s="11">
        <v>0.2</v>
      </c>
      <c r="F802" s="2">
        <v>7090</v>
      </c>
    </row>
    <row r="803" spans="1:6" outlineLevel="1">
      <c r="A803" s="8"/>
      <c r="B803" s="1"/>
      <c r="C803" s="1" t="s">
        <v>29</v>
      </c>
      <c r="D803" s="5" t="s">
        <v>325</v>
      </c>
      <c r="E803" s="11">
        <v>0.2</v>
      </c>
      <c r="F803" s="2">
        <v>7090</v>
      </c>
    </row>
    <row r="804" spans="1:6" outlineLevel="1">
      <c r="A804" s="8"/>
      <c r="B804" s="1"/>
      <c r="C804" s="5" t="s">
        <v>226</v>
      </c>
      <c r="D804" s="5" t="s">
        <v>325</v>
      </c>
      <c r="E804" s="12">
        <v>0.15</v>
      </c>
      <c r="F804" s="2">
        <v>4688</v>
      </c>
    </row>
    <row r="805" spans="1:6" outlineLevel="1">
      <c r="A805" s="8"/>
      <c r="B805" s="1"/>
      <c r="C805" s="1" t="s">
        <v>227</v>
      </c>
      <c r="D805" s="5" t="s">
        <v>325</v>
      </c>
      <c r="E805" s="12">
        <v>0.15</v>
      </c>
      <c r="F805" s="2">
        <v>4688</v>
      </c>
    </row>
    <row r="806" spans="1:6" outlineLevel="1">
      <c r="A806" s="8"/>
      <c r="B806" s="1"/>
      <c r="C806" s="1" t="s">
        <v>228</v>
      </c>
      <c r="D806" s="5" t="s">
        <v>325</v>
      </c>
      <c r="E806" s="12">
        <v>0.15</v>
      </c>
      <c r="F806" s="2">
        <v>4688</v>
      </c>
    </row>
    <row r="807" spans="1:6" outlineLevel="1">
      <c r="A807" s="8"/>
      <c r="B807" s="1"/>
      <c r="C807" s="1"/>
      <c r="D807" s="1"/>
      <c r="E807" s="1"/>
      <c r="F807" s="2"/>
    </row>
    <row r="808" spans="1:6" outlineLevel="1">
      <c r="A808" s="8"/>
      <c r="B808" s="1"/>
      <c r="C808" s="1"/>
      <c r="D808" s="1"/>
      <c r="E808" s="1"/>
      <c r="F808" s="2"/>
    </row>
    <row r="809" spans="1:6" outlineLevel="1">
      <c r="A809" s="8"/>
      <c r="B809" s="1"/>
      <c r="C809" s="1"/>
      <c r="D809" s="1"/>
      <c r="E809" s="1"/>
      <c r="F809" s="2"/>
    </row>
    <row r="810" spans="1:6" outlineLevel="1">
      <c r="A810" s="8"/>
      <c r="B810" s="1"/>
      <c r="C810" s="1"/>
      <c r="D810" s="1"/>
      <c r="E810" s="1"/>
      <c r="F810" s="2"/>
    </row>
    <row r="811" spans="1:6" outlineLevel="1">
      <c r="A811" s="8"/>
      <c r="B811" s="1"/>
      <c r="C811" s="1"/>
      <c r="D811" s="1"/>
      <c r="E811" s="1"/>
      <c r="F811" s="2"/>
    </row>
    <row r="812" spans="1:6" ht="15.75" outlineLevel="1" thickBot="1">
      <c r="A812" s="9"/>
      <c r="B812" s="3"/>
      <c r="C812" s="3"/>
      <c r="D812" s="3"/>
      <c r="E812" s="3"/>
      <c r="F812" s="4"/>
    </row>
    <row r="813" spans="1:6" ht="16.5" thickTop="1" thickBot="1"/>
    <row r="814" spans="1:6" ht="15.75" thickTop="1">
      <c r="A814" s="3782" t="s">
        <v>0</v>
      </c>
      <c r="B814" s="3781" t="s">
        <v>1</v>
      </c>
      <c r="C814" s="3781" t="s">
        <v>2</v>
      </c>
      <c r="D814" s="3781" t="s">
        <v>3</v>
      </c>
      <c r="E814" s="3781" t="s">
        <v>4</v>
      </c>
      <c r="F814" s="3765" t="s">
        <v>5</v>
      </c>
    </row>
    <row r="815" spans="1:6" ht="24.75" customHeight="1" collapsed="1" thickBot="1">
      <c r="A815" s="3783"/>
      <c r="B815" s="3767"/>
      <c r="C815" s="3767"/>
      <c r="D815" s="3767"/>
      <c r="E815" s="3767"/>
      <c r="F815" s="3766"/>
    </row>
    <row r="816" spans="1:6" ht="15.75" outlineLevel="1" thickTop="1">
      <c r="A816" s="7" t="s">
        <v>806</v>
      </c>
      <c r="B816" s="5" t="s">
        <v>116</v>
      </c>
      <c r="C816" s="5" t="s">
        <v>550</v>
      </c>
      <c r="D816" s="5" t="s">
        <v>325</v>
      </c>
      <c r="E816" s="11">
        <v>0.1</v>
      </c>
      <c r="F816" s="6">
        <v>145215</v>
      </c>
    </row>
    <row r="817" spans="1:12" outlineLevel="1">
      <c r="A817" s="8"/>
      <c r="B817" s="1"/>
      <c r="C817" s="1" t="s">
        <v>549</v>
      </c>
      <c r="D817" s="5" t="s">
        <v>325</v>
      </c>
      <c r="E817" s="11">
        <v>0.1</v>
      </c>
      <c r="F817" s="2">
        <v>169725</v>
      </c>
    </row>
    <row r="818" spans="1:12" outlineLevel="1">
      <c r="A818" s="8"/>
      <c r="B818" s="1"/>
      <c r="C818" s="1"/>
      <c r="D818" s="5"/>
      <c r="E818" s="11"/>
      <c r="F818" s="2"/>
    </row>
    <row r="819" spans="1:12" outlineLevel="1">
      <c r="A819" s="8"/>
      <c r="B819" s="1"/>
      <c r="C819" s="5"/>
      <c r="D819" s="5"/>
      <c r="E819" s="12"/>
      <c r="F819" s="2"/>
    </row>
    <row r="820" spans="1:12" outlineLevel="1">
      <c r="A820" s="8"/>
      <c r="B820" s="1"/>
      <c r="C820" s="1"/>
      <c r="D820" s="5"/>
      <c r="E820" s="12"/>
      <c r="F820" s="2"/>
    </row>
    <row r="821" spans="1:12" outlineLevel="1">
      <c r="A821" s="8"/>
      <c r="B821" s="1"/>
      <c r="C821" s="1"/>
      <c r="D821" s="5"/>
      <c r="E821" s="12"/>
      <c r="F821" s="2"/>
    </row>
    <row r="822" spans="1:12" outlineLevel="1">
      <c r="A822" s="8"/>
      <c r="B822" s="1"/>
      <c r="C822" s="1"/>
      <c r="D822" s="1"/>
      <c r="E822" s="1"/>
      <c r="F822" s="2"/>
    </row>
    <row r="823" spans="1:12" outlineLevel="1">
      <c r="A823" s="8"/>
      <c r="B823" s="1"/>
      <c r="C823" s="1"/>
      <c r="D823" s="1"/>
      <c r="E823" s="1"/>
      <c r="F823" s="2"/>
    </row>
    <row r="824" spans="1:12" outlineLevel="1">
      <c r="A824" s="8"/>
      <c r="B824" s="1"/>
      <c r="C824" s="1"/>
      <c r="D824" s="1"/>
      <c r="E824" s="1"/>
      <c r="F824" s="2"/>
    </row>
    <row r="825" spans="1:12" outlineLevel="1">
      <c r="A825" s="8"/>
      <c r="B825" s="1"/>
      <c r="C825" s="1"/>
      <c r="D825" s="1"/>
      <c r="E825" s="1"/>
      <c r="F825" s="2"/>
    </row>
    <row r="826" spans="1:12" outlineLevel="1">
      <c r="A826" s="8"/>
      <c r="B826" s="1"/>
      <c r="C826" s="1"/>
      <c r="D826" s="1"/>
      <c r="E826" s="1"/>
      <c r="F826" s="2"/>
    </row>
    <row r="827" spans="1:12" ht="15.75" outlineLevel="1" thickBot="1">
      <c r="A827" s="9"/>
      <c r="B827" s="3"/>
      <c r="C827" s="3"/>
      <c r="D827" s="3"/>
      <c r="E827" s="3"/>
      <c r="F827" s="4"/>
    </row>
    <row r="828" spans="1:12" ht="16.5" thickTop="1" thickBot="1"/>
    <row r="829" spans="1:12" ht="15.75" thickTop="1">
      <c r="A829" s="3808" t="s">
        <v>0</v>
      </c>
      <c r="B829" s="3804" t="s">
        <v>1</v>
      </c>
      <c r="C829" s="3804" t="s">
        <v>2</v>
      </c>
      <c r="D829" s="3804" t="s">
        <v>3</v>
      </c>
      <c r="E829" s="3804" t="s">
        <v>4</v>
      </c>
      <c r="F829" s="3806" t="s">
        <v>5</v>
      </c>
      <c r="G829" s="176"/>
      <c r="H829" s="176"/>
      <c r="I829" s="176"/>
      <c r="J829" s="176"/>
      <c r="K829" s="176"/>
      <c r="L829" s="176"/>
    </row>
    <row r="830" spans="1:12" ht="24.75" customHeight="1" collapsed="1" thickBot="1">
      <c r="A830" s="3809"/>
      <c r="B830" s="3805"/>
      <c r="C830" s="3805"/>
      <c r="D830" s="3805"/>
      <c r="E830" s="3805"/>
      <c r="F830" s="3807"/>
      <c r="G830" s="176"/>
      <c r="H830" s="176"/>
      <c r="I830" s="176"/>
      <c r="J830" s="176"/>
      <c r="K830" s="176"/>
      <c r="L830" s="176"/>
    </row>
    <row r="831" spans="1:12" ht="15.75" hidden="1" outlineLevel="2" thickTop="1">
      <c r="A831" s="277" t="s">
        <v>809</v>
      </c>
      <c r="B831" s="191" t="s">
        <v>329</v>
      </c>
      <c r="C831" s="191" t="s">
        <v>328</v>
      </c>
      <c r="D831" s="191" t="s">
        <v>325</v>
      </c>
      <c r="E831" s="278">
        <v>0.15</v>
      </c>
      <c r="F831" s="279">
        <v>143687</v>
      </c>
      <c r="G831" s="176">
        <v>6592</v>
      </c>
      <c r="H831" s="176">
        <f>F831*G831</f>
        <v>947184704</v>
      </c>
      <c r="I831" s="176">
        <v>172545</v>
      </c>
      <c r="J831" s="176">
        <f>G831*I831</f>
        <v>1137416640</v>
      </c>
      <c r="K831" s="176">
        <f>J831-H831</f>
        <v>190231936</v>
      </c>
      <c r="L831" s="176">
        <f>K831*1.1</f>
        <v>209255129.60000002</v>
      </c>
    </row>
    <row r="832" spans="1:12" hidden="1" outlineLevel="2">
      <c r="A832" s="280"/>
      <c r="B832" s="31" t="s">
        <v>330</v>
      </c>
      <c r="C832" s="31" t="s">
        <v>326</v>
      </c>
      <c r="D832" s="191" t="s">
        <v>325</v>
      </c>
      <c r="E832" s="278">
        <v>0.15</v>
      </c>
      <c r="F832" s="279">
        <v>143687</v>
      </c>
      <c r="G832" s="339" t="s">
        <v>852</v>
      </c>
      <c r="H832" s="176"/>
      <c r="I832" s="176"/>
      <c r="J832" s="176"/>
      <c r="K832" s="176"/>
      <c r="L832" s="176"/>
    </row>
    <row r="833" spans="1:12" hidden="1" outlineLevel="2">
      <c r="A833" s="280"/>
      <c r="B833" s="31" t="s">
        <v>331</v>
      </c>
      <c r="C833" s="31" t="s">
        <v>327</v>
      </c>
      <c r="D833" s="191" t="s">
        <v>325</v>
      </c>
      <c r="E833" s="278">
        <v>0.15</v>
      </c>
      <c r="F833" s="279">
        <v>143687</v>
      </c>
      <c r="G833" s="176"/>
      <c r="H833" s="176"/>
      <c r="I833" s="176"/>
      <c r="J833" s="176"/>
      <c r="K833" s="176"/>
      <c r="L833" s="176"/>
    </row>
    <row r="834" spans="1:12" hidden="1" outlineLevel="2">
      <c r="A834" s="280"/>
      <c r="B834" s="31" t="s">
        <v>332</v>
      </c>
      <c r="C834" s="31"/>
      <c r="D834" s="191"/>
      <c r="E834" s="278"/>
      <c r="F834" s="279"/>
      <c r="G834" s="176"/>
      <c r="H834" s="176">
        <f>H831*1.1</f>
        <v>1041903174.4000001</v>
      </c>
      <c r="I834" s="176"/>
      <c r="J834" s="176">
        <f>J831*1.1</f>
        <v>1251158304</v>
      </c>
      <c r="K834" s="176"/>
      <c r="L834" s="176"/>
    </row>
    <row r="835" spans="1:12" hidden="1" outlineLevel="2">
      <c r="A835" s="280"/>
      <c r="B835" s="31" t="s">
        <v>333</v>
      </c>
      <c r="C835" s="31"/>
      <c r="D835" s="31"/>
      <c r="E835" s="31"/>
      <c r="F835" s="281"/>
      <c r="G835" s="176"/>
      <c r="H835" s="176"/>
      <c r="I835" s="176"/>
      <c r="J835" s="176"/>
      <c r="K835" s="176"/>
      <c r="L835" s="176"/>
    </row>
    <row r="836" spans="1:12" hidden="1" outlineLevel="2">
      <c r="A836" s="280"/>
      <c r="B836" s="31" t="s">
        <v>334</v>
      </c>
      <c r="C836" s="31"/>
      <c r="D836" s="31"/>
      <c r="E836" s="31"/>
      <c r="F836" s="281"/>
      <c r="G836" s="176"/>
      <c r="H836" s="176"/>
      <c r="I836" s="176"/>
      <c r="J836" s="176"/>
      <c r="K836" s="176"/>
      <c r="L836" s="176"/>
    </row>
    <row r="837" spans="1:12" hidden="1" outlineLevel="2">
      <c r="A837" s="280"/>
      <c r="B837" s="31"/>
      <c r="C837" s="31"/>
      <c r="D837" s="31"/>
      <c r="E837" s="31"/>
      <c r="F837" s="281"/>
      <c r="G837" s="176"/>
      <c r="H837" s="176"/>
      <c r="I837" s="176"/>
      <c r="J837" s="176"/>
      <c r="K837" s="176"/>
      <c r="L837" s="176"/>
    </row>
    <row r="838" spans="1:12" hidden="1" outlineLevel="2">
      <c r="A838" s="280"/>
      <c r="B838" s="31"/>
      <c r="C838" s="31"/>
      <c r="D838" s="31"/>
      <c r="E838" s="31"/>
      <c r="F838" s="281"/>
      <c r="G838" s="176"/>
      <c r="H838" s="176"/>
      <c r="I838" s="176"/>
      <c r="J838" s="176"/>
      <c r="K838" s="176"/>
      <c r="L838" s="176"/>
    </row>
    <row r="839" spans="1:12" hidden="1" outlineLevel="2">
      <c r="A839" s="280"/>
      <c r="B839" s="31"/>
      <c r="C839" s="31"/>
      <c r="D839" s="31"/>
      <c r="E839" s="31"/>
      <c r="F839" s="281"/>
      <c r="G839" s="176"/>
      <c r="H839" s="176"/>
      <c r="I839" s="176"/>
      <c r="J839" s="176"/>
      <c r="K839" s="176"/>
      <c r="L839" s="176"/>
    </row>
    <row r="840" spans="1:12" hidden="1" outlineLevel="2">
      <c r="A840" s="280"/>
      <c r="B840" s="31"/>
      <c r="C840" s="31"/>
      <c r="D840" s="31"/>
      <c r="E840" s="31"/>
      <c r="F840" s="281"/>
      <c r="G840" s="176"/>
      <c r="H840" s="176"/>
      <c r="I840" s="176"/>
      <c r="J840" s="176"/>
      <c r="K840" s="176"/>
      <c r="L840" s="176"/>
    </row>
    <row r="841" spans="1:12" hidden="1" outlineLevel="2">
      <c r="A841" s="280"/>
      <c r="B841" s="31"/>
      <c r="C841" s="31"/>
      <c r="D841" s="31"/>
      <c r="E841" s="31"/>
      <c r="F841" s="281"/>
      <c r="G841" s="176"/>
      <c r="H841" s="176"/>
      <c r="I841" s="176"/>
      <c r="J841" s="176"/>
      <c r="K841" s="176"/>
      <c r="L841" s="176"/>
    </row>
    <row r="842" spans="1:12" ht="15.75" hidden="1" outlineLevel="2" thickBot="1">
      <c r="A842" s="282"/>
      <c r="B842" s="283"/>
      <c r="C842" s="283"/>
      <c r="D842" s="283"/>
      <c r="E842" s="283"/>
      <c r="F842" s="284"/>
      <c r="G842" s="176"/>
      <c r="H842" s="176"/>
      <c r="I842" s="176"/>
      <c r="J842" s="176"/>
      <c r="K842" s="176"/>
      <c r="L842" s="176"/>
    </row>
    <row r="843" spans="1:12" ht="16.5" hidden="1" outlineLevel="1" thickTop="1" thickBot="1"/>
    <row r="844" spans="1:12" ht="15.75" hidden="1" outlineLevel="1" thickTop="1">
      <c r="A844" s="3782" t="s">
        <v>0</v>
      </c>
      <c r="B844" s="3781" t="s">
        <v>1</v>
      </c>
      <c r="C844" s="3781" t="s">
        <v>2</v>
      </c>
      <c r="D844" s="3781" t="s">
        <v>3</v>
      </c>
      <c r="E844" s="3781" t="s">
        <v>4</v>
      </c>
      <c r="F844" s="3765" t="s">
        <v>5</v>
      </c>
    </row>
    <row r="845" spans="1:12" ht="24.75" hidden="1" customHeight="1" outlineLevel="1" collapsed="1" thickBot="1">
      <c r="A845" s="3783"/>
      <c r="B845" s="3767"/>
      <c r="C845" s="3767"/>
      <c r="D845" s="3767"/>
      <c r="E845" s="3767"/>
      <c r="F845" s="3766"/>
    </row>
    <row r="846" spans="1:12" ht="15.75" hidden="1" outlineLevel="2" thickTop="1">
      <c r="A846" s="7" t="s">
        <v>832</v>
      </c>
      <c r="B846" s="5" t="s">
        <v>106</v>
      </c>
      <c r="C846" s="5" t="s">
        <v>27</v>
      </c>
      <c r="D846" s="5" t="s">
        <v>325</v>
      </c>
      <c r="E846" s="11">
        <v>0.2</v>
      </c>
      <c r="F846" s="2">
        <v>7090</v>
      </c>
      <c r="G846">
        <f>F846/0.8</f>
        <v>8862.5</v>
      </c>
    </row>
    <row r="847" spans="1:12" hidden="1" outlineLevel="2">
      <c r="A847" s="8"/>
      <c r="B847" s="1"/>
      <c r="C847" s="1" t="s">
        <v>28</v>
      </c>
      <c r="D847" s="5" t="s">
        <v>325</v>
      </c>
      <c r="E847" s="11">
        <v>0.2</v>
      </c>
      <c r="F847" s="2">
        <v>7090</v>
      </c>
    </row>
    <row r="848" spans="1:12" hidden="1" outlineLevel="2">
      <c r="A848" s="8"/>
      <c r="B848" s="1"/>
      <c r="C848" s="1" t="s">
        <v>29</v>
      </c>
      <c r="D848" s="5" t="s">
        <v>325</v>
      </c>
      <c r="E848" s="11">
        <v>0.2</v>
      </c>
      <c r="F848" s="2">
        <v>7090</v>
      </c>
    </row>
    <row r="849" spans="1:6" hidden="1" outlineLevel="2">
      <c r="A849" s="8"/>
      <c r="B849" s="1"/>
      <c r="C849" s="1"/>
      <c r="D849" s="5"/>
      <c r="E849" s="11"/>
      <c r="F849" s="6"/>
    </row>
    <row r="850" spans="1:6" hidden="1" outlineLevel="2">
      <c r="A850" s="8"/>
      <c r="B850" s="1"/>
      <c r="C850" s="1"/>
      <c r="D850" s="1"/>
      <c r="E850" s="1"/>
      <c r="F850" s="2"/>
    </row>
    <row r="851" spans="1:6" hidden="1" outlineLevel="2">
      <c r="A851" s="8"/>
      <c r="B851" s="1"/>
      <c r="C851" s="1"/>
      <c r="D851" s="1"/>
      <c r="E851" s="1"/>
      <c r="F851" s="2"/>
    </row>
    <row r="852" spans="1:6" hidden="1" outlineLevel="2">
      <c r="A852" s="8"/>
      <c r="B852" s="1"/>
      <c r="C852" s="1"/>
      <c r="D852" s="1"/>
      <c r="E852" s="1"/>
      <c r="F852" s="2"/>
    </row>
    <row r="853" spans="1:6" hidden="1" outlineLevel="2">
      <c r="A853" s="8"/>
      <c r="B853" s="1"/>
      <c r="C853" s="1"/>
      <c r="D853" s="1"/>
      <c r="E853" s="1"/>
      <c r="F853" s="2"/>
    </row>
    <row r="854" spans="1:6" hidden="1" outlineLevel="2">
      <c r="A854" s="8"/>
      <c r="B854" s="1"/>
      <c r="C854" s="1"/>
      <c r="D854" s="1"/>
      <c r="E854" s="1"/>
      <c r="F854" s="2"/>
    </row>
    <row r="855" spans="1:6" hidden="1" outlineLevel="2">
      <c r="A855" s="8"/>
      <c r="B855" s="1"/>
      <c r="C855" s="1"/>
      <c r="D855" s="1"/>
      <c r="E855" s="1"/>
      <c r="F855" s="2"/>
    </row>
    <row r="856" spans="1:6" hidden="1" outlineLevel="2">
      <c r="A856" s="8"/>
      <c r="B856" s="1"/>
      <c r="C856" s="1"/>
      <c r="D856" s="1"/>
      <c r="E856" s="1"/>
      <c r="F856" s="2"/>
    </row>
    <row r="857" spans="1:6" ht="15.75" hidden="1" outlineLevel="2" thickBot="1">
      <c r="A857" s="9"/>
      <c r="B857" s="3"/>
      <c r="C857" s="3"/>
      <c r="D857" s="3"/>
      <c r="E857" s="3"/>
      <c r="F857" s="4"/>
    </row>
    <row r="858" spans="1:6" ht="16.5" hidden="1" outlineLevel="1" thickTop="1" thickBot="1"/>
    <row r="859" spans="1:6" ht="15.75" hidden="1" outlineLevel="1" thickTop="1">
      <c r="A859" s="3782" t="s">
        <v>0</v>
      </c>
      <c r="B859" s="3781" t="s">
        <v>1</v>
      </c>
      <c r="C859" s="3781" t="s">
        <v>2</v>
      </c>
      <c r="D859" s="3781" t="s">
        <v>3</v>
      </c>
      <c r="E859" s="3781" t="s">
        <v>4</v>
      </c>
      <c r="F859" s="3765" t="s">
        <v>5</v>
      </c>
    </row>
    <row r="860" spans="1:6" ht="24.75" hidden="1" customHeight="1" outlineLevel="1" collapsed="1" thickBot="1">
      <c r="A860" s="3783"/>
      <c r="B860" s="3767"/>
      <c r="C860" s="3767"/>
      <c r="D860" s="3767"/>
      <c r="E860" s="3767"/>
      <c r="F860" s="3766"/>
    </row>
    <row r="861" spans="1:6" ht="15.75" hidden="1" outlineLevel="2" thickTop="1">
      <c r="A861" s="7" t="s">
        <v>853</v>
      </c>
      <c r="B861" s="5" t="s">
        <v>116</v>
      </c>
      <c r="C861" s="5" t="s">
        <v>238</v>
      </c>
      <c r="D861" s="5" t="s">
        <v>325</v>
      </c>
      <c r="E861" s="11">
        <v>0.15</v>
      </c>
      <c r="F861" s="6">
        <v>48177</v>
      </c>
    </row>
    <row r="862" spans="1:6" hidden="1" outlineLevel="2">
      <c r="A862" s="8"/>
      <c r="B862" s="1"/>
      <c r="C862" s="1" t="s">
        <v>239</v>
      </c>
      <c r="D862" s="5" t="s">
        <v>325</v>
      </c>
      <c r="E862" s="11">
        <v>0.15</v>
      </c>
      <c r="F862" s="2">
        <v>48177</v>
      </c>
    </row>
    <row r="863" spans="1:6" hidden="1" outlineLevel="2">
      <c r="A863" s="8"/>
      <c r="B863" s="1"/>
      <c r="C863" s="1"/>
      <c r="D863" s="5"/>
      <c r="E863" s="11"/>
      <c r="F863" s="6"/>
    </row>
    <row r="864" spans="1:6" hidden="1" outlineLevel="2">
      <c r="A864" s="8"/>
      <c r="B864" s="1"/>
      <c r="C864" s="1"/>
      <c r="D864" s="5"/>
      <c r="E864" s="11"/>
      <c r="F864" s="6"/>
    </row>
    <row r="865" spans="1:6" hidden="1" outlineLevel="2">
      <c r="A865" s="8"/>
      <c r="B865" s="1"/>
      <c r="C865" s="1"/>
      <c r="D865" s="1"/>
      <c r="E865" s="1"/>
      <c r="F865" s="2"/>
    </row>
    <row r="866" spans="1:6" hidden="1" outlineLevel="2">
      <c r="A866" s="8"/>
      <c r="B866" s="1"/>
      <c r="C866" s="1"/>
      <c r="D866" s="1"/>
      <c r="E866" s="1"/>
      <c r="F866" s="2"/>
    </row>
    <row r="867" spans="1:6" hidden="1" outlineLevel="2">
      <c r="A867" s="8"/>
      <c r="B867" s="1"/>
      <c r="C867" s="1"/>
      <c r="D867" s="1"/>
      <c r="E867" s="1"/>
      <c r="F867" s="2"/>
    </row>
    <row r="868" spans="1:6" hidden="1" outlineLevel="2">
      <c r="A868" s="8"/>
      <c r="B868" s="1"/>
      <c r="C868" s="1"/>
      <c r="D868" s="1"/>
      <c r="E868" s="1"/>
      <c r="F868" s="2"/>
    </row>
    <row r="869" spans="1:6" hidden="1" outlineLevel="2">
      <c r="A869" s="8"/>
      <c r="B869" s="1"/>
      <c r="C869" s="1"/>
      <c r="D869" s="1"/>
      <c r="E869" s="1"/>
      <c r="F869" s="2"/>
    </row>
    <row r="870" spans="1:6" hidden="1" outlineLevel="2">
      <c r="A870" s="8"/>
      <c r="B870" s="1"/>
      <c r="C870" s="1"/>
      <c r="D870" s="1"/>
      <c r="E870" s="1"/>
      <c r="F870" s="2"/>
    </row>
    <row r="871" spans="1:6" hidden="1" outlineLevel="2">
      <c r="A871" s="8"/>
      <c r="B871" s="1"/>
      <c r="C871" s="1"/>
      <c r="D871" s="1"/>
      <c r="E871" s="1"/>
      <c r="F871" s="2"/>
    </row>
    <row r="872" spans="1:6" ht="15.75" hidden="1" outlineLevel="2" thickBot="1">
      <c r="A872" s="9"/>
      <c r="B872" s="3"/>
      <c r="C872" s="3"/>
      <c r="D872" s="3"/>
      <c r="E872" s="3"/>
      <c r="F872" s="4"/>
    </row>
    <row r="873" spans="1:6" ht="16.5" hidden="1" outlineLevel="1" thickTop="1" thickBot="1"/>
    <row r="874" spans="1:6" ht="15.75" hidden="1" outlineLevel="1" thickTop="1">
      <c r="A874" s="3782" t="s">
        <v>0</v>
      </c>
      <c r="B874" s="3781" t="s">
        <v>1</v>
      </c>
      <c r="C874" s="3781" t="s">
        <v>2</v>
      </c>
      <c r="D874" s="3781" t="s">
        <v>3</v>
      </c>
      <c r="E874" s="3781" t="s">
        <v>4</v>
      </c>
      <c r="F874" s="3765" t="s">
        <v>5</v>
      </c>
    </row>
    <row r="875" spans="1:6" ht="24.75" hidden="1" customHeight="1" outlineLevel="1" collapsed="1" thickBot="1">
      <c r="A875" s="3783"/>
      <c r="B875" s="3767"/>
      <c r="C875" s="3767"/>
      <c r="D875" s="3767"/>
      <c r="E875" s="3767"/>
      <c r="F875" s="3766"/>
    </row>
    <row r="876" spans="1:6" ht="15.75" hidden="1" outlineLevel="2" thickTop="1">
      <c r="A876" s="7" t="s">
        <v>849</v>
      </c>
      <c r="B876" s="5" t="s">
        <v>329</v>
      </c>
      <c r="C876" s="5" t="s">
        <v>389</v>
      </c>
      <c r="D876" s="5" t="s">
        <v>325</v>
      </c>
      <c r="E876" s="11">
        <v>0.15</v>
      </c>
      <c r="F876" s="6">
        <v>27052</v>
      </c>
    </row>
    <row r="877" spans="1:6" hidden="1" outlineLevel="2">
      <c r="A877" s="8"/>
      <c r="B877" s="1" t="s">
        <v>330</v>
      </c>
      <c r="C877" s="1" t="s">
        <v>510</v>
      </c>
      <c r="D877" s="5" t="s">
        <v>325</v>
      </c>
      <c r="E877" s="11">
        <v>0.15</v>
      </c>
      <c r="F877" s="2">
        <v>27052</v>
      </c>
    </row>
    <row r="878" spans="1:6" hidden="1" outlineLevel="2">
      <c r="A878" s="8"/>
      <c r="B878" s="1" t="s">
        <v>331</v>
      </c>
      <c r="C878" s="1"/>
      <c r="D878" s="5"/>
      <c r="E878" s="1"/>
      <c r="F878" s="2"/>
    </row>
    <row r="879" spans="1:6" hidden="1" outlineLevel="2">
      <c r="A879" s="8"/>
      <c r="B879" s="1" t="s">
        <v>332</v>
      </c>
      <c r="C879" s="1"/>
      <c r="D879" s="1"/>
      <c r="E879" s="1"/>
      <c r="F879" s="2"/>
    </row>
    <row r="880" spans="1:6" hidden="1" outlineLevel="2">
      <c r="A880" s="8"/>
      <c r="B880" s="1" t="s">
        <v>333</v>
      </c>
      <c r="C880" s="1"/>
      <c r="D880" s="1"/>
      <c r="E880" s="1"/>
      <c r="F880" s="2"/>
    </row>
    <row r="881" spans="1:6" hidden="1" outlineLevel="2">
      <c r="A881" s="8"/>
      <c r="B881" s="1" t="s">
        <v>334</v>
      </c>
      <c r="C881" s="1"/>
      <c r="D881" s="1"/>
      <c r="E881" s="1"/>
      <c r="F881" s="2"/>
    </row>
    <row r="882" spans="1:6" hidden="1" outlineLevel="2">
      <c r="A882" s="8"/>
      <c r="B882" s="1"/>
      <c r="C882" s="1"/>
      <c r="D882" s="1"/>
      <c r="E882" s="1"/>
      <c r="F882" s="2"/>
    </row>
    <row r="883" spans="1:6" hidden="1" outlineLevel="2">
      <c r="A883" s="8"/>
      <c r="B883" s="1"/>
      <c r="C883" s="1"/>
      <c r="D883" s="1"/>
      <c r="E883" s="1"/>
      <c r="F883" s="2"/>
    </row>
    <row r="884" spans="1:6" hidden="1" outlineLevel="2">
      <c r="A884" s="8"/>
      <c r="B884" s="1"/>
      <c r="C884" s="1"/>
      <c r="D884" s="1"/>
      <c r="E884" s="1"/>
      <c r="F884" s="2"/>
    </row>
    <row r="885" spans="1:6" hidden="1" outlineLevel="2">
      <c r="A885" s="8"/>
      <c r="B885" s="1"/>
      <c r="C885" s="1"/>
      <c r="D885" s="1"/>
      <c r="E885" s="1"/>
      <c r="F885" s="2"/>
    </row>
    <row r="886" spans="1:6" hidden="1" outlineLevel="2">
      <c r="A886" s="8"/>
      <c r="B886" s="1"/>
      <c r="C886" s="1"/>
      <c r="D886" s="1"/>
      <c r="E886" s="1"/>
      <c r="F886" s="2"/>
    </row>
    <row r="887" spans="1:6" ht="15.75" hidden="1" outlineLevel="2" thickBot="1">
      <c r="A887" s="9"/>
      <c r="B887" s="3"/>
      <c r="C887" s="3"/>
      <c r="D887" s="3"/>
      <c r="E887" s="3"/>
      <c r="F887" s="4"/>
    </row>
    <row r="888" spans="1:6" ht="16.5" hidden="1" outlineLevel="1" thickTop="1" thickBot="1"/>
    <row r="889" spans="1:6" ht="15.75" hidden="1" outlineLevel="1" thickTop="1">
      <c r="A889" s="3782" t="s">
        <v>0</v>
      </c>
      <c r="B889" s="3781" t="s">
        <v>1</v>
      </c>
      <c r="C889" s="3781" t="s">
        <v>2</v>
      </c>
      <c r="D889" s="3781" t="s">
        <v>3</v>
      </c>
      <c r="E889" s="3781" t="s">
        <v>4</v>
      </c>
      <c r="F889" s="3765" t="s">
        <v>5</v>
      </c>
    </row>
    <row r="890" spans="1:6" ht="24.75" hidden="1" customHeight="1" outlineLevel="1" collapsed="1" thickBot="1">
      <c r="A890" s="3783"/>
      <c r="B890" s="3767"/>
      <c r="C890" s="3767"/>
      <c r="D890" s="3767"/>
      <c r="E890" s="3767"/>
      <c r="F890" s="3766"/>
    </row>
    <row r="891" spans="1:6" ht="15.75" hidden="1" outlineLevel="2" thickTop="1">
      <c r="A891" s="7" t="s">
        <v>854</v>
      </c>
      <c r="B891" s="5" t="s">
        <v>116</v>
      </c>
      <c r="C891" s="5" t="s">
        <v>160</v>
      </c>
      <c r="D891" s="5" t="s">
        <v>325</v>
      </c>
      <c r="E891" s="11">
        <v>0.15</v>
      </c>
      <c r="F891" s="6">
        <v>127886</v>
      </c>
    </row>
    <row r="892" spans="1:6" hidden="1" outlineLevel="2">
      <c r="A892" s="8"/>
      <c r="B892" s="1"/>
      <c r="C892" s="1" t="s">
        <v>113</v>
      </c>
      <c r="D892" s="5" t="s">
        <v>325</v>
      </c>
      <c r="E892" s="11">
        <v>0.15</v>
      </c>
      <c r="F892" s="2">
        <v>127886</v>
      </c>
    </row>
    <row r="893" spans="1:6" hidden="1" outlineLevel="2">
      <c r="A893" s="8"/>
      <c r="B893" s="1"/>
      <c r="C893" s="1" t="s">
        <v>161</v>
      </c>
      <c r="D893" s="5" t="s">
        <v>325</v>
      </c>
      <c r="E893" s="11">
        <v>0.15</v>
      </c>
      <c r="F893" s="6">
        <v>127886</v>
      </c>
    </row>
    <row r="894" spans="1:6" hidden="1" outlineLevel="2">
      <c r="A894" s="8"/>
      <c r="B894" s="1"/>
      <c r="C894" s="1" t="s">
        <v>855</v>
      </c>
      <c r="D894" s="5" t="s">
        <v>325</v>
      </c>
      <c r="E894" s="11">
        <v>0.15</v>
      </c>
      <c r="F894" s="6">
        <v>10786</v>
      </c>
    </row>
    <row r="895" spans="1:6" hidden="1" outlineLevel="2">
      <c r="A895" s="8"/>
      <c r="B895" s="1"/>
      <c r="C895" s="1" t="s">
        <v>856</v>
      </c>
      <c r="D895" s="5" t="s">
        <v>325</v>
      </c>
      <c r="E895" s="11">
        <v>0.15</v>
      </c>
      <c r="F895" s="2">
        <v>10786</v>
      </c>
    </row>
    <row r="896" spans="1:6" hidden="1" outlineLevel="2">
      <c r="A896" s="8"/>
      <c r="B896" s="1"/>
      <c r="C896" s="1" t="s">
        <v>857</v>
      </c>
      <c r="D896" s="5" t="s">
        <v>325</v>
      </c>
      <c r="E896" s="11">
        <v>0.15</v>
      </c>
      <c r="F896" s="2">
        <v>10786</v>
      </c>
    </row>
    <row r="897" spans="1:8" hidden="1" outlineLevel="2">
      <c r="A897" s="8"/>
      <c r="B897" s="1"/>
      <c r="C897" s="1" t="s">
        <v>858</v>
      </c>
      <c r="D897" s="5" t="s">
        <v>325</v>
      </c>
      <c r="E897" s="11">
        <v>0.15</v>
      </c>
      <c r="F897" s="2">
        <v>5698</v>
      </c>
    </row>
    <row r="898" spans="1:8" hidden="1" outlineLevel="2">
      <c r="A898" s="8"/>
      <c r="B898" s="1"/>
      <c r="C898" s="1" t="s">
        <v>730</v>
      </c>
      <c r="D898" s="5" t="s">
        <v>325</v>
      </c>
      <c r="E898" s="11">
        <v>0.15</v>
      </c>
      <c r="F898" s="2">
        <v>4943</v>
      </c>
    </row>
    <row r="899" spans="1:8" hidden="1" outlineLevel="2">
      <c r="A899" s="8"/>
      <c r="B899" s="1"/>
      <c r="C899" s="1" t="s">
        <v>465</v>
      </c>
      <c r="D899" s="5" t="s">
        <v>325</v>
      </c>
      <c r="E899" s="11">
        <v>0.15</v>
      </c>
      <c r="F899" s="2">
        <v>8060</v>
      </c>
    </row>
    <row r="900" spans="1:8" hidden="1" outlineLevel="2">
      <c r="A900" s="8"/>
      <c r="B900" s="1"/>
      <c r="C900" s="1"/>
      <c r="D900" s="1"/>
      <c r="E900" s="1"/>
      <c r="F900" s="2"/>
    </row>
    <row r="901" spans="1:8" hidden="1" outlineLevel="2">
      <c r="A901" s="8"/>
      <c r="B901" s="1"/>
      <c r="C901" s="1"/>
      <c r="D901" s="1"/>
      <c r="E901" s="1"/>
      <c r="F901" s="2"/>
    </row>
    <row r="902" spans="1:8" ht="15.75" hidden="1" outlineLevel="2" thickBot="1">
      <c r="A902" s="9"/>
      <c r="B902" s="3"/>
      <c r="C902" s="3"/>
      <c r="D902" s="3"/>
      <c r="E902" s="3"/>
      <c r="F902" s="4"/>
    </row>
    <row r="903" spans="1:8" ht="16.5" hidden="1" outlineLevel="1" thickTop="1" thickBot="1"/>
    <row r="904" spans="1:8" ht="15.75" hidden="1" outlineLevel="1" thickTop="1">
      <c r="A904" s="3782" t="s">
        <v>0</v>
      </c>
      <c r="B904" s="3781" t="s">
        <v>1</v>
      </c>
      <c r="C904" s="3781" t="s">
        <v>2</v>
      </c>
      <c r="D904" s="3781" t="s">
        <v>3</v>
      </c>
      <c r="E904" s="3781" t="s">
        <v>4</v>
      </c>
      <c r="F904" s="3765" t="s">
        <v>5</v>
      </c>
      <c r="G904" s="3985"/>
      <c r="H904" s="3986"/>
    </row>
    <row r="905" spans="1:8" ht="24.75" hidden="1" customHeight="1" outlineLevel="1" collapsed="1" thickBot="1">
      <c r="A905" s="3783"/>
      <c r="B905" s="3767"/>
      <c r="C905" s="3767"/>
      <c r="D905" s="3767"/>
      <c r="E905" s="3767"/>
      <c r="F905" s="3766"/>
      <c r="G905" s="3985"/>
      <c r="H905" s="3986"/>
    </row>
    <row r="906" spans="1:8" ht="15.75" hidden="1" outlineLevel="2" thickTop="1">
      <c r="A906" s="7" t="s">
        <v>884</v>
      </c>
      <c r="B906" s="5" t="s">
        <v>116</v>
      </c>
      <c r="C906" s="5" t="s">
        <v>550</v>
      </c>
      <c r="D906" s="5" t="s">
        <v>325</v>
      </c>
      <c r="E906" s="11">
        <v>0.1</v>
      </c>
      <c r="F906" s="6">
        <v>145215</v>
      </c>
      <c r="G906" s="3985"/>
      <c r="H906" s="3986"/>
    </row>
    <row r="907" spans="1:8" hidden="1" outlineLevel="2">
      <c r="A907" s="8"/>
      <c r="B907" s="1"/>
      <c r="C907" s="1" t="s">
        <v>549</v>
      </c>
      <c r="D907" s="5" t="s">
        <v>325</v>
      </c>
      <c r="E907" s="11">
        <v>0.1</v>
      </c>
      <c r="F907" s="2">
        <v>169725</v>
      </c>
      <c r="G907" s="3985"/>
      <c r="H907" s="3986"/>
    </row>
    <row r="908" spans="1:8" hidden="1" outlineLevel="2">
      <c r="A908" s="8"/>
      <c r="B908" s="1"/>
      <c r="C908" s="1"/>
      <c r="D908" s="5"/>
      <c r="E908" s="11"/>
      <c r="F908" s="2"/>
      <c r="G908" s="3985"/>
      <c r="H908" s="3986"/>
    </row>
    <row r="909" spans="1:8" hidden="1" outlineLevel="2">
      <c r="A909" s="8"/>
      <c r="B909" s="1"/>
      <c r="C909" s="1"/>
      <c r="D909" s="5"/>
      <c r="E909" s="11"/>
      <c r="F909" s="6"/>
      <c r="G909" s="3985"/>
      <c r="H909" s="3986"/>
    </row>
    <row r="910" spans="1:8" hidden="1" outlineLevel="2">
      <c r="A910" s="8"/>
      <c r="B910" s="1"/>
      <c r="C910" s="1"/>
      <c r="D910" s="1"/>
      <c r="E910" s="1"/>
      <c r="F910" s="2"/>
      <c r="G910" s="3985"/>
      <c r="H910" s="3986"/>
    </row>
    <row r="911" spans="1:8" hidden="1" outlineLevel="2">
      <c r="A911" s="8"/>
      <c r="B911" s="1"/>
      <c r="C911" s="1"/>
      <c r="D911" s="1"/>
      <c r="E911" s="1"/>
      <c r="F911" s="2"/>
      <c r="G911" s="3985"/>
      <c r="H911" s="3986"/>
    </row>
    <row r="912" spans="1:8" hidden="1" outlineLevel="2">
      <c r="A912" s="8"/>
      <c r="B912" s="1"/>
      <c r="C912" s="1"/>
      <c r="D912" s="1"/>
      <c r="E912" s="1"/>
      <c r="F912" s="2"/>
      <c r="G912" s="3985"/>
      <c r="H912" s="3986"/>
    </row>
    <row r="913" spans="1:8" hidden="1" outlineLevel="2">
      <c r="A913" s="8"/>
      <c r="B913" s="1"/>
      <c r="C913" s="1"/>
      <c r="D913" s="1"/>
      <c r="E913" s="1"/>
      <c r="F913" s="2"/>
      <c r="G913" s="3985"/>
      <c r="H913" s="3986"/>
    </row>
    <row r="914" spans="1:8" hidden="1" outlineLevel="2">
      <c r="A914" s="8"/>
      <c r="B914" s="1"/>
      <c r="C914" s="1"/>
      <c r="D914" s="1"/>
      <c r="E914" s="1"/>
      <c r="F914" s="2"/>
      <c r="G914" s="3985"/>
      <c r="H914" s="3986"/>
    </row>
    <row r="915" spans="1:8" hidden="1" outlineLevel="2">
      <c r="A915" s="8"/>
      <c r="B915" s="1"/>
      <c r="C915" s="1"/>
      <c r="D915" s="1"/>
      <c r="E915" s="1"/>
      <c r="F915" s="2"/>
      <c r="G915" s="3985"/>
      <c r="H915" s="3986"/>
    </row>
    <row r="916" spans="1:8" hidden="1" outlineLevel="2">
      <c r="A916" s="8"/>
      <c r="B916" s="1"/>
      <c r="C916" s="1"/>
      <c r="D916" s="1"/>
      <c r="E916" s="1"/>
      <c r="F916" s="2"/>
      <c r="G916" s="3985"/>
      <c r="H916" s="3986"/>
    </row>
    <row r="917" spans="1:8" ht="15.75" hidden="1" outlineLevel="2" thickBot="1">
      <c r="A917" s="9"/>
      <c r="B917" s="3"/>
      <c r="C917" s="3"/>
      <c r="D917" s="3"/>
      <c r="E917" s="3"/>
      <c r="F917" s="4"/>
      <c r="G917" s="3985"/>
      <c r="H917" s="3986"/>
    </row>
    <row r="918" spans="1:8" ht="16.5" hidden="1" outlineLevel="1" thickTop="1" thickBot="1"/>
    <row r="919" spans="1:8" ht="15.75" hidden="1" outlineLevel="1" thickTop="1">
      <c r="A919" s="3782" t="s">
        <v>0</v>
      </c>
      <c r="B919" s="3781" t="s">
        <v>1</v>
      </c>
      <c r="C919" s="3781" t="s">
        <v>2</v>
      </c>
      <c r="D919" s="3781" t="s">
        <v>3</v>
      </c>
      <c r="E919" s="3781" t="s">
        <v>4</v>
      </c>
      <c r="F919" s="3765" t="s">
        <v>5</v>
      </c>
    </row>
    <row r="920" spans="1:8" ht="24.75" hidden="1" customHeight="1" outlineLevel="1" collapsed="1" thickBot="1">
      <c r="A920" s="3783"/>
      <c r="B920" s="3767"/>
      <c r="C920" s="3767"/>
      <c r="D920" s="3767"/>
      <c r="E920" s="3767"/>
      <c r="F920" s="3766"/>
    </row>
    <row r="921" spans="1:8" ht="15.75" hidden="1" outlineLevel="2" thickTop="1">
      <c r="A921" s="7" t="s">
        <v>893</v>
      </c>
      <c r="B921" s="5" t="s">
        <v>329</v>
      </c>
      <c r="C921" s="5" t="s">
        <v>160</v>
      </c>
      <c r="D921" s="5" t="s">
        <v>325</v>
      </c>
      <c r="E921" s="11">
        <v>7.0000000000000007E-2</v>
      </c>
      <c r="F921" s="6">
        <v>137985</v>
      </c>
    </row>
    <row r="922" spans="1:8" hidden="1" outlineLevel="2">
      <c r="A922" s="8"/>
      <c r="B922" s="1" t="s">
        <v>330</v>
      </c>
      <c r="C922" s="1" t="s">
        <v>113</v>
      </c>
      <c r="D922" s="5" t="s">
        <v>325</v>
      </c>
      <c r="E922" s="11">
        <v>7.0000000000000007E-2</v>
      </c>
      <c r="F922" s="6">
        <v>137985</v>
      </c>
    </row>
    <row r="923" spans="1:8" hidden="1" outlineLevel="2">
      <c r="A923" s="8"/>
      <c r="B923" s="1" t="s">
        <v>331</v>
      </c>
      <c r="C923" s="1" t="s">
        <v>161</v>
      </c>
      <c r="D923" s="5" t="s">
        <v>325</v>
      </c>
      <c r="E923" s="11">
        <v>7.0000000000000007E-2</v>
      </c>
      <c r="F923" s="6">
        <v>137985</v>
      </c>
    </row>
    <row r="924" spans="1:8" hidden="1" outlineLevel="2">
      <c r="A924" s="8"/>
      <c r="B924" s="1" t="s">
        <v>332</v>
      </c>
      <c r="C924" s="1"/>
      <c r="D924" s="1"/>
      <c r="E924" s="1"/>
      <c r="F924" s="2"/>
    </row>
    <row r="925" spans="1:8" hidden="1" outlineLevel="2">
      <c r="A925" s="8"/>
      <c r="B925" s="1" t="s">
        <v>333</v>
      </c>
      <c r="C925" s="1"/>
      <c r="D925" s="1"/>
      <c r="E925" s="1"/>
      <c r="F925" s="2"/>
    </row>
    <row r="926" spans="1:8" hidden="1" outlineLevel="2">
      <c r="A926" s="8"/>
      <c r="B926" s="1" t="s">
        <v>334</v>
      </c>
      <c r="C926" s="1"/>
      <c r="D926" s="1"/>
      <c r="E926" s="1"/>
      <c r="F926" s="2"/>
    </row>
    <row r="927" spans="1:8" hidden="1" outlineLevel="2">
      <c r="A927" s="8"/>
      <c r="B927" s="1"/>
      <c r="C927" s="1"/>
      <c r="D927" s="1"/>
      <c r="E927" s="1"/>
      <c r="F927" s="2"/>
    </row>
    <row r="928" spans="1:8" hidden="1" outlineLevel="2">
      <c r="A928" s="8"/>
      <c r="B928" s="1"/>
      <c r="C928" s="1"/>
      <c r="D928" s="1"/>
      <c r="E928" s="1"/>
      <c r="F928" s="2"/>
    </row>
    <row r="929" spans="1:6" hidden="1" outlineLevel="2">
      <c r="A929" s="8"/>
      <c r="B929" s="1"/>
      <c r="C929" s="1"/>
      <c r="D929" s="1"/>
      <c r="E929" s="1"/>
      <c r="F929" s="2"/>
    </row>
    <row r="930" spans="1:6" hidden="1" outlineLevel="2">
      <c r="A930" s="8"/>
      <c r="B930" s="1"/>
      <c r="C930" s="1"/>
      <c r="D930" s="1"/>
      <c r="E930" s="1"/>
      <c r="F930" s="2"/>
    </row>
    <row r="931" spans="1:6" hidden="1" outlineLevel="2">
      <c r="A931" s="8"/>
      <c r="B931" s="1"/>
      <c r="C931" s="1"/>
      <c r="D931" s="1"/>
      <c r="E931" s="1"/>
      <c r="F931" s="2"/>
    </row>
    <row r="932" spans="1:6" ht="15.75" hidden="1" outlineLevel="2" thickBot="1">
      <c r="A932" s="9"/>
      <c r="B932" s="3"/>
      <c r="C932" s="3"/>
      <c r="D932" s="3"/>
      <c r="E932" s="3"/>
      <c r="F932" s="4"/>
    </row>
    <row r="933" spans="1:6" ht="16.5" hidden="1" outlineLevel="1" thickTop="1" thickBot="1"/>
    <row r="934" spans="1:6" ht="15.75" hidden="1" outlineLevel="1" thickTop="1">
      <c r="A934" s="3782" t="s">
        <v>0</v>
      </c>
      <c r="B934" s="3781" t="s">
        <v>1</v>
      </c>
      <c r="C934" s="3781" t="s">
        <v>2</v>
      </c>
      <c r="D934" s="3781" t="s">
        <v>3</v>
      </c>
      <c r="E934" s="3781" t="s">
        <v>4</v>
      </c>
      <c r="F934" s="3765" t="s">
        <v>5</v>
      </c>
    </row>
    <row r="935" spans="1:6" ht="24.75" hidden="1" customHeight="1" outlineLevel="1" collapsed="1" thickBot="1">
      <c r="A935" s="3783"/>
      <c r="B935" s="3767"/>
      <c r="C935" s="3767"/>
      <c r="D935" s="3767"/>
      <c r="E935" s="3767"/>
      <c r="F935" s="3766"/>
    </row>
    <row r="936" spans="1:6" ht="15.75" hidden="1" outlineLevel="2" thickTop="1">
      <c r="A936" s="7" t="s">
        <v>894</v>
      </c>
      <c r="B936" s="5" t="s">
        <v>116</v>
      </c>
      <c r="C936" s="5" t="s">
        <v>895</v>
      </c>
      <c r="D936" s="5" t="s">
        <v>325</v>
      </c>
      <c r="E936" s="11">
        <v>0.2</v>
      </c>
      <c r="F936" s="6">
        <v>8281</v>
      </c>
    </row>
    <row r="937" spans="1:6" hidden="1" outlineLevel="2">
      <c r="A937" s="8"/>
      <c r="B937" s="1"/>
      <c r="C937" s="1"/>
      <c r="D937" s="5"/>
      <c r="E937" s="11"/>
      <c r="F937" s="6"/>
    </row>
    <row r="938" spans="1:6" hidden="1" outlineLevel="2">
      <c r="A938" s="8"/>
      <c r="B938" s="1"/>
      <c r="C938" s="1"/>
      <c r="D938" s="5"/>
      <c r="E938" s="11"/>
      <c r="F938" s="6"/>
    </row>
    <row r="939" spans="1:6" hidden="1" outlineLevel="2">
      <c r="A939" s="8"/>
      <c r="B939" s="1"/>
      <c r="C939" s="1"/>
      <c r="D939" s="5"/>
      <c r="E939" s="11"/>
      <c r="F939" s="6"/>
    </row>
    <row r="940" spans="1:6" hidden="1" outlineLevel="2">
      <c r="A940" s="8"/>
      <c r="B940" s="1"/>
      <c r="C940" s="1"/>
      <c r="D940" s="1"/>
      <c r="E940" s="1"/>
      <c r="F940" s="2"/>
    </row>
    <row r="941" spans="1:6" hidden="1" outlineLevel="2">
      <c r="A941" s="8"/>
      <c r="B941" s="1"/>
      <c r="C941" s="1"/>
      <c r="D941" s="1"/>
      <c r="E941" s="1"/>
      <c r="F941" s="2"/>
    </row>
    <row r="942" spans="1:6" hidden="1" outlineLevel="2">
      <c r="A942" s="8"/>
      <c r="B942" s="1"/>
      <c r="C942" s="1"/>
      <c r="D942" s="1"/>
      <c r="E942" s="1"/>
      <c r="F942" s="2"/>
    </row>
    <row r="943" spans="1:6" hidden="1" outlineLevel="2">
      <c r="A943" s="8"/>
      <c r="B943" s="1"/>
      <c r="C943" s="1"/>
      <c r="D943" s="1"/>
      <c r="E943" s="1"/>
      <c r="F943" s="2"/>
    </row>
    <row r="944" spans="1:6" hidden="1" outlineLevel="2">
      <c r="A944" s="8"/>
      <c r="B944" s="1"/>
      <c r="C944" s="1"/>
      <c r="D944" s="1"/>
      <c r="E944" s="1"/>
      <c r="F944" s="2"/>
    </row>
    <row r="945" spans="1:6" hidden="1" outlineLevel="2">
      <c r="A945" s="8"/>
      <c r="B945" s="1"/>
      <c r="C945" s="1"/>
      <c r="D945" s="1"/>
      <c r="E945" s="1"/>
      <c r="F945" s="2"/>
    </row>
    <row r="946" spans="1:6" hidden="1" outlineLevel="2">
      <c r="A946" s="8"/>
      <c r="B946" s="1"/>
      <c r="C946" s="1"/>
      <c r="D946" s="1"/>
      <c r="E946" s="1"/>
      <c r="F946" s="2"/>
    </row>
    <row r="947" spans="1:6" ht="15.75" hidden="1" outlineLevel="2" thickBot="1">
      <c r="A947" s="9"/>
      <c r="B947" s="3"/>
      <c r="C947" s="3"/>
      <c r="D947" s="3"/>
      <c r="E947" s="3"/>
      <c r="F947" s="4"/>
    </row>
    <row r="948" spans="1:6" ht="16.5" hidden="1" outlineLevel="1" thickTop="1" thickBot="1"/>
    <row r="949" spans="1:6" ht="15.75" hidden="1" outlineLevel="1" thickTop="1">
      <c r="A949" s="3782" t="s">
        <v>0</v>
      </c>
      <c r="B949" s="3781" t="s">
        <v>1</v>
      </c>
      <c r="C949" s="3781" t="s">
        <v>2</v>
      </c>
      <c r="D949" s="3781" t="s">
        <v>3</v>
      </c>
      <c r="E949" s="3781" t="s">
        <v>4</v>
      </c>
      <c r="F949" s="3765" t="s">
        <v>5</v>
      </c>
    </row>
    <row r="950" spans="1:6" ht="24.75" hidden="1" customHeight="1" outlineLevel="1" collapsed="1" thickBot="1">
      <c r="A950" s="3783"/>
      <c r="B950" s="3767"/>
      <c r="C950" s="3767"/>
      <c r="D950" s="3767"/>
      <c r="E950" s="3767"/>
      <c r="F950" s="3766"/>
    </row>
    <row r="951" spans="1:6" ht="15.75" hidden="1" outlineLevel="2" thickTop="1">
      <c r="A951" s="7" t="s">
        <v>922</v>
      </c>
      <c r="B951" s="5" t="s">
        <v>106</v>
      </c>
      <c r="C951" s="5" t="s">
        <v>549</v>
      </c>
      <c r="D951" s="5" t="s">
        <v>325</v>
      </c>
      <c r="E951" s="11">
        <v>0.15</v>
      </c>
      <c r="F951" s="6">
        <v>160296</v>
      </c>
    </row>
    <row r="952" spans="1:6" hidden="1" outlineLevel="2">
      <c r="A952" s="8"/>
      <c r="B952" s="1"/>
      <c r="C952" s="5" t="s">
        <v>550</v>
      </c>
      <c r="D952" s="5" t="s">
        <v>325</v>
      </c>
      <c r="E952" s="11">
        <v>0.15</v>
      </c>
      <c r="F952" s="6">
        <v>137148</v>
      </c>
    </row>
    <row r="953" spans="1:6" hidden="1" outlineLevel="2">
      <c r="A953" s="8"/>
      <c r="B953" s="1"/>
      <c r="C953" s="1" t="s">
        <v>903</v>
      </c>
      <c r="D953" s="5" t="s">
        <v>325</v>
      </c>
      <c r="E953" s="11">
        <v>0.15</v>
      </c>
      <c r="F953" s="6">
        <v>20630</v>
      </c>
    </row>
    <row r="954" spans="1:6" hidden="1" outlineLevel="2">
      <c r="A954" s="8"/>
      <c r="B954" s="1"/>
      <c r="C954" s="1"/>
      <c r="D954" s="5"/>
      <c r="E954" s="11"/>
      <c r="F954" s="6"/>
    </row>
    <row r="955" spans="1:6" hidden="1" outlineLevel="2">
      <c r="A955" s="8"/>
      <c r="B955" s="1"/>
      <c r="C955" s="1"/>
      <c r="D955" s="1"/>
      <c r="E955" s="1"/>
      <c r="F955" s="2"/>
    </row>
    <row r="956" spans="1:6" hidden="1" outlineLevel="2">
      <c r="A956" s="8"/>
      <c r="B956" s="1"/>
      <c r="C956" s="1"/>
      <c r="D956" s="1"/>
      <c r="E956" s="1"/>
      <c r="F956" s="2"/>
    </row>
    <row r="957" spans="1:6" hidden="1" outlineLevel="2">
      <c r="A957" s="8"/>
      <c r="B957" s="1"/>
      <c r="C957" s="1"/>
      <c r="D957" s="1"/>
      <c r="E957" s="1"/>
      <c r="F957" s="2"/>
    </row>
    <row r="958" spans="1:6" hidden="1" outlineLevel="2">
      <c r="A958" s="8"/>
      <c r="B958" s="1"/>
      <c r="C958" s="1"/>
      <c r="D958" s="1"/>
      <c r="E958" s="1"/>
      <c r="F958" s="2"/>
    </row>
    <row r="959" spans="1:6" hidden="1" outlineLevel="2">
      <c r="A959" s="8"/>
      <c r="B959" s="1"/>
      <c r="C959" s="1"/>
      <c r="D959" s="1"/>
      <c r="E959" s="1"/>
      <c r="F959" s="2"/>
    </row>
    <row r="960" spans="1:6" hidden="1" outlineLevel="2">
      <c r="A960" s="8"/>
      <c r="B960" s="1"/>
      <c r="C960" s="1"/>
      <c r="D960" s="1"/>
      <c r="E960" s="1"/>
      <c r="F960" s="2"/>
    </row>
    <row r="961" spans="1:6" hidden="1" outlineLevel="2">
      <c r="A961" s="8"/>
      <c r="B961" s="1"/>
      <c r="C961" s="1"/>
      <c r="D961" s="1"/>
      <c r="E961" s="1"/>
      <c r="F961" s="2"/>
    </row>
    <row r="962" spans="1:6" ht="15.75" hidden="1" outlineLevel="2" thickBot="1">
      <c r="A962" s="9"/>
      <c r="B962" s="3"/>
      <c r="C962" s="3"/>
      <c r="D962" s="3"/>
      <c r="E962" s="3"/>
      <c r="F962" s="4"/>
    </row>
    <row r="963" spans="1:6" ht="16.5" hidden="1" outlineLevel="1" thickTop="1" thickBot="1"/>
    <row r="964" spans="1:6" ht="15.75" hidden="1" outlineLevel="1" thickTop="1">
      <c r="A964" s="3782" t="s">
        <v>0</v>
      </c>
      <c r="B964" s="3781" t="s">
        <v>1</v>
      </c>
      <c r="C964" s="3781" t="s">
        <v>2</v>
      </c>
      <c r="D964" s="3781" t="s">
        <v>3</v>
      </c>
      <c r="E964" s="3781" t="s">
        <v>4</v>
      </c>
      <c r="F964" s="3765" t="s">
        <v>5</v>
      </c>
    </row>
    <row r="965" spans="1:6" ht="24.75" hidden="1" customHeight="1" outlineLevel="1" collapsed="1" thickBot="1">
      <c r="A965" s="3783"/>
      <c r="B965" s="3767"/>
      <c r="C965" s="3767"/>
      <c r="D965" s="3767"/>
      <c r="E965" s="3767"/>
      <c r="F965" s="3766"/>
    </row>
    <row r="966" spans="1:6" ht="15.75" hidden="1" outlineLevel="2" thickTop="1">
      <c r="A966" s="7" t="s">
        <v>923</v>
      </c>
      <c r="B966" s="5" t="s">
        <v>106</v>
      </c>
      <c r="C966" s="5" t="s">
        <v>239</v>
      </c>
      <c r="D966" s="5" t="s">
        <v>325</v>
      </c>
      <c r="E966" s="11">
        <v>0.15</v>
      </c>
      <c r="F966" s="6">
        <v>48177</v>
      </c>
    </row>
    <row r="967" spans="1:6" hidden="1" outlineLevel="2">
      <c r="A967" s="8"/>
      <c r="B967" s="1"/>
      <c r="C967" s="1" t="s">
        <v>238</v>
      </c>
      <c r="D967" s="5" t="s">
        <v>325</v>
      </c>
      <c r="E967" s="11">
        <v>0.15</v>
      </c>
      <c r="F967" s="6">
        <v>48177</v>
      </c>
    </row>
    <row r="968" spans="1:6" hidden="1" outlineLevel="2">
      <c r="A968" s="8"/>
      <c r="B968" s="1"/>
      <c r="C968" s="1" t="s">
        <v>869</v>
      </c>
      <c r="D968" s="5" t="s">
        <v>325</v>
      </c>
      <c r="E968" s="11">
        <v>0.15</v>
      </c>
      <c r="F968" s="6">
        <v>6197</v>
      </c>
    </row>
    <row r="969" spans="1:6" hidden="1" outlineLevel="2">
      <c r="A969" s="8"/>
      <c r="B969" s="1"/>
      <c r="C969" s="1" t="s">
        <v>870</v>
      </c>
      <c r="D969" s="5" t="s">
        <v>325</v>
      </c>
      <c r="E969" s="11">
        <v>0.15</v>
      </c>
      <c r="F969" s="6">
        <v>6197</v>
      </c>
    </row>
    <row r="970" spans="1:6" hidden="1" outlineLevel="2">
      <c r="A970" s="8"/>
      <c r="B970" s="1"/>
      <c r="C970" s="1"/>
      <c r="D970" s="1"/>
      <c r="E970" s="1"/>
      <c r="F970" s="2"/>
    </row>
    <row r="971" spans="1:6" hidden="1" outlineLevel="2">
      <c r="A971" s="8"/>
      <c r="B971" s="1"/>
      <c r="C971" s="1"/>
      <c r="D971" s="1"/>
      <c r="E971" s="1"/>
      <c r="F971" s="2"/>
    </row>
    <row r="972" spans="1:6" hidden="1" outlineLevel="2">
      <c r="A972" s="8"/>
      <c r="B972" s="1"/>
      <c r="C972" s="1"/>
      <c r="D972" s="1"/>
      <c r="E972" s="1"/>
      <c r="F972" s="2"/>
    </row>
    <row r="973" spans="1:6" hidden="1" outlineLevel="2">
      <c r="A973" s="8"/>
      <c r="B973" s="1"/>
      <c r="C973" s="1"/>
      <c r="D973" s="1"/>
      <c r="E973" s="1"/>
      <c r="F973" s="2"/>
    </row>
    <row r="974" spans="1:6" hidden="1" outlineLevel="2">
      <c r="A974" s="8"/>
      <c r="B974" s="1"/>
      <c r="C974" s="1"/>
      <c r="D974" s="1"/>
      <c r="E974" s="1"/>
      <c r="F974" s="2"/>
    </row>
    <row r="975" spans="1:6" hidden="1" outlineLevel="2">
      <c r="A975" s="8"/>
      <c r="B975" s="1"/>
      <c r="C975" s="1"/>
      <c r="D975" s="1"/>
      <c r="E975" s="1"/>
      <c r="F975" s="2"/>
    </row>
    <row r="976" spans="1:6" hidden="1" outlineLevel="2">
      <c r="A976" s="8"/>
      <c r="B976" s="1"/>
      <c r="C976" s="1"/>
      <c r="D976" s="1"/>
      <c r="E976" s="1"/>
      <c r="F976" s="2"/>
    </row>
    <row r="977" spans="1:7" ht="15.75" hidden="1" outlineLevel="2" thickBot="1">
      <c r="A977" s="9"/>
      <c r="B977" s="3"/>
      <c r="C977" s="3"/>
      <c r="D977" s="3"/>
      <c r="E977" s="3"/>
      <c r="F977" s="4"/>
    </row>
    <row r="978" spans="1:7" ht="16.5" hidden="1" outlineLevel="1" thickTop="1" thickBot="1"/>
    <row r="979" spans="1:7" ht="15.75" hidden="1" outlineLevel="1" thickTop="1">
      <c r="A979" s="3782" t="s">
        <v>0</v>
      </c>
      <c r="B979" s="3781" t="s">
        <v>1</v>
      </c>
      <c r="C979" s="3781" t="s">
        <v>2</v>
      </c>
      <c r="D979" s="3781" t="s">
        <v>3</v>
      </c>
      <c r="E979" s="3781" t="s">
        <v>4</v>
      </c>
      <c r="F979" s="3765" t="s">
        <v>5</v>
      </c>
    </row>
    <row r="980" spans="1:7" ht="24.75" hidden="1" customHeight="1" outlineLevel="1" collapsed="1" thickBot="1">
      <c r="A980" s="3783"/>
      <c r="B980" s="3767"/>
      <c r="C980" s="3767"/>
      <c r="D980" s="3767"/>
      <c r="E980" s="3767"/>
      <c r="F980" s="3766"/>
    </row>
    <row r="981" spans="1:7" ht="15.75" hidden="1" outlineLevel="2" thickTop="1">
      <c r="A981" s="7" t="s">
        <v>929</v>
      </c>
      <c r="B981" s="5" t="s">
        <v>116</v>
      </c>
      <c r="C981" s="5" t="s">
        <v>226</v>
      </c>
      <c r="D981" s="5" t="s">
        <v>325</v>
      </c>
      <c r="E981" s="11">
        <v>0.2</v>
      </c>
      <c r="F981" s="6">
        <v>4412</v>
      </c>
      <c r="G981" s="339">
        <f t="shared" ref="G981:G992" si="2">F981/0.8</f>
        <v>5515</v>
      </c>
    </row>
    <row r="982" spans="1:7" hidden="1" outlineLevel="2">
      <c r="A982" s="8"/>
      <c r="B982" s="1"/>
      <c r="C982" s="1" t="s">
        <v>227</v>
      </c>
      <c r="D982" s="5" t="s">
        <v>325</v>
      </c>
      <c r="E982" s="11">
        <v>0.2</v>
      </c>
      <c r="F982" s="6">
        <v>4412</v>
      </c>
      <c r="G982" s="339">
        <f t="shared" si="2"/>
        <v>5515</v>
      </c>
    </row>
    <row r="983" spans="1:7" hidden="1" outlineLevel="2">
      <c r="A983" s="8"/>
      <c r="B983" s="1"/>
      <c r="C983" s="1" t="s">
        <v>228</v>
      </c>
      <c r="D983" s="5" t="s">
        <v>325</v>
      </c>
      <c r="E983" s="11">
        <v>0.2</v>
      </c>
      <c r="F983" s="6">
        <v>4412</v>
      </c>
      <c r="G983" s="339">
        <f t="shared" si="2"/>
        <v>5515</v>
      </c>
    </row>
    <row r="984" spans="1:7" hidden="1" outlineLevel="2">
      <c r="A984" s="8"/>
      <c r="B984" s="1"/>
      <c r="C984" s="1" t="s">
        <v>897</v>
      </c>
      <c r="D984" s="5" t="s">
        <v>325</v>
      </c>
      <c r="E984" s="11">
        <v>0.2</v>
      </c>
      <c r="F984" s="6">
        <v>7090</v>
      </c>
      <c r="G984" s="339">
        <f t="shared" si="2"/>
        <v>8862.5</v>
      </c>
    </row>
    <row r="985" spans="1:7" hidden="1" outlineLevel="2">
      <c r="A985" s="8"/>
      <c r="B985" s="1"/>
      <c r="C985" s="1" t="s">
        <v>898</v>
      </c>
      <c r="D985" s="5" t="s">
        <v>325</v>
      </c>
      <c r="E985" s="11">
        <v>0.2</v>
      </c>
      <c r="F985" s="6">
        <v>7090</v>
      </c>
      <c r="G985" s="339">
        <f t="shared" si="2"/>
        <v>8862.5</v>
      </c>
    </row>
    <row r="986" spans="1:7" hidden="1" outlineLevel="2">
      <c r="A986" s="8"/>
      <c r="B986" s="1"/>
      <c r="C986" s="1" t="s">
        <v>899</v>
      </c>
      <c r="D986" s="5" t="s">
        <v>325</v>
      </c>
      <c r="E986" s="11">
        <v>0.2</v>
      </c>
      <c r="F986" s="6">
        <v>7090</v>
      </c>
      <c r="G986" s="339">
        <f t="shared" si="2"/>
        <v>8862.5</v>
      </c>
    </row>
    <row r="987" spans="1:7" hidden="1" outlineLevel="2">
      <c r="A987" s="8"/>
      <c r="B987" s="1"/>
      <c r="C987" s="1" t="s">
        <v>858</v>
      </c>
      <c r="D987" s="5" t="s">
        <v>325</v>
      </c>
      <c r="E987" s="11">
        <v>0.3</v>
      </c>
      <c r="F987" s="2">
        <v>4692</v>
      </c>
      <c r="G987" s="339">
        <f t="shared" si="2"/>
        <v>5865</v>
      </c>
    </row>
    <row r="988" spans="1:7" hidden="1" outlineLevel="2">
      <c r="A988" s="8"/>
      <c r="B988" s="1"/>
      <c r="C988" s="1" t="s">
        <v>238</v>
      </c>
      <c r="D988" s="5" t="s">
        <v>325</v>
      </c>
      <c r="E988" s="12">
        <v>0.19</v>
      </c>
      <c r="F988" s="2">
        <v>45910</v>
      </c>
      <c r="G988" s="339">
        <f t="shared" si="2"/>
        <v>57387.5</v>
      </c>
    </row>
    <row r="989" spans="1:7" hidden="1" outlineLevel="2">
      <c r="A989" s="8"/>
      <c r="B989" s="1"/>
      <c r="C989" s="1" t="s">
        <v>239</v>
      </c>
      <c r="D989" s="5" t="s">
        <v>325</v>
      </c>
      <c r="E989" s="12">
        <v>0.19</v>
      </c>
      <c r="F989" s="2">
        <v>45910</v>
      </c>
      <c r="G989" s="339">
        <f t="shared" si="2"/>
        <v>57387.5</v>
      </c>
    </row>
    <row r="990" spans="1:7" hidden="1" outlineLevel="2">
      <c r="A990" s="8"/>
      <c r="B990" s="1"/>
      <c r="C990" s="1" t="s">
        <v>868</v>
      </c>
      <c r="D990" s="5" t="s">
        <v>325</v>
      </c>
      <c r="E990" s="12">
        <v>0.19</v>
      </c>
      <c r="F990" s="2">
        <v>45910</v>
      </c>
      <c r="G990" s="339">
        <f t="shared" si="2"/>
        <v>57387.5</v>
      </c>
    </row>
    <row r="991" spans="1:7" hidden="1" outlineLevel="2">
      <c r="A991" s="8"/>
      <c r="B991" s="1"/>
      <c r="C991" s="1" t="s">
        <v>930</v>
      </c>
      <c r="D991" s="5" t="s">
        <v>325</v>
      </c>
      <c r="E991" s="12">
        <v>0.19</v>
      </c>
      <c r="F991" s="2">
        <v>50822</v>
      </c>
      <c r="G991" s="339">
        <f t="shared" si="2"/>
        <v>63527.5</v>
      </c>
    </row>
    <row r="992" spans="1:7" ht="15.75" hidden="1" outlineLevel="2" thickBot="1">
      <c r="A992" s="9"/>
      <c r="B992" s="3"/>
      <c r="C992" s="3" t="s">
        <v>931</v>
      </c>
      <c r="D992" s="5" t="s">
        <v>325</v>
      </c>
      <c r="E992" s="12">
        <v>0.19</v>
      </c>
      <c r="F992" s="4">
        <v>28719</v>
      </c>
      <c r="G992" s="339">
        <f t="shared" si="2"/>
        <v>35898.75</v>
      </c>
    </row>
    <row r="993" spans="1:7" ht="16.5" hidden="1" outlineLevel="1" thickTop="1" thickBot="1"/>
    <row r="994" spans="1:7" ht="15.75" hidden="1" outlineLevel="1" thickTop="1">
      <c r="A994" s="3782" t="s">
        <v>0</v>
      </c>
      <c r="B994" s="3781" t="s">
        <v>1</v>
      </c>
      <c r="C994" s="3781" t="s">
        <v>2</v>
      </c>
      <c r="D994" s="3781" t="s">
        <v>3</v>
      </c>
      <c r="E994" s="3781" t="s">
        <v>4</v>
      </c>
      <c r="F994" s="3765" t="s">
        <v>5</v>
      </c>
    </row>
    <row r="995" spans="1:7" ht="24.75" hidden="1" customHeight="1" outlineLevel="1" collapsed="1" thickBot="1">
      <c r="A995" s="3783"/>
      <c r="B995" s="3767"/>
      <c r="C995" s="3767"/>
      <c r="D995" s="3767"/>
      <c r="E995" s="3767"/>
      <c r="F995" s="3766"/>
    </row>
    <row r="996" spans="1:7" ht="15.75" hidden="1" outlineLevel="2" thickTop="1">
      <c r="A996" s="7" t="s">
        <v>932</v>
      </c>
      <c r="B996" s="5" t="s">
        <v>116</v>
      </c>
      <c r="C996" s="5" t="s">
        <v>933</v>
      </c>
      <c r="D996" s="5" t="s">
        <v>325</v>
      </c>
      <c r="E996" s="11">
        <v>0.3</v>
      </c>
      <c r="F996" s="279">
        <v>16198</v>
      </c>
      <c r="G996" s="336">
        <f t="shared" ref="G996:G1004" si="3">F996/(1-E996)</f>
        <v>23140</v>
      </c>
    </row>
    <row r="997" spans="1:7" hidden="1" outlineLevel="2">
      <c r="A997" s="8"/>
      <c r="B997" s="1"/>
      <c r="C997" s="1" t="s">
        <v>934</v>
      </c>
      <c r="D997" s="5" t="s">
        <v>325</v>
      </c>
      <c r="E997" s="11">
        <v>0.3</v>
      </c>
      <c r="F997" s="279">
        <v>16198</v>
      </c>
      <c r="G997" s="336">
        <f t="shared" si="3"/>
        <v>23140</v>
      </c>
    </row>
    <row r="998" spans="1:7" hidden="1" outlineLevel="2">
      <c r="A998" s="8"/>
      <c r="B998" s="1"/>
      <c r="C998" s="1" t="s">
        <v>935</v>
      </c>
      <c r="D998" s="5" t="s">
        <v>325</v>
      </c>
      <c r="E998" s="11">
        <v>0.3</v>
      </c>
      <c r="F998" s="279">
        <v>8701</v>
      </c>
      <c r="G998" s="336">
        <f t="shared" si="3"/>
        <v>12430</v>
      </c>
    </row>
    <row r="999" spans="1:7" hidden="1" outlineLevel="2">
      <c r="A999" s="8"/>
      <c r="B999" s="1"/>
      <c r="C999" s="1" t="s">
        <v>936</v>
      </c>
      <c r="D999" s="5" t="s">
        <v>325</v>
      </c>
      <c r="E999" s="11">
        <v>0.3</v>
      </c>
      <c r="F999" s="279">
        <v>8210</v>
      </c>
      <c r="G999" s="336">
        <f t="shared" si="3"/>
        <v>11728.571428571429</v>
      </c>
    </row>
    <row r="1000" spans="1:7" hidden="1" outlineLevel="2">
      <c r="A1000" s="8"/>
      <c r="B1000" s="1"/>
      <c r="C1000" s="1" t="s">
        <v>328</v>
      </c>
      <c r="D1000" s="5" t="s">
        <v>325</v>
      </c>
      <c r="E1000" s="12">
        <v>0.2</v>
      </c>
      <c r="F1000" s="2">
        <v>138036</v>
      </c>
      <c r="G1000" s="336">
        <f t="shared" si="3"/>
        <v>172545</v>
      </c>
    </row>
    <row r="1001" spans="1:7" hidden="1" outlineLevel="2">
      <c r="A1001" s="8"/>
      <c r="B1001" s="1"/>
      <c r="C1001" s="1" t="s">
        <v>326</v>
      </c>
      <c r="D1001" s="5" t="s">
        <v>325</v>
      </c>
      <c r="E1001" s="12">
        <v>0.2</v>
      </c>
      <c r="F1001" s="2">
        <v>138036</v>
      </c>
      <c r="G1001" s="336">
        <f t="shared" si="3"/>
        <v>172545</v>
      </c>
    </row>
    <row r="1002" spans="1:7" hidden="1" outlineLevel="2">
      <c r="A1002" s="8"/>
      <c r="B1002" s="1"/>
      <c r="C1002" s="1" t="s">
        <v>327</v>
      </c>
      <c r="D1002" s="5" t="s">
        <v>325</v>
      </c>
      <c r="E1002" s="12">
        <v>0.2</v>
      </c>
      <c r="F1002" s="2">
        <v>138036</v>
      </c>
      <c r="G1002" s="336">
        <f t="shared" si="3"/>
        <v>172545</v>
      </c>
    </row>
    <row r="1003" spans="1:7" hidden="1" outlineLevel="2">
      <c r="A1003" s="8"/>
      <c r="B1003" s="1"/>
      <c r="C1003" s="1" t="s">
        <v>465</v>
      </c>
      <c r="D1003" s="5" t="s">
        <v>325</v>
      </c>
      <c r="E1003" s="12">
        <v>0.3</v>
      </c>
      <c r="F1003" s="281">
        <v>6637</v>
      </c>
      <c r="G1003" s="336">
        <f t="shared" si="3"/>
        <v>9481.4285714285725</v>
      </c>
    </row>
    <row r="1004" spans="1:7" hidden="1" outlineLevel="2">
      <c r="A1004" s="8"/>
      <c r="B1004" s="1"/>
      <c r="C1004" s="1" t="s">
        <v>937</v>
      </c>
      <c r="D1004" s="5" t="s">
        <v>325</v>
      </c>
      <c r="E1004" s="12">
        <v>0.25</v>
      </c>
      <c r="F1004" s="281">
        <v>34075</v>
      </c>
      <c r="G1004" s="336">
        <f t="shared" si="3"/>
        <v>45433.333333333336</v>
      </c>
    </row>
    <row r="1005" spans="1:7" hidden="1" outlineLevel="2">
      <c r="A1005" s="8"/>
      <c r="B1005" s="1"/>
      <c r="C1005" s="1"/>
      <c r="D1005" s="1"/>
      <c r="E1005" s="1"/>
      <c r="F1005" s="2"/>
    </row>
    <row r="1006" spans="1:7" hidden="1" outlineLevel="2">
      <c r="A1006" s="8"/>
      <c r="B1006" s="1"/>
      <c r="C1006" s="1"/>
      <c r="D1006" s="1"/>
      <c r="E1006" s="1"/>
      <c r="F1006" s="2"/>
    </row>
    <row r="1007" spans="1:7" ht="15.75" hidden="1" outlineLevel="2" thickBot="1">
      <c r="A1007" s="9"/>
      <c r="B1007" s="3"/>
      <c r="C1007" s="3"/>
      <c r="D1007" s="3"/>
      <c r="E1007" s="3"/>
      <c r="F1007" s="4"/>
    </row>
    <row r="1008" spans="1:7" ht="16.5" hidden="1" outlineLevel="1" thickTop="1" thickBot="1"/>
    <row r="1009" spans="1:6" ht="15.75" hidden="1" outlineLevel="1" thickTop="1">
      <c r="A1009" s="3782" t="s">
        <v>0</v>
      </c>
      <c r="B1009" s="3781" t="s">
        <v>1</v>
      </c>
      <c r="C1009" s="3781" t="s">
        <v>2</v>
      </c>
      <c r="D1009" s="3781" t="s">
        <v>3</v>
      </c>
      <c r="E1009" s="3781" t="s">
        <v>4</v>
      </c>
      <c r="F1009" s="3765" t="s">
        <v>5</v>
      </c>
    </row>
    <row r="1010" spans="1:6" ht="24.75" hidden="1" customHeight="1" outlineLevel="1" collapsed="1" thickBot="1">
      <c r="A1010" s="3783"/>
      <c r="B1010" s="3767"/>
      <c r="C1010" s="3767"/>
      <c r="D1010" s="3767"/>
      <c r="E1010" s="3767"/>
      <c r="F1010" s="3766"/>
    </row>
    <row r="1011" spans="1:6" ht="15.75" hidden="1" outlineLevel="2" thickTop="1">
      <c r="A1011" s="7" t="s">
        <v>938</v>
      </c>
      <c r="B1011" s="5" t="s">
        <v>116</v>
      </c>
      <c r="C1011" s="5" t="s">
        <v>389</v>
      </c>
      <c r="D1011" s="5" t="s">
        <v>325</v>
      </c>
      <c r="E1011" s="11">
        <v>7.0000000000000007E-2</v>
      </c>
      <c r="F1011" s="6">
        <v>34681</v>
      </c>
    </row>
    <row r="1012" spans="1:6" hidden="1" outlineLevel="2">
      <c r="A1012" s="8"/>
      <c r="B1012" s="1"/>
      <c r="C1012" s="1" t="s">
        <v>760</v>
      </c>
      <c r="D1012" s="5" t="s">
        <v>325</v>
      </c>
      <c r="E1012" s="11">
        <v>7.0000000000000007E-2</v>
      </c>
      <c r="F1012" s="6">
        <v>34681</v>
      </c>
    </row>
    <row r="1013" spans="1:6" hidden="1" outlineLevel="2">
      <c r="A1013" s="8"/>
      <c r="B1013" s="1"/>
      <c r="C1013" s="1" t="s">
        <v>511</v>
      </c>
      <c r="D1013" s="5" t="s">
        <v>325</v>
      </c>
      <c r="E1013" s="11">
        <v>7.0000000000000007E-2</v>
      </c>
      <c r="F1013" s="6">
        <v>34681</v>
      </c>
    </row>
    <row r="1014" spans="1:6" hidden="1" outlineLevel="2">
      <c r="A1014" s="8"/>
      <c r="B1014" s="1"/>
      <c r="C1014" s="1" t="s">
        <v>510</v>
      </c>
      <c r="D1014" s="5" t="s">
        <v>325</v>
      </c>
      <c r="E1014" s="11">
        <v>7.0000000000000007E-2</v>
      </c>
      <c r="F1014" s="6">
        <v>34681</v>
      </c>
    </row>
    <row r="1015" spans="1:6" hidden="1" outlineLevel="2">
      <c r="A1015" s="8"/>
      <c r="B1015" s="1"/>
      <c r="C1015" s="1"/>
      <c r="D1015" s="1"/>
      <c r="E1015" s="1"/>
      <c r="F1015" s="2"/>
    </row>
    <row r="1016" spans="1:6" hidden="1" outlineLevel="2">
      <c r="A1016" s="8"/>
      <c r="B1016" s="1"/>
      <c r="C1016" s="1"/>
      <c r="D1016" s="1"/>
      <c r="E1016" s="1"/>
      <c r="F1016" s="2"/>
    </row>
    <row r="1017" spans="1:6" hidden="1" outlineLevel="2">
      <c r="A1017" s="8"/>
      <c r="B1017" s="1"/>
      <c r="C1017" s="1"/>
      <c r="D1017" s="1"/>
      <c r="E1017" s="1"/>
      <c r="F1017" s="2"/>
    </row>
    <row r="1018" spans="1:6" hidden="1" outlineLevel="2">
      <c r="A1018" s="8"/>
      <c r="B1018" s="1"/>
      <c r="C1018" s="1"/>
      <c r="D1018" s="1"/>
      <c r="E1018" s="1"/>
      <c r="F1018" s="2"/>
    </row>
    <row r="1019" spans="1:6" hidden="1" outlineLevel="2">
      <c r="A1019" s="8"/>
      <c r="B1019" s="1"/>
      <c r="C1019" s="1"/>
      <c r="D1019" s="1"/>
      <c r="E1019" s="1"/>
      <c r="F1019" s="2"/>
    </row>
    <row r="1020" spans="1:6" hidden="1" outlineLevel="2">
      <c r="A1020" s="8"/>
      <c r="B1020" s="1"/>
      <c r="C1020" s="1"/>
      <c r="D1020" s="1"/>
      <c r="E1020" s="1"/>
      <c r="F1020" s="2"/>
    </row>
    <row r="1021" spans="1:6" hidden="1" outlineLevel="2">
      <c r="A1021" s="8"/>
      <c r="B1021" s="1"/>
      <c r="C1021" s="1"/>
      <c r="D1021" s="1"/>
      <c r="E1021" s="1"/>
      <c r="F1021" s="2"/>
    </row>
    <row r="1022" spans="1:6" ht="15.75" hidden="1" outlineLevel="2" thickBot="1">
      <c r="A1022" s="9"/>
      <c r="B1022" s="3"/>
      <c r="C1022" s="3"/>
      <c r="D1022" s="3"/>
      <c r="E1022" s="3"/>
      <c r="F1022" s="4"/>
    </row>
    <row r="1023" spans="1:6" ht="16.5" hidden="1" outlineLevel="1" thickTop="1" thickBot="1"/>
    <row r="1024" spans="1:6" ht="15.75" hidden="1" outlineLevel="1" thickTop="1">
      <c r="A1024" s="3782" t="s">
        <v>0</v>
      </c>
      <c r="B1024" s="3781" t="s">
        <v>1</v>
      </c>
      <c r="C1024" s="3781" t="s">
        <v>2</v>
      </c>
      <c r="D1024" s="3781" t="s">
        <v>3</v>
      </c>
      <c r="E1024" s="3781" t="s">
        <v>4</v>
      </c>
      <c r="F1024" s="3765" t="s">
        <v>5</v>
      </c>
    </row>
    <row r="1025" spans="1:6" ht="24.75" hidden="1" customHeight="1" outlineLevel="1" collapsed="1" thickBot="1">
      <c r="A1025" s="3783"/>
      <c r="B1025" s="3767"/>
      <c r="C1025" s="3767"/>
      <c r="D1025" s="3767"/>
      <c r="E1025" s="3767"/>
      <c r="F1025" s="3766"/>
    </row>
    <row r="1026" spans="1:6" ht="15.75" hidden="1" outlineLevel="2" thickTop="1">
      <c r="A1026" s="7" t="s">
        <v>939</v>
      </c>
      <c r="B1026" s="5" t="s">
        <v>106</v>
      </c>
      <c r="C1026" s="5" t="s">
        <v>940</v>
      </c>
      <c r="D1026" s="5" t="s">
        <v>325</v>
      </c>
      <c r="E1026" s="11">
        <v>0.15</v>
      </c>
      <c r="F1026" s="6">
        <v>33397</v>
      </c>
    </row>
    <row r="1027" spans="1:6" hidden="1" outlineLevel="2">
      <c r="A1027" s="8"/>
      <c r="B1027" s="1"/>
      <c r="C1027" s="1" t="s">
        <v>786</v>
      </c>
      <c r="D1027" s="5" t="s">
        <v>325</v>
      </c>
      <c r="E1027" s="11">
        <v>0.15</v>
      </c>
      <c r="F1027" s="6">
        <v>33397</v>
      </c>
    </row>
    <row r="1028" spans="1:6" hidden="1" outlineLevel="2">
      <c r="A1028" s="8"/>
      <c r="B1028" s="1"/>
      <c r="C1028" s="1" t="s">
        <v>686</v>
      </c>
      <c r="D1028" s="5" t="s">
        <v>325</v>
      </c>
      <c r="E1028" s="11">
        <v>0.15</v>
      </c>
      <c r="F1028" s="6">
        <v>11842</v>
      </c>
    </row>
    <row r="1029" spans="1:6" hidden="1" outlineLevel="2">
      <c r="A1029" s="8"/>
      <c r="B1029" s="1"/>
      <c r="C1029" s="1" t="s">
        <v>687</v>
      </c>
      <c r="D1029" s="5" t="s">
        <v>325</v>
      </c>
      <c r="E1029" s="11">
        <v>0.15</v>
      </c>
      <c r="F1029" s="6">
        <v>11842</v>
      </c>
    </row>
    <row r="1030" spans="1:6" hidden="1" outlineLevel="2">
      <c r="A1030" s="8"/>
      <c r="B1030" s="1"/>
      <c r="C1030" s="1" t="s">
        <v>895</v>
      </c>
      <c r="D1030" s="5" t="s">
        <v>325</v>
      </c>
      <c r="E1030" s="11">
        <v>0.15</v>
      </c>
      <c r="F1030" s="2">
        <v>8798</v>
      </c>
    </row>
    <row r="1031" spans="1:6" hidden="1" outlineLevel="2">
      <c r="A1031" s="8"/>
      <c r="B1031" s="1"/>
      <c r="C1031" s="1"/>
      <c r="D1031" s="5"/>
      <c r="E1031" s="1"/>
      <c r="F1031" s="2"/>
    </row>
    <row r="1032" spans="1:6" hidden="1" outlineLevel="2">
      <c r="A1032" s="8"/>
      <c r="B1032" s="1"/>
      <c r="C1032" s="1"/>
      <c r="D1032" s="1"/>
      <c r="E1032" s="1"/>
      <c r="F1032" s="2"/>
    </row>
    <row r="1033" spans="1:6" hidden="1" outlineLevel="2">
      <c r="A1033" s="8"/>
      <c r="B1033" s="1"/>
      <c r="C1033" s="1"/>
      <c r="D1033" s="1"/>
      <c r="E1033" s="1"/>
      <c r="F1033" s="2"/>
    </row>
    <row r="1034" spans="1:6" hidden="1" outlineLevel="2">
      <c r="A1034" s="8"/>
      <c r="B1034" s="1"/>
      <c r="C1034" s="1"/>
      <c r="D1034" s="1"/>
      <c r="E1034" s="1"/>
      <c r="F1034" s="2"/>
    </row>
    <row r="1035" spans="1:6" hidden="1" outlineLevel="2">
      <c r="A1035" s="8"/>
      <c r="B1035" s="1"/>
      <c r="C1035" s="1"/>
      <c r="D1035" s="1"/>
      <c r="E1035" s="1"/>
      <c r="F1035" s="2"/>
    </row>
    <row r="1036" spans="1:6" hidden="1" outlineLevel="2">
      <c r="A1036" s="8"/>
      <c r="B1036" s="1"/>
      <c r="C1036" s="1"/>
      <c r="D1036" s="1"/>
      <c r="E1036" s="1"/>
      <c r="F1036" s="2"/>
    </row>
    <row r="1037" spans="1:6" ht="15.75" hidden="1" outlineLevel="2" thickBot="1">
      <c r="A1037" s="9"/>
      <c r="B1037" s="3"/>
      <c r="C1037" s="3"/>
      <c r="D1037" s="3"/>
      <c r="E1037" s="3"/>
      <c r="F1037" s="4"/>
    </row>
    <row r="1038" spans="1:6" ht="16.5" hidden="1" outlineLevel="1" thickTop="1" thickBot="1"/>
    <row r="1039" spans="1:6" ht="15.75" hidden="1" outlineLevel="1" thickTop="1">
      <c r="A1039" s="3782" t="s">
        <v>0</v>
      </c>
      <c r="B1039" s="3781" t="s">
        <v>1</v>
      </c>
      <c r="C1039" s="3781" t="s">
        <v>2</v>
      </c>
      <c r="D1039" s="3781" t="s">
        <v>3</v>
      </c>
      <c r="E1039" s="3781" t="s">
        <v>4</v>
      </c>
      <c r="F1039" s="3765" t="s">
        <v>5</v>
      </c>
    </row>
    <row r="1040" spans="1:6" ht="24.75" hidden="1" customHeight="1" outlineLevel="1" collapsed="1" thickBot="1">
      <c r="A1040" s="3783"/>
      <c r="B1040" s="3767"/>
      <c r="C1040" s="3767"/>
      <c r="D1040" s="3767"/>
      <c r="E1040" s="3767"/>
      <c r="F1040" s="3766"/>
    </row>
    <row r="1041" spans="1:8" ht="15.75" hidden="1" outlineLevel="2" thickTop="1">
      <c r="A1041" s="7" t="s">
        <v>971</v>
      </c>
      <c r="B1041" s="5" t="s">
        <v>106</v>
      </c>
      <c r="C1041" s="5" t="s">
        <v>950</v>
      </c>
      <c r="D1041" s="5" t="s">
        <v>325</v>
      </c>
      <c r="E1041" s="11">
        <v>0.15</v>
      </c>
      <c r="F1041" s="6">
        <v>9175</v>
      </c>
      <c r="G1041">
        <v>11119</v>
      </c>
      <c r="H1041">
        <f>F1041/G1041</f>
        <v>0.82516413346523965</v>
      </c>
    </row>
    <row r="1042" spans="1:8" hidden="1" outlineLevel="2">
      <c r="A1042" s="8"/>
      <c r="B1042" s="1"/>
      <c r="C1042" s="1" t="s">
        <v>118</v>
      </c>
      <c r="D1042" s="5" t="s">
        <v>325</v>
      </c>
      <c r="E1042" s="11">
        <v>0.15</v>
      </c>
      <c r="F1042" s="6">
        <v>9175</v>
      </c>
    </row>
    <row r="1043" spans="1:8" hidden="1" outlineLevel="2">
      <c r="A1043" s="8"/>
      <c r="B1043" s="1"/>
      <c r="C1043" s="1" t="s">
        <v>394</v>
      </c>
      <c r="D1043" s="5" t="s">
        <v>325</v>
      </c>
      <c r="E1043" s="11">
        <v>0.15</v>
      </c>
      <c r="F1043" s="6">
        <v>6308</v>
      </c>
    </row>
    <row r="1044" spans="1:8" hidden="1" outlineLevel="2">
      <c r="A1044" s="8"/>
      <c r="B1044" s="1"/>
      <c r="C1044" s="1" t="s">
        <v>517</v>
      </c>
      <c r="D1044" s="5" t="s">
        <v>325</v>
      </c>
      <c r="E1044" s="11">
        <v>0.15</v>
      </c>
      <c r="F1044" s="6">
        <v>6308</v>
      </c>
    </row>
    <row r="1045" spans="1:8" hidden="1" outlineLevel="2">
      <c r="A1045" s="8"/>
      <c r="B1045" s="1"/>
      <c r="C1045" s="1" t="s">
        <v>465</v>
      </c>
      <c r="D1045" s="1"/>
      <c r="E1045" s="11">
        <v>0.15</v>
      </c>
      <c r="F1045" s="2">
        <v>8060</v>
      </c>
    </row>
    <row r="1046" spans="1:8" hidden="1" outlineLevel="2">
      <c r="A1046" s="8"/>
      <c r="B1046" s="1"/>
      <c r="C1046" s="1"/>
      <c r="D1046" s="1"/>
      <c r="E1046" s="1"/>
      <c r="F1046" s="2"/>
    </row>
    <row r="1047" spans="1:8" hidden="1" outlineLevel="2">
      <c r="A1047" s="8"/>
      <c r="B1047" s="1"/>
      <c r="C1047" s="1"/>
      <c r="D1047" s="1"/>
      <c r="E1047" s="1"/>
      <c r="F1047" s="2"/>
    </row>
    <row r="1048" spans="1:8" hidden="1" outlineLevel="2">
      <c r="A1048" s="8"/>
      <c r="B1048" s="1"/>
      <c r="C1048" s="1"/>
      <c r="D1048" s="1"/>
      <c r="E1048" s="1"/>
      <c r="F1048" s="2"/>
    </row>
    <row r="1049" spans="1:8" hidden="1" outlineLevel="2">
      <c r="A1049" s="8"/>
      <c r="B1049" s="1"/>
      <c r="C1049" s="1"/>
      <c r="D1049" s="1"/>
      <c r="E1049" s="1"/>
      <c r="F1049" s="2"/>
    </row>
    <row r="1050" spans="1:8" hidden="1" outlineLevel="2">
      <c r="A1050" s="8"/>
      <c r="B1050" s="1"/>
      <c r="C1050" s="1"/>
      <c r="D1050" s="1"/>
      <c r="E1050" s="1"/>
      <c r="F1050" s="2"/>
    </row>
    <row r="1051" spans="1:8" hidden="1" outlineLevel="2">
      <c r="A1051" s="8"/>
      <c r="B1051" s="1"/>
      <c r="C1051" s="1"/>
      <c r="D1051" s="1"/>
      <c r="E1051" s="1"/>
      <c r="F1051" s="2"/>
    </row>
    <row r="1052" spans="1:8" ht="15.75" hidden="1" outlineLevel="2" thickBot="1">
      <c r="A1052" s="9"/>
      <c r="B1052" s="3"/>
      <c r="C1052" s="3"/>
      <c r="D1052" s="3"/>
      <c r="E1052" s="3"/>
      <c r="F1052" s="4"/>
    </row>
    <row r="1053" spans="1:8" ht="16.5" hidden="1" outlineLevel="1" thickTop="1" thickBot="1"/>
    <row r="1054" spans="1:8" ht="15.75" hidden="1" outlineLevel="1" thickTop="1">
      <c r="A1054" s="3782" t="s">
        <v>0</v>
      </c>
      <c r="B1054" s="3781" t="s">
        <v>1</v>
      </c>
      <c r="C1054" s="3781" t="s">
        <v>2</v>
      </c>
      <c r="D1054" s="3781" t="s">
        <v>3</v>
      </c>
      <c r="E1054" s="3781" t="s">
        <v>4</v>
      </c>
      <c r="F1054" s="3765" t="s">
        <v>5</v>
      </c>
    </row>
    <row r="1055" spans="1:8" ht="24.75" hidden="1" customHeight="1" outlineLevel="1" collapsed="1" thickBot="1">
      <c r="A1055" s="3783"/>
      <c r="B1055" s="3767"/>
      <c r="C1055" s="3767"/>
      <c r="D1055" s="3767"/>
      <c r="E1055" s="3767"/>
      <c r="F1055" s="3766"/>
    </row>
    <row r="1056" spans="1:8" ht="15.75" hidden="1" outlineLevel="2" thickTop="1">
      <c r="A1056" s="7" t="s">
        <v>980</v>
      </c>
      <c r="B1056" s="5" t="s">
        <v>116</v>
      </c>
      <c r="C1056" s="5" t="s">
        <v>549</v>
      </c>
      <c r="D1056" s="5" t="s">
        <v>325</v>
      </c>
      <c r="E1056" s="11">
        <v>0.1</v>
      </c>
      <c r="F1056" s="6">
        <v>174816</v>
      </c>
      <c r="G1056">
        <v>194240</v>
      </c>
      <c r="H1056">
        <f>F1056/G1056</f>
        <v>0.9</v>
      </c>
    </row>
    <row r="1057" spans="1:6" hidden="1" outlineLevel="2">
      <c r="A1057" s="8"/>
      <c r="B1057" s="1"/>
      <c r="C1057" s="5" t="s">
        <v>550</v>
      </c>
      <c r="D1057" s="5" t="s">
        <v>325</v>
      </c>
      <c r="E1057" s="11">
        <v>0.1</v>
      </c>
      <c r="F1057" s="6">
        <v>149571</v>
      </c>
    </row>
    <row r="1058" spans="1:6" hidden="1" outlineLevel="2">
      <c r="A1058" s="8"/>
      <c r="B1058" s="1"/>
      <c r="C1058" s="1"/>
      <c r="D1058" s="5"/>
      <c r="E1058" s="11"/>
      <c r="F1058" s="6"/>
    </row>
    <row r="1059" spans="1:6" hidden="1" outlineLevel="2">
      <c r="A1059" s="8"/>
      <c r="B1059" s="1"/>
      <c r="C1059" s="1"/>
      <c r="D1059" s="5"/>
      <c r="E1059" s="11"/>
      <c r="F1059" s="6"/>
    </row>
    <row r="1060" spans="1:6" hidden="1" outlineLevel="2">
      <c r="A1060" s="8"/>
      <c r="B1060" s="1"/>
      <c r="C1060" s="1"/>
      <c r="D1060" s="1"/>
      <c r="E1060" s="1"/>
      <c r="F1060" s="2"/>
    </row>
    <row r="1061" spans="1:6" hidden="1" outlineLevel="2">
      <c r="A1061" s="8"/>
      <c r="B1061" s="1"/>
      <c r="C1061" s="1"/>
      <c r="D1061" s="1"/>
      <c r="E1061" s="1"/>
      <c r="F1061" s="2"/>
    </row>
    <row r="1062" spans="1:6" hidden="1" outlineLevel="2">
      <c r="A1062" s="8"/>
      <c r="B1062" s="1"/>
      <c r="C1062" s="1"/>
      <c r="D1062" s="1"/>
      <c r="E1062" s="1"/>
      <c r="F1062" s="2"/>
    </row>
    <row r="1063" spans="1:6" hidden="1" outlineLevel="2">
      <c r="A1063" s="8"/>
      <c r="B1063" s="1"/>
      <c r="C1063" s="1"/>
      <c r="D1063" s="1"/>
      <c r="E1063" s="1"/>
      <c r="F1063" s="2"/>
    </row>
    <row r="1064" spans="1:6" hidden="1" outlineLevel="2">
      <c r="A1064" s="8"/>
      <c r="B1064" s="1"/>
      <c r="C1064" s="1"/>
      <c r="D1064" s="1"/>
      <c r="E1064" s="1"/>
      <c r="F1064" s="2"/>
    </row>
    <row r="1065" spans="1:6" hidden="1" outlineLevel="2">
      <c r="A1065" s="8"/>
      <c r="B1065" s="1"/>
      <c r="C1065" s="1"/>
      <c r="D1065" s="1"/>
      <c r="E1065" s="1"/>
      <c r="F1065" s="2"/>
    </row>
    <row r="1066" spans="1:6" hidden="1" outlineLevel="2">
      <c r="A1066" s="8"/>
      <c r="B1066" s="1"/>
      <c r="C1066" s="1"/>
      <c r="D1066" s="1"/>
      <c r="E1066" s="1"/>
      <c r="F1066" s="2"/>
    </row>
    <row r="1067" spans="1:6" ht="15.75" hidden="1" outlineLevel="2" thickBot="1">
      <c r="A1067" s="9"/>
      <c r="B1067" s="3"/>
      <c r="C1067" s="3"/>
      <c r="D1067" s="3"/>
      <c r="E1067" s="3"/>
      <c r="F1067" s="4"/>
    </row>
    <row r="1068" spans="1:6" ht="16.5" hidden="1" outlineLevel="1" thickTop="1" thickBot="1"/>
    <row r="1069" spans="1:6" ht="15.75" hidden="1" outlineLevel="1" thickTop="1">
      <c r="A1069" s="3782" t="s">
        <v>0</v>
      </c>
      <c r="B1069" s="3781" t="s">
        <v>1</v>
      </c>
      <c r="C1069" s="3781" t="s">
        <v>2</v>
      </c>
      <c r="D1069" s="3781" t="s">
        <v>3</v>
      </c>
      <c r="E1069" s="3781" t="s">
        <v>4</v>
      </c>
      <c r="F1069" s="3765" t="s">
        <v>5</v>
      </c>
    </row>
    <row r="1070" spans="1:6" ht="24.75" hidden="1" customHeight="1" outlineLevel="1" collapsed="1" thickBot="1">
      <c r="A1070" s="3783"/>
      <c r="B1070" s="3767"/>
      <c r="C1070" s="3767"/>
      <c r="D1070" s="3767"/>
      <c r="E1070" s="3767"/>
      <c r="F1070" s="3766"/>
    </row>
    <row r="1071" spans="1:6" ht="15.75" hidden="1" outlineLevel="2" thickTop="1">
      <c r="A1071" s="7" t="s">
        <v>979</v>
      </c>
      <c r="B1071" s="5" t="s">
        <v>116</v>
      </c>
      <c r="C1071" s="342" t="s">
        <v>989</v>
      </c>
      <c r="D1071" s="5" t="s">
        <v>325</v>
      </c>
      <c r="E1071" s="11">
        <v>0.1</v>
      </c>
      <c r="F1071" s="6">
        <v>5177</v>
      </c>
    </row>
    <row r="1072" spans="1:6" hidden="1" outlineLevel="2">
      <c r="A1072" s="8"/>
      <c r="B1072" s="1"/>
      <c r="C1072" s="1"/>
      <c r="D1072" s="5"/>
      <c r="E1072" s="11"/>
      <c r="F1072" s="6"/>
    </row>
    <row r="1073" spans="1:7" hidden="1" outlineLevel="2">
      <c r="A1073" s="8"/>
      <c r="B1073" s="1"/>
      <c r="C1073" s="1"/>
      <c r="D1073" s="5"/>
      <c r="E1073" s="11"/>
      <c r="F1073" s="6"/>
    </row>
    <row r="1074" spans="1:7" hidden="1" outlineLevel="2">
      <c r="A1074" s="8"/>
      <c r="B1074" s="1"/>
      <c r="C1074" s="1"/>
      <c r="D1074" s="5"/>
      <c r="E1074" s="11"/>
      <c r="F1074" s="6"/>
    </row>
    <row r="1075" spans="1:7" hidden="1" outlineLevel="2">
      <c r="A1075" s="8"/>
      <c r="B1075" s="1"/>
      <c r="C1075" s="1"/>
      <c r="D1075" s="1"/>
      <c r="E1075" s="1"/>
      <c r="F1075" s="2"/>
    </row>
    <row r="1076" spans="1:7" hidden="1" outlineLevel="2">
      <c r="A1076" s="8"/>
      <c r="B1076" s="1"/>
      <c r="C1076" s="1"/>
      <c r="D1076" s="1"/>
      <c r="E1076" s="1"/>
      <c r="F1076" s="2"/>
    </row>
    <row r="1077" spans="1:7" hidden="1" outlineLevel="2">
      <c r="A1077" s="8"/>
      <c r="B1077" s="1"/>
      <c r="C1077" s="1"/>
      <c r="D1077" s="1"/>
      <c r="E1077" s="1"/>
      <c r="F1077" s="2"/>
    </row>
    <row r="1078" spans="1:7" hidden="1" outlineLevel="2">
      <c r="A1078" s="8"/>
      <c r="B1078" s="1"/>
      <c r="C1078" s="1"/>
      <c r="D1078" s="1"/>
      <c r="E1078" s="1"/>
      <c r="F1078" s="2"/>
    </row>
    <row r="1079" spans="1:7" hidden="1" outlineLevel="2">
      <c r="A1079" s="8"/>
      <c r="B1079" s="1"/>
      <c r="C1079" s="1"/>
      <c r="D1079" s="1"/>
      <c r="E1079" s="1"/>
      <c r="F1079" s="2"/>
    </row>
    <row r="1080" spans="1:7" hidden="1" outlineLevel="2">
      <c r="A1080" s="8"/>
      <c r="B1080" s="1"/>
      <c r="C1080" s="1"/>
      <c r="D1080" s="1"/>
      <c r="E1080" s="1"/>
      <c r="F1080" s="2"/>
    </row>
    <row r="1081" spans="1:7" hidden="1" outlineLevel="2">
      <c r="A1081" s="8"/>
      <c r="B1081" s="1"/>
      <c r="C1081" s="1"/>
      <c r="D1081" s="1"/>
      <c r="E1081" s="1"/>
      <c r="F1081" s="2"/>
    </row>
    <row r="1082" spans="1:7" ht="15.75" hidden="1" outlineLevel="2" thickBot="1">
      <c r="A1082" s="9"/>
      <c r="B1082" s="3"/>
      <c r="C1082" s="3"/>
      <c r="D1082" s="3"/>
      <c r="E1082" s="3"/>
      <c r="F1082" s="4"/>
    </row>
    <row r="1083" spans="1:7" ht="16.5" hidden="1" outlineLevel="1" thickTop="1" thickBot="1"/>
    <row r="1084" spans="1:7" ht="15.75" hidden="1" outlineLevel="1" thickTop="1">
      <c r="A1084" s="3782" t="s">
        <v>0</v>
      </c>
      <c r="B1084" s="3781" t="s">
        <v>1</v>
      </c>
      <c r="C1084" s="3781" t="s">
        <v>2</v>
      </c>
      <c r="D1084" s="3781" t="s">
        <v>3</v>
      </c>
      <c r="E1084" s="3781" t="s">
        <v>4</v>
      </c>
      <c r="F1084" s="3765" t="s">
        <v>5</v>
      </c>
    </row>
    <row r="1085" spans="1:7" ht="24.75" hidden="1" customHeight="1" outlineLevel="1" collapsed="1" thickBot="1">
      <c r="A1085" s="3783"/>
      <c r="B1085" s="3767"/>
      <c r="C1085" s="3767"/>
      <c r="D1085" s="3767"/>
      <c r="E1085" s="3767"/>
      <c r="F1085" s="3766"/>
    </row>
    <row r="1086" spans="1:7" ht="15.75" hidden="1" outlineLevel="2" thickTop="1">
      <c r="A1086" s="7" t="s">
        <v>988</v>
      </c>
      <c r="B1086" s="5" t="s">
        <v>116</v>
      </c>
      <c r="C1086" s="5" t="s">
        <v>226</v>
      </c>
      <c r="D1086" s="5" t="s">
        <v>325</v>
      </c>
      <c r="E1086" s="11">
        <v>0.2</v>
      </c>
      <c r="F1086" s="6">
        <v>4545</v>
      </c>
      <c r="G1086">
        <f>F1086/0.8</f>
        <v>5681.25</v>
      </c>
    </row>
    <row r="1087" spans="1:7" hidden="1" outlineLevel="2">
      <c r="A1087" s="8"/>
      <c r="B1087" s="1"/>
      <c r="C1087" s="1" t="s">
        <v>227</v>
      </c>
      <c r="D1087" s="5" t="s">
        <v>325</v>
      </c>
      <c r="E1087" s="11">
        <v>0.2</v>
      </c>
      <c r="F1087" s="6">
        <v>4545</v>
      </c>
    </row>
    <row r="1088" spans="1:7" hidden="1" outlineLevel="2">
      <c r="A1088" s="8"/>
      <c r="B1088" s="1"/>
      <c r="C1088" s="1" t="s">
        <v>228</v>
      </c>
      <c r="D1088" s="5" t="s">
        <v>325</v>
      </c>
      <c r="E1088" s="11">
        <v>0.2</v>
      </c>
      <c r="F1088" s="6">
        <v>4545</v>
      </c>
    </row>
    <row r="1089" spans="1:7" hidden="1" outlineLevel="2">
      <c r="A1089" s="8"/>
      <c r="B1089" s="1"/>
      <c r="C1089" s="1" t="s">
        <v>394</v>
      </c>
      <c r="D1089" s="5" t="s">
        <v>325</v>
      </c>
      <c r="E1089" s="11">
        <v>0.2</v>
      </c>
      <c r="F1089" s="6">
        <v>6114</v>
      </c>
    </row>
    <row r="1090" spans="1:7" hidden="1" outlineLevel="2">
      <c r="A1090" s="8"/>
      <c r="B1090" s="1"/>
      <c r="C1090" s="1" t="s">
        <v>517</v>
      </c>
      <c r="D1090" s="5" t="s">
        <v>325</v>
      </c>
      <c r="E1090" s="11">
        <v>0.2</v>
      </c>
      <c r="F1090" s="6">
        <v>6114</v>
      </c>
    </row>
    <row r="1091" spans="1:7" hidden="1" outlineLevel="2">
      <c r="A1091" s="8"/>
      <c r="B1091" s="1"/>
      <c r="C1091" s="1" t="s">
        <v>647</v>
      </c>
      <c r="D1091" s="5" t="s">
        <v>325</v>
      </c>
      <c r="E1091" s="12">
        <v>0.15</v>
      </c>
      <c r="F1091" s="2">
        <v>5556</v>
      </c>
      <c r="G1091" t="s">
        <v>418</v>
      </c>
    </row>
    <row r="1092" spans="1:7" hidden="1" outlineLevel="2">
      <c r="A1092" s="8"/>
      <c r="B1092" s="1"/>
      <c r="C1092" s="1" t="s">
        <v>855</v>
      </c>
      <c r="D1092" s="5" t="s">
        <v>325</v>
      </c>
      <c r="E1092" s="12">
        <v>0.15</v>
      </c>
      <c r="F1092" s="2">
        <v>11109</v>
      </c>
      <c r="G1092" t="s">
        <v>418</v>
      </c>
    </row>
    <row r="1093" spans="1:7" hidden="1" outlineLevel="2">
      <c r="A1093" s="8"/>
      <c r="B1093" s="1"/>
      <c r="C1093" s="1" t="s">
        <v>857</v>
      </c>
      <c r="D1093" s="5" t="s">
        <v>325</v>
      </c>
      <c r="E1093" s="12">
        <v>0.15</v>
      </c>
      <c r="F1093" s="2">
        <v>11109</v>
      </c>
      <c r="G1093" t="s">
        <v>418</v>
      </c>
    </row>
    <row r="1094" spans="1:7" hidden="1" outlineLevel="2">
      <c r="A1094" s="8"/>
      <c r="B1094" s="1"/>
      <c r="C1094" s="1"/>
      <c r="D1094" s="1"/>
      <c r="E1094" s="1"/>
      <c r="F1094" s="2"/>
    </row>
    <row r="1095" spans="1:7" hidden="1" outlineLevel="2">
      <c r="A1095" s="8"/>
      <c r="B1095" s="1"/>
      <c r="C1095" s="1"/>
      <c r="D1095" s="1"/>
      <c r="E1095" s="1"/>
      <c r="F1095" s="2"/>
    </row>
    <row r="1096" spans="1:7" hidden="1" outlineLevel="2">
      <c r="A1096" s="8"/>
      <c r="B1096" s="1"/>
      <c r="C1096" s="1"/>
      <c r="D1096" s="1"/>
      <c r="E1096" s="1"/>
      <c r="F1096" s="2"/>
    </row>
    <row r="1097" spans="1:7" ht="15.75" hidden="1" outlineLevel="2" thickBot="1">
      <c r="A1097" s="9"/>
      <c r="B1097" s="3"/>
      <c r="C1097" s="3"/>
      <c r="D1097" s="3"/>
      <c r="E1097" s="3"/>
      <c r="F1097" s="4"/>
    </row>
    <row r="1098" spans="1:7" ht="16.5" hidden="1" outlineLevel="1" thickTop="1" thickBot="1"/>
    <row r="1099" spans="1:7" ht="15.75" hidden="1" outlineLevel="1" thickTop="1">
      <c r="A1099" s="3782" t="s">
        <v>0</v>
      </c>
      <c r="B1099" s="3781" t="s">
        <v>1</v>
      </c>
      <c r="C1099" s="3781" t="s">
        <v>2</v>
      </c>
      <c r="D1099" s="3781" t="s">
        <v>3</v>
      </c>
      <c r="E1099" s="3781" t="s">
        <v>4</v>
      </c>
      <c r="F1099" s="3765" t="s">
        <v>5</v>
      </c>
    </row>
    <row r="1100" spans="1:7" ht="24.75" hidden="1" customHeight="1" outlineLevel="1" collapsed="1" thickBot="1">
      <c r="A1100" s="3783"/>
      <c r="B1100" s="3767"/>
      <c r="C1100" s="3767"/>
      <c r="D1100" s="3767"/>
      <c r="E1100" s="3767"/>
      <c r="F1100" s="3766"/>
    </row>
    <row r="1101" spans="1:7" ht="15.75" hidden="1" outlineLevel="2" thickTop="1">
      <c r="A1101" s="7" t="s">
        <v>1001</v>
      </c>
      <c r="B1101" s="5" t="s">
        <v>116</v>
      </c>
      <c r="C1101" s="5" t="s">
        <v>933</v>
      </c>
      <c r="D1101" s="5" t="s">
        <v>325</v>
      </c>
      <c r="E1101" s="11">
        <v>0.2</v>
      </c>
      <c r="F1101" s="6">
        <v>18512</v>
      </c>
    </row>
    <row r="1102" spans="1:7" hidden="1" outlineLevel="2">
      <c r="A1102" s="8"/>
      <c r="B1102" s="1"/>
      <c r="C1102" s="1" t="s">
        <v>934</v>
      </c>
      <c r="D1102" s="5" t="s">
        <v>325</v>
      </c>
      <c r="E1102" s="11">
        <v>0.2</v>
      </c>
      <c r="F1102" s="6">
        <v>18512</v>
      </c>
    </row>
    <row r="1103" spans="1:7" hidden="1" outlineLevel="2">
      <c r="A1103" s="8"/>
      <c r="B1103" s="1"/>
      <c r="C1103" s="1" t="s">
        <v>1002</v>
      </c>
      <c r="D1103" s="5" t="s">
        <v>325</v>
      </c>
      <c r="E1103" s="11">
        <v>0.2</v>
      </c>
      <c r="F1103" s="6">
        <v>5694</v>
      </c>
    </row>
    <row r="1104" spans="1:7" hidden="1" outlineLevel="2">
      <c r="A1104" s="8"/>
      <c r="B1104" s="1"/>
      <c r="C1104" s="1" t="s">
        <v>684</v>
      </c>
      <c r="D1104" s="5" t="s">
        <v>325</v>
      </c>
      <c r="E1104" s="11">
        <v>0.2</v>
      </c>
      <c r="F1104" s="6">
        <v>5206</v>
      </c>
    </row>
    <row r="1105" spans="1:6" hidden="1" outlineLevel="2">
      <c r="A1105" s="8"/>
      <c r="B1105" s="1"/>
      <c r="C1105" s="1"/>
      <c r="D1105" s="1"/>
      <c r="E1105" s="1"/>
      <c r="F1105" s="2"/>
    </row>
    <row r="1106" spans="1:6" hidden="1" outlineLevel="2">
      <c r="A1106" s="8"/>
      <c r="B1106" s="1"/>
      <c r="C1106" s="1"/>
      <c r="D1106" s="1"/>
      <c r="E1106" s="1"/>
      <c r="F1106" s="2"/>
    </row>
    <row r="1107" spans="1:6" hidden="1" outlineLevel="2">
      <c r="A1107" s="8"/>
      <c r="B1107" s="1"/>
      <c r="C1107" s="1"/>
      <c r="D1107" s="1"/>
      <c r="E1107" s="1"/>
      <c r="F1107" s="2"/>
    </row>
    <row r="1108" spans="1:6" hidden="1" outlineLevel="2">
      <c r="A1108" s="8"/>
      <c r="B1108" s="1"/>
      <c r="C1108" s="1"/>
      <c r="D1108" s="1"/>
      <c r="E1108" s="1"/>
      <c r="F1108" s="2"/>
    </row>
    <row r="1109" spans="1:6" hidden="1" outlineLevel="2">
      <c r="A1109" s="8"/>
      <c r="B1109" s="1"/>
      <c r="C1109" s="1"/>
      <c r="D1109" s="1"/>
      <c r="E1109" s="1"/>
      <c r="F1109" s="2"/>
    </row>
    <row r="1110" spans="1:6" hidden="1" outlineLevel="2">
      <c r="A1110" s="8"/>
      <c r="B1110" s="1"/>
      <c r="C1110" s="1"/>
      <c r="D1110" s="1"/>
      <c r="E1110" s="1"/>
      <c r="F1110" s="2"/>
    </row>
    <row r="1111" spans="1:6" hidden="1" outlineLevel="2">
      <c r="A1111" s="8"/>
      <c r="B1111" s="1"/>
      <c r="C1111" s="1"/>
      <c r="D1111" s="1"/>
      <c r="E1111" s="1"/>
      <c r="F1111" s="2"/>
    </row>
    <row r="1112" spans="1:6" ht="15.75" hidden="1" outlineLevel="2" thickBot="1">
      <c r="A1112" s="9"/>
      <c r="B1112" s="3"/>
      <c r="C1112" s="3"/>
      <c r="D1112" s="3"/>
      <c r="E1112" s="3"/>
      <c r="F1112" s="4"/>
    </row>
    <row r="1113" spans="1:6" ht="16.5" hidden="1" outlineLevel="1" thickTop="1" thickBot="1"/>
    <row r="1114" spans="1:6" ht="15.75" hidden="1" outlineLevel="1" thickTop="1">
      <c r="A1114" s="3782" t="s">
        <v>0</v>
      </c>
      <c r="B1114" s="3781" t="s">
        <v>1</v>
      </c>
      <c r="C1114" s="3781" t="s">
        <v>2</v>
      </c>
      <c r="D1114" s="3781" t="s">
        <v>3</v>
      </c>
      <c r="E1114" s="3781" t="s">
        <v>4</v>
      </c>
      <c r="F1114" s="3765" t="s">
        <v>5</v>
      </c>
    </row>
    <row r="1115" spans="1:6" ht="24.75" hidden="1" customHeight="1" outlineLevel="1" collapsed="1" thickBot="1">
      <c r="A1115" s="3783"/>
      <c r="B1115" s="3767"/>
      <c r="C1115" s="3767"/>
      <c r="D1115" s="3767"/>
      <c r="E1115" s="3767"/>
      <c r="F1115" s="3766"/>
    </row>
    <row r="1116" spans="1:6" ht="15.75" hidden="1" outlineLevel="2" thickTop="1">
      <c r="A1116" s="7" t="s">
        <v>1017</v>
      </c>
      <c r="B1116" s="5" t="s">
        <v>116</v>
      </c>
      <c r="C1116" s="5" t="s">
        <v>511</v>
      </c>
      <c r="D1116" s="5" t="s">
        <v>325</v>
      </c>
      <c r="E1116" s="11">
        <v>0.15</v>
      </c>
      <c r="F1116" s="6">
        <v>31804</v>
      </c>
    </row>
    <row r="1117" spans="1:6" hidden="1" outlineLevel="2">
      <c r="A1117" s="8"/>
      <c r="B1117" s="1"/>
      <c r="C1117" s="1" t="s">
        <v>1048</v>
      </c>
      <c r="D1117" s="5" t="s">
        <v>325</v>
      </c>
      <c r="E1117" s="11">
        <v>0.15</v>
      </c>
      <c r="F1117" s="6">
        <v>31804</v>
      </c>
    </row>
    <row r="1118" spans="1:6" hidden="1" outlineLevel="2">
      <c r="A1118" s="8"/>
      <c r="B1118" s="1"/>
      <c r="C1118" s="1"/>
      <c r="D1118" s="5"/>
      <c r="E1118" s="11"/>
      <c r="F1118" s="6"/>
    </row>
    <row r="1119" spans="1:6" hidden="1" outlineLevel="2">
      <c r="A1119" s="8"/>
      <c r="B1119" s="1"/>
      <c r="C1119" s="1"/>
      <c r="D1119" s="5"/>
      <c r="E1119" s="11"/>
      <c r="F1119" s="6"/>
    </row>
    <row r="1120" spans="1:6" hidden="1" outlineLevel="2">
      <c r="A1120" s="8"/>
      <c r="B1120" s="1"/>
      <c r="C1120" s="1"/>
      <c r="D1120" s="1"/>
      <c r="E1120" s="1"/>
      <c r="F1120" s="2"/>
    </row>
    <row r="1121" spans="1:6" hidden="1" outlineLevel="2">
      <c r="A1121" s="8"/>
      <c r="B1121" s="1"/>
      <c r="C1121" s="1"/>
      <c r="D1121" s="1"/>
      <c r="E1121" s="1"/>
      <c r="F1121" s="2"/>
    </row>
    <row r="1122" spans="1:6" hidden="1" outlineLevel="2">
      <c r="A1122" s="8"/>
      <c r="B1122" s="1"/>
      <c r="C1122" s="1"/>
      <c r="D1122" s="1"/>
      <c r="E1122" s="1"/>
      <c r="F1122" s="2"/>
    </row>
    <row r="1123" spans="1:6" hidden="1" outlineLevel="2">
      <c r="A1123" s="8"/>
      <c r="B1123" s="1"/>
      <c r="C1123" s="1"/>
      <c r="D1123" s="1"/>
      <c r="E1123" s="1"/>
      <c r="F1123" s="2"/>
    </row>
    <row r="1124" spans="1:6" hidden="1" outlineLevel="2">
      <c r="A1124" s="8"/>
      <c r="B1124" s="1"/>
      <c r="C1124" s="1"/>
      <c r="D1124" s="1"/>
      <c r="E1124" s="1"/>
      <c r="F1124" s="2"/>
    </row>
    <row r="1125" spans="1:6" hidden="1" outlineLevel="2">
      <c r="A1125" s="8"/>
      <c r="B1125" s="1"/>
      <c r="C1125" s="1"/>
      <c r="D1125" s="1"/>
      <c r="E1125" s="1"/>
      <c r="F1125" s="2"/>
    </row>
    <row r="1126" spans="1:6" hidden="1" outlineLevel="2">
      <c r="A1126" s="8"/>
      <c r="B1126" s="1"/>
      <c r="C1126" s="1"/>
      <c r="D1126" s="1"/>
      <c r="E1126" s="1"/>
      <c r="F1126" s="2"/>
    </row>
    <row r="1127" spans="1:6" ht="15.75" hidden="1" outlineLevel="2" thickBot="1">
      <c r="A1127" s="9"/>
      <c r="B1127" s="3"/>
      <c r="C1127" s="3"/>
      <c r="D1127" s="3"/>
      <c r="E1127" s="3"/>
      <c r="F1127" s="4"/>
    </row>
    <row r="1128" spans="1:6" ht="16.5" hidden="1" outlineLevel="1" thickTop="1" thickBot="1"/>
    <row r="1129" spans="1:6" ht="15.75" hidden="1" outlineLevel="1" thickTop="1">
      <c r="A1129" s="3782" t="s">
        <v>0</v>
      </c>
      <c r="B1129" s="3781" t="s">
        <v>1</v>
      </c>
      <c r="C1129" s="3781" t="s">
        <v>2</v>
      </c>
      <c r="D1129" s="3781" t="s">
        <v>3</v>
      </c>
      <c r="E1129" s="3781" t="s">
        <v>4</v>
      </c>
      <c r="F1129" s="3765" t="s">
        <v>5</v>
      </c>
    </row>
    <row r="1130" spans="1:6" ht="24.75" hidden="1" customHeight="1" outlineLevel="1" collapsed="1" thickBot="1">
      <c r="A1130" s="3783"/>
      <c r="B1130" s="3767"/>
      <c r="C1130" s="3767"/>
      <c r="D1130" s="3767"/>
      <c r="E1130" s="3767"/>
      <c r="F1130" s="3766"/>
    </row>
    <row r="1131" spans="1:6" ht="15.75" hidden="1" outlineLevel="2" thickTop="1">
      <c r="A1131" s="7" t="s">
        <v>1018</v>
      </c>
      <c r="B1131" s="5" t="s">
        <v>106</v>
      </c>
      <c r="C1131" s="288" t="s">
        <v>897</v>
      </c>
      <c r="D1131" s="5" t="s">
        <v>325</v>
      </c>
      <c r="E1131" s="11">
        <v>0.17</v>
      </c>
      <c r="F1131" s="6">
        <v>7606</v>
      </c>
    </row>
    <row r="1132" spans="1:6" hidden="1" outlineLevel="2">
      <c r="A1132" s="8"/>
      <c r="B1132" s="1"/>
      <c r="C1132" s="81" t="s">
        <v>898</v>
      </c>
      <c r="D1132" s="5" t="s">
        <v>325</v>
      </c>
      <c r="E1132" s="11">
        <v>0.17</v>
      </c>
      <c r="F1132" s="6">
        <v>7606</v>
      </c>
    </row>
    <row r="1133" spans="1:6" hidden="1" outlineLevel="2">
      <c r="A1133" s="8"/>
      <c r="B1133" s="1"/>
      <c r="C1133" s="81" t="s">
        <v>899</v>
      </c>
      <c r="D1133" s="5" t="s">
        <v>325</v>
      </c>
      <c r="E1133" s="11">
        <v>0.17</v>
      </c>
      <c r="F1133" s="6">
        <v>7606</v>
      </c>
    </row>
    <row r="1134" spans="1:6" hidden="1" outlineLevel="2">
      <c r="A1134" s="8"/>
      <c r="B1134" s="1"/>
      <c r="C1134" s="1"/>
      <c r="D1134" s="5"/>
      <c r="E1134" s="11"/>
      <c r="F1134" s="6"/>
    </row>
    <row r="1135" spans="1:6" hidden="1" outlineLevel="2">
      <c r="A1135" s="8"/>
      <c r="B1135" s="1"/>
      <c r="C1135" s="1"/>
      <c r="D1135" s="1"/>
      <c r="E1135" s="1"/>
      <c r="F1135" s="2"/>
    </row>
    <row r="1136" spans="1:6" hidden="1" outlineLevel="2">
      <c r="A1136" s="8"/>
      <c r="B1136" s="1"/>
      <c r="C1136" s="1"/>
      <c r="D1136" s="1"/>
      <c r="E1136" s="1"/>
      <c r="F1136" s="2"/>
    </row>
    <row r="1137" spans="1:6" hidden="1" outlineLevel="2">
      <c r="A1137" s="8"/>
      <c r="B1137" s="1"/>
      <c r="C1137" s="1"/>
      <c r="D1137" s="1"/>
      <c r="E1137" s="1"/>
      <c r="F1137" s="2"/>
    </row>
    <row r="1138" spans="1:6" hidden="1" outlineLevel="2">
      <c r="A1138" s="8"/>
      <c r="B1138" s="1"/>
      <c r="C1138" s="1"/>
      <c r="D1138" s="1"/>
      <c r="E1138" s="1"/>
      <c r="F1138" s="2"/>
    </row>
    <row r="1139" spans="1:6" hidden="1" outlineLevel="2">
      <c r="A1139" s="8"/>
      <c r="B1139" s="1"/>
      <c r="C1139" s="1"/>
      <c r="D1139" s="1"/>
      <c r="E1139" s="1"/>
      <c r="F1139" s="2"/>
    </row>
    <row r="1140" spans="1:6" hidden="1" outlineLevel="2">
      <c r="A1140" s="8"/>
      <c r="B1140" s="1"/>
      <c r="C1140" s="1"/>
      <c r="D1140" s="1"/>
      <c r="E1140" s="1"/>
      <c r="F1140" s="2"/>
    </row>
    <row r="1141" spans="1:6" hidden="1" outlineLevel="2">
      <c r="A1141" s="8"/>
      <c r="B1141" s="1"/>
      <c r="C1141" s="1"/>
      <c r="D1141" s="1"/>
      <c r="E1141" s="1"/>
      <c r="F1141" s="2"/>
    </row>
    <row r="1142" spans="1:6" ht="15.75" hidden="1" outlineLevel="2" thickBot="1">
      <c r="A1142" s="9"/>
      <c r="B1142" s="3"/>
      <c r="C1142" s="3"/>
      <c r="D1142" s="3"/>
      <c r="E1142" s="3"/>
      <c r="F1142" s="4"/>
    </row>
    <row r="1143" spans="1:6" ht="16.5" hidden="1" outlineLevel="1" thickTop="1" thickBot="1"/>
    <row r="1144" spans="1:6" ht="15.75" hidden="1" outlineLevel="1" thickTop="1">
      <c r="A1144" s="3782" t="s">
        <v>0</v>
      </c>
      <c r="B1144" s="3781" t="s">
        <v>1</v>
      </c>
      <c r="C1144" s="3781" t="s">
        <v>2</v>
      </c>
      <c r="D1144" s="3781" t="s">
        <v>3</v>
      </c>
      <c r="E1144" s="3781" t="s">
        <v>4</v>
      </c>
      <c r="F1144" s="3765" t="s">
        <v>5</v>
      </c>
    </row>
    <row r="1145" spans="1:6" ht="24.75" hidden="1" customHeight="1" outlineLevel="1" collapsed="1" thickBot="1">
      <c r="A1145" s="3783"/>
      <c r="B1145" s="3767"/>
      <c r="C1145" s="3767"/>
      <c r="D1145" s="3767"/>
      <c r="E1145" s="3767"/>
      <c r="F1145" s="3766"/>
    </row>
    <row r="1146" spans="1:6" ht="15.75" hidden="1" outlineLevel="2" thickTop="1">
      <c r="A1146" s="7" t="s">
        <v>1025</v>
      </c>
      <c r="B1146" s="5" t="s">
        <v>116</v>
      </c>
      <c r="C1146" s="5" t="s">
        <v>1026</v>
      </c>
      <c r="D1146" s="5" t="s">
        <v>325</v>
      </c>
      <c r="E1146" s="11">
        <v>0.15</v>
      </c>
      <c r="F1146" s="6">
        <v>59411</v>
      </c>
    </row>
    <row r="1147" spans="1:6" hidden="1" outlineLevel="2">
      <c r="A1147" s="8"/>
      <c r="B1147" s="5"/>
      <c r="C1147" s="1" t="s">
        <v>1027</v>
      </c>
      <c r="D1147" s="5" t="s">
        <v>325</v>
      </c>
      <c r="E1147" s="11">
        <v>0.15</v>
      </c>
      <c r="F1147" s="6">
        <v>77264</v>
      </c>
    </row>
    <row r="1148" spans="1:6" hidden="1" outlineLevel="2">
      <c r="A1148" s="8"/>
      <c r="B1148" s="1"/>
      <c r="C1148" s="1"/>
      <c r="D1148" s="5"/>
      <c r="E1148" s="11"/>
      <c r="F1148" s="6"/>
    </row>
    <row r="1149" spans="1:6" hidden="1" outlineLevel="2">
      <c r="A1149" s="8"/>
      <c r="B1149" s="1"/>
      <c r="C1149" s="1"/>
      <c r="D1149" s="5"/>
      <c r="E1149" s="11"/>
      <c r="F1149" s="6"/>
    </row>
    <row r="1150" spans="1:6" hidden="1" outlineLevel="2">
      <c r="A1150" s="8"/>
      <c r="B1150" s="1"/>
      <c r="C1150" s="1"/>
      <c r="D1150" s="1"/>
      <c r="E1150" s="1"/>
      <c r="F1150" s="2"/>
    </row>
    <row r="1151" spans="1:6" hidden="1" outlineLevel="2">
      <c r="A1151" s="8"/>
      <c r="B1151" s="1"/>
      <c r="C1151" s="1"/>
      <c r="D1151" s="1"/>
      <c r="E1151" s="1"/>
      <c r="F1151" s="2"/>
    </row>
    <row r="1152" spans="1:6" hidden="1" outlineLevel="2">
      <c r="A1152" s="8"/>
      <c r="B1152" s="1"/>
      <c r="C1152" s="1"/>
      <c r="D1152" s="1"/>
      <c r="E1152" s="1"/>
      <c r="F1152" s="2"/>
    </row>
    <row r="1153" spans="1:6" hidden="1" outlineLevel="2">
      <c r="A1153" s="8"/>
      <c r="B1153" s="1"/>
      <c r="C1153" s="1"/>
      <c r="D1153" s="1"/>
      <c r="E1153" s="1"/>
      <c r="F1153" s="2"/>
    </row>
    <row r="1154" spans="1:6" hidden="1" outlineLevel="2">
      <c r="A1154" s="8"/>
      <c r="B1154" s="1"/>
      <c r="C1154" s="1"/>
      <c r="D1154" s="1"/>
      <c r="E1154" s="1"/>
      <c r="F1154" s="2"/>
    </row>
    <row r="1155" spans="1:6" hidden="1" outlineLevel="2">
      <c r="A1155" s="8"/>
      <c r="B1155" s="1"/>
      <c r="C1155" s="1"/>
      <c r="D1155" s="1"/>
      <c r="E1155" s="1"/>
      <c r="F1155" s="2"/>
    </row>
    <row r="1156" spans="1:6" hidden="1" outlineLevel="2">
      <c r="A1156" s="8"/>
      <c r="B1156" s="1"/>
      <c r="C1156" s="1"/>
      <c r="D1156" s="1"/>
      <c r="E1156" s="1"/>
      <c r="F1156" s="2"/>
    </row>
    <row r="1157" spans="1:6" ht="15.75" hidden="1" outlineLevel="2" thickBot="1">
      <c r="A1157" s="9"/>
      <c r="B1157" s="3"/>
      <c r="C1157" s="3"/>
      <c r="D1157" s="3"/>
      <c r="E1157" s="3"/>
      <c r="F1157" s="4"/>
    </row>
    <row r="1158" spans="1:6" ht="16.5" hidden="1" outlineLevel="1" thickTop="1" thickBot="1"/>
    <row r="1159" spans="1:6" ht="15.75" hidden="1" outlineLevel="1" thickTop="1">
      <c r="A1159" s="3782" t="s">
        <v>0</v>
      </c>
      <c r="B1159" s="3781" t="s">
        <v>1</v>
      </c>
      <c r="C1159" s="3781" t="s">
        <v>2</v>
      </c>
      <c r="D1159" s="3781" t="s">
        <v>3</v>
      </c>
      <c r="E1159" s="3781" t="s">
        <v>4</v>
      </c>
      <c r="F1159" s="3765" t="s">
        <v>5</v>
      </c>
    </row>
    <row r="1160" spans="1:6" ht="24.75" hidden="1" customHeight="1" outlineLevel="1" collapsed="1" thickBot="1">
      <c r="A1160" s="3783"/>
      <c r="B1160" s="3767"/>
      <c r="C1160" s="3767"/>
      <c r="D1160" s="3767"/>
      <c r="E1160" s="3767"/>
      <c r="F1160" s="3766"/>
    </row>
    <row r="1161" spans="1:6" ht="15.75" hidden="1" outlineLevel="2" thickTop="1">
      <c r="A1161" s="7" t="s">
        <v>1047</v>
      </c>
      <c r="B1161" s="5" t="s">
        <v>106</v>
      </c>
      <c r="C1161" s="288" t="s">
        <v>933</v>
      </c>
      <c r="D1161" s="5" t="s">
        <v>325</v>
      </c>
      <c r="E1161" s="11">
        <v>0.17</v>
      </c>
      <c r="F1161" s="6">
        <v>19782</v>
      </c>
    </row>
    <row r="1162" spans="1:6" hidden="1" outlineLevel="2">
      <c r="A1162" s="8"/>
      <c r="B1162" s="1"/>
      <c r="C1162" s="81" t="s">
        <v>934</v>
      </c>
      <c r="D1162" s="5" t="s">
        <v>325</v>
      </c>
      <c r="E1162" s="11">
        <v>0.17</v>
      </c>
      <c r="F1162" s="6">
        <v>19782</v>
      </c>
    </row>
    <row r="1163" spans="1:6" hidden="1" outlineLevel="2">
      <c r="A1163" s="8"/>
      <c r="B1163" s="1"/>
      <c r="C1163" s="81" t="s">
        <v>465</v>
      </c>
      <c r="D1163" s="5" t="s">
        <v>325</v>
      </c>
      <c r="E1163" s="11">
        <v>0.17</v>
      </c>
      <c r="F1163" s="6">
        <v>8107</v>
      </c>
    </row>
    <row r="1164" spans="1:6" hidden="1" outlineLevel="2">
      <c r="A1164" s="8"/>
      <c r="B1164" s="1"/>
      <c r="C1164" s="1"/>
      <c r="D1164" s="5"/>
      <c r="E1164" s="11"/>
      <c r="F1164" s="6"/>
    </row>
    <row r="1165" spans="1:6" hidden="1" outlineLevel="2">
      <c r="A1165" s="8"/>
      <c r="B1165" s="1"/>
      <c r="C1165" s="1"/>
      <c r="D1165" s="1"/>
      <c r="E1165" s="1"/>
      <c r="F1165" s="2"/>
    </row>
    <row r="1166" spans="1:6" hidden="1" outlineLevel="2">
      <c r="A1166" s="8"/>
      <c r="B1166" s="1"/>
      <c r="C1166" s="1"/>
      <c r="D1166" s="1"/>
      <c r="E1166" s="1"/>
      <c r="F1166" s="2"/>
    </row>
    <row r="1167" spans="1:6" hidden="1" outlineLevel="2">
      <c r="A1167" s="8"/>
      <c r="B1167" s="1"/>
      <c r="C1167" s="1"/>
      <c r="D1167" s="1"/>
      <c r="E1167" s="1"/>
      <c r="F1167" s="2"/>
    </row>
    <row r="1168" spans="1:6" hidden="1" outlineLevel="2">
      <c r="A1168" s="8"/>
      <c r="B1168" s="1"/>
      <c r="C1168" s="1"/>
      <c r="D1168" s="1"/>
      <c r="E1168" s="1"/>
      <c r="F1168" s="2"/>
    </row>
    <row r="1169" spans="1:7" hidden="1" outlineLevel="2">
      <c r="A1169" s="8"/>
      <c r="B1169" s="1"/>
      <c r="C1169" s="1"/>
      <c r="D1169" s="1"/>
      <c r="E1169" s="1"/>
      <c r="F1169" s="2"/>
    </row>
    <row r="1170" spans="1:7" hidden="1" outlineLevel="2">
      <c r="A1170" s="8"/>
      <c r="B1170" s="1"/>
      <c r="C1170" s="1"/>
      <c r="D1170" s="1"/>
      <c r="E1170" s="1"/>
      <c r="F1170" s="2"/>
    </row>
    <row r="1171" spans="1:7" hidden="1" outlineLevel="2">
      <c r="A1171" s="8"/>
      <c r="B1171" s="1"/>
      <c r="C1171" s="1"/>
      <c r="D1171" s="1"/>
      <c r="E1171" s="1"/>
      <c r="F1171" s="2"/>
    </row>
    <row r="1172" spans="1:7" ht="15.75" hidden="1" outlineLevel="2" thickBot="1">
      <c r="A1172" s="9"/>
      <c r="B1172" s="3"/>
      <c r="C1172" s="3"/>
      <c r="D1172" s="3"/>
      <c r="E1172" s="3"/>
      <c r="F1172" s="4"/>
    </row>
    <row r="1173" spans="1:7" ht="16.5" hidden="1" outlineLevel="1" thickTop="1" thickBot="1"/>
    <row r="1174" spans="1:7" ht="15.75" hidden="1" outlineLevel="1" thickTop="1">
      <c r="A1174" s="3782" t="s">
        <v>0</v>
      </c>
      <c r="B1174" s="3781" t="s">
        <v>1</v>
      </c>
      <c r="C1174" s="3781" t="s">
        <v>2</v>
      </c>
      <c r="D1174" s="3781" t="s">
        <v>3</v>
      </c>
      <c r="E1174" s="3781" t="s">
        <v>4</v>
      </c>
      <c r="F1174" s="3765" t="s">
        <v>5</v>
      </c>
    </row>
    <row r="1175" spans="1:7" ht="24.75" hidden="1" customHeight="1" outlineLevel="1" collapsed="1" thickBot="1">
      <c r="A1175" s="3783"/>
      <c r="B1175" s="3767"/>
      <c r="C1175" s="3767"/>
      <c r="D1175" s="3767"/>
      <c r="E1175" s="3767"/>
      <c r="F1175" s="3766"/>
    </row>
    <row r="1176" spans="1:7" ht="15.75" hidden="1" outlineLevel="2" thickTop="1">
      <c r="A1176" s="7" t="s">
        <v>1057</v>
      </c>
      <c r="B1176" s="5" t="s">
        <v>116</v>
      </c>
      <c r="C1176" s="5" t="s">
        <v>68</v>
      </c>
      <c r="D1176" s="5" t="s">
        <v>325</v>
      </c>
      <c r="E1176" s="11">
        <v>0.17</v>
      </c>
      <c r="F1176" s="6">
        <v>8633</v>
      </c>
      <c r="G1176" s="336"/>
    </row>
    <row r="1177" spans="1:7" hidden="1" outlineLevel="2">
      <c r="A1177" s="8"/>
      <c r="B1177" s="1"/>
      <c r="C1177" s="1" t="s">
        <v>69</v>
      </c>
      <c r="D1177" s="5" t="s">
        <v>325</v>
      </c>
      <c r="E1177" s="11">
        <v>0.17</v>
      </c>
      <c r="F1177" s="6">
        <v>8633</v>
      </c>
    </row>
    <row r="1178" spans="1:7" hidden="1" outlineLevel="2">
      <c r="A1178" s="8"/>
      <c r="B1178" s="1"/>
      <c r="C1178" s="1" t="s">
        <v>1058</v>
      </c>
      <c r="D1178" s="5" t="s">
        <v>325</v>
      </c>
      <c r="E1178" s="11">
        <v>0.17</v>
      </c>
      <c r="F1178" s="6">
        <v>11708</v>
      </c>
    </row>
    <row r="1179" spans="1:7" hidden="1" outlineLevel="2">
      <c r="A1179" s="8"/>
      <c r="B1179" s="1"/>
      <c r="C1179" s="1" t="s">
        <v>1059</v>
      </c>
      <c r="D1179" s="5" t="s">
        <v>325</v>
      </c>
      <c r="E1179" s="11">
        <v>0.17</v>
      </c>
      <c r="F1179" s="6">
        <v>11911</v>
      </c>
    </row>
    <row r="1180" spans="1:7" hidden="1" outlineLevel="2">
      <c r="A1180" s="8"/>
      <c r="B1180" s="1"/>
      <c r="C1180" s="1"/>
      <c r="D1180" s="1"/>
      <c r="E1180" s="1"/>
      <c r="F1180" s="2"/>
    </row>
    <row r="1181" spans="1:7" hidden="1" outlineLevel="2">
      <c r="A1181" s="8"/>
      <c r="B1181" s="1"/>
      <c r="C1181" s="1"/>
      <c r="D1181" s="1"/>
      <c r="E1181" s="1"/>
      <c r="F1181" s="2"/>
    </row>
    <row r="1182" spans="1:7" hidden="1" outlineLevel="2">
      <c r="A1182" s="8"/>
      <c r="B1182" s="1"/>
      <c r="C1182" s="1"/>
      <c r="D1182" s="1"/>
      <c r="E1182" s="1"/>
      <c r="F1182" s="2"/>
    </row>
    <row r="1183" spans="1:7" hidden="1" outlineLevel="2">
      <c r="A1183" s="8"/>
      <c r="B1183" s="1"/>
      <c r="C1183" s="1"/>
      <c r="D1183" s="1"/>
      <c r="E1183" s="1"/>
      <c r="F1183" s="2"/>
    </row>
    <row r="1184" spans="1:7" hidden="1" outlineLevel="2">
      <c r="A1184" s="8"/>
      <c r="B1184" s="1"/>
      <c r="C1184" s="1"/>
      <c r="D1184" s="1"/>
      <c r="E1184" s="1"/>
      <c r="F1184" s="2"/>
    </row>
    <row r="1185" spans="1:6" hidden="1" outlineLevel="2">
      <c r="A1185" s="8"/>
      <c r="B1185" s="1"/>
      <c r="C1185" s="1"/>
      <c r="D1185" s="1"/>
      <c r="E1185" s="1"/>
      <c r="F1185" s="2"/>
    </row>
    <row r="1186" spans="1:6" hidden="1" outlineLevel="2">
      <c r="A1186" s="8"/>
      <c r="B1186" s="1"/>
      <c r="C1186" s="1"/>
      <c r="D1186" s="1"/>
      <c r="E1186" s="1"/>
      <c r="F1186" s="2"/>
    </row>
    <row r="1187" spans="1:6" ht="15.75" hidden="1" outlineLevel="2" thickBot="1">
      <c r="A1187" s="9"/>
      <c r="B1187" s="3"/>
      <c r="C1187" s="3"/>
      <c r="D1187" s="3"/>
      <c r="E1187" s="3"/>
      <c r="F1187" s="4"/>
    </row>
    <row r="1188" spans="1:6" ht="16.5" hidden="1" outlineLevel="1" thickTop="1" thickBot="1"/>
    <row r="1189" spans="1:6" ht="15.75" hidden="1" outlineLevel="1" thickTop="1">
      <c r="A1189" s="3782" t="s">
        <v>0</v>
      </c>
      <c r="B1189" s="3781" t="s">
        <v>1</v>
      </c>
      <c r="C1189" s="3781" t="s">
        <v>2</v>
      </c>
      <c r="D1189" s="3781" t="s">
        <v>3</v>
      </c>
      <c r="E1189" s="3781" t="s">
        <v>4</v>
      </c>
      <c r="F1189" s="3765" t="s">
        <v>5</v>
      </c>
    </row>
    <row r="1190" spans="1:6" ht="24.75" hidden="1" customHeight="1" outlineLevel="1" collapsed="1" thickBot="1">
      <c r="A1190" s="3783"/>
      <c r="B1190" s="3767"/>
      <c r="C1190" s="3767"/>
      <c r="D1190" s="3767"/>
      <c r="E1190" s="3767"/>
      <c r="F1190" s="3766"/>
    </row>
    <row r="1191" spans="1:6" ht="15.75" hidden="1" outlineLevel="2" thickTop="1">
      <c r="A1191" s="7" t="s">
        <v>1074</v>
      </c>
      <c r="B1191" s="5" t="s">
        <v>116</v>
      </c>
      <c r="C1191" s="5" t="s">
        <v>1075</v>
      </c>
      <c r="D1191" s="5" t="s">
        <v>325</v>
      </c>
      <c r="E1191" s="11">
        <v>0.15</v>
      </c>
      <c r="F1191" s="6">
        <v>5427</v>
      </c>
    </row>
    <row r="1192" spans="1:6" hidden="1" outlineLevel="2">
      <c r="A1192" s="8"/>
      <c r="B1192" s="1"/>
      <c r="C1192" s="1" t="s">
        <v>937</v>
      </c>
      <c r="D1192" s="5" t="s">
        <v>325</v>
      </c>
      <c r="E1192" s="11">
        <v>0.15</v>
      </c>
      <c r="F1192" s="6">
        <v>38618</v>
      </c>
    </row>
    <row r="1193" spans="1:6" hidden="1" outlineLevel="2">
      <c r="A1193" s="8"/>
      <c r="B1193" s="1"/>
      <c r="C1193" s="1" t="s">
        <v>903</v>
      </c>
      <c r="D1193" s="5" t="s">
        <v>325</v>
      </c>
      <c r="E1193" s="11">
        <v>0.15</v>
      </c>
      <c r="F1193" s="6">
        <v>20630</v>
      </c>
    </row>
    <row r="1194" spans="1:6" hidden="1" outlineLevel="2">
      <c r="A1194" s="8"/>
      <c r="B1194" s="1"/>
      <c r="C1194" s="1"/>
      <c r="D1194" s="5"/>
      <c r="E1194" s="11"/>
      <c r="F1194" s="6"/>
    </row>
    <row r="1195" spans="1:6" hidden="1" outlineLevel="2">
      <c r="A1195" s="8"/>
      <c r="B1195" s="1"/>
      <c r="C1195" s="1"/>
      <c r="D1195" s="1"/>
      <c r="E1195" s="1"/>
      <c r="F1195" s="2"/>
    </row>
    <row r="1196" spans="1:6" hidden="1" outlineLevel="2">
      <c r="A1196" s="8"/>
      <c r="B1196" s="1"/>
      <c r="C1196" s="1"/>
      <c r="D1196" s="1"/>
      <c r="E1196" s="1"/>
      <c r="F1196" s="2"/>
    </row>
    <row r="1197" spans="1:6" hidden="1" outlineLevel="2">
      <c r="A1197" s="8"/>
      <c r="B1197" s="1"/>
      <c r="C1197" s="1"/>
      <c r="D1197" s="1"/>
      <c r="E1197" s="1"/>
      <c r="F1197" s="2"/>
    </row>
    <row r="1198" spans="1:6" hidden="1" outlineLevel="2">
      <c r="A1198" s="8"/>
      <c r="B1198" s="1"/>
      <c r="C1198" s="1"/>
      <c r="D1198" s="1"/>
      <c r="E1198" s="1"/>
      <c r="F1198" s="2"/>
    </row>
    <row r="1199" spans="1:6" hidden="1" outlineLevel="2">
      <c r="A1199" s="8"/>
      <c r="B1199" s="1"/>
      <c r="C1199" s="1"/>
      <c r="D1199" s="1"/>
      <c r="E1199" s="1"/>
      <c r="F1199" s="2"/>
    </row>
    <row r="1200" spans="1:6" hidden="1" outlineLevel="2">
      <c r="A1200" s="8"/>
      <c r="B1200" s="1"/>
      <c r="C1200" s="1"/>
      <c r="D1200" s="1"/>
      <c r="E1200" s="1"/>
      <c r="F1200" s="2"/>
    </row>
    <row r="1201" spans="1:6" hidden="1" outlineLevel="2">
      <c r="A1201" s="8"/>
      <c r="B1201" s="1"/>
      <c r="C1201" s="1"/>
      <c r="D1201" s="1"/>
      <c r="E1201" s="1"/>
      <c r="F1201" s="2"/>
    </row>
    <row r="1202" spans="1:6" ht="15.75" hidden="1" outlineLevel="2" thickBot="1">
      <c r="A1202" s="9"/>
      <c r="B1202" s="3"/>
      <c r="C1202" s="3"/>
      <c r="D1202" s="3"/>
      <c r="E1202" s="3"/>
      <c r="F1202" s="4"/>
    </row>
    <row r="1203" spans="1:6" ht="16.5" hidden="1" outlineLevel="1" thickTop="1" thickBot="1"/>
    <row r="1204" spans="1:6" ht="15.75" hidden="1" outlineLevel="1" thickTop="1">
      <c r="A1204" s="3782" t="s">
        <v>0</v>
      </c>
      <c r="B1204" s="3781" t="s">
        <v>1</v>
      </c>
      <c r="C1204" s="3781" t="s">
        <v>2</v>
      </c>
      <c r="D1204" s="3781" t="s">
        <v>3</v>
      </c>
      <c r="E1204" s="3781" t="s">
        <v>4</v>
      </c>
      <c r="F1204" s="3765" t="s">
        <v>5</v>
      </c>
    </row>
    <row r="1205" spans="1:6" ht="24.75" hidden="1" customHeight="1" outlineLevel="1" collapsed="1" thickBot="1">
      <c r="A1205" s="3783"/>
      <c r="B1205" s="3767"/>
      <c r="C1205" s="3767"/>
      <c r="D1205" s="3767"/>
      <c r="E1205" s="3767"/>
      <c r="F1205" s="3766"/>
    </row>
    <row r="1206" spans="1:6" ht="15.75" hidden="1" outlineLevel="2" thickTop="1">
      <c r="A1206" s="7" t="s">
        <v>1089</v>
      </c>
      <c r="B1206" s="5" t="s">
        <v>116</v>
      </c>
      <c r="C1206" s="5" t="s">
        <v>897</v>
      </c>
      <c r="D1206" s="5" t="s">
        <v>325</v>
      </c>
      <c r="E1206" s="12">
        <v>0.1</v>
      </c>
      <c r="F1206" s="6">
        <v>8222</v>
      </c>
    </row>
    <row r="1207" spans="1:6" hidden="1" outlineLevel="2">
      <c r="A1207" s="8"/>
      <c r="B1207" s="1"/>
      <c r="C1207" s="1" t="s">
        <v>898</v>
      </c>
      <c r="D1207" s="5" t="s">
        <v>325</v>
      </c>
      <c r="E1207" s="12">
        <v>0.1</v>
      </c>
      <c r="F1207" s="6">
        <v>8222</v>
      </c>
    </row>
    <row r="1208" spans="1:6" hidden="1" outlineLevel="2">
      <c r="A1208" s="8"/>
      <c r="B1208" s="1"/>
      <c r="C1208" s="1" t="s">
        <v>899</v>
      </c>
      <c r="D1208" s="5" t="s">
        <v>325</v>
      </c>
      <c r="E1208" s="12">
        <v>0.1</v>
      </c>
      <c r="F1208" s="6">
        <v>8222</v>
      </c>
    </row>
    <row r="1209" spans="1:6" hidden="1" outlineLevel="2">
      <c r="A1209" s="8"/>
      <c r="B1209" s="1"/>
      <c r="C1209" s="1" t="s">
        <v>1090</v>
      </c>
      <c r="D1209" s="5" t="s">
        <v>325</v>
      </c>
      <c r="E1209" s="12">
        <v>0.1</v>
      </c>
      <c r="F1209" s="6">
        <v>7786</v>
      </c>
    </row>
    <row r="1210" spans="1:6" hidden="1" outlineLevel="2">
      <c r="A1210" s="8"/>
      <c r="B1210" s="1"/>
      <c r="C1210" s="1" t="s">
        <v>1091</v>
      </c>
      <c r="D1210" s="5" t="s">
        <v>325</v>
      </c>
      <c r="E1210" s="12">
        <v>0.1</v>
      </c>
      <c r="F1210" s="6">
        <v>7786</v>
      </c>
    </row>
    <row r="1211" spans="1:6" hidden="1" outlineLevel="2">
      <c r="A1211" s="8"/>
      <c r="B1211" s="1"/>
      <c r="C1211" s="1" t="s">
        <v>1092</v>
      </c>
      <c r="D1211" s="5" t="s">
        <v>325</v>
      </c>
      <c r="E1211" s="12">
        <v>0.1</v>
      </c>
      <c r="F1211" s="6">
        <v>7786</v>
      </c>
    </row>
    <row r="1212" spans="1:6" hidden="1" outlineLevel="2">
      <c r="A1212" s="8"/>
      <c r="B1212" s="1"/>
      <c r="C1212" s="1"/>
      <c r="D1212" s="1"/>
      <c r="E1212" s="1"/>
      <c r="F1212" s="2"/>
    </row>
    <row r="1213" spans="1:6" hidden="1" outlineLevel="2">
      <c r="A1213" s="8"/>
      <c r="B1213" s="1"/>
      <c r="C1213" s="1"/>
      <c r="D1213" s="1"/>
      <c r="E1213" s="1"/>
      <c r="F1213" s="2"/>
    </row>
    <row r="1214" spans="1:6" hidden="1" outlineLevel="2">
      <c r="A1214" s="8"/>
      <c r="B1214" s="1"/>
      <c r="C1214" s="1"/>
      <c r="D1214" s="1"/>
      <c r="E1214" s="1"/>
      <c r="F1214" s="2"/>
    </row>
    <row r="1215" spans="1:6" hidden="1" outlineLevel="2">
      <c r="A1215" s="8"/>
      <c r="B1215" s="1"/>
      <c r="C1215" s="1"/>
      <c r="D1215" s="1"/>
      <c r="E1215" s="1"/>
      <c r="F1215" s="2"/>
    </row>
    <row r="1216" spans="1:6" hidden="1" outlineLevel="2">
      <c r="A1216" s="8"/>
      <c r="B1216" s="1"/>
      <c r="C1216" s="1"/>
      <c r="D1216" s="1"/>
      <c r="E1216" s="1"/>
      <c r="F1216" s="2"/>
    </row>
    <row r="1217" spans="1:7" ht="15.75" hidden="1" outlineLevel="2" thickBot="1">
      <c r="A1217" s="9"/>
      <c r="B1217" s="3"/>
      <c r="C1217" s="3"/>
      <c r="D1217" s="3"/>
      <c r="E1217" s="3"/>
      <c r="F1217" s="4"/>
    </row>
    <row r="1218" spans="1:7" ht="16.5" hidden="1" outlineLevel="1" thickTop="1" thickBot="1"/>
    <row r="1219" spans="1:7" ht="15.75" hidden="1" outlineLevel="1" thickTop="1">
      <c r="A1219" s="3782" t="s">
        <v>0</v>
      </c>
      <c r="B1219" s="3781" t="s">
        <v>1</v>
      </c>
      <c r="C1219" s="3781" t="s">
        <v>2</v>
      </c>
      <c r="D1219" s="3781" t="s">
        <v>3</v>
      </c>
      <c r="E1219" s="3781" t="s">
        <v>4</v>
      </c>
      <c r="F1219" s="3765" t="s">
        <v>5</v>
      </c>
    </row>
    <row r="1220" spans="1:7" ht="15.75" hidden="1" outlineLevel="1" thickBot="1">
      <c r="A1220" s="3783"/>
      <c r="B1220" s="3767"/>
      <c r="C1220" s="3767"/>
      <c r="D1220" s="3767"/>
      <c r="E1220" s="3767"/>
      <c r="F1220" s="3766"/>
    </row>
    <row r="1221" spans="1:7" ht="15.75" hidden="1" outlineLevel="1" thickTop="1">
      <c r="A1221" s="7" t="s">
        <v>1114</v>
      </c>
      <c r="B1221" s="5" t="s">
        <v>116</v>
      </c>
      <c r="C1221" s="5" t="s">
        <v>511</v>
      </c>
      <c r="D1221" s="5" t="s">
        <v>325</v>
      </c>
      <c r="E1221" s="12">
        <v>0.1</v>
      </c>
      <c r="F1221" s="6">
        <v>41202</v>
      </c>
    </row>
    <row r="1222" spans="1:7" hidden="1" outlineLevel="1">
      <c r="A1222" s="8"/>
      <c r="B1222" s="1"/>
      <c r="C1222" s="1" t="s">
        <v>510</v>
      </c>
      <c r="D1222" s="5" t="s">
        <v>325</v>
      </c>
      <c r="E1222" s="12">
        <v>0.1</v>
      </c>
      <c r="F1222" s="6">
        <v>41202</v>
      </c>
    </row>
    <row r="1223" spans="1:7" hidden="1" outlineLevel="1">
      <c r="A1223" s="8"/>
      <c r="B1223" s="1"/>
      <c r="C1223" s="1" t="s">
        <v>760</v>
      </c>
      <c r="D1223" s="5" t="s">
        <v>325</v>
      </c>
      <c r="E1223" s="12">
        <v>0.1</v>
      </c>
      <c r="F1223" s="6">
        <v>41202</v>
      </c>
    </row>
    <row r="1224" spans="1:7" hidden="1" outlineLevel="1">
      <c r="A1224" s="8"/>
      <c r="B1224" s="1"/>
      <c r="C1224" s="1" t="s">
        <v>465</v>
      </c>
      <c r="D1224" s="5" t="s">
        <v>325</v>
      </c>
      <c r="E1224" s="12">
        <v>0.1</v>
      </c>
      <c r="F1224" s="6">
        <v>10199</v>
      </c>
      <c r="G1224">
        <f>F1224/0.9</f>
        <v>11332.222222222223</v>
      </c>
    </row>
    <row r="1225" spans="1:7" hidden="1" outlineLevel="1">
      <c r="A1225" s="8"/>
      <c r="B1225" s="1"/>
      <c r="C1225" s="1"/>
      <c r="D1225" s="5"/>
      <c r="E1225" s="12"/>
      <c r="F1225" s="6"/>
    </row>
    <row r="1226" spans="1:7" hidden="1" outlineLevel="1">
      <c r="A1226" s="8"/>
      <c r="B1226" s="1"/>
      <c r="C1226" s="1"/>
      <c r="D1226" s="5"/>
      <c r="E1226" s="12"/>
      <c r="F1226" s="6"/>
    </row>
    <row r="1227" spans="1:7" hidden="1" outlineLevel="1">
      <c r="A1227" s="8"/>
      <c r="B1227" s="1"/>
      <c r="C1227" s="1"/>
      <c r="D1227" s="1"/>
      <c r="E1227" s="1"/>
      <c r="F1227" s="2"/>
    </row>
    <row r="1228" spans="1:7" hidden="1" outlineLevel="1">
      <c r="A1228" s="8"/>
      <c r="B1228" s="1"/>
      <c r="C1228" s="1"/>
      <c r="D1228" s="1"/>
      <c r="E1228" s="1"/>
      <c r="F1228" s="2"/>
    </row>
    <row r="1229" spans="1:7" hidden="1" outlineLevel="1">
      <c r="A1229" s="8"/>
      <c r="B1229" s="1"/>
      <c r="C1229" s="1"/>
      <c r="D1229" s="1"/>
      <c r="E1229" s="1"/>
      <c r="F1229" s="2"/>
    </row>
    <row r="1230" spans="1:7" hidden="1" outlineLevel="1">
      <c r="A1230" s="8"/>
      <c r="B1230" s="1"/>
      <c r="C1230" s="1"/>
      <c r="D1230" s="1"/>
      <c r="E1230" s="1"/>
      <c r="F1230" s="2"/>
    </row>
    <row r="1231" spans="1:7" hidden="1" outlineLevel="1">
      <c r="A1231" s="8"/>
      <c r="B1231" s="1"/>
      <c r="C1231" s="1"/>
      <c r="D1231" s="1"/>
      <c r="E1231" s="1"/>
      <c r="F1231" s="2"/>
    </row>
    <row r="1232" spans="1:7" ht="15.75" hidden="1" outlineLevel="1" thickBot="1">
      <c r="A1232" s="9"/>
      <c r="B1232" s="3"/>
      <c r="C1232" s="3"/>
      <c r="D1232" s="3"/>
      <c r="E1232" s="3"/>
      <c r="F1232" s="4"/>
    </row>
    <row r="1233" spans="1:6" ht="16.5" hidden="1" outlineLevel="1" thickTop="1" thickBot="1"/>
    <row r="1234" spans="1:6" ht="15.75" hidden="1" outlineLevel="1" thickTop="1">
      <c r="A1234" s="3782" t="s">
        <v>0</v>
      </c>
      <c r="B1234" s="3781" t="s">
        <v>1</v>
      </c>
      <c r="C1234" s="3781" t="s">
        <v>2</v>
      </c>
      <c r="D1234" s="3781" t="s">
        <v>3</v>
      </c>
      <c r="E1234" s="3781" t="s">
        <v>4</v>
      </c>
      <c r="F1234" s="3765" t="s">
        <v>5</v>
      </c>
    </row>
    <row r="1235" spans="1:6" ht="15.75" hidden="1" outlineLevel="1" thickBot="1">
      <c r="A1235" s="3783"/>
      <c r="B1235" s="3767"/>
      <c r="C1235" s="3767"/>
      <c r="D1235" s="3767"/>
      <c r="E1235" s="3767"/>
      <c r="F1235" s="3766"/>
    </row>
    <row r="1236" spans="1:6" ht="15.75" hidden="1" outlineLevel="1" thickTop="1">
      <c r="A1236" s="7" t="s">
        <v>1116</v>
      </c>
      <c r="B1236" s="5" t="s">
        <v>116</v>
      </c>
      <c r="C1236" s="5" t="s">
        <v>69</v>
      </c>
      <c r="D1236" s="5" t="s">
        <v>325</v>
      </c>
      <c r="E1236" s="12">
        <v>0.15</v>
      </c>
      <c r="F1236" s="6">
        <v>11947</v>
      </c>
    </row>
    <row r="1237" spans="1:6" hidden="1" outlineLevel="1">
      <c r="A1237" s="8"/>
      <c r="B1237" s="1"/>
      <c r="C1237" s="1" t="s">
        <v>51</v>
      </c>
      <c r="D1237" s="5" t="s">
        <v>325</v>
      </c>
      <c r="E1237" s="12">
        <v>0.15</v>
      </c>
      <c r="F1237" s="6">
        <v>11947</v>
      </c>
    </row>
    <row r="1238" spans="1:6" hidden="1" outlineLevel="1">
      <c r="A1238" s="8"/>
      <c r="B1238" s="1"/>
      <c r="C1238" s="1"/>
      <c r="D1238" s="5"/>
      <c r="E1238" s="12"/>
      <c r="F1238" s="6"/>
    </row>
    <row r="1239" spans="1:6" hidden="1" outlineLevel="1">
      <c r="A1239" s="8"/>
      <c r="B1239" s="1"/>
      <c r="C1239" s="1"/>
      <c r="D1239" s="5"/>
      <c r="E1239" s="12"/>
      <c r="F1239" s="6"/>
    </row>
    <row r="1240" spans="1:6" hidden="1" outlineLevel="1">
      <c r="A1240" s="8"/>
      <c r="B1240" s="1"/>
      <c r="C1240" s="1"/>
      <c r="D1240" s="5"/>
      <c r="E1240" s="12"/>
      <c r="F1240" s="6"/>
    </row>
    <row r="1241" spans="1:6" hidden="1" outlineLevel="1">
      <c r="A1241" s="8"/>
      <c r="B1241" s="1"/>
      <c r="C1241" s="1"/>
      <c r="D1241" s="5"/>
      <c r="E1241" s="12"/>
      <c r="F1241" s="6"/>
    </row>
    <row r="1242" spans="1:6" hidden="1" outlineLevel="1">
      <c r="A1242" s="8"/>
      <c r="B1242" s="1"/>
      <c r="C1242" s="1"/>
      <c r="D1242" s="1"/>
      <c r="E1242" s="1"/>
      <c r="F1242" s="2"/>
    </row>
    <row r="1243" spans="1:6" hidden="1" outlineLevel="1">
      <c r="A1243" s="8"/>
      <c r="B1243" s="1"/>
      <c r="C1243" s="1"/>
      <c r="D1243" s="1"/>
      <c r="E1243" s="1"/>
      <c r="F1243" s="2"/>
    </row>
    <row r="1244" spans="1:6" hidden="1" outlineLevel="1">
      <c r="A1244" s="8"/>
      <c r="B1244" s="1"/>
      <c r="C1244" s="1"/>
      <c r="D1244" s="1"/>
      <c r="E1244" s="1"/>
      <c r="F1244" s="2"/>
    </row>
    <row r="1245" spans="1:6" hidden="1" outlineLevel="1">
      <c r="A1245" s="8"/>
      <c r="B1245" s="1"/>
      <c r="C1245" s="1"/>
      <c r="D1245" s="1"/>
      <c r="E1245" s="1"/>
      <c r="F1245" s="2"/>
    </row>
    <row r="1246" spans="1:6" hidden="1" outlineLevel="1">
      <c r="A1246" s="8"/>
      <c r="B1246" s="1"/>
      <c r="C1246" s="1"/>
      <c r="D1246" s="1"/>
      <c r="E1246" s="1"/>
      <c r="F1246" s="2"/>
    </row>
    <row r="1247" spans="1:6" ht="15.75" hidden="1" outlineLevel="1" thickBot="1">
      <c r="A1247" s="9"/>
      <c r="B1247" s="3"/>
      <c r="C1247" s="3"/>
      <c r="D1247" s="3"/>
      <c r="E1247" s="3"/>
      <c r="F1247" s="4"/>
    </row>
    <row r="1248" spans="1:6" ht="16.5" hidden="1" outlineLevel="1" thickTop="1" thickBot="1"/>
    <row r="1249" spans="1:6" ht="15.75" hidden="1" outlineLevel="1" thickTop="1">
      <c r="A1249" s="3782" t="s">
        <v>0</v>
      </c>
      <c r="B1249" s="3781" t="s">
        <v>1</v>
      </c>
      <c r="C1249" s="3781" t="s">
        <v>2</v>
      </c>
      <c r="D1249" s="3781" t="s">
        <v>3</v>
      </c>
      <c r="E1249" s="3781" t="s">
        <v>4</v>
      </c>
      <c r="F1249" s="3765" t="s">
        <v>5</v>
      </c>
    </row>
    <row r="1250" spans="1:6" ht="15.75" hidden="1" outlineLevel="1" thickBot="1">
      <c r="A1250" s="3783"/>
      <c r="B1250" s="3767"/>
      <c r="C1250" s="3767"/>
      <c r="D1250" s="3767"/>
      <c r="E1250" s="3767"/>
      <c r="F1250" s="3766"/>
    </row>
    <row r="1251" spans="1:6" ht="15.75" hidden="1" outlineLevel="1" thickTop="1">
      <c r="A1251" s="7" t="s">
        <v>1117</v>
      </c>
      <c r="B1251" s="5" t="s">
        <v>106</v>
      </c>
      <c r="C1251" s="5" t="s">
        <v>687</v>
      </c>
      <c r="D1251" s="5" t="s">
        <v>325</v>
      </c>
      <c r="E1251" s="12">
        <v>0.15</v>
      </c>
      <c r="F1251" s="6">
        <v>16467</v>
      </c>
    </row>
    <row r="1252" spans="1:6" hidden="1" outlineLevel="1">
      <c r="A1252" s="8"/>
      <c r="B1252" s="1"/>
      <c r="C1252" s="1" t="s">
        <v>686</v>
      </c>
      <c r="D1252" s="5" t="s">
        <v>325</v>
      </c>
      <c r="E1252" s="12">
        <v>0.15</v>
      </c>
      <c r="F1252" s="6">
        <v>16467</v>
      </c>
    </row>
    <row r="1253" spans="1:6" hidden="1" outlineLevel="1">
      <c r="A1253" s="8"/>
      <c r="B1253" s="1"/>
      <c r="C1253" s="1" t="s">
        <v>160</v>
      </c>
      <c r="D1253" s="5" t="s">
        <v>325</v>
      </c>
      <c r="E1253" s="12">
        <v>0.15</v>
      </c>
      <c r="F1253" s="6">
        <v>191576</v>
      </c>
    </row>
    <row r="1254" spans="1:6" hidden="1" outlineLevel="1">
      <c r="A1254" s="8"/>
      <c r="B1254" s="1"/>
      <c r="C1254" s="1" t="s">
        <v>113</v>
      </c>
      <c r="D1254" s="5" t="s">
        <v>325</v>
      </c>
      <c r="E1254" s="12">
        <v>0.15</v>
      </c>
      <c r="F1254" s="6">
        <v>191576</v>
      </c>
    </row>
    <row r="1255" spans="1:6" hidden="1" outlineLevel="1">
      <c r="A1255" s="8"/>
      <c r="B1255" s="1"/>
      <c r="C1255" s="1" t="s">
        <v>161</v>
      </c>
      <c r="D1255" s="5" t="s">
        <v>325</v>
      </c>
      <c r="E1255" s="12">
        <v>0.15</v>
      </c>
      <c r="F1255" s="6">
        <v>191576</v>
      </c>
    </row>
    <row r="1256" spans="1:6" hidden="1" outlineLevel="1">
      <c r="A1256" s="8"/>
      <c r="B1256" s="1"/>
      <c r="C1256" s="1" t="s">
        <v>399</v>
      </c>
      <c r="D1256" s="5" t="s">
        <v>325</v>
      </c>
      <c r="E1256" s="12">
        <v>0.15</v>
      </c>
      <c r="F1256" s="6">
        <v>191576</v>
      </c>
    </row>
    <row r="1257" spans="1:6" hidden="1" outlineLevel="1">
      <c r="A1257" s="8"/>
      <c r="B1257" s="1"/>
      <c r="C1257" s="1" t="s">
        <v>328</v>
      </c>
      <c r="D1257" s="5" t="s">
        <v>325</v>
      </c>
      <c r="E1257" s="12">
        <v>0.15</v>
      </c>
      <c r="F1257" s="2">
        <v>218210</v>
      </c>
    </row>
    <row r="1258" spans="1:6" hidden="1" outlineLevel="1">
      <c r="A1258" s="8"/>
      <c r="B1258" s="1"/>
      <c r="C1258" s="1" t="s">
        <v>358</v>
      </c>
      <c r="D1258" s="5" t="s">
        <v>325</v>
      </c>
      <c r="E1258" s="12">
        <v>0.15</v>
      </c>
      <c r="F1258" s="2">
        <v>218210</v>
      </c>
    </row>
    <row r="1259" spans="1:6" hidden="1" outlineLevel="1">
      <c r="A1259" s="8"/>
      <c r="B1259" s="1"/>
      <c r="C1259" s="1" t="s">
        <v>326</v>
      </c>
      <c r="D1259" s="5" t="s">
        <v>325</v>
      </c>
      <c r="E1259" s="12">
        <v>0.15</v>
      </c>
      <c r="F1259" s="2">
        <v>218210</v>
      </c>
    </row>
    <row r="1260" spans="1:6" hidden="1" outlineLevel="1">
      <c r="A1260" s="8"/>
      <c r="B1260" s="1"/>
      <c r="C1260" s="1"/>
      <c r="D1260" s="1"/>
      <c r="E1260" s="1"/>
      <c r="F1260" s="2"/>
    </row>
    <row r="1261" spans="1:6" hidden="1" outlineLevel="1">
      <c r="A1261" s="8"/>
      <c r="B1261" s="1"/>
      <c r="C1261" s="1"/>
      <c r="D1261" s="1"/>
      <c r="E1261" s="1"/>
      <c r="F1261" s="2"/>
    </row>
    <row r="1262" spans="1:6" ht="15.75" hidden="1" outlineLevel="1" thickBot="1">
      <c r="A1262" s="9"/>
      <c r="B1262" s="3"/>
      <c r="C1262" s="3"/>
      <c r="D1262" s="3"/>
      <c r="E1262" s="3"/>
      <c r="F1262" s="4"/>
    </row>
    <row r="1263" spans="1:6" ht="16.5" hidden="1" outlineLevel="1" thickTop="1" thickBot="1"/>
    <row r="1264" spans="1:6" ht="15.75" hidden="1" outlineLevel="1" thickTop="1">
      <c r="A1264" s="3782" t="s">
        <v>0</v>
      </c>
      <c r="B1264" s="3781" t="s">
        <v>1</v>
      </c>
      <c r="C1264" s="3781" t="s">
        <v>2</v>
      </c>
      <c r="D1264" s="3781" t="s">
        <v>3</v>
      </c>
      <c r="E1264" s="3781" t="s">
        <v>4</v>
      </c>
      <c r="F1264" s="3765" t="s">
        <v>5</v>
      </c>
    </row>
    <row r="1265" spans="1:6" ht="15.75" hidden="1" outlineLevel="1" thickBot="1">
      <c r="A1265" s="3783"/>
      <c r="B1265" s="3767"/>
      <c r="C1265" s="3767"/>
      <c r="D1265" s="3767"/>
      <c r="E1265" s="3767"/>
      <c r="F1265" s="3766"/>
    </row>
    <row r="1266" spans="1:6" ht="15.75" hidden="1" outlineLevel="1" thickTop="1">
      <c r="A1266" s="7" t="s">
        <v>1118</v>
      </c>
      <c r="B1266" s="5" t="s">
        <v>116</v>
      </c>
      <c r="C1266" s="5" t="s">
        <v>897</v>
      </c>
      <c r="D1266" s="5" t="s">
        <v>325</v>
      </c>
      <c r="E1266" s="12">
        <v>0.2</v>
      </c>
      <c r="F1266" s="6">
        <v>9867</v>
      </c>
    </row>
    <row r="1267" spans="1:6" hidden="1" outlineLevel="1">
      <c r="A1267" s="8"/>
      <c r="B1267" s="1"/>
      <c r="C1267" s="1" t="s">
        <v>898</v>
      </c>
      <c r="D1267" s="5" t="s">
        <v>325</v>
      </c>
      <c r="E1267" s="12">
        <v>0.2</v>
      </c>
      <c r="F1267" s="6">
        <v>9867</v>
      </c>
    </row>
    <row r="1268" spans="1:6" hidden="1" outlineLevel="1">
      <c r="A1268" s="8"/>
      <c r="B1268" s="1"/>
      <c r="C1268" s="1" t="s">
        <v>899</v>
      </c>
      <c r="D1268" s="5" t="s">
        <v>325</v>
      </c>
      <c r="E1268" s="12">
        <v>0.2</v>
      </c>
      <c r="F1268" s="6">
        <v>9867</v>
      </c>
    </row>
    <row r="1269" spans="1:6" hidden="1" outlineLevel="1">
      <c r="A1269" s="8"/>
      <c r="B1269" s="1"/>
      <c r="C1269" s="1" t="s">
        <v>1119</v>
      </c>
      <c r="D1269" s="5" t="s">
        <v>325</v>
      </c>
      <c r="E1269" s="12">
        <v>0.15</v>
      </c>
      <c r="F1269" s="6">
        <v>8944</v>
      </c>
    </row>
    <row r="1270" spans="1:6" hidden="1" outlineLevel="1">
      <c r="A1270" s="8"/>
      <c r="B1270" s="1"/>
      <c r="C1270" s="1" t="s">
        <v>554</v>
      </c>
      <c r="D1270" s="5" t="s">
        <v>325</v>
      </c>
      <c r="E1270" s="12">
        <v>0.15</v>
      </c>
      <c r="F1270" s="6">
        <v>8944</v>
      </c>
    </row>
    <row r="1271" spans="1:6" hidden="1" outlineLevel="1">
      <c r="A1271" s="8"/>
      <c r="B1271" s="1"/>
      <c r="C1271" s="1" t="s">
        <v>1120</v>
      </c>
      <c r="D1271" s="5" t="s">
        <v>325</v>
      </c>
      <c r="E1271" s="12">
        <v>0.15</v>
      </c>
      <c r="F1271" s="6">
        <v>3786</v>
      </c>
    </row>
    <row r="1272" spans="1:6" hidden="1" outlineLevel="1">
      <c r="A1272" s="8"/>
      <c r="B1272" s="1"/>
      <c r="C1272" s="1"/>
      <c r="D1272" s="1"/>
      <c r="E1272" s="1"/>
      <c r="F1272" s="2"/>
    </row>
    <row r="1273" spans="1:6" hidden="1" outlineLevel="1">
      <c r="A1273" s="8"/>
      <c r="B1273" s="1"/>
      <c r="C1273" s="1"/>
      <c r="D1273" s="1"/>
      <c r="E1273" s="1"/>
      <c r="F1273" s="2"/>
    </row>
    <row r="1274" spans="1:6" hidden="1" outlineLevel="1">
      <c r="A1274" s="8"/>
      <c r="B1274" s="1"/>
      <c r="C1274" s="1"/>
      <c r="D1274" s="1"/>
      <c r="E1274" s="1"/>
      <c r="F1274" s="2"/>
    </row>
    <row r="1275" spans="1:6" hidden="1" outlineLevel="1">
      <c r="A1275" s="8"/>
      <c r="B1275" s="1"/>
      <c r="C1275" s="1"/>
      <c r="D1275" s="1"/>
      <c r="E1275" s="1"/>
      <c r="F1275" s="2"/>
    </row>
    <row r="1276" spans="1:6" hidden="1" outlineLevel="1">
      <c r="A1276" s="8"/>
      <c r="B1276" s="1"/>
      <c r="C1276" s="1"/>
      <c r="D1276" s="1"/>
      <c r="E1276" s="1"/>
      <c r="F1276" s="2"/>
    </row>
    <row r="1277" spans="1:6" ht="15.75" hidden="1" outlineLevel="1" thickBot="1">
      <c r="A1277" s="9"/>
      <c r="B1277" s="3"/>
      <c r="C1277" s="3"/>
      <c r="D1277" s="3"/>
      <c r="E1277" s="3"/>
      <c r="F1277" s="4"/>
    </row>
    <row r="1278" spans="1:6" ht="16.5" hidden="1" outlineLevel="1" thickTop="1" thickBot="1"/>
    <row r="1279" spans="1:6" ht="15.75" hidden="1" outlineLevel="1" thickTop="1">
      <c r="A1279" s="3782" t="s">
        <v>0</v>
      </c>
      <c r="B1279" s="3781" t="s">
        <v>1</v>
      </c>
      <c r="C1279" s="3781" t="s">
        <v>2</v>
      </c>
      <c r="D1279" s="3781" t="s">
        <v>3</v>
      </c>
      <c r="E1279" s="3781" t="s">
        <v>4</v>
      </c>
      <c r="F1279" s="3765" t="s">
        <v>5</v>
      </c>
    </row>
    <row r="1280" spans="1:6" ht="15.75" hidden="1" outlineLevel="1" thickBot="1">
      <c r="A1280" s="3783"/>
      <c r="B1280" s="3767"/>
      <c r="C1280" s="3767"/>
      <c r="D1280" s="3767"/>
      <c r="E1280" s="3767"/>
      <c r="F1280" s="3766"/>
    </row>
    <row r="1281" spans="1:8" ht="15.75" hidden="1" outlineLevel="1" thickTop="1">
      <c r="A1281" s="7" t="s">
        <v>1142</v>
      </c>
      <c r="B1281" s="5" t="s">
        <v>116</v>
      </c>
      <c r="C1281" s="5" t="s">
        <v>623</v>
      </c>
      <c r="D1281" s="5" t="s">
        <v>325</v>
      </c>
      <c r="E1281" s="12">
        <v>0.1</v>
      </c>
      <c r="F1281" s="6">
        <v>17217</v>
      </c>
      <c r="G1281">
        <f>F1281/0.9</f>
        <v>19130</v>
      </c>
    </row>
    <row r="1282" spans="1:8" hidden="1" outlineLevel="1">
      <c r="A1282" s="8"/>
      <c r="B1282" s="1"/>
      <c r="C1282" s="1"/>
      <c r="D1282" s="5"/>
      <c r="E1282" s="12"/>
      <c r="F1282" s="6"/>
    </row>
    <row r="1283" spans="1:8" hidden="1" outlineLevel="1">
      <c r="A1283" s="8"/>
      <c r="B1283" s="1"/>
      <c r="C1283" s="1"/>
      <c r="D1283" s="5"/>
      <c r="E1283" s="12"/>
      <c r="F1283" s="6"/>
    </row>
    <row r="1284" spans="1:8" hidden="1" outlineLevel="1">
      <c r="A1284" s="8"/>
      <c r="B1284" s="1"/>
      <c r="C1284" s="1"/>
      <c r="D1284" s="5"/>
      <c r="E1284" s="12"/>
      <c r="F1284" s="6"/>
    </row>
    <row r="1285" spans="1:8" hidden="1" outlineLevel="1">
      <c r="A1285" s="8"/>
      <c r="B1285" s="1"/>
      <c r="C1285" s="1"/>
      <c r="D1285" s="5"/>
      <c r="E1285" s="12"/>
      <c r="F1285" s="6"/>
    </row>
    <row r="1286" spans="1:8" hidden="1" outlineLevel="1">
      <c r="A1286" s="8"/>
      <c r="B1286" s="1"/>
      <c r="C1286" s="1"/>
      <c r="D1286" s="5"/>
      <c r="E1286" s="12"/>
      <c r="F1286" s="6"/>
    </row>
    <row r="1287" spans="1:8" hidden="1" outlineLevel="1">
      <c r="A1287" s="8"/>
      <c r="B1287" s="1"/>
      <c r="C1287" s="1"/>
      <c r="D1287" s="1"/>
      <c r="E1287" s="1"/>
      <c r="F1287" s="2"/>
    </row>
    <row r="1288" spans="1:8" hidden="1" outlineLevel="1">
      <c r="A1288" s="8"/>
      <c r="B1288" s="1"/>
      <c r="C1288" s="1"/>
      <c r="D1288" s="1"/>
      <c r="E1288" s="1"/>
      <c r="F1288" s="2"/>
    </row>
    <row r="1289" spans="1:8" hidden="1" outlineLevel="1">
      <c r="A1289" s="8"/>
      <c r="B1289" s="1"/>
      <c r="C1289" s="1"/>
      <c r="D1289" s="1"/>
      <c r="E1289" s="1"/>
      <c r="F1289" s="2"/>
    </row>
    <row r="1290" spans="1:8" hidden="1" outlineLevel="1">
      <c r="A1290" s="8"/>
      <c r="B1290" s="1"/>
      <c r="C1290" s="1"/>
      <c r="D1290" s="1"/>
      <c r="E1290" s="1"/>
      <c r="F1290" s="2"/>
    </row>
    <row r="1291" spans="1:8" hidden="1" outlineLevel="1">
      <c r="A1291" s="8"/>
      <c r="B1291" s="1"/>
      <c r="C1291" s="1"/>
      <c r="D1291" s="1"/>
      <c r="E1291" s="1"/>
      <c r="F1291" s="2"/>
    </row>
    <row r="1292" spans="1:8" ht="15.75" hidden="1" outlineLevel="1" thickBot="1">
      <c r="A1292" s="9"/>
      <c r="B1292" s="3"/>
      <c r="C1292" s="3"/>
      <c r="D1292" s="3"/>
      <c r="E1292" s="3"/>
      <c r="F1292" s="4"/>
    </row>
    <row r="1293" spans="1:8" ht="16.5" hidden="1" outlineLevel="1" thickTop="1" thickBot="1"/>
    <row r="1294" spans="1:8" ht="15.75" hidden="1" outlineLevel="1" thickTop="1">
      <c r="A1294" s="3782" t="s">
        <v>0</v>
      </c>
      <c r="B1294" s="3781" t="s">
        <v>1</v>
      </c>
      <c r="C1294" s="3781" t="s">
        <v>2</v>
      </c>
      <c r="D1294" s="3781" t="s">
        <v>3</v>
      </c>
      <c r="E1294" s="3781" t="s">
        <v>4</v>
      </c>
      <c r="F1294" s="3765" t="s">
        <v>5</v>
      </c>
    </row>
    <row r="1295" spans="1:8" ht="15.75" hidden="1" outlineLevel="1" thickBot="1">
      <c r="A1295" s="3783"/>
      <c r="B1295" s="3767"/>
      <c r="C1295" s="3767"/>
      <c r="D1295" s="3767"/>
      <c r="E1295" s="3767"/>
      <c r="F1295" s="3766"/>
    </row>
    <row r="1296" spans="1:8" ht="15.75" hidden="1" outlineLevel="1" thickTop="1">
      <c r="A1296" s="7" t="s">
        <v>1147</v>
      </c>
      <c r="B1296" s="5" t="s">
        <v>116</v>
      </c>
      <c r="C1296" s="5" t="s">
        <v>647</v>
      </c>
      <c r="D1296" s="5" t="s">
        <v>325</v>
      </c>
      <c r="E1296" s="12">
        <v>0.15</v>
      </c>
      <c r="F1296" s="6">
        <v>6826</v>
      </c>
      <c r="H1296">
        <v>8030</v>
      </c>
    </row>
    <row r="1297" spans="1:6" hidden="1" outlineLevel="1">
      <c r="A1297" s="8"/>
      <c r="B1297" s="1"/>
      <c r="C1297" s="1" t="s">
        <v>648</v>
      </c>
      <c r="D1297" s="5" t="s">
        <v>325</v>
      </c>
      <c r="E1297" s="12">
        <v>0.15</v>
      </c>
      <c r="F1297" s="6">
        <v>6826</v>
      </c>
    </row>
    <row r="1298" spans="1:6" hidden="1" outlineLevel="1">
      <c r="A1298" s="8"/>
      <c r="B1298" s="1"/>
      <c r="C1298" s="1"/>
      <c r="D1298" s="5"/>
      <c r="E1298" s="12"/>
      <c r="F1298" s="6"/>
    </row>
    <row r="1299" spans="1:6" hidden="1" outlineLevel="1">
      <c r="A1299" s="8"/>
      <c r="B1299" s="1"/>
      <c r="C1299" s="1"/>
      <c r="D1299" s="5"/>
      <c r="E1299" s="12"/>
      <c r="F1299" s="6"/>
    </row>
    <row r="1300" spans="1:6" hidden="1" outlineLevel="1">
      <c r="A1300" s="8"/>
      <c r="B1300" s="1"/>
      <c r="C1300" s="1"/>
      <c r="D1300" s="5"/>
      <c r="E1300" s="12"/>
      <c r="F1300" s="6"/>
    </row>
    <row r="1301" spans="1:6" hidden="1" outlineLevel="1">
      <c r="A1301" s="8"/>
      <c r="B1301" s="1"/>
      <c r="C1301" s="1"/>
      <c r="D1301" s="5"/>
      <c r="E1301" s="12"/>
      <c r="F1301" s="6"/>
    </row>
    <row r="1302" spans="1:6" hidden="1" outlineLevel="1">
      <c r="A1302" s="8"/>
      <c r="B1302" s="1"/>
      <c r="C1302" s="1"/>
      <c r="D1302" s="1"/>
      <c r="E1302" s="1"/>
      <c r="F1302" s="2"/>
    </row>
    <row r="1303" spans="1:6" hidden="1" outlineLevel="1">
      <c r="A1303" s="8"/>
      <c r="B1303" s="1"/>
      <c r="C1303" s="1"/>
      <c r="D1303" s="1"/>
      <c r="E1303" s="1"/>
      <c r="F1303" s="2"/>
    </row>
    <row r="1304" spans="1:6" hidden="1" outlineLevel="1">
      <c r="A1304" s="8"/>
      <c r="B1304" s="1"/>
      <c r="C1304" s="1"/>
      <c r="D1304" s="1"/>
      <c r="E1304" s="1"/>
      <c r="F1304" s="2"/>
    </row>
    <row r="1305" spans="1:6" hidden="1" outlineLevel="1">
      <c r="A1305" s="8"/>
      <c r="B1305" s="1"/>
      <c r="C1305" s="1"/>
      <c r="D1305" s="1"/>
      <c r="E1305" s="1"/>
      <c r="F1305" s="2"/>
    </row>
    <row r="1306" spans="1:6" hidden="1" outlineLevel="1">
      <c r="A1306" s="8"/>
      <c r="B1306" s="1"/>
      <c r="C1306" s="1"/>
      <c r="D1306" s="1"/>
      <c r="E1306" s="1"/>
      <c r="F1306" s="2"/>
    </row>
    <row r="1307" spans="1:6" ht="15.75" hidden="1" outlineLevel="1" thickBot="1">
      <c r="A1307" s="9"/>
      <c r="B1307" s="3"/>
      <c r="C1307" s="3"/>
      <c r="D1307" s="3"/>
      <c r="E1307" s="3"/>
      <c r="F1307" s="4"/>
    </row>
    <row r="1308" spans="1:6" ht="16.5" hidden="1" outlineLevel="1" thickTop="1" thickBot="1"/>
    <row r="1309" spans="1:6" ht="15.75" hidden="1" outlineLevel="1" thickTop="1">
      <c r="A1309" s="3782" t="s">
        <v>0</v>
      </c>
      <c r="B1309" s="3781" t="s">
        <v>1</v>
      </c>
      <c r="C1309" s="3781" t="s">
        <v>2</v>
      </c>
      <c r="D1309" s="3781" t="s">
        <v>3</v>
      </c>
      <c r="E1309" s="3781" t="s">
        <v>4</v>
      </c>
      <c r="F1309" s="3765" t="s">
        <v>5</v>
      </c>
    </row>
    <row r="1310" spans="1:6" ht="15.75" hidden="1" outlineLevel="1" thickBot="1">
      <c r="A1310" s="3783"/>
      <c r="B1310" s="3767"/>
      <c r="C1310" s="3767"/>
      <c r="D1310" s="3767"/>
      <c r="E1310" s="3767"/>
      <c r="F1310" s="3766"/>
    </row>
    <row r="1311" spans="1:6" ht="15.75" hidden="1" outlineLevel="1" thickTop="1">
      <c r="A1311" s="7" t="s">
        <v>1180</v>
      </c>
      <c r="B1311" s="5" t="s">
        <v>116</v>
      </c>
      <c r="C1311" s="5" t="s">
        <v>937</v>
      </c>
      <c r="D1311" s="5" t="s">
        <v>325</v>
      </c>
      <c r="E1311" s="12">
        <v>0.15</v>
      </c>
      <c r="F1311" s="6">
        <v>47442</v>
      </c>
    </row>
    <row r="1312" spans="1:6" hidden="1" outlineLevel="1">
      <c r="A1312" s="8"/>
      <c r="B1312" s="1"/>
      <c r="C1312" s="1" t="s">
        <v>1168</v>
      </c>
      <c r="D1312" s="5" t="s">
        <v>325</v>
      </c>
      <c r="E1312" s="12">
        <v>0.15</v>
      </c>
      <c r="F1312" s="6">
        <v>47442</v>
      </c>
    </row>
    <row r="1313" spans="1:7" hidden="1" outlineLevel="1">
      <c r="A1313" s="8"/>
      <c r="B1313" s="1"/>
      <c r="C1313" s="1"/>
      <c r="D1313" s="5"/>
      <c r="E1313" s="12"/>
      <c r="F1313" s="6"/>
    </row>
    <row r="1314" spans="1:7" hidden="1" outlineLevel="1">
      <c r="A1314" s="8"/>
      <c r="B1314" s="1"/>
      <c r="C1314" s="1"/>
      <c r="D1314" s="5"/>
      <c r="E1314" s="12"/>
      <c r="F1314" s="6"/>
    </row>
    <row r="1315" spans="1:7" hidden="1" outlineLevel="1">
      <c r="A1315" s="8"/>
      <c r="B1315" s="1"/>
      <c r="C1315" s="1"/>
      <c r="D1315" s="5"/>
      <c r="E1315" s="12"/>
      <c r="F1315" s="6"/>
    </row>
    <row r="1316" spans="1:7" hidden="1" outlineLevel="1">
      <c r="A1316" s="8"/>
      <c r="B1316" s="1"/>
      <c r="C1316" s="1"/>
      <c r="D1316" s="5"/>
      <c r="E1316" s="12"/>
      <c r="F1316" s="6"/>
    </row>
    <row r="1317" spans="1:7" hidden="1" outlineLevel="1">
      <c r="A1317" s="8"/>
      <c r="B1317" s="1"/>
      <c r="C1317" s="1"/>
      <c r="D1317" s="1"/>
      <c r="E1317" s="1"/>
      <c r="F1317" s="2"/>
    </row>
    <row r="1318" spans="1:7" hidden="1" outlineLevel="1">
      <c r="A1318" s="8"/>
      <c r="B1318" s="1"/>
      <c r="C1318" s="1"/>
      <c r="D1318" s="1"/>
      <c r="E1318" s="1"/>
      <c r="F1318" s="2"/>
    </row>
    <row r="1319" spans="1:7" hidden="1" outlineLevel="1">
      <c r="A1319" s="8"/>
      <c r="B1319" s="1"/>
      <c r="C1319" s="1"/>
      <c r="D1319" s="1"/>
      <c r="E1319" s="1"/>
      <c r="F1319" s="2"/>
    </row>
    <row r="1320" spans="1:7" hidden="1" outlineLevel="1">
      <c r="A1320" s="8"/>
      <c r="B1320" s="1"/>
      <c r="C1320" s="1"/>
      <c r="D1320" s="1"/>
      <c r="E1320" s="1"/>
      <c r="F1320" s="2"/>
    </row>
    <row r="1321" spans="1:7" hidden="1" outlineLevel="1">
      <c r="A1321" s="8"/>
      <c r="B1321" s="1"/>
      <c r="C1321" s="1"/>
      <c r="D1321" s="1"/>
      <c r="E1321" s="1"/>
      <c r="F1321" s="2"/>
    </row>
    <row r="1322" spans="1:7" ht="15.75" hidden="1" outlineLevel="1" thickBot="1">
      <c r="A1322" s="9"/>
      <c r="B1322" s="3"/>
      <c r="C1322" s="3"/>
      <c r="D1322" s="3"/>
      <c r="E1322" s="3"/>
      <c r="F1322" s="4"/>
    </row>
    <row r="1323" spans="1:7" ht="16.5" hidden="1" outlineLevel="1" thickTop="1" thickBot="1"/>
    <row r="1324" spans="1:7" ht="15.75" hidden="1" outlineLevel="1" thickTop="1">
      <c r="A1324" s="3782" t="s">
        <v>0</v>
      </c>
      <c r="B1324" s="3781" t="s">
        <v>1</v>
      </c>
      <c r="C1324" s="3781" t="s">
        <v>2</v>
      </c>
      <c r="D1324" s="3781" t="s">
        <v>3</v>
      </c>
      <c r="E1324" s="3781" t="s">
        <v>4</v>
      </c>
      <c r="F1324" s="3765" t="s">
        <v>5</v>
      </c>
    </row>
    <row r="1325" spans="1:7" ht="15.75" hidden="1" outlineLevel="1" thickBot="1">
      <c r="A1325" s="3783"/>
      <c r="B1325" s="3767"/>
      <c r="C1325" s="3767"/>
      <c r="D1325" s="3767"/>
      <c r="E1325" s="3767"/>
      <c r="F1325" s="3766"/>
    </row>
    <row r="1326" spans="1:7" ht="15.75" hidden="1" outlineLevel="1" thickTop="1">
      <c r="A1326" s="7" t="s">
        <v>1170</v>
      </c>
      <c r="B1326" s="5" t="s">
        <v>1171</v>
      </c>
      <c r="C1326" s="5" t="s">
        <v>950</v>
      </c>
      <c r="D1326" s="5" t="s">
        <v>325</v>
      </c>
      <c r="E1326" s="12">
        <v>0.15</v>
      </c>
      <c r="F1326" s="6">
        <v>11610</v>
      </c>
      <c r="G1326">
        <f>F1326/0.85</f>
        <v>13658.823529411766</v>
      </c>
    </row>
    <row r="1327" spans="1:7" hidden="1" outlineLevel="1">
      <c r="A1327" s="8"/>
      <c r="B1327" s="1"/>
      <c r="C1327" s="1" t="s">
        <v>118</v>
      </c>
      <c r="D1327" s="5" t="s">
        <v>325</v>
      </c>
      <c r="E1327" s="12">
        <v>0.15</v>
      </c>
      <c r="F1327" s="6">
        <v>11610</v>
      </c>
      <c r="G1327">
        <f>F1327/0.85</f>
        <v>13658.823529411766</v>
      </c>
    </row>
    <row r="1328" spans="1:7" hidden="1" outlineLevel="1">
      <c r="A1328" s="8"/>
      <c r="B1328" s="1"/>
      <c r="C1328" s="1" t="s">
        <v>730</v>
      </c>
      <c r="D1328" s="5" t="s">
        <v>325</v>
      </c>
      <c r="E1328" s="12">
        <v>0.15</v>
      </c>
      <c r="F1328" s="6">
        <v>6255</v>
      </c>
      <c r="G1328">
        <f>F1328/0.85</f>
        <v>7358.8235294117649</v>
      </c>
    </row>
    <row r="1329" spans="1:7" hidden="1" outlineLevel="1">
      <c r="A1329" s="8"/>
      <c r="B1329" s="1"/>
      <c r="C1329" s="1" t="s">
        <v>554</v>
      </c>
      <c r="D1329" s="5" t="s">
        <v>325</v>
      </c>
      <c r="E1329" s="12">
        <v>0.15</v>
      </c>
      <c r="F1329" s="6">
        <v>8944</v>
      </c>
      <c r="G1329">
        <f>F1329/0.85</f>
        <v>10522.35294117647</v>
      </c>
    </row>
    <row r="1330" spans="1:7" hidden="1" outlineLevel="1">
      <c r="A1330" s="8"/>
      <c r="B1330" s="1"/>
      <c r="C1330" s="1" t="s">
        <v>1119</v>
      </c>
      <c r="D1330" s="5" t="s">
        <v>325</v>
      </c>
      <c r="E1330" s="12">
        <v>0.15</v>
      </c>
      <c r="F1330" s="6">
        <v>8944</v>
      </c>
      <c r="G1330">
        <f>F1330/0.85</f>
        <v>10522.35294117647</v>
      </c>
    </row>
    <row r="1331" spans="1:7" hidden="1" outlineLevel="1">
      <c r="A1331" s="8"/>
      <c r="B1331" s="1"/>
      <c r="C1331" s="1"/>
      <c r="D1331" s="5"/>
      <c r="E1331" s="12"/>
      <c r="F1331" s="6"/>
    </row>
    <row r="1332" spans="1:7" hidden="1" outlineLevel="1">
      <c r="A1332" s="8"/>
      <c r="B1332" s="1"/>
      <c r="C1332" s="1"/>
      <c r="D1332" s="1"/>
      <c r="E1332" s="1"/>
      <c r="F1332" s="2"/>
    </row>
    <row r="1333" spans="1:7" hidden="1" outlineLevel="1">
      <c r="A1333" s="8"/>
      <c r="B1333" s="1"/>
      <c r="C1333" s="1"/>
      <c r="D1333" s="1"/>
      <c r="E1333" s="1"/>
      <c r="F1333" s="2"/>
    </row>
    <row r="1334" spans="1:7" hidden="1" outlineLevel="1">
      <c r="A1334" s="8"/>
      <c r="B1334" s="1"/>
      <c r="C1334" s="1"/>
      <c r="D1334" s="1"/>
      <c r="E1334" s="1"/>
      <c r="F1334" s="2"/>
    </row>
    <row r="1335" spans="1:7" hidden="1" outlineLevel="1">
      <c r="A1335" s="8"/>
      <c r="B1335" s="1"/>
      <c r="C1335" s="1"/>
      <c r="D1335" s="1"/>
      <c r="E1335" s="1"/>
      <c r="F1335" s="2"/>
    </row>
    <row r="1336" spans="1:7" hidden="1" outlineLevel="1">
      <c r="A1336" s="8"/>
      <c r="B1336" s="1"/>
      <c r="C1336" s="1"/>
      <c r="D1336" s="1"/>
      <c r="E1336" s="1"/>
      <c r="F1336" s="2"/>
    </row>
    <row r="1337" spans="1:7" ht="15.75" hidden="1" outlineLevel="1" thickBot="1">
      <c r="A1337" s="9"/>
      <c r="B1337" s="3"/>
      <c r="C1337" s="3"/>
      <c r="D1337" s="3"/>
      <c r="E1337" s="3"/>
      <c r="F1337" s="4"/>
    </row>
    <row r="1338" spans="1:7" ht="16.5" hidden="1" outlineLevel="1" thickTop="1" thickBot="1"/>
    <row r="1339" spans="1:7" ht="15.75" hidden="1" outlineLevel="1" thickTop="1">
      <c r="A1339" s="3782" t="s">
        <v>0</v>
      </c>
      <c r="B1339" s="3781" t="s">
        <v>1</v>
      </c>
      <c r="C1339" s="3781" t="s">
        <v>2</v>
      </c>
      <c r="D1339" s="3781" t="s">
        <v>3</v>
      </c>
      <c r="E1339" s="3781" t="s">
        <v>4</v>
      </c>
      <c r="F1339" s="3765" t="s">
        <v>5</v>
      </c>
    </row>
    <row r="1340" spans="1:7" ht="15.75" hidden="1" outlineLevel="1" thickBot="1">
      <c r="A1340" s="3783"/>
      <c r="B1340" s="3767"/>
      <c r="C1340" s="3767"/>
      <c r="D1340" s="3767"/>
      <c r="E1340" s="3767"/>
      <c r="F1340" s="3766"/>
    </row>
    <row r="1341" spans="1:7" ht="15.75" hidden="1" outlineLevel="1" thickTop="1">
      <c r="A1341" s="7" t="s">
        <v>1172</v>
      </c>
      <c r="B1341" s="5" t="s">
        <v>114</v>
      </c>
      <c r="C1341" s="5" t="s">
        <v>273</v>
      </c>
      <c r="D1341" s="5" t="s">
        <v>360</v>
      </c>
      <c r="E1341" s="12">
        <v>0.17</v>
      </c>
      <c r="F1341" s="6">
        <v>6571</v>
      </c>
    </row>
    <row r="1342" spans="1:7" hidden="1" outlineLevel="1">
      <c r="A1342" s="8"/>
      <c r="B1342" s="1"/>
      <c r="C1342" s="1" t="s">
        <v>908</v>
      </c>
      <c r="D1342" s="5" t="s">
        <v>360</v>
      </c>
      <c r="E1342" s="12">
        <v>0.17</v>
      </c>
      <c r="F1342" s="6">
        <v>6571</v>
      </c>
    </row>
    <row r="1343" spans="1:7" hidden="1" outlineLevel="1">
      <c r="A1343" s="8"/>
      <c r="B1343" s="1"/>
      <c r="C1343" s="1" t="s">
        <v>177</v>
      </c>
      <c r="D1343" s="5" t="s">
        <v>360</v>
      </c>
      <c r="E1343" s="12">
        <v>0.17</v>
      </c>
      <c r="F1343" s="6">
        <v>6571</v>
      </c>
    </row>
    <row r="1344" spans="1:7" hidden="1" outlineLevel="1">
      <c r="A1344" s="8"/>
      <c r="B1344" s="1"/>
      <c r="C1344" s="1" t="s">
        <v>909</v>
      </c>
      <c r="D1344" s="5" t="s">
        <v>360</v>
      </c>
      <c r="E1344" s="12">
        <v>0.17</v>
      </c>
      <c r="F1344" s="6">
        <v>6571</v>
      </c>
    </row>
    <row r="1345" spans="1:10" hidden="1" outlineLevel="1">
      <c r="A1345" s="8"/>
      <c r="B1345" s="1"/>
      <c r="C1345" s="1"/>
      <c r="D1345" s="5"/>
      <c r="E1345" s="12"/>
      <c r="F1345" s="6"/>
    </row>
    <row r="1346" spans="1:10" hidden="1" outlineLevel="1">
      <c r="A1346" s="8"/>
      <c r="B1346" s="1"/>
      <c r="C1346" s="1"/>
      <c r="D1346" s="5"/>
      <c r="E1346" s="12"/>
      <c r="F1346" s="6"/>
    </row>
    <row r="1347" spans="1:10" hidden="1" outlineLevel="1">
      <c r="A1347" s="8"/>
      <c r="B1347" s="1"/>
      <c r="C1347" s="1"/>
      <c r="D1347" s="1"/>
      <c r="E1347" s="1"/>
      <c r="F1347" s="2"/>
    </row>
    <row r="1348" spans="1:10" hidden="1" outlineLevel="1">
      <c r="A1348" s="8"/>
      <c r="B1348" s="1"/>
      <c r="C1348" s="1"/>
      <c r="D1348" s="1"/>
      <c r="E1348" s="1"/>
      <c r="F1348" s="2"/>
    </row>
    <row r="1349" spans="1:10" hidden="1" outlineLevel="1">
      <c r="A1349" s="8"/>
      <c r="B1349" s="1"/>
      <c r="C1349" s="1"/>
      <c r="D1349" s="1"/>
      <c r="E1349" s="1"/>
      <c r="F1349" s="2"/>
    </row>
    <row r="1350" spans="1:10" hidden="1" outlineLevel="1">
      <c r="A1350" s="8"/>
      <c r="B1350" s="1"/>
      <c r="C1350" s="1"/>
      <c r="D1350" s="1"/>
      <c r="E1350" s="1"/>
      <c r="F1350" s="2"/>
    </row>
    <row r="1351" spans="1:10" hidden="1" outlineLevel="1">
      <c r="A1351" s="8"/>
      <c r="B1351" s="1"/>
      <c r="C1351" s="1"/>
      <c r="D1351" s="1"/>
      <c r="E1351" s="1"/>
      <c r="F1351" s="2"/>
    </row>
    <row r="1352" spans="1:10" ht="15.75" hidden="1" outlineLevel="1" thickBot="1">
      <c r="A1352" s="9"/>
      <c r="B1352" s="3"/>
      <c r="C1352" s="3"/>
      <c r="D1352" s="3"/>
      <c r="E1352" s="3"/>
      <c r="F1352" s="4"/>
    </row>
    <row r="1353" spans="1:10" ht="16.5" hidden="1" outlineLevel="1" thickTop="1" thickBot="1"/>
    <row r="1354" spans="1:10" ht="15.75" hidden="1" outlineLevel="1" thickTop="1">
      <c r="A1354" s="3782" t="s">
        <v>0</v>
      </c>
      <c r="B1354" s="3781" t="s">
        <v>1</v>
      </c>
      <c r="C1354" s="3781" t="s">
        <v>2</v>
      </c>
      <c r="D1354" s="3781" t="s">
        <v>3</v>
      </c>
      <c r="E1354" s="3781" t="s">
        <v>4</v>
      </c>
      <c r="F1354" s="3765" t="s">
        <v>5</v>
      </c>
    </row>
    <row r="1355" spans="1:10" ht="15.75" hidden="1" outlineLevel="1" thickBot="1">
      <c r="A1355" s="3783"/>
      <c r="B1355" s="3767"/>
      <c r="C1355" s="3767"/>
      <c r="D1355" s="3767"/>
      <c r="E1355" s="3767"/>
      <c r="F1355" s="3766"/>
    </row>
    <row r="1356" spans="1:10" ht="15.75" hidden="1" outlineLevel="1" thickTop="1">
      <c r="A1356" s="277" t="s">
        <v>1173</v>
      </c>
      <c r="B1356" s="191" t="s">
        <v>1171</v>
      </c>
      <c r="C1356" s="191" t="s">
        <v>1174</v>
      </c>
      <c r="D1356" s="191" t="s">
        <v>325</v>
      </c>
      <c r="E1356" s="285">
        <v>7.0000000000000007E-2</v>
      </c>
      <c r="F1356" s="279">
        <v>22447</v>
      </c>
      <c r="G1356">
        <f t="shared" ref="G1356:G1361" si="4">F1356/0.93</f>
        <v>24136.559139784946</v>
      </c>
      <c r="I1356">
        <v>19080</v>
      </c>
      <c r="J1356">
        <f>I1356/F1356</f>
        <v>0.85000222746914955</v>
      </c>
    </row>
    <row r="1357" spans="1:10" hidden="1" outlineLevel="1">
      <c r="A1357" s="280"/>
      <c r="B1357" s="31"/>
      <c r="C1357" s="31" t="s">
        <v>1175</v>
      </c>
      <c r="D1357" s="191" t="s">
        <v>325</v>
      </c>
      <c r="E1357" s="285">
        <v>7.0000000000000007E-2</v>
      </c>
      <c r="F1357" s="279">
        <v>36132</v>
      </c>
      <c r="G1357">
        <f t="shared" si="4"/>
        <v>38851.612903225803</v>
      </c>
      <c r="I1357">
        <v>30712</v>
      </c>
      <c r="J1357">
        <f>I1357/F1357</f>
        <v>0.8499944647403963</v>
      </c>
    </row>
    <row r="1358" spans="1:10" hidden="1" outlineLevel="1">
      <c r="A1358" s="280"/>
      <c r="B1358" s="31"/>
      <c r="C1358" s="31" t="s">
        <v>1027</v>
      </c>
      <c r="D1358" s="191" t="s">
        <v>325</v>
      </c>
      <c r="E1358" s="285">
        <v>7.0000000000000007E-2</v>
      </c>
      <c r="F1358" s="279">
        <v>103852</v>
      </c>
      <c r="G1358">
        <f t="shared" si="4"/>
        <v>111668.81720430107</v>
      </c>
      <c r="I1358">
        <v>88274</v>
      </c>
      <c r="J1358">
        <f>I1358/F1358</f>
        <v>0.84999807418249052</v>
      </c>
    </row>
    <row r="1359" spans="1:10" hidden="1" outlineLevel="1">
      <c r="A1359" s="280"/>
      <c r="B1359" s="31"/>
      <c r="C1359" s="31" t="s">
        <v>1176</v>
      </c>
      <c r="D1359" s="191" t="s">
        <v>325</v>
      </c>
      <c r="E1359" s="285">
        <v>7.0000000000000007E-2</v>
      </c>
      <c r="F1359" s="279">
        <v>103852</v>
      </c>
      <c r="G1359">
        <f t="shared" si="4"/>
        <v>111668.81720430107</v>
      </c>
    </row>
    <row r="1360" spans="1:10" hidden="1" outlineLevel="1">
      <c r="A1360" s="280"/>
      <c r="B1360" s="31"/>
      <c r="C1360" s="31" t="s">
        <v>1177</v>
      </c>
      <c r="D1360" s="191" t="s">
        <v>325</v>
      </c>
      <c r="E1360" s="285">
        <v>7.0000000000000007E-2</v>
      </c>
      <c r="F1360" s="279">
        <v>140463</v>
      </c>
      <c r="G1360">
        <f t="shared" si="4"/>
        <v>151035.48387096773</v>
      </c>
    </row>
    <row r="1361" spans="1:7" hidden="1" outlineLevel="1">
      <c r="A1361" s="280"/>
      <c r="B1361" s="31"/>
      <c r="C1361" s="31" t="s">
        <v>1178</v>
      </c>
      <c r="D1361" s="191" t="s">
        <v>325</v>
      </c>
      <c r="E1361" s="285">
        <v>7.0000000000000007E-2</v>
      </c>
      <c r="F1361" s="279">
        <v>140463</v>
      </c>
      <c r="G1361">
        <f t="shared" si="4"/>
        <v>151035.48387096773</v>
      </c>
    </row>
    <row r="1362" spans="1:7" hidden="1" outlineLevel="1">
      <c r="A1362" s="280"/>
      <c r="B1362" s="31"/>
      <c r="C1362" s="31"/>
      <c r="D1362" s="31"/>
      <c r="E1362" s="31"/>
      <c r="F1362" s="281"/>
    </row>
    <row r="1363" spans="1:7" hidden="1" outlineLevel="1">
      <c r="A1363" s="280"/>
      <c r="B1363" s="31"/>
      <c r="C1363" s="31"/>
      <c r="D1363" s="31"/>
      <c r="E1363" s="31"/>
      <c r="F1363" s="281"/>
    </row>
    <row r="1364" spans="1:7" hidden="1" outlineLevel="1">
      <c r="A1364" s="280"/>
      <c r="B1364" s="31"/>
      <c r="C1364" s="31"/>
      <c r="D1364" s="31"/>
      <c r="E1364" s="31"/>
      <c r="F1364" s="281"/>
    </row>
    <row r="1365" spans="1:7" hidden="1" outlineLevel="1">
      <c r="A1365" s="280"/>
      <c r="B1365" s="31"/>
      <c r="C1365" s="31"/>
      <c r="D1365" s="31"/>
      <c r="E1365" s="31"/>
      <c r="F1365" s="281"/>
    </row>
    <row r="1366" spans="1:7" hidden="1" outlineLevel="1">
      <c r="A1366" s="8"/>
      <c r="B1366" s="1"/>
      <c r="C1366" s="1"/>
      <c r="D1366" s="1"/>
      <c r="E1366" s="1"/>
      <c r="F1366" s="2"/>
    </row>
    <row r="1367" spans="1:7" ht="15.75" hidden="1" outlineLevel="1" thickBot="1">
      <c r="A1367" s="9"/>
      <c r="B1367" s="3"/>
      <c r="C1367" s="3"/>
      <c r="D1367" s="3"/>
      <c r="E1367" s="3"/>
      <c r="F1367" s="4"/>
    </row>
    <row r="1368" spans="1:7" ht="16.5" hidden="1" outlineLevel="1" thickTop="1" thickBot="1"/>
    <row r="1369" spans="1:7" ht="15.75" hidden="1" outlineLevel="1" thickTop="1">
      <c r="A1369" s="3782" t="s">
        <v>0</v>
      </c>
      <c r="B1369" s="3781" t="s">
        <v>1</v>
      </c>
      <c r="C1369" s="3781" t="s">
        <v>2</v>
      </c>
      <c r="D1369" s="3781" t="s">
        <v>3</v>
      </c>
      <c r="E1369" s="3781" t="s">
        <v>4</v>
      </c>
      <c r="F1369" s="3765" t="s">
        <v>5</v>
      </c>
    </row>
    <row r="1370" spans="1:7" ht="15.75" hidden="1" outlineLevel="1" thickBot="1">
      <c r="A1370" s="3783"/>
      <c r="B1370" s="3767"/>
      <c r="C1370" s="3767"/>
      <c r="D1370" s="3767"/>
      <c r="E1370" s="3767"/>
      <c r="F1370" s="3766"/>
    </row>
    <row r="1371" spans="1:7" ht="15.75" hidden="1" outlineLevel="1" thickTop="1">
      <c r="A1371" s="7" t="s">
        <v>1179</v>
      </c>
      <c r="B1371" s="5" t="s">
        <v>1171</v>
      </c>
      <c r="C1371" s="5" t="s">
        <v>326</v>
      </c>
      <c r="D1371" s="5" t="s">
        <v>325</v>
      </c>
      <c r="E1371" s="12">
        <v>0.15</v>
      </c>
      <c r="F1371" s="6">
        <v>174786</v>
      </c>
      <c r="G1371">
        <v>205630</v>
      </c>
    </row>
    <row r="1372" spans="1:7" hidden="1" outlineLevel="1">
      <c r="A1372" s="8"/>
      <c r="B1372" s="1"/>
      <c r="C1372" s="1" t="s">
        <v>327</v>
      </c>
      <c r="D1372" s="5" t="s">
        <v>325</v>
      </c>
      <c r="E1372" s="12">
        <v>0.15</v>
      </c>
      <c r="F1372" s="6">
        <v>174786</v>
      </c>
    </row>
    <row r="1373" spans="1:7" hidden="1" outlineLevel="1">
      <c r="A1373" s="8"/>
      <c r="B1373" s="1"/>
      <c r="C1373" s="1" t="s">
        <v>328</v>
      </c>
      <c r="D1373" s="5" t="s">
        <v>325</v>
      </c>
      <c r="E1373" s="12">
        <v>0.15</v>
      </c>
      <c r="F1373" s="6">
        <v>174786</v>
      </c>
    </row>
    <row r="1374" spans="1:7" hidden="1" outlineLevel="1">
      <c r="A1374" s="8"/>
      <c r="B1374" s="1"/>
      <c r="C1374" s="1"/>
      <c r="D1374" s="5"/>
      <c r="E1374" s="12"/>
      <c r="F1374" s="6"/>
    </row>
    <row r="1375" spans="1:7" hidden="1" outlineLevel="1">
      <c r="A1375" s="8"/>
      <c r="B1375" s="1"/>
      <c r="C1375" s="1"/>
      <c r="D1375" s="5"/>
      <c r="E1375" s="12"/>
      <c r="F1375" s="6"/>
    </row>
    <row r="1376" spans="1:7" hidden="1" outlineLevel="1">
      <c r="A1376" s="8"/>
      <c r="B1376" s="1"/>
      <c r="C1376" s="1"/>
      <c r="D1376" s="5"/>
      <c r="E1376" s="12"/>
      <c r="F1376" s="6"/>
    </row>
    <row r="1377" spans="1:7" hidden="1" outlineLevel="1">
      <c r="A1377" s="8"/>
      <c r="B1377" s="1"/>
      <c r="C1377" s="1"/>
      <c r="D1377" s="1"/>
      <c r="E1377" s="1"/>
      <c r="F1377" s="2"/>
    </row>
    <row r="1378" spans="1:7" hidden="1" outlineLevel="1">
      <c r="A1378" s="8"/>
      <c r="B1378" s="1"/>
      <c r="C1378" s="1"/>
      <c r="D1378" s="1"/>
      <c r="E1378" s="1"/>
      <c r="F1378" s="2"/>
    </row>
    <row r="1379" spans="1:7" hidden="1" outlineLevel="1">
      <c r="A1379" s="8"/>
      <c r="B1379" s="1"/>
      <c r="C1379" s="1"/>
      <c r="D1379" s="1"/>
      <c r="E1379" s="1"/>
      <c r="F1379" s="2"/>
    </row>
    <row r="1380" spans="1:7" hidden="1" outlineLevel="1">
      <c r="A1380" s="8"/>
      <c r="B1380" s="1"/>
      <c r="C1380" s="1"/>
      <c r="D1380" s="1"/>
      <c r="E1380" s="1"/>
      <c r="F1380" s="2"/>
    </row>
    <row r="1381" spans="1:7" hidden="1" outlineLevel="1">
      <c r="A1381" s="8"/>
      <c r="B1381" s="1"/>
      <c r="C1381" s="1"/>
      <c r="D1381" s="1"/>
      <c r="E1381" s="1"/>
      <c r="F1381" s="2"/>
    </row>
    <row r="1382" spans="1:7" ht="15.75" hidden="1" outlineLevel="1" thickBot="1">
      <c r="A1382" s="9"/>
      <c r="B1382" s="3"/>
      <c r="C1382" s="3"/>
      <c r="D1382" s="3"/>
      <c r="E1382" s="3"/>
      <c r="F1382" s="4"/>
    </row>
    <row r="1383" spans="1:7" ht="16.5" hidden="1" outlineLevel="1" thickTop="1" thickBot="1"/>
    <row r="1384" spans="1:7" ht="15.75" hidden="1" outlineLevel="1" thickTop="1">
      <c r="A1384" s="3782" t="s">
        <v>0</v>
      </c>
      <c r="B1384" s="3781" t="s">
        <v>1</v>
      </c>
      <c r="C1384" s="3781" t="s">
        <v>2</v>
      </c>
      <c r="D1384" s="3781" t="s">
        <v>3</v>
      </c>
      <c r="E1384" s="3781" t="s">
        <v>4</v>
      </c>
      <c r="F1384" s="3765" t="s">
        <v>5</v>
      </c>
    </row>
    <row r="1385" spans="1:7" ht="15.75" hidden="1" outlineLevel="1" thickBot="1">
      <c r="A1385" s="3783"/>
      <c r="B1385" s="3767"/>
      <c r="C1385" s="3767"/>
      <c r="D1385" s="3767"/>
      <c r="E1385" s="3767"/>
      <c r="F1385" s="3766"/>
    </row>
    <row r="1386" spans="1:7" ht="15.75" hidden="1" outlineLevel="1" thickTop="1">
      <c r="A1386" s="277" t="s">
        <v>1203</v>
      </c>
      <c r="B1386" s="191" t="s">
        <v>1171</v>
      </c>
      <c r="C1386" s="191" t="s">
        <v>394</v>
      </c>
      <c r="D1386" s="191" t="s">
        <v>325</v>
      </c>
      <c r="E1386" s="285">
        <v>7.0000000000000007E-2</v>
      </c>
      <c r="F1386" s="279">
        <v>8732</v>
      </c>
      <c r="G1386">
        <f>F1386/0.93</f>
        <v>9389.2473118279559</v>
      </c>
    </row>
    <row r="1387" spans="1:7" hidden="1" outlineLevel="1">
      <c r="A1387" s="280"/>
      <c r="B1387" s="31"/>
      <c r="C1387" s="31" t="s">
        <v>517</v>
      </c>
      <c r="D1387" s="191" t="s">
        <v>325</v>
      </c>
      <c r="E1387" s="285">
        <v>7.0000000000000007E-2</v>
      </c>
      <c r="F1387" s="279">
        <v>8732</v>
      </c>
      <c r="G1387">
        <f>F1387/0.93</f>
        <v>9389.2473118279559</v>
      </c>
    </row>
    <row r="1388" spans="1:7" hidden="1" outlineLevel="1">
      <c r="A1388" s="280"/>
      <c r="B1388" s="31"/>
      <c r="C1388" s="31" t="s">
        <v>1058</v>
      </c>
      <c r="D1388" s="191" t="s">
        <v>325</v>
      </c>
      <c r="E1388" s="285">
        <v>7.0000000000000007E-2</v>
      </c>
      <c r="F1388" s="279">
        <v>16116</v>
      </c>
      <c r="G1388">
        <f>F1388/0.93</f>
        <v>17329.032258064515</v>
      </c>
    </row>
    <row r="1389" spans="1:7" hidden="1" outlineLevel="1">
      <c r="A1389" s="280"/>
      <c r="B1389" s="31"/>
      <c r="C1389" s="31" t="s">
        <v>507</v>
      </c>
      <c r="D1389" s="191" t="s">
        <v>325</v>
      </c>
      <c r="E1389" s="285">
        <v>7.0000000000000007E-2</v>
      </c>
      <c r="F1389" s="279">
        <v>16116</v>
      </c>
      <c r="G1389">
        <f>F1389/0.93</f>
        <v>17329.032258064515</v>
      </c>
    </row>
    <row r="1390" spans="1:7" hidden="1" outlineLevel="1">
      <c r="A1390" s="280"/>
      <c r="B1390" s="31"/>
      <c r="C1390" s="31"/>
      <c r="D1390" s="191"/>
      <c r="E1390" s="285"/>
      <c r="F1390" s="279"/>
    </row>
    <row r="1391" spans="1:7" hidden="1" outlineLevel="1">
      <c r="A1391" s="280"/>
      <c r="B1391" s="31"/>
      <c r="C1391" s="31"/>
      <c r="D1391" s="191"/>
      <c r="E1391" s="285"/>
      <c r="F1391" s="279"/>
    </row>
    <row r="1392" spans="1:7" hidden="1" outlineLevel="1">
      <c r="A1392" s="280"/>
      <c r="B1392" s="31"/>
      <c r="C1392" s="31"/>
      <c r="D1392" s="31"/>
      <c r="E1392" s="31"/>
      <c r="F1392" s="281"/>
    </row>
    <row r="1393" spans="1:7" hidden="1" outlineLevel="1">
      <c r="A1393" s="8"/>
      <c r="B1393" s="1"/>
      <c r="C1393" s="1"/>
      <c r="D1393" s="1"/>
      <c r="E1393" s="1"/>
      <c r="F1393" s="2"/>
    </row>
    <row r="1394" spans="1:7" hidden="1" outlineLevel="1">
      <c r="A1394" s="8"/>
      <c r="B1394" s="1"/>
      <c r="C1394" s="1"/>
      <c r="D1394" s="1"/>
      <c r="E1394" s="1"/>
      <c r="F1394" s="2"/>
    </row>
    <row r="1395" spans="1:7" hidden="1" outlineLevel="1">
      <c r="A1395" s="8"/>
      <c r="B1395" s="1"/>
      <c r="C1395" s="1"/>
      <c r="D1395" s="1"/>
      <c r="E1395" s="1"/>
      <c r="F1395" s="2"/>
    </row>
    <row r="1396" spans="1:7" hidden="1" outlineLevel="1">
      <c r="A1396" s="8"/>
      <c r="B1396" s="1"/>
      <c r="C1396" s="1"/>
      <c r="D1396" s="1"/>
      <c r="E1396" s="1"/>
      <c r="F1396" s="2"/>
    </row>
    <row r="1397" spans="1:7" ht="15.75" hidden="1" outlineLevel="1" thickBot="1">
      <c r="A1397" s="9"/>
      <c r="B1397" s="3"/>
      <c r="C1397" s="3"/>
      <c r="D1397" s="3"/>
      <c r="E1397" s="3"/>
      <c r="F1397" s="4"/>
    </row>
    <row r="1398" spans="1:7" ht="16.5" hidden="1" outlineLevel="1" thickTop="1" thickBot="1"/>
    <row r="1399" spans="1:7" ht="15.75" hidden="1" outlineLevel="1" thickTop="1">
      <c r="A1399" s="3782" t="s">
        <v>0</v>
      </c>
      <c r="B1399" s="3781" t="s">
        <v>1</v>
      </c>
      <c r="C1399" s="3781" t="s">
        <v>2</v>
      </c>
      <c r="D1399" s="3781" t="s">
        <v>3</v>
      </c>
      <c r="E1399" s="3781" t="s">
        <v>4</v>
      </c>
      <c r="F1399" s="3765" t="s">
        <v>5</v>
      </c>
    </row>
    <row r="1400" spans="1:7" ht="15.75" hidden="1" outlineLevel="1" thickBot="1">
      <c r="A1400" s="3783"/>
      <c r="B1400" s="3767"/>
      <c r="C1400" s="3767"/>
      <c r="D1400" s="3767"/>
      <c r="E1400" s="3767"/>
      <c r="F1400" s="3766"/>
    </row>
    <row r="1401" spans="1:7" ht="15.75" hidden="1" outlineLevel="1" thickTop="1">
      <c r="A1401" s="7" t="s">
        <v>1204</v>
      </c>
      <c r="B1401" s="5" t="s">
        <v>1171</v>
      </c>
      <c r="C1401" s="5" t="s">
        <v>838</v>
      </c>
      <c r="D1401" s="5" t="s">
        <v>325</v>
      </c>
      <c r="E1401" s="12">
        <v>0.15</v>
      </c>
      <c r="F1401" s="6">
        <v>73968</v>
      </c>
      <c r="G1401">
        <f>F1401/0.85</f>
        <v>87021.176470588238</v>
      </c>
    </row>
    <row r="1402" spans="1:7" hidden="1" outlineLevel="1">
      <c r="A1402" s="8"/>
      <c r="B1402" s="1"/>
      <c r="C1402" s="1"/>
      <c r="D1402" s="5"/>
      <c r="E1402" s="12"/>
      <c r="F1402" s="6"/>
    </row>
    <row r="1403" spans="1:7" hidden="1" outlineLevel="1">
      <c r="A1403" s="8"/>
      <c r="B1403" s="1"/>
      <c r="C1403" s="1"/>
      <c r="D1403" s="5"/>
      <c r="E1403" s="12"/>
      <c r="F1403" s="6"/>
    </row>
    <row r="1404" spans="1:7" hidden="1" outlineLevel="1">
      <c r="A1404" s="8"/>
      <c r="B1404" s="1"/>
      <c r="C1404" s="1"/>
      <c r="D1404" s="5"/>
      <c r="E1404" s="12"/>
      <c r="F1404" s="6"/>
    </row>
    <row r="1405" spans="1:7" hidden="1" outlineLevel="1">
      <c r="A1405" s="8"/>
      <c r="B1405" s="1"/>
      <c r="C1405" s="1"/>
      <c r="D1405" s="5"/>
      <c r="E1405" s="12"/>
      <c r="F1405" s="6"/>
    </row>
    <row r="1406" spans="1:7" hidden="1" outlineLevel="1">
      <c r="A1406" s="8"/>
      <c r="B1406" s="1"/>
      <c r="C1406" s="1"/>
      <c r="D1406" s="5"/>
      <c r="E1406" s="12"/>
      <c r="F1406" s="6"/>
    </row>
    <row r="1407" spans="1:7" hidden="1" outlineLevel="1">
      <c r="A1407" s="8"/>
      <c r="B1407" s="1"/>
      <c r="C1407" s="1"/>
      <c r="D1407" s="1"/>
      <c r="E1407" s="1"/>
      <c r="F1407" s="2"/>
    </row>
    <row r="1408" spans="1:7" hidden="1" outlineLevel="1">
      <c r="A1408" s="8"/>
      <c r="B1408" s="1"/>
      <c r="C1408" s="1"/>
      <c r="D1408" s="1"/>
      <c r="E1408" s="1"/>
      <c r="F1408" s="2"/>
    </row>
    <row r="1409" spans="1:6" hidden="1" outlineLevel="1">
      <c r="A1409" s="8"/>
      <c r="B1409" s="1"/>
      <c r="C1409" s="1"/>
      <c r="D1409" s="1"/>
      <c r="E1409" s="1"/>
      <c r="F1409" s="2"/>
    </row>
    <row r="1410" spans="1:6" hidden="1" outlineLevel="1">
      <c r="A1410" s="8"/>
      <c r="B1410" s="1"/>
      <c r="C1410" s="1"/>
      <c r="D1410" s="1"/>
      <c r="E1410" s="1"/>
      <c r="F1410" s="2"/>
    </row>
    <row r="1411" spans="1:6" hidden="1" outlineLevel="1">
      <c r="A1411" s="8"/>
      <c r="B1411" s="1"/>
      <c r="C1411" s="1"/>
      <c r="D1411" s="1"/>
      <c r="E1411" s="1"/>
      <c r="F1411" s="2"/>
    </row>
    <row r="1412" spans="1:6" ht="15.75" hidden="1" outlineLevel="1" thickBot="1">
      <c r="A1412" s="9"/>
      <c r="B1412" s="3"/>
      <c r="C1412" s="3"/>
      <c r="D1412" s="3"/>
      <c r="E1412" s="3"/>
      <c r="F1412" s="4"/>
    </row>
    <row r="1413" spans="1:6" ht="16.5" hidden="1" outlineLevel="1" thickTop="1" thickBot="1"/>
    <row r="1414" spans="1:6" ht="15.75" hidden="1" outlineLevel="1" thickTop="1">
      <c r="A1414" s="3782" t="s">
        <v>0</v>
      </c>
      <c r="B1414" s="3781" t="s">
        <v>1</v>
      </c>
      <c r="C1414" s="3781" t="s">
        <v>2</v>
      </c>
      <c r="D1414" s="3781" t="s">
        <v>3</v>
      </c>
      <c r="E1414" s="3781" t="s">
        <v>4</v>
      </c>
      <c r="F1414" s="3765" t="s">
        <v>5</v>
      </c>
    </row>
    <row r="1415" spans="1:6" ht="15.75" hidden="1" outlineLevel="1" thickBot="1">
      <c r="A1415" s="3783"/>
      <c r="B1415" s="3767"/>
      <c r="C1415" s="3767"/>
      <c r="D1415" s="3767"/>
      <c r="E1415" s="3767"/>
      <c r="F1415" s="3766"/>
    </row>
    <row r="1416" spans="1:6" ht="15.75" hidden="1" outlineLevel="1" thickTop="1">
      <c r="A1416" s="7" t="s">
        <v>1205</v>
      </c>
      <c r="B1416" s="5" t="s">
        <v>106</v>
      </c>
      <c r="C1416" s="5" t="s">
        <v>273</v>
      </c>
      <c r="D1416" s="5" t="s">
        <v>343</v>
      </c>
      <c r="E1416" s="12">
        <v>0.2</v>
      </c>
      <c r="F1416" s="6">
        <v>6571</v>
      </c>
    </row>
    <row r="1417" spans="1:6" hidden="1" outlineLevel="1">
      <c r="A1417" s="8"/>
      <c r="B1417" s="1"/>
      <c r="C1417" s="1" t="s">
        <v>908</v>
      </c>
      <c r="D1417" s="5" t="s">
        <v>343</v>
      </c>
      <c r="E1417" s="12">
        <v>0.2</v>
      </c>
      <c r="F1417" s="6">
        <v>6571</v>
      </c>
    </row>
    <row r="1418" spans="1:6" hidden="1" outlineLevel="1">
      <c r="A1418" s="8"/>
      <c r="B1418" s="1"/>
      <c r="C1418" s="1" t="s">
        <v>177</v>
      </c>
      <c r="D1418" s="5" t="s">
        <v>343</v>
      </c>
      <c r="E1418" s="12">
        <v>0.2</v>
      </c>
      <c r="F1418" s="6">
        <v>6571</v>
      </c>
    </row>
    <row r="1419" spans="1:6" hidden="1" outlineLevel="1">
      <c r="A1419" s="8"/>
      <c r="B1419" s="1"/>
      <c r="C1419" s="1" t="s">
        <v>909</v>
      </c>
      <c r="D1419" s="5" t="s">
        <v>343</v>
      </c>
      <c r="E1419" s="12">
        <v>0.2</v>
      </c>
      <c r="F1419" s="6">
        <v>6571</v>
      </c>
    </row>
    <row r="1420" spans="1:6" hidden="1" outlineLevel="1">
      <c r="A1420" s="8"/>
      <c r="B1420" s="1"/>
      <c r="C1420" s="1"/>
      <c r="D1420" s="5"/>
      <c r="E1420" s="12"/>
      <c r="F1420" s="6"/>
    </row>
    <row r="1421" spans="1:6" hidden="1" outlineLevel="1">
      <c r="A1421" s="8"/>
      <c r="B1421" s="1"/>
      <c r="C1421" s="1"/>
      <c r="D1421" s="5"/>
      <c r="E1421" s="12"/>
      <c r="F1421" s="6"/>
    </row>
    <row r="1422" spans="1:6" hidden="1" outlineLevel="1">
      <c r="A1422" s="8"/>
      <c r="B1422" s="1"/>
      <c r="C1422" s="1"/>
      <c r="D1422" s="1"/>
      <c r="E1422" s="1"/>
      <c r="F1422" s="2"/>
    </row>
    <row r="1423" spans="1:6" hidden="1" outlineLevel="1">
      <c r="A1423" s="8"/>
      <c r="B1423" s="1"/>
      <c r="C1423" s="1"/>
      <c r="D1423" s="1"/>
      <c r="E1423" s="1"/>
      <c r="F1423" s="2"/>
    </row>
    <row r="1424" spans="1:6" hidden="1" outlineLevel="1">
      <c r="A1424" s="8"/>
      <c r="B1424" s="1"/>
      <c r="C1424" s="1"/>
      <c r="D1424" s="1"/>
      <c r="E1424" s="1"/>
      <c r="F1424" s="2"/>
    </row>
    <row r="1425" spans="1:6" hidden="1" outlineLevel="1">
      <c r="A1425" s="8"/>
      <c r="B1425" s="1"/>
      <c r="C1425" s="1"/>
      <c r="D1425" s="1"/>
      <c r="E1425" s="1"/>
      <c r="F1425" s="2"/>
    </row>
    <row r="1426" spans="1:6" hidden="1" outlineLevel="1">
      <c r="A1426" s="8"/>
      <c r="B1426" s="1"/>
      <c r="C1426" s="1"/>
      <c r="D1426" s="1"/>
      <c r="E1426" s="1"/>
      <c r="F1426" s="2"/>
    </row>
    <row r="1427" spans="1:6" ht="15.75" hidden="1" outlineLevel="1" thickBot="1">
      <c r="A1427" s="9"/>
      <c r="B1427" s="3"/>
      <c r="C1427" s="3"/>
      <c r="D1427" s="3"/>
      <c r="E1427" s="3"/>
      <c r="F1427" s="4"/>
    </row>
    <row r="1428" spans="1:6" ht="16.5" hidden="1" outlineLevel="1" thickTop="1" thickBot="1"/>
    <row r="1429" spans="1:6" ht="15.75" hidden="1" outlineLevel="1" thickTop="1">
      <c r="A1429" s="3782" t="s">
        <v>0</v>
      </c>
      <c r="B1429" s="3781" t="s">
        <v>1</v>
      </c>
      <c r="C1429" s="3781" t="s">
        <v>2</v>
      </c>
      <c r="D1429" s="3781" t="s">
        <v>3</v>
      </c>
      <c r="E1429" s="3781" t="s">
        <v>4</v>
      </c>
      <c r="F1429" s="3765" t="s">
        <v>5</v>
      </c>
    </row>
    <row r="1430" spans="1:6" ht="15.75" hidden="1" outlineLevel="1" thickBot="1">
      <c r="A1430" s="3783"/>
      <c r="B1430" s="3767"/>
      <c r="C1430" s="3767"/>
      <c r="D1430" s="3767"/>
      <c r="E1430" s="3767"/>
      <c r="F1430" s="3766"/>
    </row>
    <row r="1431" spans="1:6" ht="15.75" hidden="1" outlineLevel="1" thickTop="1">
      <c r="A1431" s="7" t="s">
        <v>1206</v>
      </c>
      <c r="B1431" s="5" t="s">
        <v>106</v>
      </c>
      <c r="C1431" s="5" t="s">
        <v>394</v>
      </c>
      <c r="D1431" s="5" t="s">
        <v>325</v>
      </c>
      <c r="E1431" s="12">
        <v>0.15</v>
      </c>
      <c r="F1431" s="6">
        <v>8770</v>
      </c>
    </row>
    <row r="1432" spans="1:6" hidden="1" outlineLevel="1">
      <c r="A1432" s="8"/>
      <c r="B1432" s="1"/>
      <c r="C1432" s="1" t="s">
        <v>517</v>
      </c>
      <c r="D1432" s="5" t="s">
        <v>325</v>
      </c>
      <c r="E1432" s="12">
        <v>0.15</v>
      </c>
      <c r="F1432" s="6">
        <v>8770</v>
      </c>
    </row>
    <row r="1433" spans="1:6" hidden="1" outlineLevel="1">
      <c r="A1433" s="8"/>
      <c r="B1433" s="1"/>
      <c r="C1433" s="1"/>
      <c r="D1433" s="5"/>
      <c r="E1433" s="12"/>
      <c r="F1433" s="6"/>
    </row>
    <row r="1434" spans="1:6" hidden="1" outlineLevel="1">
      <c r="A1434" s="8"/>
      <c r="B1434" s="1"/>
      <c r="C1434" s="1"/>
      <c r="D1434" s="5"/>
      <c r="E1434" s="12"/>
      <c r="F1434" s="6"/>
    </row>
    <row r="1435" spans="1:6" hidden="1" outlineLevel="1">
      <c r="A1435" s="8"/>
      <c r="B1435" s="1"/>
      <c r="C1435" s="1"/>
      <c r="D1435" s="5"/>
      <c r="E1435" s="12"/>
      <c r="F1435" s="6"/>
    </row>
    <row r="1436" spans="1:6" hidden="1" outlineLevel="1">
      <c r="A1436" s="8"/>
      <c r="B1436" s="1"/>
      <c r="C1436" s="1"/>
      <c r="D1436" s="5"/>
      <c r="E1436" s="12"/>
      <c r="F1436" s="6"/>
    </row>
    <row r="1437" spans="1:6" hidden="1" outlineLevel="1">
      <c r="A1437" s="8"/>
      <c r="B1437" s="1"/>
      <c r="C1437" s="1"/>
      <c r="D1437" s="1"/>
      <c r="E1437" s="1"/>
      <c r="F1437" s="2"/>
    </row>
    <row r="1438" spans="1:6" hidden="1" outlineLevel="1">
      <c r="A1438" s="8"/>
      <c r="B1438" s="1"/>
      <c r="C1438" s="1"/>
      <c r="D1438" s="1"/>
      <c r="E1438" s="1"/>
      <c r="F1438" s="2"/>
    </row>
    <row r="1439" spans="1:6" hidden="1" outlineLevel="1">
      <c r="A1439" s="8"/>
      <c r="B1439" s="1"/>
      <c r="C1439" s="1"/>
      <c r="D1439" s="1"/>
      <c r="E1439" s="1"/>
      <c r="F1439" s="2"/>
    </row>
    <row r="1440" spans="1:6" hidden="1" outlineLevel="1">
      <c r="A1440" s="8"/>
      <c r="B1440" s="1"/>
      <c r="C1440" s="1"/>
      <c r="D1440" s="1"/>
      <c r="E1440" s="1"/>
      <c r="F1440" s="2"/>
    </row>
    <row r="1441" spans="1:7" hidden="1" outlineLevel="1">
      <c r="A1441" s="8"/>
      <c r="B1441" s="1"/>
      <c r="C1441" s="1"/>
      <c r="D1441" s="1"/>
      <c r="E1441" s="1"/>
      <c r="F1441" s="2"/>
    </row>
    <row r="1442" spans="1:7" ht="15.75" hidden="1" outlineLevel="1" thickBot="1">
      <c r="A1442" s="9"/>
      <c r="B1442" s="3"/>
      <c r="C1442" s="3"/>
      <c r="D1442" s="3"/>
      <c r="E1442" s="3"/>
      <c r="F1442" s="4"/>
    </row>
    <row r="1443" spans="1:7" ht="16.5" hidden="1" outlineLevel="1" thickTop="1" thickBot="1"/>
    <row r="1444" spans="1:7" ht="15.75" hidden="1" outlineLevel="1" thickTop="1">
      <c r="A1444" s="3782" t="s">
        <v>0</v>
      </c>
      <c r="B1444" s="3781" t="s">
        <v>1</v>
      </c>
      <c r="C1444" s="3781" t="s">
        <v>2</v>
      </c>
      <c r="D1444" s="3781" t="s">
        <v>3</v>
      </c>
      <c r="E1444" s="3781" t="s">
        <v>4</v>
      </c>
      <c r="F1444" s="3765" t="s">
        <v>5</v>
      </c>
    </row>
    <row r="1445" spans="1:7" ht="15.75" hidden="1" outlineLevel="1" thickBot="1">
      <c r="A1445" s="3783"/>
      <c r="B1445" s="3767"/>
      <c r="C1445" s="3767"/>
      <c r="D1445" s="3767"/>
      <c r="E1445" s="3767"/>
      <c r="F1445" s="3766"/>
    </row>
    <row r="1446" spans="1:7" ht="15.75" hidden="1" outlineLevel="1" thickTop="1">
      <c r="A1446" s="277" t="s">
        <v>1217</v>
      </c>
      <c r="B1446" s="191" t="s">
        <v>1171</v>
      </c>
      <c r="C1446" s="191" t="s">
        <v>1119</v>
      </c>
      <c r="D1446" s="191" t="s">
        <v>325</v>
      </c>
      <c r="E1446" s="285">
        <v>0.2</v>
      </c>
      <c r="F1446" s="279">
        <v>8418</v>
      </c>
      <c r="G1446">
        <f>F1446/0.8</f>
        <v>10522.5</v>
      </c>
    </row>
    <row r="1447" spans="1:7" hidden="1" outlineLevel="1">
      <c r="A1447" s="280"/>
      <c r="B1447" s="31"/>
      <c r="C1447" s="191" t="s">
        <v>554</v>
      </c>
      <c r="D1447" s="191" t="s">
        <v>325</v>
      </c>
      <c r="E1447" s="285">
        <v>0.2</v>
      </c>
      <c r="F1447" s="279">
        <v>8418</v>
      </c>
      <c r="G1447">
        <f>F1447/0.8</f>
        <v>10522.5</v>
      </c>
    </row>
    <row r="1448" spans="1:7" hidden="1" outlineLevel="1">
      <c r="A1448" s="280"/>
      <c r="B1448" s="31"/>
      <c r="C1448" s="191" t="s">
        <v>730</v>
      </c>
      <c r="D1448" s="191" t="s">
        <v>325</v>
      </c>
      <c r="E1448" s="285">
        <v>0.2</v>
      </c>
      <c r="F1448" s="279">
        <v>5887</v>
      </c>
      <c r="G1448">
        <f>F1448/0.8</f>
        <v>7358.75</v>
      </c>
    </row>
    <row r="1449" spans="1:7" hidden="1" outlineLevel="1">
      <c r="A1449" s="280"/>
      <c r="B1449" s="31"/>
      <c r="C1449" s="31"/>
      <c r="D1449" s="191"/>
      <c r="E1449" s="285"/>
      <c r="F1449" s="279"/>
    </row>
    <row r="1450" spans="1:7" hidden="1" outlineLevel="1">
      <c r="A1450" s="280"/>
      <c r="B1450" s="31"/>
      <c r="C1450" s="31"/>
      <c r="D1450" s="191"/>
      <c r="E1450" s="285"/>
      <c r="F1450" s="279"/>
    </row>
    <row r="1451" spans="1:7" hidden="1" outlineLevel="1">
      <c r="A1451" s="8"/>
      <c r="B1451" s="1"/>
      <c r="C1451" s="1"/>
      <c r="D1451" s="5"/>
      <c r="E1451" s="12"/>
      <c r="F1451" s="6"/>
    </row>
    <row r="1452" spans="1:7" hidden="1" outlineLevel="1">
      <c r="A1452" s="8"/>
      <c r="B1452" s="1"/>
      <c r="C1452" s="1"/>
      <c r="D1452" s="1"/>
      <c r="E1452" s="1"/>
      <c r="F1452" s="2"/>
    </row>
    <row r="1453" spans="1:7" hidden="1" outlineLevel="1">
      <c r="A1453" s="8"/>
      <c r="B1453" s="1"/>
      <c r="C1453" s="1"/>
      <c r="D1453" s="1"/>
      <c r="E1453" s="1"/>
      <c r="F1453" s="2"/>
    </row>
    <row r="1454" spans="1:7" hidden="1" outlineLevel="1">
      <c r="A1454" s="8"/>
      <c r="B1454" s="1"/>
      <c r="C1454" s="1"/>
      <c r="D1454" s="1"/>
      <c r="E1454" s="1"/>
      <c r="F1454" s="2"/>
    </row>
    <row r="1455" spans="1:7" hidden="1" outlineLevel="1">
      <c r="A1455" s="8"/>
      <c r="B1455" s="1"/>
      <c r="C1455" s="1"/>
      <c r="D1455" s="1"/>
      <c r="E1455" s="1"/>
      <c r="F1455" s="2"/>
    </row>
    <row r="1456" spans="1:7" hidden="1" outlineLevel="1">
      <c r="A1456" s="8"/>
      <c r="B1456" s="1"/>
      <c r="C1456" s="1"/>
      <c r="D1456" s="1"/>
      <c r="E1456" s="1"/>
      <c r="F1456" s="2"/>
    </row>
    <row r="1457" spans="1:7" ht="15.75" hidden="1" outlineLevel="1" thickBot="1">
      <c r="A1457" s="9"/>
      <c r="B1457" s="3"/>
      <c r="C1457" s="3"/>
      <c r="D1457" s="3"/>
      <c r="E1457" s="3"/>
      <c r="F1457" s="4"/>
    </row>
    <row r="1458" spans="1:7" ht="16.5" hidden="1" outlineLevel="1" thickTop="1" thickBot="1"/>
    <row r="1459" spans="1:7" ht="15.75" hidden="1" outlineLevel="1" thickTop="1">
      <c r="A1459" s="3782" t="s">
        <v>0</v>
      </c>
      <c r="B1459" s="3781" t="s">
        <v>1</v>
      </c>
      <c r="C1459" s="3781" t="s">
        <v>2</v>
      </c>
      <c r="D1459" s="3781" t="s">
        <v>3</v>
      </c>
      <c r="E1459" s="3781" t="s">
        <v>4</v>
      </c>
      <c r="F1459" s="3765" t="s">
        <v>5</v>
      </c>
    </row>
    <row r="1460" spans="1:7" ht="15.75" hidden="1" outlineLevel="1" thickBot="1">
      <c r="A1460" s="3783"/>
      <c r="B1460" s="3767"/>
      <c r="C1460" s="3767"/>
      <c r="D1460" s="3767"/>
      <c r="E1460" s="3767"/>
      <c r="F1460" s="3766"/>
    </row>
    <row r="1461" spans="1:7" ht="15.75" hidden="1" outlineLevel="1" thickTop="1">
      <c r="A1461" s="277" t="s">
        <v>1216</v>
      </c>
      <c r="B1461" s="191" t="s">
        <v>1171</v>
      </c>
      <c r="C1461" s="191" t="s">
        <v>238</v>
      </c>
      <c r="D1461" s="191" t="s">
        <v>325</v>
      </c>
      <c r="E1461" s="285">
        <v>0.15</v>
      </c>
      <c r="F1461" s="279">
        <v>59186</v>
      </c>
      <c r="G1461">
        <f>F1461/0.85</f>
        <v>69630.588235294126</v>
      </c>
    </row>
    <row r="1462" spans="1:7" hidden="1" outlineLevel="1">
      <c r="A1462" s="280"/>
      <c r="B1462" s="31"/>
      <c r="C1462" s="31" t="s">
        <v>239</v>
      </c>
      <c r="D1462" s="191" t="s">
        <v>325</v>
      </c>
      <c r="E1462" s="285">
        <v>0.15</v>
      </c>
      <c r="F1462" s="279">
        <v>59186</v>
      </c>
      <c r="G1462">
        <f>F1462/0.85</f>
        <v>69630.588235294126</v>
      </c>
    </row>
    <row r="1463" spans="1:7" hidden="1" outlineLevel="1">
      <c r="A1463" s="280"/>
      <c r="B1463" s="31"/>
      <c r="C1463" s="31" t="s">
        <v>868</v>
      </c>
      <c r="D1463" s="191" t="s">
        <v>325</v>
      </c>
      <c r="E1463" s="285">
        <v>0.15</v>
      </c>
      <c r="F1463" s="279">
        <v>59186</v>
      </c>
      <c r="G1463">
        <f>F1463/0.85</f>
        <v>69630.588235294126</v>
      </c>
    </row>
    <row r="1464" spans="1:7" hidden="1" outlineLevel="1">
      <c r="A1464" s="280"/>
      <c r="B1464" s="31"/>
      <c r="C1464" s="31"/>
      <c r="D1464" s="191"/>
      <c r="E1464" s="285"/>
      <c r="F1464" s="279"/>
    </row>
    <row r="1465" spans="1:7" hidden="1" outlineLevel="1">
      <c r="A1465" s="280"/>
      <c r="B1465" s="31"/>
      <c r="C1465" s="31"/>
      <c r="D1465" s="191"/>
      <c r="E1465" s="285"/>
      <c r="F1465" s="279"/>
    </row>
    <row r="1466" spans="1:7" hidden="1" outlineLevel="1">
      <c r="A1466" s="280"/>
      <c r="B1466" s="31"/>
      <c r="C1466" s="31"/>
      <c r="D1466" s="191"/>
      <c r="E1466" s="285"/>
      <c r="F1466" s="279"/>
    </row>
    <row r="1467" spans="1:7" hidden="1" outlineLevel="1">
      <c r="A1467" s="8"/>
      <c r="B1467" s="1"/>
      <c r="C1467" s="1"/>
      <c r="D1467" s="1"/>
      <c r="E1467" s="1"/>
      <c r="F1467" s="2"/>
    </row>
    <row r="1468" spans="1:7" hidden="1" outlineLevel="1">
      <c r="A1468" s="8"/>
      <c r="B1468" s="1"/>
      <c r="C1468" s="1"/>
      <c r="D1468" s="1"/>
      <c r="E1468" s="1"/>
      <c r="F1468" s="2"/>
    </row>
    <row r="1469" spans="1:7" hidden="1" outlineLevel="1">
      <c r="A1469" s="8"/>
      <c r="B1469" s="1"/>
      <c r="C1469" s="1"/>
      <c r="D1469" s="1"/>
      <c r="E1469" s="1"/>
      <c r="F1469" s="2"/>
    </row>
    <row r="1470" spans="1:7" hidden="1" outlineLevel="1">
      <c r="A1470" s="8"/>
      <c r="B1470" s="1"/>
      <c r="C1470" s="1"/>
      <c r="D1470" s="1"/>
      <c r="E1470" s="1"/>
      <c r="F1470" s="2"/>
    </row>
    <row r="1471" spans="1:7" hidden="1" outlineLevel="1">
      <c r="A1471" s="8"/>
      <c r="B1471" s="1"/>
      <c r="C1471" s="1"/>
      <c r="D1471" s="1"/>
      <c r="E1471" s="1"/>
      <c r="F1471" s="2"/>
    </row>
    <row r="1472" spans="1:7" ht="15.75" hidden="1" outlineLevel="1" thickBot="1">
      <c r="A1472" s="9"/>
      <c r="B1472" s="3"/>
      <c r="C1472" s="3"/>
      <c r="D1472" s="3"/>
      <c r="E1472" s="3"/>
      <c r="F1472" s="4"/>
    </row>
    <row r="1473" spans="1:7" ht="16.5" hidden="1" outlineLevel="1" thickTop="1" thickBot="1"/>
    <row r="1474" spans="1:7" ht="15.75" hidden="1" outlineLevel="1" thickTop="1">
      <c r="A1474" s="3782" t="s">
        <v>0</v>
      </c>
      <c r="B1474" s="3781" t="s">
        <v>1</v>
      </c>
      <c r="C1474" s="3781" t="s">
        <v>2</v>
      </c>
      <c r="D1474" s="3781" t="s">
        <v>3</v>
      </c>
      <c r="E1474" s="3781" t="s">
        <v>4</v>
      </c>
      <c r="F1474" s="3765" t="s">
        <v>5</v>
      </c>
    </row>
    <row r="1475" spans="1:7" ht="15.75" hidden="1" outlineLevel="1" thickBot="1">
      <c r="A1475" s="3783"/>
      <c r="B1475" s="3767"/>
      <c r="C1475" s="3767"/>
      <c r="D1475" s="3767"/>
      <c r="E1475" s="3767"/>
      <c r="F1475" s="3766"/>
    </row>
    <row r="1476" spans="1:7" ht="15.75" hidden="1" outlineLevel="1" thickTop="1">
      <c r="A1476" s="277" t="s">
        <v>1233</v>
      </c>
      <c r="B1476" s="191" t="s">
        <v>1171</v>
      </c>
      <c r="C1476" s="191" t="s">
        <v>857</v>
      </c>
      <c r="D1476" s="191" t="s">
        <v>325</v>
      </c>
      <c r="E1476" s="285">
        <v>0.2</v>
      </c>
      <c r="F1476" s="279">
        <v>12845</v>
      </c>
      <c r="G1476" s="176">
        <f>F1476/0.8</f>
        <v>16056.25</v>
      </c>
    </row>
    <row r="1477" spans="1:7" hidden="1" outlineLevel="1">
      <c r="A1477" s="280"/>
      <c r="B1477" s="31"/>
      <c r="C1477" s="31" t="s">
        <v>1218</v>
      </c>
      <c r="D1477" s="191" t="s">
        <v>325</v>
      </c>
      <c r="E1477" s="285">
        <v>0.2</v>
      </c>
      <c r="F1477" s="279">
        <v>12845</v>
      </c>
      <c r="G1477" s="176">
        <f>F1477/0.8</f>
        <v>16056.25</v>
      </c>
    </row>
    <row r="1478" spans="1:7" hidden="1" outlineLevel="1">
      <c r="A1478" s="280"/>
      <c r="B1478" s="31"/>
      <c r="C1478" s="31" t="s">
        <v>855</v>
      </c>
      <c r="D1478" s="191" t="s">
        <v>325</v>
      </c>
      <c r="E1478" s="285">
        <v>0.2</v>
      </c>
      <c r="F1478" s="279">
        <v>12845</v>
      </c>
      <c r="G1478" s="176">
        <f>F1478/0.8</f>
        <v>16056.25</v>
      </c>
    </row>
    <row r="1479" spans="1:7" hidden="1" outlineLevel="1">
      <c r="A1479" s="280"/>
      <c r="B1479" s="31"/>
      <c r="C1479" s="31"/>
      <c r="D1479" s="191"/>
      <c r="E1479" s="285"/>
      <c r="F1479" s="279"/>
      <c r="G1479" s="176"/>
    </row>
    <row r="1480" spans="1:7" hidden="1" outlineLevel="1">
      <c r="A1480" s="280"/>
      <c r="B1480" s="31"/>
      <c r="C1480" s="31"/>
      <c r="D1480" s="191"/>
      <c r="E1480" s="285"/>
      <c r="F1480" s="279"/>
      <c r="G1480" s="176"/>
    </row>
    <row r="1481" spans="1:7" hidden="1" outlineLevel="1">
      <c r="A1481" s="280"/>
      <c r="B1481" s="31"/>
      <c r="C1481" s="31"/>
      <c r="D1481" s="191"/>
      <c r="E1481" s="285"/>
      <c r="F1481" s="279"/>
      <c r="G1481" s="176"/>
    </row>
    <row r="1482" spans="1:7" hidden="1" outlineLevel="1">
      <c r="A1482" s="280"/>
      <c r="B1482" s="31"/>
      <c r="C1482" s="31"/>
      <c r="D1482" s="31"/>
      <c r="E1482" s="31"/>
      <c r="F1482" s="281"/>
      <c r="G1482" s="176"/>
    </row>
    <row r="1483" spans="1:7" hidden="1" outlineLevel="1">
      <c r="A1483" s="280"/>
      <c r="B1483" s="31"/>
      <c r="C1483" s="31"/>
      <c r="D1483" s="31"/>
      <c r="E1483" s="31"/>
      <c r="F1483" s="281"/>
      <c r="G1483" s="176"/>
    </row>
    <row r="1484" spans="1:7" hidden="1" outlineLevel="1">
      <c r="A1484" s="280"/>
      <c r="B1484" s="31"/>
      <c r="C1484" s="31"/>
      <c r="D1484" s="31"/>
      <c r="E1484" s="31"/>
      <c r="F1484" s="281"/>
      <c r="G1484" s="176"/>
    </row>
    <row r="1485" spans="1:7" hidden="1" outlineLevel="1">
      <c r="A1485" s="280"/>
      <c r="B1485" s="31"/>
      <c r="C1485" s="31"/>
      <c r="D1485" s="31"/>
      <c r="E1485" s="31"/>
      <c r="F1485" s="281"/>
      <c r="G1485" s="176"/>
    </row>
    <row r="1486" spans="1:7" hidden="1" outlineLevel="1">
      <c r="A1486" s="8"/>
      <c r="B1486" s="1"/>
      <c r="C1486" s="1"/>
      <c r="D1486" s="1"/>
      <c r="E1486" s="1"/>
      <c r="F1486" s="2"/>
    </row>
    <row r="1487" spans="1:7" ht="15.75" hidden="1" outlineLevel="1" thickBot="1">
      <c r="A1487" s="9"/>
      <c r="B1487" s="3"/>
      <c r="C1487" s="3"/>
      <c r="D1487" s="3"/>
      <c r="E1487" s="3"/>
      <c r="F1487" s="4"/>
    </row>
    <row r="1488" spans="1:7" ht="16.5" hidden="1" outlineLevel="1" thickTop="1" thickBot="1"/>
    <row r="1489" spans="1:7" ht="15.75" hidden="1" outlineLevel="1" thickTop="1">
      <c r="A1489" s="3782" t="s">
        <v>0</v>
      </c>
      <c r="B1489" s="3781" t="s">
        <v>1</v>
      </c>
      <c r="C1489" s="3781" t="s">
        <v>2</v>
      </c>
      <c r="D1489" s="3781" t="s">
        <v>3</v>
      </c>
      <c r="E1489" s="3781" t="s">
        <v>4</v>
      </c>
      <c r="F1489" s="3765" t="s">
        <v>5</v>
      </c>
    </row>
    <row r="1490" spans="1:7" ht="15.75" hidden="1" outlineLevel="1" thickBot="1">
      <c r="A1490" s="3783"/>
      <c r="B1490" s="3767"/>
      <c r="C1490" s="3767"/>
      <c r="D1490" s="3767"/>
      <c r="E1490" s="3767"/>
      <c r="F1490" s="3766"/>
    </row>
    <row r="1491" spans="1:7" ht="15.75" hidden="1" outlineLevel="1" thickTop="1">
      <c r="A1491" s="277" t="s">
        <v>1233</v>
      </c>
      <c r="B1491" s="191" t="s">
        <v>1171</v>
      </c>
      <c r="C1491" s="191" t="s">
        <v>933</v>
      </c>
      <c r="D1491" s="191" t="s">
        <v>325</v>
      </c>
      <c r="E1491" s="285">
        <v>0.2</v>
      </c>
      <c r="F1491" s="279">
        <v>24291</v>
      </c>
      <c r="G1491" s="176">
        <f>F1491/0.8</f>
        <v>30363.75</v>
      </c>
    </row>
    <row r="1492" spans="1:7" hidden="1" outlineLevel="1">
      <c r="A1492" s="280"/>
      <c r="B1492" s="31"/>
      <c r="C1492" s="31" t="s">
        <v>934</v>
      </c>
      <c r="D1492" s="191" t="s">
        <v>325</v>
      </c>
      <c r="E1492" s="285">
        <v>0.2</v>
      </c>
      <c r="F1492" s="279">
        <v>24291</v>
      </c>
      <c r="G1492" s="176"/>
    </row>
    <row r="1493" spans="1:7" hidden="1" outlineLevel="1">
      <c r="A1493" s="280"/>
      <c r="B1493" s="31"/>
      <c r="C1493" s="31"/>
      <c r="D1493" s="191"/>
      <c r="E1493" s="285"/>
      <c r="F1493" s="279"/>
      <c r="G1493" s="176"/>
    </row>
    <row r="1494" spans="1:7" hidden="1" outlineLevel="1">
      <c r="A1494" s="280"/>
      <c r="B1494" s="31"/>
      <c r="C1494" s="31"/>
      <c r="D1494" s="191"/>
      <c r="E1494" s="285"/>
      <c r="F1494" s="279"/>
      <c r="G1494" s="176"/>
    </row>
    <row r="1495" spans="1:7" hidden="1" outlineLevel="1">
      <c r="A1495" s="280"/>
      <c r="B1495" s="31"/>
      <c r="C1495" s="31"/>
      <c r="D1495" s="191"/>
      <c r="E1495" s="285"/>
      <c r="F1495" s="279"/>
      <c r="G1495" s="176"/>
    </row>
    <row r="1496" spans="1:7" hidden="1" outlineLevel="1">
      <c r="A1496" s="280"/>
      <c r="B1496" s="31"/>
      <c r="C1496" s="31"/>
      <c r="D1496" s="191"/>
      <c r="E1496" s="285"/>
      <c r="F1496" s="279"/>
      <c r="G1496" s="176"/>
    </row>
    <row r="1497" spans="1:7" hidden="1" outlineLevel="1">
      <c r="A1497" s="280"/>
      <c r="B1497" s="31"/>
      <c r="C1497" s="31"/>
      <c r="D1497" s="31"/>
      <c r="E1497" s="31"/>
      <c r="F1497" s="281"/>
      <c r="G1497" s="176"/>
    </row>
    <row r="1498" spans="1:7" hidden="1" outlineLevel="1">
      <c r="A1498" s="8"/>
      <c r="B1498" s="1"/>
      <c r="C1498" s="1"/>
      <c r="D1498" s="1"/>
      <c r="E1498" s="1"/>
      <c r="F1498" s="2"/>
    </row>
    <row r="1499" spans="1:7" hidden="1" outlineLevel="1">
      <c r="A1499" s="8"/>
      <c r="B1499" s="1"/>
      <c r="C1499" s="1"/>
      <c r="D1499" s="1"/>
      <c r="E1499" s="1"/>
      <c r="F1499" s="2"/>
    </row>
    <row r="1500" spans="1:7" hidden="1" outlineLevel="1">
      <c r="A1500" s="8"/>
      <c r="B1500" s="1"/>
      <c r="C1500" s="1"/>
      <c r="D1500" s="1"/>
      <c r="E1500" s="1"/>
      <c r="F1500" s="2"/>
    </row>
    <row r="1501" spans="1:7" hidden="1" outlineLevel="1">
      <c r="A1501" s="8"/>
      <c r="B1501" s="1"/>
      <c r="C1501" s="1"/>
      <c r="D1501" s="1"/>
      <c r="E1501" s="1"/>
      <c r="F1501" s="2"/>
    </row>
    <row r="1502" spans="1:7" ht="15.75" hidden="1" outlineLevel="1" thickBot="1">
      <c r="A1502" s="9"/>
      <c r="B1502" s="3"/>
      <c r="C1502" s="3"/>
      <c r="D1502" s="3"/>
      <c r="E1502" s="3"/>
      <c r="F1502" s="4"/>
    </row>
    <row r="1503" spans="1:7" ht="16.5" hidden="1" outlineLevel="1" thickTop="1" thickBot="1"/>
    <row r="1504" spans="1:7" ht="15.75" hidden="1" outlineLevel="1" thickTop="1">
      <c r="A1504" s="3782" t="s">
        <v>0</v>
      </c>
      <c r="B1504" s="3781" t="s">
        <v>1</v>
      </c>
      <c r="C1504" s="3781" t="s">
        <v>2</v>
      </c>
      <c r="D1504" s="3781" t="s">
        <v>3</v>
      </c>
      <c r="E1504" s="3781" t="s">
        <v>4</v>
      </c>
      <c r="F1504" s="3765" t="s">
        <v>5</v>
      </c>
    </row>
    <row r="1505" spans="1:7" ht="15.75" hidden="1" outlineLevel="1" thickBot="1">
      <c r="A1505" s="3783"/>
      <c r="B1505" s="3767"/>
      <c r="C1505" s="3767"/>
      <c r="D1505" s="3767"/>
      <c r="E1505" s="3767"/>
      <c r="F1505" s="3766"/>
    </row>
    <row r="1506" spans="1:7" ht="15.75" hidden="1" outlineLevel="1" thickTop="1">
      <c r="A1506" s="277" t="s">
        <v>1222</v>
      </c>
      <c r="B1506" s="191" t="s">
        <v>1171</v>
      </c>
      <c r="C1506" s="191" t="s">
        <v>869</v>
      </c>
      <c r="D1506" s="191" t="s">
        <v>325</v>
      </c>
      <c r="E1506" s="285">
        <v>7.0000000000000007E-2</v>
      </c>
      <c r="F1506" s="279">
        <v>8990</v>
      </c>
      <c r="G1506" s="176">
        <f>F1506/0.93</f>
        <v>9666.6666666666661</v>
      </c>
    </row>
    <row r="1507" spans="1:7" hidden="1" outlineLevel="1">
      <c r="A1507" s="280"/>
      <c r="B1507" s="31"/>
      <c r="C1507" s="31" t="s">
        <v>870</v>
      </c>
      <c r="D1507" s="191" t="s">
        <v>325</v>
      </c>
      <c r="E1507" s="285">
        <v>7.0000000000000007E-2</v>
      </c>
      <c r="F1507" s="279">
        <v>8990</v>
      </c>
      <c r="G1507" s="176">
        <f>F1507/0.93</f>
        <v>9666.6666666666661</v>
      </c>
    </row>
    <row r="1508" spans="1:7" hidden="1" outlineLevel="1">
      <c r="A1508" s="280"/>
      <c r="B1508" s="31"/>
      <c r="C1508" s="31" t="s">
        <v>940</v>
      </c>
      <c r="D1508" s="191" t="s">
        <v>325</v>
      </c>
      <c r="E1508" s="285">
        <v>7.0000000000000007E-2</v>
      </c>
      <c r="F1508" s="279">
        <v>49523</v>
      </c>
      <c r="G1508" s="176">
        <f>F1508/0.93</f>
        <v>53250.537634408596</v>
      </c>
    </row>
    <row r="1509" spans="1:7" hidden="1" outlineLevel="1">
      <c r="A1509" s="280"/>
      <c r="B1509" s="31"/>
      <c r="C1509" s="31" t="s">
        <v>786</v>
      </c>
      <c r="D1509" s="191" t="s">
        <v>325</v>
      </c>
      <c r="E1509" s="285">
        <v>7.0000000000000007E-2</v>
      </c>
      <c r="F1509" s="279">
        <v>49523</v>
      </c>
      <c r="G1509" s="176">
        <f>F1509/0.93</f>
        <v>53250.537634408596</v>
      </c>
    </row>
    <row r="1510" spans="1:7" hidden="1" outlineLevel="1">
      <c r="A1510" s="280"/>
      <c r="B1510" s="31"/>
      <c r="C1510" s="31"/>
      <c r="D1510" s="191"/>
      <c r="E1510" s="285"/>
      <c r="F1510" s="279"/>
      <c r="G1510" s="176"/>
    </row>
    <row r="1511" spans="1:7" hidden="1" outlineLevel="1">
      <c r="A1511" s="280"/>
      <c r="B1511" s="31"/>
      <c r="C1511" s="31"/>
      <c r="D1511" s="191"/>
      <c r="E1511" s="285"/>
      <c r="F1511" s="279"/>
      <c r="G1511" s="176"/>
    </row>
    <row r="1512" spans="1:7" hidden="1" outlineLevel="1">
      <c r="A1512" s="8"/>
      <c r="B1512" s="1"/>
      <c r="C1512" s="1"/>
      <c r="D1512" s="1"/>
      <c r="E1512" s="1"/>
      <c r="F1512" s="2"/>
    </row>
    <row r="1513" spans="1:7" hidden="1" outlineLevel="1">
      <c r="A1513" s="8"/>
      <c r="B1513" s="1"/>
      <c r="C1513" s="1"/>
      <c r="D1513" s="1"/>
      <c r="E1513" s="1"/>
      <c r="F1513" s="2"/>
    </row>
    <row r="1514" spans="1:7" hidden="1" outlineLevel="1">
      <c r="A1514" s="8"/>
      <c r="B1514" s="1"/>
      <c r="C1514" s="1"/>
      <c r="D1514" s="1"/>
      <c r="E1514" s="1"/>
      <c r="F1514" s="2"/>
    </row>
    <row r="1515" spans="1:7" hidden="1" outlineLevel="1">
      <c r="A1515" s="8"/>
      <c r="B1515" s="1"/>
      <c r="C1515" s="1"/>
      <c r="D1515" s="1"/>
      <c r="E1515" s="1"/>
      <c r="F1515" s="2"/>
    </row>
    <row r="1516" spans="1:7" hidden="1" outlineLevel="1">
      <c r="A1516" s="8"/>
      <c r="B1516" s="1"/>
      <c r="C1516" s="1"/>
      <c r="D1516" s="1"/>
      <c r="E1516" s="1"/>
      <c r="F1516" s="2"/>
    </row>
    <row r="1517" spans="1:7" ht="15.75" hidden="1" outlineLevel="1" thickBot="1">
      <c r="A1517" s="9"/>
      <c r="B1517" s="3"/>
      <c r="C1517" s="3"/>
      <c r="D1517" s="3"/>
      <c r="E1517" s="3"/>
      <c r="F1517" s="4"/>
    </row>
    <row r="1518" spans="1:7" ht="16.5" hidden="1" outlineLevel="1" thickTop="1" thickBot="1"/>
    <row r="1519" spans="1:7" ht="15.75" hidden="1" outlineLevel="1" thickTop="1">
      <c r="A1519" s="3782" t="s">
        <v>0</v>
      </c>
      <c r="B1519" s="3781" t="s">
        <v>1</v>
      </c>
      <c r="C1519" s="3781" t="s">
        <v>2</v>
      </c>
      <c r="D1519" s="3781" t="s">
        <v>3</v>
      </c>
      <c r="E1519" s="3781" t="s">
        <v>4</v>
      </c>
      <c r="F1519" s="3765" t="s">
        <v>5</v>
      </c>
    </row>
    <row r="1520" spans="1:7" ht="15.75" hidden="1" outlineLevel="1" thickBot="1">
      <c r="A1520" s="3783"/>
      <c r="B1520" s="3767"/>
      <c r="C1520" s="3767"/>
      <c r="D1520" s="3767"/>
      <c r="E1520" s="3767"/>
      <c r="F1520" s="3766"/>
    </row>
    <row r="1521" spans="1:7" ht="15.75" hidden="1" outlineLevel="1" thickTop="1">
      <c r="A1521" s="277" t="s">
        <v>1238</v>
      </c>
      <c r="B1521" s="191" t="s">
        <v>1171</v>
      </c>
      <c r="C1521" s="191" t="s">
        <v>71</v>
      </c>
      <c r="D1521" s="191" t="s">
        <v>325</v>
      </c>
      <c r="E1521" s="285">
        <v>0.15</v>
      </c>
      <c r="F1521" s="279">
        <v>150086</v>
      </c>
    </row>
    <row r="1522" spans="1:7" hidden="1" outlineLevel="1">
      <c r="A1522" s="280"/>
      <c r="B1522" s="31"/>
      <c r="C1522" s="31" t="s">
        <v>74</v>
      </c>
      <c r="D1522" s="191" t="s">
        <v>325</v>
      </c>
      <c r="E1522" s="285">
        <v>0.15</v>
      </c>
      <c r="F1522" s="279">
        <v>150086</v>
      </c>
    </row>
    <row r="1523" spans="1:7" hidden="1" outlineLevel="1">
      <c r="A1523" s="280"/>
      <c r="B1523" s="31"/>
      <c r="C1523" s="31" t="s">
        <v>73</v>
      </c>
      <c r="D1523" s="191" t="s">
        <v>325</v>
      </c>
      <c r="E1523" s="285">
        <v>0.15</v>
      </c>
      <c r="F1523" s="279">
        <v>150086</v>
      </c>
    </row>
    <row r="1524" spans="1:7" hidden="1" outlineLevel="1">
      <c r="A1524" s="280"/>
      <c r="B1524" s="31"/>
      <c r="C1524" s="31"/>
      <c r="D1524" s="191"/>
      <c r="E1524" s="285"/>
      <c r="F1524" s="279"/>
    </row>
    <row r="1525" spans="1:7" hidden="1" outlineLevel="1">
      <c r="A1525" s="280"/>
      <c r="B1525" s="31"/>
      <c r="C1525" s="31"/>
      <c r="D1525" s="191"/>
      <c r="E1525" s="285"/>
      <c r="F1525" s="279"/>
    </row>
    <row r="1526" spans="1:7" hidden="1" outlineLevel="1">
      <c r="A1526" s="280"/>
      <c r="B1526" s="31"/>
      <c r="C1526" s="31"/>
      <c r="D1526" s="191"/>
      <c r="E1526" s="285"/>
      <c r="F1526" s="279"/>
    </row>
    <row r="1527" spans="1:7" hidden="1" outlineLevel="1">
      <c r="A1527" s="8"/>
      <c r="B1527" s="1"/>
      <c r="C1527" s="1"/>
      <c r="D1527" s="1"/>
      <c r="E1527" s="1"/>
      <c r="F1527" s="2"/>
    </row>
    <row r="1528" spans="1:7" hidden="1" outlineLevel="1">
      <c r="A1528" s="8"/>
      <c r="B1528" s="1"/>
      <c r="C1528" s="1"/>
      <c r="D1528" s="1"/>
      <c r="E1528" s="1"/>
      <c r="F1528" s="2"/>
    </row>
    <row r="1529" spans="1:7" hidden="1" outlineLevel="1">
      <c r="A1529" s="8"/>
      <c r="B1529" s="1"/>
      <c r="C1529" s="1"/>
      <c r="D1529" s="1"/>
      <c r="E1529" s="1"/>
      <c r="F1529" s="2"/>
    </row>
    <row r="1530" spans="1:7" hidden="1" outlineLevel="1">
      <c r="A1530" s="8"/>
      <c r="B1530" s="1"/>
      <c r="C1530" s="1"/>
      <c r="D1530" s="1"/>
      <c r="E1530" s="1"/>
      <c r="F1530" s="2"/>
    </row>
    <row r="1531" spans="1:7" hidden="1" outlineLevel="1">
      <c r="A1531" s="8"/>
      <c r="B1531" s="1"/>
      <c r="C1531" s="1"/>
      <c r="D1531" s="1"/>
      <c r="E1531" s="1"/>
      <c r="F1531" s="2"/>
    </row>
    <row r="1532" spans="1:7" ht="15.75" hidden="1" outlineLevel="1" thickBot="1">
      <c r="A1532" s="9"/>
      <c r="B1532" s="3"/>
      <c r="C1532" s="3"/>
      <c r="D1532" s="3"/>
      <c r="E1532" s="3"/>
      <c r="F1532" s="4"/>
    </row>
    <row r="1533" spans="1:7" ht="16.5" hidden="1" outlineLevel="1" thickTop="1" thickBot="1"/>
    <row r="1534" spans="1:7" ht="15.75" hidden="1" outlineLevel="1" thickTop="1">
      <c r="A1534" s="3782" t="s">
        <v>0</v>
      </c>
      <c r="B1534" s="3781" t="s">
        <v>1</v>
      </c>
      <c r="C1534" s="3781" t="s">
        <v>2</v>
      </c>
      <c r="D1534" s="3781" t="s">
        <v>3</v>
      </c>
      <c r="E1534" s="3781" t="s">
        <v>4</v>
      </c>
      <c r="F1534" s="3765" t="s">
        <v>5</v>
      </c>
    </row>
    <row r="1535" spans="1:7" ht="15.75" hidden="1" outlineLevel="1" thickBot="1">
      <c r="A1535" s="3783"/>
      <c r="B1535" s="3767"/>
      <c r="C1535" s="3767"/>
      <c r="D1535" s="3767"/>
      <c r="E1535" s="3767"/>
      <c r="F1535" s="3766"/>
    </row>
    <row r="1536" spans="1:7" ht="15.75" hidden="1" outlineLevel="1" thickTop="1">
      <c r="A1536" s="7" t="s">
        <v>1239</v>
      </c>
      <c r="B1536" s="5" t="s">
        <v>1171</v>
      </c>
      <c r="C1536" s="5" t="s">
        <v>326</v>
      </c>
      <c r="D1536" s="5" t="s">
        <v>325</v>
      </c>
      <c r="E1536" s="12">
        <v>0.15</v>
      </c>
      <c r="F1536" s="6">
        <v>169912</v>
      </c>
      <c r="G1536">
        <f>F1536/0.85</f>
        <v>199896.4705882353</v>
      </c>
    </row>
    <row r="1537" spans="1:6" hidden="1" outlineLevel="1">
      <c r="A1537" s="8"/>
      <c r="B1537" s="1"/>
      <c r="C1537" s="1" t="s">
        <v>327</v>
      </c>
      <c r="D1537" s="5" t="s">
        <v>325</v>
      </c>
      <c r="E1537" s="12">
        <v>0.15</v>
      </c>
      <c r="F1537" s="6">
        <v>169912</v>
      </c>
    </row>
    <row r="1538" spans="1:6" hidden="1" outlineLevel="1">
      <c r="A1538" s="8"/>
      <c r="B1538" s="1"/>
      <c r="C1538" s="1" t="s">
        <v>328</v>
      </c>
      <c r="D1538" s="5" t="s">
        <v>325</v>
      </c>
      <c r="E1538" s="12">
        <v>0.15</v>
      </c>
      <c r="F1538" s="6">
        <v>169912</v>
      </c>
    </row>
    <row r="1539" spans="1:6" hidden="1" outlineLevel="1">
      <c r="A1539" s="8"/>
      <c r="B1539" s="1"/>
      <c r="C1539" s="1" t="s">
        <v>160</v>
      </c>
      <c r="D1539" s="5" t="s">
        <v>325</v>
      </c>
      <c r="E1539" s="12">
        <v>0.15</v>
      </c>
      <c r="F1539" s="6">
        <v>152381</v>
      </c>
    </row>
    <row r="1540" spans="1:6" hidden="1" outlineLevel="1">
      <c r="A1540" s="8"/>
      <c r="B1540" s="1"/>
      <c r="C1540" s="1" t="s">
        <v>113</v>
      </c>
      <c r="D1540" s="5" t="s">
        <v>325</v>
      </c>
      <c r="E1540" s="12">
        <v>0.15</v>
      </c>
      <c r="F1540" s="6">
        <v>152381</v>
      </c>
    </row>
    <row r="1541" spans="1:6" hidden="1" outlineLevel="1">
      <c r="A1541" s="8"/>
      <c r="B1541" s="1"/>
      <c r="C1541" s="1" t="s">
        <v>161</v>
      </c>
      <c r="D1541" s="5" t="s">
        <v>325</v>
      </c>
      <c r="E1541" s="12">
        <v>0.15</v>
      </c>
      <c r="F1541" s="6">
        <v>152381</v>
      </c>
    </row>
    <row r="1542" spans="1:6" hidden="1" outlineLevel="1">
      <c r="A1542" s="8"/>
      <c r="B1542" s="1"/>
      <c r="C1542" s="1"/>
      <c r="D1542" s="5"/>
      <c r="E1542" s="1"/>
      <c r="F1542" s="6"/>
    </row>
    <row r="1543" spans="1:6" hidden="1" outlineLevel="1">
      <c r="A1543" s="8"/>
      <c r="B1543" s="1"/>
      <c r="C1543" s="1"/>
      <c r="D1543" s="1"/>
      <c r="E1543" s="1"/>
      <c r="F1543" s="2"/>
    </row>
    <row r="1544" spans="1:6" hidden="1" outlineLevel="1">
      <c r="A1544" s="8"/>
      <c r="B1544" s="1"/>
      <c r="C1544" s="1"/>
      <c r="D1544" s="1"/>
      <c r="E1544" s="1"/>
      <c r="F1544" s="2"/>
    </row>
    <row r="1545" spans="1:6" hidden="1" outlineLevel="1">
      <c r="A1545" s="8"/>
      <c r="B1545" s="1"/>
      <c r="C1545" s="1"/>
      <c r="D1545" s="1"/>
      <c r="E1545" s="1"/>
      <c r="F1545" s="2"/>
    </row>
    <row r="1546" spans="1:6" hidden="1" outlineLevel="1">
      <c r="A1546" s="8"/>
      <c r="B1546" s="1"/>
      <c r="C1546" s="1"/>
      <c r="D1546" s="1"/>
      <c r="E1546" s="1"/>
      <c r="F1546" s="2"/>
    </row>
    <row r="1547" spans="1:6" ht="15.75" hidden="1" outlineLevel="1" thickBot="1">
      <c r="A1547" s="9"/>
      <c r="B1547" s="3"/>
      <c r="C1547" s="3"/>
      <c r="D1547" s="3"/>
      <c r="E1547" s="3"/>
      <c r="F1547" s="4"/>
    </row>
    <row r="1548" spans="1:6" ht="16.5" hidden="1" outlineLevel="1" thickTop="1" thickBot="1"/>
    <row r="1549" spans="1:6" ht="15.75" hidden="1" outlineLevel="1" thickTop="1">
      <c r="A1549" s="3782" t="s">
        <v>0</v>
      </c>
      <c r="B1549" s="3781" t="s">
        <v>1</v>
      </c>
      <c r="C1549" s="3781" t="s">
        <v>2</v>
      </c>
      <c r="D1549" s="3781" t="s">
        <v>3</v>
      </c>
      <c r="E1549" s="3781" t="s">
        <v>4</v>
      </c>
      <c r="F1549" s="3765" t="s">
        <v>5</v>
      </c>
    </row>
    <row r="1550" spans="1:6" ht="15.75" hidden="1" outlineLevel="1" thickBot="1">
      <c r="A1550" s="3783"/>
      <c r="B1550" s="3767"/>
      <c r="C1550" s="3767"/>
      <c r="D1550" s="3767"/>
      <c r="E1550" s="3767"/>
      <c r="F1550" s="3766"/>
    </row>
    <row r="1551" spans="1:6" ht="15.75" hidden="1" outlineLevel="1" thickTop="1">
      <c r="A1551" s="277" t="s">
        <v>1242</v>
      </c>
      <c r="B1551" s="191" t="s">
        <v>1171</v>
      </c>
      <c r="C1551" s="31" t="s">
        <v>1218</v>
      </c>
      <c r="D1551" s="191" t="s">
        <v>325</v>
      </c>
      <c r="E1551" s="285"/>
      <c r="F1551" s="279">
        <v>13648</v>
      </c>
    </row>
    <row r="1552" spans="1:6" hidden="1" outlineLevel="1">
      <c r="A1552" s="280"/>
      <c r="B1552" s="31"/>
      <c r="C1552" s="31" t="s">
        <v>855</v>
      </c>
      <c r="D1552" s="191" t="s">
        <v>325</v>
      </c>
      <c r="E1552" s="285"/>
      <c r="F1552" s="279">
        <v>13648</v>
      </c>
    </row>
    <row r="1553" spans="1:6" hidden="1" outlineLevel="1">
      <c r="A1553" s="280"/>
      <c r="B1553" s="31"/>
      <c r="C1553" s="31"/>
      <c r="D1553" s="191"/>
      <c r="E1553" s="285"/>
      <c r="F1553" s="279"/>
    </row>
    <row r="1554" spans="1:6" hidden="1" outlineLevel="1">
      <c r="A1554" s="280"/>
      <c r="B1554" s="31"/>
      <c r="C1554" s="31"/>
      <c r="D1554" s="191"/>
      <c r="E1554" s="285"/>
      <c r="F1554" s="279"/>
    </row>
    <row r="1555" spans="1:6" hidden="1" outlineLevel="1">
      <c r="A1555" s="280"/>
      <c r="B1555" s="31"/>
      <c r="C1555" s="31"/>
      <c r="D1555" s="191"/>
      <c r="E1555" s="285"/>
      <c r="F1555" s="279"/>
    </row>
    <row r="1556" spans="1:6" hidden="1" outlineLevel="1">
      <c r="A1556" s="280"/>
      <c r="B1556" s="31"/>
      <c r="C1556" s="31"/>
      <c r="D1556" s="191"/>
      <c r="E1556" s="285"/>
      <c r="F1556" s="279"/>
    </row>
    <row r="1557" spans="1:6" hidden="1" outlineLevel="1">
      <c r="A1557" s="8"/>
      <c r="B1557" s="1"/>
      <c r="C1557" s="1"/>
      <c r="D1557" s="1"/>
      <c r="E1557" s="1"/>
      <c r="F1557" s="2"/>
    </row>
    <row r="1558" spans="1:6" hidden="1" outlineLevel="1">
      <c r="A1558" s="8"/>
      <c r="B1558" s="1"/>
      <c r="C1558" s="1"/>
      <c r="D1558" s="1"/>
      <c r="E1558" s="1"/>
      <c r="F1558" s="2"/>
    </row>
    <row r="1559" spans="1:6" hidden="1" outlineLevel="1">
      <c r="A1559" s="8"/>
      <c r="B1559" s="1"/>
      <c r="C1559" s="1"/>
      <c r="D1559" s="1"/>
      <c r="E1559" s="1"/>
      <c r="F1559" s="2"/>
    </row>
    <row r="1560" spans="1:6" hidden="1" outlineLevel="1">
      <c r="A1560" s="8"/>
      <c r="B1560" s="1"/>
      <c r="C1560" s="1"/>
      <c r="D1560" s="1"/>
      <c r="E1560" s="1"/>
      <c r="F1560" s="2"/>
    </row>
    <row r="1561" spans="1:6" hidden="1" outlineLevel="1">
      <c r="A1561" s="8"/>
      <c r="B1561" s="1"/>
      <c r="C1561" s="1"/>
      <c r="D1561" s="1"/>
      <c r="E1561" s="1"/>
      <c r="F1561" s="2"/>
    </row>
    <row r="1562" spans="1:6" ht="15.75" hidden="1" outlineLevel="1" thickBot="1">
      <c r="A1562" s="9"/>
      <c r="B1562" s="3"/>
      <c r="C1562" s="3"/>
      <c r="D1562" s="3"/>
      <c r="E1562" s="3"/>
      <c r="F1562" s="4"/>
    </row>
    <row r="1563" spans="1:6" ht="16.5" hidden="1" outlineLevel="1" thickTop="1" thickBot="1"/>
    <row r="1564" spans="1:6" ht="15.75" hidden="1" outlineLevel="1" thickTop="1">
      <c r="A1564" s="3782" t="s">
        <v>0</v>
      </c>
      <c r="B1564" s="3781" t="s">
        <v>1</v>
      </c>
      <c r="C1564" s="3781" t="s">
        <v>2</v>
      </c>
      <c r="D1564" s="3781" t="s">
        <v>3</v>
      </c>
      <c r="E1564" s="3781" t="s">
        <v>4</v>
      </c>
      <c r="F1564" s="3765" t="s">
        <v>5</v>
      </c>
    </row>
    <row r="1565" spans="1:6" ht="15.75" hidden="1" outlineLevel="1" thickBot="1">
      <c r="A1565" s="3783"/>
      <c r="B1565" s="3767"/>
      <c r="C1565" s="3767"/>
      <c r="D1565" s="3767"/>
      <c r="E1565" s="3767"/>
      <c r="F1565" s="3766"/>
    </row>
    <row r="1566" spans="1:6" ht="15.75" hidden="1" outlineLevel="1" thickTop="1">
      <c r="A1566" s="7" t="s">
        <v>1292</v>
      </c>
      <c r="B1566" s="5" t="s">
        <v>106</v>
      </c>
      <c r="C1566" s="5" t="s">
        <v>933</v>
      </c>
      <c r="D1566" s="5" t="s">
        <v>325</v>
      </c>
      <c r="E1566" s="12">
        <v>0.2</v>
      </c>
      <c r="F1566" s="6">
        <v>21365</v>
      </c>
    </row>
    <row r="1567" spans="1:6" hidden="1" outlineLevel="1">
      <c r="A1567" s="8"/>
      <c r="B1567" s="1"/>
      <c r="C1567" s="1" t="s">
        <v>934</v>
      </c>
      <c r="D1567" s="5" t="s">
        <v>325</v>
      </c>
      <c r="E1567" s="12">
        <v>0.2</v>
      </c>
      <c r="F1567" s="6">
        <v>21365</v>
      </c>
    </row>
    <row r="1568" spans="1:6" hidden="1" outlineLevel="1">
      <c r="A1568" s="8"/>
      <c r="B1568" s="1"/>
      <c r="C1568" s="1" t="s">
        <v>1174</v>
      </c>
      <c r="D1568" s="5" t="s">
        <v>325</v>
      </c>
      <c r="E1568" s="12">
        <v>0.15</v>
      </c>
      <c r="F1568" s="6">
        <v>22545</v>
      </c>
    </row>
    <row r="1569" spans="1:7" hidden="1" outlineLevel="1">
      <c r="A1569" s="8"/>
      <c r="B1569" s="1"/>
      <c r="C1569" s="1" t="s">
        <v>1175</v>
      </c>
      <c r="D1569" s="5" t="s">
        <v>325</v>
      </c>
      <c r="E1569" s="12">
        <v>0.15</v>
      </c>
      <c r="F1569" s="6">
        <v>36291</v>
      </c>
    </row>
    <row r="1570" spans="1:7" hidden="1" outlineLevel="1">
      <c r="A1570" s="8"/>
      <c r="B1570" s="1"/>
      <c r="C1570" s="1" t="s">
        <v>1266</v>
      </c>
      <c r="D1570" s="5" t="s">
        <v>325</v>
      </c>
      <c r="E1570" s="12">
        <v>0.15</v>
      </c>
      <c r="F1570" s="6">
        <v>34615</v>
      </c>
    </row>
    <row r="1571" spans="1:7" hidden="1" outlineLevel="1">
      <c r="A1571" s="8"/>
      <c r="B1571" s="1"/>
      <c r="C1571" s="31" t="s">
        <v>730</v>
      </c>
      <c r="D1571" s="191" t="s">
        <v>325</v>
      </c>
      <c r="E1571" s="285">
        <v>0.15</v>
      </c>
      <c r="F1571" s="279">
        <v>6874</v>
      </c>
      <c r="G1571">
        <f t="shared" ref="G1571:G1579" si="5">F1571/0.85</f>
        <v>8087.0588235294117</v>
      </c>
    </row>
    <row r="1572" spans="1:7" hidden="1" outlineLevel="1">
      <c r="A1572" s="8"/>
      <c r="B1572" s="1"/>
      <c r="C1572" s="31" t="s">
        <v>1120</v>
      </c>
      <c r="D1572" s="191" t="s">
        <v>325</v>
      </c>
      <c r="E1572" s="285">
        <v>0.15</v>
      </c>
      <c r="F1572" s="279">
        <v>4160</v>
      </c>
      <c r="G1572">
        <f t="shared" si="5"/>
        <v>4894.1176470588234</v>
      </c>
    </row>
    <row r="1573" spans="1:7" hidden="1" outlineLevel="1">
      <c r="A1573" s="8"/>
      <c r="B1573" s="1"/>
      <c r="C1573" s="31" t="s">
        <v>1267</v>
      </c>
      <c r="D1573" s="191" t="s">
        <v>325</v>
      </c>
      <c r="E1573" s="285">
        <v>0.15</v>
      </c>
      <c r="F1573" s="279">
        <v>6091</v>
      </c>
      <c r="G1573">
        <f t="shared" si="5"/>
        <v>7165.8823529411766</v>
      </c>
    </row>
    <row r="1574" spans="1:7" hidden="1" outlineLevel="1">
      <c r="A1574" s="8"/>
      <c r="B1574" s="1"/>
      <c r="C1574" s="31" t="s">
        <v>1268</v>
      </c>
      <c r="D1574" s="191" t="s">
        <v>325</v>
      </c>
      <c r="E1574" s="285">
        <v>0.15</v>
      </c>
      <c r="F1574" s="279">
        <v>9033</v>
      </c>
      <c r="G1574">
        <f t="shared" si="5"/>
        <v>10627.058823529413</v>
      </c>
    </row>
    <row r="1575" spans="1:7" hidden="1" outlineLevel="1">
      <c r="A1575" s="8"/>
      <c r="B1575" s="1"/>
      <c r="C1575" s="31" t="s">
        <v>858</v>
      </c>
      <c r="D1575" s="191" t="s">
        <v>325</v>
      </c>
      <c r="E1575" s="285">
        <v>0.15</v>
      </c>
      <c r="F1575" s="279">
        <v>7921</v>
      </c>
      <c r="G1575">
        <f t="shared" si="5"/>
        <v>9318.8235294117658</v>
      </c>
    </row>
    <row r="1576" spans="1:7" hidden="1" outlineLevel="1">
      <c r="A1576" s="8"/>
      <c r="B1576" s="1"/>
      <c r="C1576" s="31" t="s">
        <v>1269</v>
      </c>
      <c r="D1576" s="191" t="s">
        <v>325</v>
      </c>
      <c r="E1576" s="285">
        <v>0.15</v>
      </c>
      <c r="F1576" s="279">
        <v>7921</v>
      </c>
      <c r="G1576">
        <f t="shared" si="5"/>
        <v>9318.8235294117658</v>
      </c>
    </row>
    <row r="1577" spans="1:7" hidden="1" outlineLevel="1">
      <c r="A1577" s="8"/>
      <c r="B1577" s="1"/>
      <c r="C1577" s="31" t="s">
        <v>636</v>
      </c>
      <c r="D1577" s="191" t="s">
        <v>325</v>
      </c>
      <c r="E1577" s="285">
        <v>0.15</v>
      </c>
      <c r="F1577" s="279">
        <v>8366</v>
      </c>
      <c r="G1577">
        <f t="shared" si="5"/>
        <v>9842.3529411764703</v>
      </c>
    </row>
    <row r="1578" spans="1:7" hidden="1" outlineLevel="1">
      <c r="A1578" s="8"/>
      <c r="B1578" s="1"/>
      <c r="C1578" s="31" t="s">
        <v>554</v>
      </c>
      <c r="D1578" s="191" t="s">
        <v>325</v>
      </c>
      <c r="E1578" s="285">
        <v>0.15</v>
      </c>
      <c r="F1578" s="279">
        <v>9829</v>
      </c>
      <c r="G1578">
        <f t="shared" si="5"/>
        <v>11563.529411764706</v>
      </c>
    </row>
    <row r="1579" spans="1:7" hidden="1" outlineLevel="1">
      <c r="A1579" s="8"/>
      <c r="B1579" s="1"/>
      <c r="C1579" s="31" t="s">
        <v>1119</v>
      </c>
      <c r="D1579" s="191" t="s">
        <v>325</v>
      </c>
      <c r="E1579" s="285">
        <v>0.15</v>
      </c>
      <c r="F1579" s="279">
        <v>9829</v>
      </c>
      <c r="G1579">
        <f t="shared" si="5"/>
        <v>11563.529411764706</v>
      </c>
    </row>
    <row r="1580" spans="1:7" hidden="1" outlineLevel="1">
      <c r="A1580" s="8"/>
      <c r="B1580" s="1"/>
      <c r="C1580" s="1" t="s">
        <v>1251</v>
      </c>
      <c r="D1580" s="5" t="s">
        <v>325</v>
      </c>
      <c r="E1580" s="12">
        <v>0.15</v>
      </c>
      <c r="F1580" s="6">
        <v>84595</v>
      </c>
      <c r="G1580" s="15"/>
    </row>
    <row r="1581" spans="1:7" hidden="1" outlineLevel="1">
      <c r="A1581" s="8"/>
      <c r="B1581" s="1"/>
      <c r="C1581" s="1" t="s">
        <v>1252</v>
      </c>
      <c r="D1581" s="5" t="s">
        <v>325</v>
      </c>
      <c r="E1581" s="12">
        <v>0.15</v>
      </c>
      <c r="F1581" s="6">
        <v>84595</v>
      </c>
      <c r="G1581" s="15"/>
    </row>
    <row r="1582" spans="1:7" hidden="1" outlineLevel="1">
      <c r="A1582" s="8"/>
      <c r="B1582" s="1"/>
      <c r="C1582" s="1" t="s">
        <v>1270</v>
      </c>
      <c r="D1582" s="5" t="s">
        <v>325</v>
      </c>
      <c r="E1582" s="12">
        <v>0.15</v>
      </c>
      <c r="F1582" s="6">
        <v>261981</v>
      </c>
      <c r="G1582" s="15"/>
    </row>
    <row r="1583" spans="1:7" hidden="1" outlineLevel="1">
      <c r="A1583" s="8"/>
      <c r="B1583" s="1"/>
      <c r="C1583" s="1" t="s">
        <v>1271</v>
      </c>
      <c r="D1583" s="5" t="s">
        <v>325</v>
      </c>
      <c r="E1583" s="12">
        <v>0.15</v>
      </c>
      <c r="F1583" s="6">
        <v>261981</v>
      </c>
      <c r="G1583" s="15"/>
    </row>
    <row r="1584" spans="1:7" hidden="1" outlineLevel="1">
      <c r="A1584" s="8"/>
      <c r="B1584" s="1"/>
      <c r="C1584" s="1" t="s">
        <v>1253</v>
      </c>
      <c r="D1584" s="5" t="s">
        <v>325</v>
      </c>
      <c r="E1584" s="12">
        <v>0.15</v>
      </c>
      <c r="F1584" s="6">
        <v>86454</v>
      </c>
      <c r="G1584" s="15"/>
    </row>
    <row r="1585" spans="1:7" hidden="1" outlineLevel="1">
      <c r="A1585" s="8"/>
      <c r="B1585" s="1"/>
      <c r="C1585" s="1" t="s">
        <v>1254</v>
      </c>
      <c r="D1585" s="5" t="s">
        <v>325</v>
      </c>
      <c r="E1585" s="12">
        <v>0.15</v>
      </c>
      <c r="F1585" s="6">
        <v>86454</v>
      </c>
      <c r="G1585" s="15"/>
    </row>
    <row r="1586" spans="1:7" hidden="1" outlineLevel="1">
      <c r="A1586" s="8"/>
      <c r="B1586" s="1"/>
      <c r="C1586" s="1" t="s">
        <v>549</v>
      </c>
      <c r="D1586" s="5" t="s">
        <v>325</v>
      </c>
      <c r="E1586" s="12">
        <v>0.15</v>
      </c>
      <c r="F1586" s="6">
        <v>245179</v>
      </c>
      <c r="G1586" s="15"/>
    </row>
    <row r="1587" spans="1:7" hidden="1" outlineLevel="1">
      <c r="A1587" s="8"/>
      <c r="B1587" s="1"/>
      <c r="C1587" s="1" t="s">
        <v>1258</v>
      </c>
      <c r="D1587" s="5" t="s">
        <v>325</v>
      </c>
      <c r="E1587" s="12">
        <v>0.15</v>
      </c>
      <c r="F1587" s="6">
        <v>245179</v>
      </c>
      <c r="G1587" s="15"/>
    </row>
    <row r="1588" spans="1:7" hidden="1" outlineLevel="1">
      <c r="A1588" s="8"/>
      <c r="B1588" s="1"/>
      <c r="C1588" s="1" t="s">
        <v>1255</v>
      </c>
      <c r="D1588" s="5" t="s">
        <v>325</v>
      </c>
      <c r="E1588" s="12">
        <v>0.15</v>
      </c>
      <c r="F1588" s="6">
        <v>72325</v>
      </c>
      <c r="G1588" s="15"/>
    </row>
    <row r="1589" spans="1:7" hidden="1" outlineLevel="1">
      <c r="A1589" s="8"/>
      <c r="B1589" s="1"/>
      <c r="C1589" s="1" t="s">
        <v>1256</v>
      </c>
      <c r="D1589" s="5" t="s">
        <v>325</v>
      </c>
      <c r="E1589" s="12">
        <v>0.15</v>
      </c>
      <c r="F1589" s="6">
        <v>72325</v>
      </c>
      <c r="G1589" s="15"/>
    </row>
    <row r="1590" spans="1:7" hidden="1" outlineLevel="1">
      <c r="A1590" s="8"/>
      <c r="B1590" s="1"/>
      <c r="C1590" s="1" t="s">
        <v>550</v>
      </c>
      <c r="D1590" s="5" t="s">
        <v>325</v>
      </c>
      <c r="E1590" s="12">
        <v>0.15</v>
      </c>
      <c r="F1590" s="6">
        <v>209773</v>
      </c>
      <c r="G1590" s="15"/>
    </row>
    <row r="1591" spans="1:7" hidden="1" outlineLevel="1">
      <c r="A1591" s="8"/>
      <c r="B1591" s="1"/>
      <c r="C1591" s="1" t="s">
        <v>1259</v>
      </c>
      <c r="D1591" s="5" t="s">
        <v>325</v>
      </c>
      <c r="E1591" s="12">
        <v>0.15</v>
      </c>
      <c r="F1591" s="6">
        <v>209773</v>
      </c>
      <c r="G1591" s="15"/>
    </row>
    <row r="1592" spans="1:7" hidden="1" outlineLevel="1">
      <c r="A1592" s="8"/>
      <c r="B1592" s="1"/>
      <c r="C1592" s="1" t="s">
        <v>1264</v>
      </c>
      <c r="D1592" s="5" t="s">
        <v>325</v>
      </c>
      <c r="E1592" s="14">
        <v>0.15</v>
      </c>
      <c r="F1592" s="2">
        <v>15277</v>
      </c>
      <c r="G1592" s="15"/>
    </row>
    <row r="1593" spans="1:7" hidden="1" outlineLevel="1">
      <c r="A1593" s="8"/>
      <c r="B1593" s="1"/>
      <c r="C1593" s="1" t="s">
        <v>1262</v>
      </c>
      <c r="D1593" s="5" t="s">
        <v>325</v>
      </c>
      <c r="E1593" s="14">
        <v>0.15</v>
      </c>
      <c r="F1593" s="2">
        <v>20375</v>
      </c>
      <c r="G1593" s="15"/>
    </row>
    <row r="1594" spans="1:7" hidden="1" outlineLevel="1">
      <c r="A1594" s="8"/>
      <c r="B1594" s="1"/>
      <c r="C1594" s="1" t="s">
        <v>1263</v>
      </c>
      <c r="D1594" s="5" t="s">
        <v>325</v>
      </c>
      <c r="E1594" s="14">
        <v>0.15</v>
      </c>
      <c r="F1594" s="2">
        <v>20375</v>
      </c>
      <c r="G1594" s="15"/>
    </row>
    <row r="1595" spans="1:7" hidden="1" outlineLevel="1">
      <c r="A1595" s="8"/>
      <c r="B1595" s="1"/>
      <c r="C1595" s="1" t="s">
        <v>1260</v>
      </c>
      <c r="D1595" s="5" t="s">
        <v>325</v>
      </c>
      <c r="E1595" s="14">
        <v>0.15</v>
      </c>
      <c r="F1595" s="2">
        <v>27449</v>
      </c>
      <c r="G1595" s="15"/>
    </row>
    <row r="1596" spans="1:7" ht="15.75" hidden="1" outlineLevel="1" thickBot="1">
      <c r="A1596" s="9"/>
      <c r="B1596" s="3"/>
      <c r="C1596" s="3" t="s">
        <v>1272</v>
      </c>
      <c r="D1596" s="5" t="s">
        <v>325</v>
      </c>
      <c r="E1596" s="368">
        <v>0.15</v>
      </c>
      <c r="F1596" s="4">
        <v>27449</v>
      </c>
      <c r="G1596" s="15"/>
    </row>
    <row r="1597" spans="1:7" ht="16.5" hidden="1" outlineLevel="1" thickTop="1" thickBot="1"/>
    <row r="1598" spans="1:7" ht="15.75" hidden="1" outlineLevel="1" thickTop="1">
      <c r="A1598" s="3782" t="s">
        <v>0</v>
      </c>
      <c r="B1598" s="3781" t="s">
        <v>1</v>
      </c>
      <c r="C1598" s="3781" t="s">
        <v>2</v>
      </c>
      <c r="D1598" s="3781" t="s">
        <v>3</v>
      </c>
      <c r="E1598" s="3781" t="s">
        <v>4</v>
      </c>
      <c r="F1598" s="3765" t="s">
        <v>5</v>
      </c>
    </row>
    <row r="1599" spans="1:7" ht="15.75" hidden="1" outlineLevel="1" thickBot="1">
      <c r="A1599" s="3783"/>
      <c r="B1599" s="3767"/>
      <c r="C1599" s="3767"/>
      <c r="D1599" s="3767"/>
      <c r="E1599" s="3767"/>
      <c r="F1599" s="3766"/>
    </row>
    <row r="1600" spans="1:7" ht="15.75" hidden="1" outlineLevel="1" thickTop="1">
      <c r="A1600" s="7" t="s">
        <v>1278</v>
      </c>
      <c r="B1600" s="5" t="s">
        <v>1171</v>
      </c>
      <c r="C1600" s="1" t="s">
        <v>1251</v>
      </c>
      <c r="D1600" s="5" t="s">
        <v>325</v>
      </c>
      <c r="E1600" s="12">
        <v>0.06</v>
      </c>
      <c r="F1600" s="369">
        <v>79698</v>
      </c>
      <c r="G1600">
        <v>84679</v>
      </c>
    </row>
    <row r="1601" spans="1:7" hidden="1" outlineLevel="1">
      <c r="A1601" s="8"/>
      <c r="B1601" s="1"/>
      <c r="C1601" s="1" t="s">
        <v>1252</v>
      </c>
      <c r="D1601" s="5" t="s">
        <v>325</v>
      </c>
      <c r="E1601" s="12">
        <v>0.06</v>
      </c>
      <c r="F1601" s="369">
        <v>79698</v>
      </c>
      <c r="G1601">
        <v>84679</v>
      </c>
    </row>
    <row r="1602" spans="1:7" hidden="1" outlineLevel="1">
      <c r="A1602" s="8"/>
      <c r="B1602" s="1"/>
      <c r="C1602" s="1" t="s">
        <v>1253</v>
      </c>
      <c r="D1602" s="5" t="s">
        <v>325</v>
      </c>
      <c r="E1602" s="12">
        <v>0.06</v>
      </c>
      <c r="F1602" s="369">
        <v>74045</v>
      </c>
      <c r="G1602">
        <v>78673</v>
      </c>
    </row>
    <row r="1603" spans="1:7" hidden="1" outlineLevel="1">
      <c r="A1603" s="8"/>
      <c r="B1603" s="1"/>
      <c r="C1603" s="1" t="s">
        <v>1254</v>
      </c>
      <c r="D1603" s="5" t="s">
        <v>325</v>
      </c>
      <c r="E1603" s="12">
        <v>0.06</v>
      </c>
      <c r="F1603" s="369">
        <v>74045</v>
      </c>
      <c r="G1603">
        <v>78673</v>
      </c>
    </row>
    <row r="1604" spans="1:7" hidden="1" outlineLevel="1">
      <c r="A1604" s="8"/>
      <c r="B1604" s="1"/>
      <c r="C1604" s="1" t="s">
        <v>1255</v>
      </c>
      <c r="D1604" s="5" t="s">
        <v>325</v>
      </c>
      <c r="E1604" s="12">
        <v>0.06</v>
      </c>
      <c r="F1604" s="369">
        <v>61943</v>
      </c>
      <c r="G1604">
        <v>65815</v>
      </c>
    </row>
    <row r="1605" spans="1:7" hidden="1" outlineLevel="1">
      <c r="A1605" s="8"/>
      <c r="B1605" s="1"/>
      <c r="C1605" s="1" t="s">
        <v>1256</v>
      </c>
      <c r="D1605" s="5" t="s">
        <v>325</v>
      </c>
      <c r="E1605" s="12">
        <v>0.06</v>
      </c>
      <c r="F1605" s="369">
        <v>61943</v>
      </c>
      <c r="G1605">
        <v>65815</v>
      </c>
    </row>
    <row r="1606" spans="1:7" hidden="1" outlineLevel="1">
      <c r="A1606" s="8"/>
      <c r="B1606" s="1"/>
      <c r="C1606" s="1" t="s">
        <v>160</v>
      </c>
      <c r="D1606" s="5" t="s">
        <v>325</v>
      </c>
      <c r="E1606" s="12">
        <v>0.06</v>
      </c>
      <c r="F1606" s="2">
        <v>170308</v>
      </c>
      <c r="G1606">
        <f>F1606/0.94</f>
        <v>181178.72340425532</v>
      </c>
    </row>
    <row r="1607" spans="1:7" hidden="1" outlineLevel="1">
      <c r="A1607" s="8"/>
      <c r="B1607" s="1"/>
      <c r="C1607" s="1" t="s">
        <v>113</v>
      </c>
      <c r="D1607" s="5" t="s">
        <v>325</v>
      </c>
      <c r="E1607" s="12">
        <v>0.06</v>
      </c>
      <c r="F1607" s="2">
        <v>170308</v>
      </c>
    </row>
    <row r="1608" spans="1:7" hidden="1" outlineLevel="1">
      <c r="A1608" s="8"/>
      <c r="B1608" s="1"/>
      <c r="C1608" s="1" t="s">
        <v>161</v>
      </c>
      <c r="D1608" s="5" t="s">
        <v>325</v>
      </c>
      <c r="E1608" s="12">
        <v>0.06</v>
      </c>
      <c r="F1608" s="2">
        <v>170308</v>
      </c>
    </row>
    <row r="1609" spans="1:7" hidden="1" outlineLevel="1">
      <c r="A1609" s="8"/>
      <c r="B1609" s="1"/>
      <c r="C1609" s="1"/>
      <c r="D1609" s="1"/>
      <c r="E1609" s="1"/>
      <c r="F1609" s="2"/>
    </row>
    <row r="1610" spans="1:7" hidden="1" outlineLevel="1">
      <c r="A1610" s="8"/>
      <c r="B1610" s="1"/>
      <c r="C1610" s="1"/>
      <c r="D1610" s="1"/>
      <c r="E1610" s="1"/>
      <c r="F1610" s="2"/>
    </row>
    <row r="1611" spans="1:7" ht="15.75" hidden="1" outlineLevel="1" thickBot="1">
      <c r="A1611" s="9"/>
      <c r="B1611" s="3"/>
      <c r="C1611" s="3"/>
      <c r="D1611" s="3"/>
      <c r="E1611" s="3"/>
      <c r="F1611" s="4"/>
    </row>
    <row r="1612" spans="1:7" ht="16.5" hidden="1" outlineLevel="1" thickTop="1" thickBot="1"/>
    <row r="1613" spans="1:7" ht="15.75" hidden="1" outlineLevel="1" thickTop="1">
      <c r="A1613" s="3782" t="s">
        <v>0</v>
      </c>
      <c r="B1613" s="3781" t="s">
        <v>1</v>
      </c>
      <c r="C1613" s="3781" t="s">
        <v>2</v>
      </c>
      <c r="D1613" s="3781" t="s">
        <v>3</v>
      </c>
      <c r="E1613" s="3781" t="s">
        <v>4</v>
      </c>
      <c r="F1613" s="3765" t="s">
        <v>5</v>
      </c>
    </row>
    <row r="1614" spans="1:7" ht="15.75" hidden="1" outlineLevel="1" thickBot="1">
      <c r="A1614" s="3783"/>
      <c r="B1614" s="3767"/>
      <c r="C1614" s="3767"/>
      <c r="D1614" s="3767"/>
      <c r="E1614" s="3767"/>
      <c r="F1614" s="3766"/>
    </row>
    <row r="1615" spans="1:7" ht="15.75" hidden="1" outlineLevel="1" thickTop="1">
      <c r="A1615" s="7" t="s">
        <v>1292</v>
      </c>
      <c r="B1615" s="5" t="s">
        <v>106</v>
      </c>
      <c r="C1615" s="5" t="s">
        <v>1293</v>
      </c>
      <c r="D1615" s="5" t="s">
        <v>325</v>
      </c>
      <c r="E1615" s="12">
        <v>0.15</v>
      </c>
      <c r="F1615" s="6">
        <v>98979</v>
      </c>
      <c r="G1615">
        <v>116446</v>
      </c>
    </row>
    <row r="1616" spans="1:7" hidden="1" outlineLevel="1">
      <c r="A1616" s="8"/>
      <c r="B1616" s="1"/>
      <c r="C1616" s="1" t="s">
        <v>1294</v>
      </c>
      <c r="D1616" s="5" t="s">
        <v>325</v>
      </c>
      <c r="E1616" s="12">
        <v>0.15</v>
      </c>
      <c r="F1616" s="6">
        <v>91461</v>
      </c>
      <c r="G1616">
        <v>107601</v>
      </c>
    </row>
    <row r="1617" spans="1:7" hidden="1" outlineLevel="1">
      <c r="A1617" s="8"/>
      <c r="B1617" s="1"/>
      <c r="C1617" s="1" t="s">
        <v>1295</v>
      </c>
      <c r="D1617" s="5" t="s">
        <v>325</v>
      </c>
      <c r="E1617" s="12">
        <v>0.15</v>
      </c>
      <c r="F1617" s="6">
        <v>84902</v>
      </c>
      <c r="G1617">
        <v>99885</v>
      </c>
    </row>
    <row r="1618" spans="1:7" hidden="1" outlineLevel="1">
      <c r="A1618" s="8"/>
      <c r="B1618" s="1"/>
      <c r="C1618" s="1"/>
      <c r="D1618" s="5"/>
      <c r="E1618" s="12"/>
      <c r="F1618" s="6"/>
    </row>
    <row r="1619" spans="1:7" hidden="1" outlineLevel="1">
      <c r="A1619" s="8"/>
      <c r="B1619" s="1"/>
      <c r="C1619" s="1"/>
      <c r="D1619" s="5"/>
      <c r="E1619" s="12"/>
      <c r="F1619" s="6"/>
    </row>
    <row r="1620" spans="1:7" hidden="1" outlineLevel="1">
      <c r="A1620" s="8"/>
      <c r="B1620" s="1"/>
      <c r="C1620" s="1"/>
      <c r="D1620" s="5"/>
      <c r="E1620" s="12"/>
      <c r="F1620" s="6"/>
    </row>
    <row r="1621" spans="1:7" hidden="1" outlineLevel="1">
      <c r="A1621" s="8"/>
      <c r="B1621" s="1"/>
      <c r="C1621" s="1"/>
      <c r="D1621" s="1"/>
      <c r="E1621" s="1"/>
      <c r="F1621" s="2"/>
    </row>
    <row r="1622" spans="1:7" hidden="1" outlineLevel="1">
      <c r="A1622" s="8"/>
      <c r="B1622" s="1"/>
      <c r="C1622" s="1"/>
      <c r="D1622" s="1"/>
      <c r="E1622" s="1"/>
      <c r="F1622" s="2"/>
    </row>
    <row r="1623" spans="1:7" hidden="1" outlineLevel="1">
      <c r="A1623" s="8"/>
      <c r="B1623" s="1"/>
      <c r="C1623" s="1"/>
      <c r="D1623" s="1"/>
      <c r="E1623" s="1"/>
      <c r="F1623" s="2"/>
    </row>
    <row r="1624" spans="1:7" hidden="1" outlineLevel="1">
      <c r="A1624" s="8"/>
      <c r="B1624" s="1"/>
      <c r="C1624" s="1"/>
      <c r="D1624" s="1"/>
      <c r="E1624" s="1"/>
      <c r="F1624" s="2"/>
    </row>
    <row r="1625" spans="1:7" hidden="1" outlineLevel="1">
      <c r="A1625" s="8"/>
      <c r="B1625" s="1"/>
      <c r="C1625" s="1"/>
      <c r="D1625" s="1"/>
      <c r="E1625" s="1"/>
      <c r="F1625" s="2"/>
    </row>
    <row r="1626" spans="1:7" ht="15.75" hidden="1" outlineLevel="1" thickBot="1">
      <c r="A1626" s="9"/>
      <c r="B1626" s="3"/>
      <c r="C1626" s="3"/>
      <c r="D1626" s="3"/>
      <c r="E1626" s="3"/>
      <c r="F1626" s="4"/>
    </row>
    <row r="1627" spans="1:7" ht="16.5" hidden="1" outlineLevel="1" thickTop="1" thickBot="1"/>
    <row r="1628" spans="1:7" ht="15.75" hidden="1" outlineLevel="1" thickTop="1">
      <c r="A1628" s="3782" t="s">
        <v>0</v>
      </c>
      <c r="B1628" s="3781" t="s">
        <v>1</v>
      </c>
      <c r="C1628" s="3781" t="s">
        <v>2</v>
      </c>
      <c r="D1628" s="3781" t="s">
        <v>3</v>
      </c>
      <c r="E1628" s="3781" t="s">
        <v>4</v>
      </c>
      <c r="F1628" s="3765" t="s">
        <v>5</v>
      </c>
    </row>
    <row r="1629" spans="1:7" ht="15.75" hidden="1" outlineLevel="1" thickBot="1">
      <c r="A1629" s="3783"/>
      <c r="B1629" s="3767"/>
      <c r="C1629" s="3767"/>
      <c r="D1629" s="3767"/>
      <c r="E1629" s="3767"/>
      <c r="F1629" s="3766"/>
    </row>
    <row r="1630" spans="1:7" ht="15.75" hidden="1" outlineLevel="1" thickTop="1">
      <c r="A1630" s="7" t="s">
        <v>1296</v>
      </c>
      <c r="B1630" s="5" t="s">
        <v>1171</v>
      </c>
      <c r="C1630" s="5" t="s">
        <v>328</v>
      </c>
      <c r="D1630" s="5" t="s">
        <v>325</v>
      </c>
      <c r="E1630" s="12">
        <v>0.15</v>
      </c>
      <c r="F1630" s="6">
        <v>169912</v>
      </c>
      <c r="G1630">
        <v>199897</v>
      </c>
    </row>
    <row r="1631" spans="1:7" hidden="1" outlineLevel="1">
      <c r="A1631" s="8"/>
      <c r="B1631" s="1"/>
      <c r="C1631" s="1" t="s">
        <v>326</v>
      </c>
      <c r="D1631" s="5" t="s">
        <v>325</v>
      </c>
      <c r="E1631" s="12">
        <v>0.15</v>
      </c>
      <c r="F1631" s="6">
        <v>169912</v>
      </c>
      <c r="G1631">
        <v>199897</v>
      </c>
    </row>
    <row r="1632" spans="1:7" hidden="1" outlineLevel="1">
      <c r="A1632" s="8"/>
      <c r="B1632" s="1"/>
      <c r="C1632" s="1" t="s">
        <v>327</v>
      </c>
      <c r="D1632" s="5" t="s">
        <v>325</v>
      </c>
      <c r="E1632" s="12">
        <v>0.15</v>
      </c>
      <c r="F1632" s="6">
        <v>169912</v>
      </c>
      <c r="G1632">
        <v>199897</v>
      </c>
    </row>
    <row r="1633" spans="1:7" hidden="1" outlineLevel="1">
      <c r="A1633" s="8"/>
      <c r="B1633" s="1"/>
      <c r="C1633" s="1" t="s">
        <v>623</v>
      </c>
      <c r="D1633" s="5" t="s">
        <v>325</v>
      </c>
      <c r="E1633" s="12">
        <v>0.15</v>
      </c>
      <c r="F1633" s="6">
        <v>17422</v>
      </c>
      <c r="G1633">
        <v>20496</v>
      </c>
    </row>
    <row r="1634" spans="1:7" hidden="1" outlineLevel="1">
      <c r="A1634" s="8"/>
      <c r="B1634" s="1"/>
      <c r="C1634" s="1"/>
      <c r="D1634" s="5"/>
      <c r="E1634" s="12"/>
      <c r="F1634" s="6"/>
    </row>
    <row r="1635" spans="1:7" hidden="1" outlineLevel="1">
      <c r="A1635" s="8"/>
      <c r="B1635" s="1"/>
      <c r="C1635" s="1"/>
      <c r="D1635" s="5"/>
      <c r="E1635" s="12"/>
      <c r="F1635" s="6"/>
    </row>
    <row r="1636" spans="1:7" hidden="1" outlineLevel="1">
      <c r="A1636" s="8"/>
      <c r="B1636" s="1"/>
      <c r="C1636" s="1"/>
      <c r="D1636" s="1"/>
      <c r="E1636" s="1"/>
      <c r="F1636" s="2"/>
    </row>
    <row r="1637" spans="1:7" hidden="1" outlineLevel="1">
      <c r="A1637" s="8"/>
      <c r="B1637" s="1"/>
      <c r="C1637" s="1"/>
      <c r="D1637" s="1"/>
      <c r="E1637" s="1"/>
      <c r="F1637" s="2"/>
    </row>
    <row r="1638" spans="1:7" hidden="1" outlineLevel="1">
      <c r="A1638" s="8"/>
      <c r="B1638" s="1"/>
      <c r="C1638" s="1"/>
      <c r="D1638" s="1"/>
      <c r="E1638" s="1"/>
      <c r="F1638" s="2"/>
    </row>
    <row r="1639" spans="1:7" hidden="1" outlineLevel="1">
      <c r="A1639" s="8"/>
      <c r="B1639" s="1"/>
      <c r="C1639" s="1"/>
      <c r="D1639" s="1"/>
      <c r="E1639" s="1"/>
      <c r="F1639" s="2"/>
    </row>
    <row r="1640" spans="1:7" hidden="1" outlineLevel="1">
      <c r="A1640" s="8"/>
      <c r="B1640" s="1"/>
      <c r="C1640" s="1"/>
      <c r="D1640" s="1"/>
      <c r="E1640" s="1"/>
      <c r="F1640" s="2"/>
    </row>
    <row r="1641" spans="1:7" ht="15.75" hidden="1" outlineLevel="1" thickBot="1">
      <c r="A1641" s="9"/>
      <c r="B1641" s="3"/>
      <c r="C1641" s="3"/>
      <c r="D1641" s="3"/>
      <c r="E1641" s="3"/>
      <c r="F1641" s="4"/>
    </row>
    <row r="1642" spans="1:7" ht="16.5" hidden="1" outlineLevel="1" thickTop="1" thickBot="1"/>
    <row r="1643" spans="1:7" ht="15.75" hidden="1" outlineLevel="1" thickTop="1">
      <c r="A1643" s="3782" t="s">
        <v>0</v>
      </c>
      <c r="B1643" s="3781" t="s">
        <v>1</v>
      </c>
      <c r="C1643" s="3781" t="s">
        <v>2</v>
      </c>
      <c r="D1643" s="3781" t="s">
        <v>3</v>
      </c>
      <c r="E1643" s="3781" t="s">
        <v>4</v>
      </c>
      <c r="F1643" s="3765" t="s">
        <v>5</v>
      </c>
    </row>
    <row r="1644" spans="1:7" ht="15.75" hidden="1" outlineLevel="1" thickBot="1">
      <c r="A1644" s="3783"/>
      <c r="B1644" s="3767"/>
      <c r="C1644" s="3767"/>
      <c r="D1644" s="3767"/>
      <c r="E1644" s="3767"/>
      <c r="F1644" s="3766"/>
    </row>
    <row r="1645" spans="1:7" ht="15.75" hidden="1" outlineLevel="1" thickTop="1">
      <c r="A1645" s="7" t="s">
        <v>1333</v>
      </c>
      <c r="B1645" s="5" t="s">
        <v>1171</v>
      </c>
      <c r="C1645" s="5" t="s">
        <v>52</v>
      </c>
      <c r="D1645" s="5" t="s">
        <v>325</v>
      </c>
      <c r="E1645" s="12">
        <v>0.3</v>
      </c>
      <c r="F1645" s="6">
        <v>9839</v>
      </c>
    </row>
    <row r="1646" spans="1:7" hidden="1" outlineLevel="1">
      <c r="A1646" s="8"/>
      <c r="B1646" s="1"/>
      <c r="C1646" s="1" t="s">
        <v>68</v>
      </c>
      <c r="D1646" s="5" t="s">
        <v>325</v>
      </c>
      <c r="E1646" s="12">
        <v>0.3</v>
      </c>
      <c r="F1646" s="6">
        <v>9839</v>
      </c>
    </row>
    <row r="1647" spans="1:7" hidden="1" outlineLevel="1">
      <c r="A1647" s="8"/>
      <c r="B1647" s="1"/>
      <c r="C1647" s="1"/>
      <c r="D1647" s="5"/>
      <c r="E1647" s="12"/>
      <c r="F1647" s="6"/>
    </row>
    <row r="1648" spans="1:7" hidden="1" outlineLevel="1">
      <c r="A1648" s="8"/>
      <c r="B1648" s="1"/>
      <c r="C1648" s="1"/>
      <c r="D1648" s="5"/>
      <c r="E1648" s="12"/>
      <c r="F1648" s="6"/>
    </row>
    <row r="1649" spans="1:7" hidden="1" outlineLevel="1">
      <c r="A1649" s="8"/>
      <c r="B1649" s="1"/>
      <c r="C1649" s="1"/>
      <c r="D1649" s="5"/>
      <c r="E1649" s="12"/>
      <c r="F1649" s="6"/>
    </row>
    <row r="1650" spans="1:7" hidden="1" outlineLevel="1">
      <c r="A1650" s="8"/>
      <c r="B1650" s="1"/>
      <c r="C1650" s="1"/>
      <c r="D1650" s="5"/>
      <c r="E1650" s="12"/>
      <c r="F1650" s="6"/>
    </row>
    <row r="1651" spans="1:7" hidden="1" outlineLevel="1">
      <c r="A1651" s="8"/>
      <c r="B1651" s="1"/>
      <c r="C1651" s="1"/>
      <c r="D1651" s="1"/>
      <c r="E1651" s="1"/>
      <c r="F1651" s="2"/>
    </row>
    <row r="1652" spans="1:7" hidden="1" outlineLevel="1">
      <c r="A1652" s="8"/>
      <c r="B1652" s="1"/>
      <c r="C1652" s="1"/>
      <c r="D1652" s="1"/>
      <c r="E1652" s="1"/>
      <c r="F1652" s="2"/>
    </row>
    <row r="1653" spans="1:7" hidden="1" outlineLevel="1">
      <c r="A1653" s="8"/>
      <c r="B1653" s="1"/>
      <c r="C1653" s="1"/>
      <c r="D1653" s="1"/>
      <c r="E1653" s="1"/>
      <c r="F1653" s="2"/>
    </row>
    <row r="1654" spans="1:7" hidden="1" outlineLevel="1">
      <c r="A1654" s="8"/>
      <c r="B1654" s="1"/>
      <c r="C1654" s="1"/>
      <c r="D1654" s="1"/>
      <c r="E1654" s="1"/>
      <c r="F1654" s="2"/>
    </row>
    <row r="1655" spans="1:7" hidden="1" outlineLevel="1">
      <c r="A1655" s="8"/>
      <c r="B1655" s="1"/>
      <c r="C1655" s="1"/>
      <c r="D1655" s="1"/>
      <c r="E1655" s="1"/>
      <c r="F1655" s="2"/>
    </row>
    <row r="1656" spans="1:7" ht="15.75" hidden="1" outlineLevel="1" thickBot="1">
      <c r="A1656" s="9"/>
      <c r="B1656" s="3"/>
      <c r="C1656" s="3"/>
      <c r="D1656" s="3"/>
      <c r="E1656" s="3"/>
      <c r="F1656" s="4"/>
    </row>
    <row r="1657" spans="1:7" ht="16.5" hidden="1" outlineLevel="1" thickTop="1" thickBot="1"/>
    <row r="1658" spans="1:7" ht="15.75" hidden="1" outlineLevel="1" thickTop="1">
      <c r="A1658" s="3782" t="s">
        <v>0</v>
      </c>
      <c r="B1658" s="3781" t="s">
        <v>1</v>
      </c>
      <c r="C1658" s="3781" t="s">
        <v>2</v>
      </c>
      <c r="D1658" s="3781" t="s">
        <v>3</v>
      </c>
      <c r="E1658" s="3781" t="s">
        <v>4</v>
      </c>
      <c r="F1658" s="3765" t="s">
        <v>5</v>
      </c>
    </row>
    <row r="1659" spans="1:7" ht="15.75" hidden="1" outlineLevel="1" thickBot="1">
      <c r="A1659" s="3783"/>
      <c r="B1659" s="3767"/>
      <c r="C1659" s="3767"/>
      <c r="D1659" s="3767"/>
      <c r="E1659" s="3767"/>
      <c r="F1659" s="3766"/>
    </row>
    <row r="1660" spans="1:7" ht="15.75" hidden="1" outlineLevel="1" thickTop="1">
      <c r="A1660" s="7" t="s">
        <v>1318</v>
      </c>
      <c r="B1660" s="5" t="s">
        <v>106</v>
      </c>
      <c r="C1660" s="5" t="s">
        <v>452</v>
      </c>
      <c r="D1660" s="5" t="s">
        <v>343</v>
      </c>
      <c r="E1660" s="12">
        <v>0.1</v>
      </c>
      <c r="F1660" s="6">
        <v>8214</v>
      </c>
      <c r="G1660">
        <v>9127</v>
      </c>
    </row>
    <row r="1661" spans="1:7" hidden="1" outlineLevel="1">
      <c r="A1661" s="8"/>
      <c r="B1661" s="1"/>
      <c r="C1661" s="1"/>
      <c r="D1661" s="5"/>
      <c r="E1661" s="12"/>
      <c r="F1661" s="6"/>
    </row>
    <row r="1662" spans="1:7" hidden="1" outlineLevel="1">
      <c r="A1662" s="8"/>
      <c r="B1662" s="1"/>
      <c r="C1662" s="1"/>
      <c r="D1662" s="5"/>
      <c r="E1662" s="12"/>
      <c r="F1662" s="6"/>
    </row>
    <row r="1663" spans="1:7" hidden="1" outlineLevel="1">
      <c r="A1663" s="8"/>
      <c r="B1663" s="1"/>
      <c r="C1663" s="1"/>
      <c r="D1663" s="5"/>
      <c r="E1663" s="12"/>
      <c r="F1663" s="6"/>
    </row>
    <row r="1664" spans="1:7" hidden="1" outlineLevel="1">
      <c r="A1664" s="8"/>
      <c r="B1664" s="1"/>
      <c r="C1664" s="1"/>
      <c r="D1664" s="5"/>
      <c r="E1664" s="12"/>
      <c r="F1664" s="6"/>
    </row>
    <row r="1665" spans="1:7" hidden="1" outlineLevel="1">
      <c r="A1665" s="8"/>
      <c r="B1665" s="1"/>
      <c r="C1665" s="1"/>
      <c r="D1665" s="5"/>
      <c r="E1665" s="12"/>
      <c r="F1665" s="6"/>
    </row>
    <row r="1666" spans="1:7" hidden="1" outlineLevel="1">
      <c r="A1666" s="8"/>
      <c r="B1666" s="1"/>
      <c r="C1666" s="1"/>
      <c r="D1666" s="1"/>
      <c r="E1666" s="1"/>
      <c r="F1666" s="2"/>
    </row>
    <row r="1667" spans="1:7" hidden="1" outlineLevel="1">
      <c r="A1667" s="8"/>
      <c r="B1667" s="1"/>
      <c r="C1667" s="1"/>
      <c r="D1667" s="1"/>
      <c r="E1667" s="1"/>
      <c r="F1667" s="2"/>
    </row>
    <row r="1668" spans="1:7" hidden="1" outlineLevel="1">
      <c r="A1668" s="8"/>
      <c r="B1668" s="1"/>
      <c r="C1668" s="1"/>
      <c r="D1668" s="1"/>
      <c r="E1668" s="1"/>
      <c r="F1668" s="2"/>
    </row>
    <row r="1669" spans="1:7" hidden="1" outlineLevel="1">
      <c r="A1669" s="8"/>
      <c r="B1669" s="1"/>
      <c r="C1669" s="1"/>
      <c r="D1669" s="1"/>
      <c r="E1669" s="1"/>
      <c r="F1669" s="2"/>
    </row>
    <row r="1670" spans="1:7" hidden="1" outlineLevel="1">
      <c r="A1670" s="8"/>
      <c r="B1670" s="1"/>
      <c r="C1670" s="1"/>
      <c r="D1670" s="1"/>
      <c r="E1670" s="1"/>
      <c r="F1670" s="2"/>
    </row>
    <row r="1671" spans="1:7" ht="15.75" hidden="1" outlineLevel="1" thickBot="1">
      <c r="A1671" s="9"/>
      <c r="B1671" s="3"/>
      <c r="C1671" s="3"/>
      <c r="D1671" s="3"/>
      <c r="E1671" s="3"/>
      <c r="F1671" s="4"/>
    </row>
    <row r="1672" spans="1:7" ht="16.5" hidden="1" outlineLevel="1" thickTop="1" thickBot="1"/>
    <row r="1673" spans="1:7" ht="15.75" hidden="1" outlineLevel="1" thickTop="1">
      <c r="A1673" s="3782" t="s">
        <v>0</v>
      </c>
      <c r="B1673" s="3781" t="s">
        <v>1</v>
      </c>
      <c r="C1673" s="3781" t="s">
        <v>2</v>
      </c>
      <c r="D1673" s="3781" t="s">
        <v>3</v>
      </c>
      <c r="E1673" s="3781" t="s">
        <v>4</v>
      </c>
      <c r="F1673" s="3765" t="s">
        <v>5</v>
      </c>
    </row>
    <row r="1674" spans="1:7" ht="15.75" hidden="1" outlineLevel="1" thickBot="1">
      <c r="A1674" s="3783"/>
      <c r="B1674" s="3767"/>
      <c r="C1674" s="3767"/>
      <c r="D1674" s="3767"/>
      <c r="E1674" s="3767"/>
      <c r="F1674" s="3766"/>
    </row>
    <row r="1675" spans="1:7" ht="15.75" hidden="1" outlineLevel="1" thickTop="1">
      <c r="A1675" s="7" t="s">
        <v>1318</v>
      </c>
      <c r="B1675" s="5" t="s">
        <v>1171</v>
      </c>
      <c r="C1675" s="5" t="s">
        <v>897</v>
      </c>
      <c r="D1675" s="5" t="s">
        <v>325</v>
      </c>
      <c r="E1675" s="12">
        <v>0.4</v>
      </c>
      <c r="F1675" s="6">
        <v>7400</v>
      </c>
      <c r="G1675">
        <v>12334</v>
      </c>
    </row>
    <row r="1676" spans="1:7" hidden="1" outlineLevel="1">
      <c r="A1676" s="8"/>
      <c r="B1676" s="1"/>
      <c r="C1676" s="5" t="s">
        <v>1320</v>
      </c>
      <c r="D1676" s="5" t="s">
        <v>325</v>
      </c>
      <c r="E1676" s="12">
        <v>0.4</v>
      </c>
      <c r="F1676" s="6">
        <v>7400</v>
      </c>
    </row>
    <row r="1677" spans="1:7" hidden="1" outlineLevel="1">
      <c r="A1677" s="8"/>
      <c r="B1677" s="1"/>
      <c r="C1677" s="1" t="s">
        <v>1321</v>
      </c>
      <c r="D1677" s="5" t="s">
        <v>325</v>
      </c>
      <c r="E1677" s="12">
        <v>0.4</v>
      </c>
      <c r="F1677" s="6">
        <v>7400</v>
      </c>
    </row>
    <row r="1678" spans="1:7" hidden="1" outlineLevel="1">
      <c r="A1678" s="8"/>
      <c r="B1678" s="1"/>
      <c r="C1678" s="1" t="s">
        <v>1316</v>
      </c>
      <c r="D1678" s="5" t="s">
        <v>325</v>
      </c>
      <c r="E1678" s="12">
        <v>0.4</v>
      </c>
      <c r="F1678" s="6">
        <v>7400</v>
      </c>
    </row>
    <row r="1679" spans="1:7" hidden="1" outlineLevel="1">
      <c r="A1679" s="8"/>
      <c r="B1679" s="1"/>
      <c r="C1679" s="1" t="s">
        <v>899</v>
      </c>
      <c r="D1679" s="5" t="s">
        <v>325</v>
      </c>
      <c r="E1679" s="12">
        <v>0.4</v>
      </c>
      <c r="F1679" s="6">
        <v>7400</v>
      </c>
    </row>
    <row r="1680" spans="1:7" hidden="1" outlineLevel="1">
      <c r="A1680" s="8"/>
      <c r="B1680" s="1"/>
      <c r="C1680" s="1" t="s">
        <v>1322</v>
      </c>
      <c r="D1680" s="5" t="s">
        <v>325</v>
      </c>
      <c r="E1680" s="12">
        <v>0.4</v>
      </c>
      <c r="F1680" s="6">
        <v>7400</v>
      </c>
    </row>
    <row r="1681" spans="1:7" hidden="1" outlineLevel="1">
      <c r="A1681" s="8"/>
      <c r="B1681" s="1"/>
      <c r="C1681" s="1"/>
      <c r="D1681" s="1"/>
      <c r="E1681" s="1"/>
      <c r="F1681" s="2"/>
    </row>
    <row r="1682" spans="1:7" hidden="1" outlineLevel="1">
      <c r="A1682" s="8"/>
      <c r="B1682" s="1"/>
      <c r="C1682" s="1"/>
      <c r="D1682" s="1"/>
      <c r="E1682" s="1"/>
      <c r="F1682" s="2"/>
    </row>
    <row r="1683" spans="1:7" hidden="1" outlineLevel="1">
      <c r="A1683" s="8"/>
      <c r="B1683" s="1"/>
      <c r="C1683" s="1"/>
      <c r="D1683" s="1"/>
      <c r="E1683" s="1"/>
      <c r="F1683" s="2"/>
    </row>
    <row r="1684" spans="1:7" hidden="1" outlineLevel="1">
      <c r="A1684" s="8"/>
      <c r="B1684" s="1"/>
      <c r="C1684" s="1"/>
      <c r="D1684" s="1"/>
      <c r="E1684" s="1"/>
      <c r="F1684" s="2"/>
    </row>
    <row r="1685" spans="1:7" hidden="1" outlineLevel="1">
      <c r="A1685" s="8"/>
      <c r="B1685" s="1"/>
      <c r="C1685" s="1"/>
      <c r="D1685" s="1"/>
      <c r="E1685" s="1"/>
      <c r="F1685" s="2"/>
    </row>
    <row r="1686" spans="1:7" ht="15.75" hidden="1" outlineLevel="1" thickBot="1">
      <c r="A1686" s="9"/>
      <c r="B1686" s="3"/>
      <c r="C1686" s="3"/>
      <c r="D1686" s="3"/>
      <c r="E1686" s="3"/>
      <c r="F1686" s="4"/>
    </row>
    <row r="1687" spans="1:7" ht="16.5" hidden="1" outlineLevel="1" thickTop="1" thickBot="1"/>
    <row r="1688" spans="1:7" ht="15.75" hidden="1" outlineLevel="1" thickTop="1">
      <c r="A1688" s="3782" t="s">
        <v>0</v>
      </c>
      <c r="B1688" s="3781" t="s">
        <v>1</v>
      </c>
      <c r="C1688" s="3781" t="s">
        <v>2</v>
      </c>
      <c r="D1688" s="3781" t="s">
        <v>3</v>
      </c>
      <c r="E1688" s="3781" t="s">
        <v>4</v>
      </c>
      <c r="F1688" s="3765" t="s">
        <v>5</v>
      </c>
    </row>
    <row r="1689" spans="1:7" ht="15.75" hidden="1" outlineLevel="1" thickBot="1">
      <c r="A1689" s="3783"/>
      <c r="B1689" s="3767"/>
      <c r="C1689" s="3767"/>
      <c r="D1689" s="3767"/>
      <c r="E1689" s="3767"/>
      <c r="F1689" s="3766"/>
    </row>
    <row r="1690" spans="1:7" ht="15.75" hidden="1" outlineLevel="1" thickTop="1">
      <c r="A1690" s="7" t="s">
        <v>1318</v>
      </c>
      <c r="B1690" s="5" t="s">
        <v>106</v>
      </c>
      <c r="C1690" s="5" t="s">
        <v>153</v>
      </c>
      <c r="D1690" s="5" t="s">
        <v>343</v>
      </c>
      <c r="E1690" s="12">
        <v>0.1</v>
      </c>
      <c r="F1690" s="6">
        <v>7673</v>
      </c>
      <c r="G1690">
        <f>F1690/0.9</f>
        <v>8525.5555555555547</v>
      </c>
    </row>
    <row r="1691" spans="1:7" hidden="1" outlineLevel="1">
      <c r="A1691" s="8"/>
      <c r="B1691" s="1"/>
      <c r="C1691" s="1" t="s">
        <v>23</v>
      </c>
      <c r="D1691" s="5" t="s">
        <v>343</v>
      </c>
      <c r="E1691" s="12">
        <v>0.1</v>
      </c>
      <c r="F1691" s="6">
        <v>9638</v>
      </c>
      <c r="G1691">
        <f>F1691/0.9</f>
        <v>10708.888888888889</v>
      </c>
    </row>
    <row r="1692" spans="1:7" hidden="1" outlineLevel="1">
      <c r="A1692" s="8"/>
      <c r="B1692" s="1"/>
      <c r="C1692" s="1" t="s">
        <v>24</v>
      </c>
      <c r="D1692" s="5" t="s">
        <v>343</v>
      </c>
      <c r="E1692" s="12">
        <v>0.1</v>
      </c>
      <c r="F1692" s="6">
        <v>9638</v>
      </c>
      <c r="G1692">
        <f>F1692/0.9</f>
        <v>10708.888888888889</v>
      </c>
    </row>
    <row r="1693" spans="1:7" hidden="1" outlineLevel="1">
      <c r="A1693" s="8"/>
      <c r="B1693" s="1"/>
      <c r="C1693" s="1" t="s">
        <v>624</v>
      </c>
      <c r="D1693" s="5" t="s">
        <v>343</v>
      </c>
      <c r="E1693" s="12">
        <v>0.1</v>
      </c>
      <c r="F1693" s="6">
        <v>1873</v>
      </c>
      <c r="G1693" t="s">
        <v>418</v>
      </c>
    </row>
    <row r="1694" spans="1:7" hidden="1" outlineLevel="1">
      <c r="A1694" s="8"/>
      <c r="B1694" s="1"/>
      <c r="C1694" s="1" t="s">
        <v>1250</v>
      </c>
      <c r="D1694" s="5" t="s">
        <v>343</v>
      </c>
      <c r="E1694" s="12">
        <v>0.1</v>
      </c>
      <c r="F1694" s="6">
        <v>1873</v>
      </c>
      <c r="G1694" t="s">
        <v>418</v>
      </c>
    </row>
    <row r="1695" spans="1:7" hidden="1" outlineLevel="1">
      <c r="A1695" s="8"/>
      <c r="B1695" s="1"/>
      <c r="C1695" s="1" t="s">
        <v>706</v>
      </c>
      <c r="D1695" s="5" t="s">
        <v>343</v>
      </c>
      <c r="E1695" s="12">
        <v>0.1</v>
      </c>
      <c r="F1695" s="6">
        <v>1873</v>
      </c>
      <c r="G1695" t="s">
        <v>418</v>
      </c>
    </row>
    <row r="1696" spans="1:7" hidden="1" outlineLevel="1">
      <c r="A1696" s="8"/>
      <c r="B1696" s="1"/>
      <c r="C1696" s="1" t="s">
        <v>1327</v>
      </c>
      <c r="D1696" s="5" t="s">
        <v>343</v>
      </c>
      <c r="E1696" s="12">
        <v>0.1</v>
      </c>
      <c r="F1696" s="6">
        <v>1873</v>
      </c>
      <c r="G1696" t="s">
        <v>418</v>
      </c>
    </row>
    <row r="1697" spans="1:7" hidden="1" outlineLevel="1">
      <c r="A1697" s="8"/>
      <c r="B1697" s="1"/>
      <c r="C1697" s="1" t="s">
        <v>628</v>
      </c>
      <c r="D1697" s="5" t="s">
        <v>343</v>
      </c>
      <c r="E1697" s="12">
        <v>0.1</v>
      </c>
      <c r="F1697" s="6">
        <v>1873</v>
      </c>
      <c r="G1697" t="s">
        <v>418</v>
      </c>
    </row>
    <row r="1698" spans="1:7" hidden="1" outlineLevel="1">
      <c r="A1698" s="8"/>
      <c r="B1698" s="1"/>
      <c r="C1698" s="1" t="s">
        <v>1326</v>
      </c>
      <c r="D1698" s="5" t="s">
        <v>343</v>
      </c>
      <c r="E1698" s="12">
        <v>0.1</v>
      </c>
      <c r="F1698" s="6">
        <v>1873</v>
      </c>
      <c r="G1698" t="s">
        <v>418</v>
      </c>
    </row>
    <row r="1699" spans="1:7" hidden="1" outlineLevel="1">
      <c r="A1699" s="8"/>
      <c r="B1699" s="1"/>
      <c r="C1699" s="1" t="s">
        <v>709</v>
      </c>
      <c r="D1699" s="5" t="s">
        <v>343</v>
      </c>
      <c r="E1699" s="12">
        <v>0.1</v>
      </c>
      <c r="F1699" s="6">
        <v>1873</v>
      </c>
      <c r="G1699" t="s">
        <v>418</v>
      </c>
    </row>
    <row r="1700" spans="1:7" hidden="1" outlineLevel="1">
      <c r="A1700" s="8"/>
      <c r="B1700" s="1"/>
      <c r="C1700" s="1" t="s">
        <v>1325</v>
      </c>
      <c r="D1700" s="5" t="s">
        <v>343</v>
      </c>
      <c r="E1700" s="12">
        <v>0.1</v>
      </c>
      <c r="F1700" s="6">
        <v>1873</v>
      </c>
      <c r="G1700" t="s">
        <v>418</v>
      </c>
    </row>
    <row r="1701" spans="1:7" ht="15.75" hidden="1" outlineLevel="1" thickBot="1">
      <c r="A1701" s="9"/>
      <c r="B1701" s="3"/>
      <c r="C1701" s="3"/>
      <c r="D1701" s="3"/>
      <c r="E1701" s="3"/>
      <c r="F1701" s="4"/>
    </row>
    <row r="1702" spans="1:7" ht="16.5" hidden="1" outlineLevel="1" thickTop="1" thickBot="1"/>
    <row r="1703" spans="1:7" ht="15.75" hidden="1" outlineLevel="1" thickTop="1">
      <c r="A1703" s="3782" t="s">
        <v>0</v>
      </c>
      <c r="B1703" s="3781" t="s">
        <v>1</v>
      </c>
      <c r="C1703" s="3781" t="s">
        <v>2</v>
      </c>
      <c r="D1703" s="3781" t="s">
        <v>3</v>
      </c>
      <c r="E1703" s="3781" t="s">
        <v>4</v>
      </c>
      <c r="F1703" s="3765" t="s">
        <v>5</v>
      </c>
    </row>
    <row r="1704" spans="1:7" ht="15.75" hidden="1" outlineLevel="1" thickBot="1">
      <c r="A1704" s="3783"/>
      <c r="B1704" s="3767"/>
      <c r="C1704" s="3767"/>
      <c r="D1704" s="3767"/>
      <c r="E1704" s="3767"/>
      <c r="F1704" s="3766"/>
    </row>
    <row r="1705" spans="1:7" ht="15.75" hidden="1" outlineLevel="1" thickTop="1">
      <c r="A1705" s="7" t="s">
        <v>1343</v>
      </c>
      <c r="B1705" s="5" t="s">
        <v>1171</v>
      </c>
      <c r="C1705" s="5" t="s">
        <v>465</v>
      </c>
      <c r="D1705" s="5" t="s">
        <v>325</v>
      </c>
      <c r="E1705" s="12">
        <v>0.15</v>
      </c>
      <c r="F1705" s="6">
        <v>10199</v>
      </c>
      <c r="G1705">
        <v>11999</v>
      </c>
    </row>
    <row r="1706" spans="1:7" hidden="1" outlineLevel="1">
      <c r="A1706" s="8"/>
      <c r="B1706" s="1"/>
      <c r="C1706" s="1" t="s">
        <v>1332</v>
      </c>
      <c r="D1706" s="5" t="s">
        <v>325</v>
      </c>
      <c r="E1706" s="12">
        <v>0.15</v>
      </c>
      <c r="F1706" s="6">
        <v>10199</v>
      </c>
    </row>
    <row r="1707" spans="1:7" hidden="1" outlineLevel="1">
      <c r="A1707" s="8"/>
      <c r="B1707" s="1"/>
      <c r="C1707" s="1"/>
      <c r="D1707" s="5"/>
      <c r="E1707" s="12"/>
      <c r="F1707" s="6"/>
    </row>
    <row r="1708" spans="1:7" hidden="1" outlineLevel="1">
      <c r="A1708" s="8"/>
      <c r="B1708" s="1"/>
      <c r="C1708" s="1"/>
      <c r="D1708" s="5"/>
      <c r="E1708" s="12"/>
      <c r="F1708" s="6"/>
    </row>
    <row r="1709" spans="1:7" hidden="1" outlineLevel="1">
      <c r="A1709" s="8"/>
      <c r="B1709" s="1"/>
      <c r="C1709" s="1"/>
      <c r="D1709" s="5"/>
      <c r="E1709" s="12"/>
      <c r="F1709" s="6"/>
    </row>
    <row r="1710" spans="1:7" hidden="1" outlineLevel="1">
      <c r="A1710" s="8"/>
      <c r="B1710" s="1"/>
      <c r="C1710" s="1"/>
      <c r="D1710" s="5"/>
      <c r="E1710" s="12"/>
      <c r="F1710" s="6"/>
    </row>
    <row r="1711" spans="1:7" hidden="1" outlineLevel="1">
      <c r="A1711" s="8"/>
      <c r="B1711" s="1"/>
      <c r="C1711" s="1"/>
      <c r="D1711" s="1"/>
      <c r="E1711" s="1"/>
      <c r="F1711" s="2"/>
    </row>
    <row r="1712" spans="1:7" hidden="1" outlineLevel="1">
      <c r="A1712" s="8"/>
      <c r="B1712" s="1"/>
      <c r="C1712" s="1"/>
      <c r="D1712" s="1"/>
      <c r="E1712" s="1"/>
      <c r="F1712" s="2"/>
    </row>
    <row r="1713" spans="1:7" hidden="1" outlineLevel="1">
      <c r="A1713" s="8"/>
      <c r="B1713" s="1"/>
      <c r="C1713" s="1"/>
      <c r="D1713" s="1"/>
      <c r="E1713" s="1"/>
      <c r="F1713" s="2"/>
    </row>
    <row r="1714" spans="1:7" hidden="1" outlineLevel="1">
      <c r="A1714" s="8"/>
      <c r="B1714" s="1"/>
      <c r="C1714" s="1"/>
      <c r="D1714" s="1"/>
      <c r="E1714" s="1"/>
      <c r="F1714" s="2"/>
    </row>
    <row r="1715" spans="1:7" hidden="1" outlineLevel="1">
      <c r="A1715" s="8"/>
      <c r="B1715" s="1"/>
      <c r="C1715" s="1"/>
      <c r="D1715" s="1"/>
      <c r="E1715" s="1"/>
      <c r="F1715" s="2"/>
    </row>
    <row r="1716" spans="1:7" ht="15.75" hidden="1" outlineLevel="1" thickBot="1">
      <c r="A1716" s="9"/>
      <c r="B1716" s="3"/>
      <c r="C1716" s="3"/>
      <c r="D1716" s="3"/>
      <c r="E1716" s="3"/>
      <c r="F1716" s="4"/>
    </row>
    <row r="1717" spans="1:7" ht="16.5" hidden="1" outlineLevel="1" thickTop="1" thickBot="1"/>
    <row r="1718" spans="1:7" ht="15.75" hidden="1" outlineLevel="1" thickTop="1">
      <c r="A1718" s="3782" t="s">
        <v>0</v>
      </c>
      <c r="B1718" s="3781" t="s">
        <v>1</v>
      </c>
      <c r="C1718" s="3781" t="s">
        <v>2</v>
      </c>
      <c r="D1718" s="3781" t="s">
        <v>3</v>
      </c>
      <c r="E1718" s="3781" t="s">
        <v>4</v>
      </c>
      <c r="F1718" s="3765" t="s">
        <v>5</v>
      </c>
    </row>
    <row r="1719" spans="1:7" ht="15.75" hidden="1" outlineLevel="1" thickBot="1">
      <c r="A1719" s="3783"/>
      <c r="B1719" s="3767"/>
      <c r="C1719" s="3767"/>
      <c r="D1719" s="3767"/>
      <c r="E1719" s="3767"/>
      <c r="F1719" s="3766"/>
    </row>
    <row r="1720" spans="1:7" ht="15.75" hidden="1" outlineLevel="1" thickTop="1">
      <c r="A1720" s="7" t="s">
        <v>1342</v>
      </c>
      <c r="B1720" s="5" t="s">
        <v>1171</v>
      </c>
      <c r="C1720" s="5" t="s">
        <v>623</v>
      </c>
      <c r="D1720" s="5" t="s">
        <v>325</v>
      </c>
      <c r="E1720" s="12">
        <v>0.2</v>
      </c>
      <c r="F1720" s="6">
        <v>16397</v>
      </c>
      <c r="G1720">
        <v>20496</v>
      </c>
    </row>
    <row r="1721" spans="1:7" hidden="1" outlineLevel="1">
      <c r="A1721" s="8"/>
      <c r="B1721" s="1"/>
      <c r="C1721" s="1" t="s">
        <v>1263</v>
      </c>
      <c r="D1721" s="5" t="s">
        <v>325</v>
      </c>
      <c r="E1721" s="12">
        <v>0.15</v>
      </c>
      <c r="F1721" s="6">
        <v>18541</v>
      </c>
      <c r="G1721">
        <f>F1721/0.85</f>
        <v>21812.941176470587</v>
      </c>
    </row>
    <row r="1722" spans="1:7" hidden="1" outlineLevel="1">
      <c r="A1722" s="8"/>
      <c r="B1722" s="1"/>
      <c r="C1722" s="1" t="s">
        <v>1262</v>
      </c>
      <c r="D1722" s="5" t="s">
        <v>325</v>
      </c>
      <c r="E1722" s="12">
        <v>0.15</v>
      </c>
      <c r="F1722" s="6">
        <v>18541</v>
      </c>
    </row>
    <row r="1723" spans="1:7" hidden="1" outlineLevel="1">
      <c r="A1723" s="8"/>
      <c r="B1723" s="1"/>
      <c r="C1723" s="1"/>
      <c r="D1723" s="5"/>
      <c r="E1723" s="12"/>
      <c r="F1723" s="6"/>
    </row>
    <row r="1724" spans="1:7" hidden="1" outlineLevel="1">
      <c r="A1724" s="8"/>
      <c r="B1724" s="1"/>
      <c r="C1724" s="1"/>
      <c r="D1724" s="5"/>
      <c r="E1724" s="12"/>
      <c r="F1724" s="6"/>
    </row>
    <row r="1725" spans="1:7" hidden="1" outlineLevel="1">
      <c r="A1725" s="8"/>
      <c r="B1725" s="1"/>
      <c r="C1725" s="1"/>
      <c r="D1725" s="5"/>
      <c r="E1725" s="12"/>
      <c r="F1725" s="6"/>
    </row>
    <row r="1726" spans="1:7" hidden="1" outlineLevel="1">
      <c r="A1726" s="8"/>
      <c r="B1726" s="1"/>
      <c r="C1726" s="1"/>
      <c r="D1726" s="1"/>
      <c r="E1726" s="1"/>
      <c r="F1726" s="2"/>
    </row>
    <row r="1727" spans="1:7" hidden="1" outlineLevel="1">
      <c r="A1727" s="8"/>
      <c r="B1727" s="1"/>
      <c r="C1727" s="1"/>
      <c r="D1727" s="1"/>
      <c r="E1727" s="1"/>
      <c r="F1727" s="2"/>
    </row>
    <row r="1728" spans="1:7" hidden="1" outlineLevel="1">
      <c r="A1728" s="8"/>
      <c r="B1728" s="1"/>
      <c r="C1728" s="1"/>
      <c r="D1728" s="1"/>
      <c r="E1728" s="1"/>
      <c r="F1728" s="2"/>
    </row>
    <row r="1729" spans="1:7" hidden="1" outlineLevel="1">
      <c r="A1729" s="8"/>
      <c r="B1729" s="1"/>
      <c r="C1729" s="1"/>
      <c r="D1729" s="1"/>
      <c r="E1729" s="1"/>
      <c r="F1729" s="2"/>
    </row>
    <row r="1730" spans="1:7" hidden="1" outlineLevel="1">
      <c r="A1730" s="8"/>
      <c r="B1730" s="1"/>
      <c r="C1730" s="1"/>
      <c r="D1730" s="1"/>
      <c r="E1730" s="1"/>
      <c r="F1730" s="2"/>
    </row>
    <row r="1731" spans="1:7" ht="15.75" hidden="1" outlineLevel="1" thickBot="1">
      <c r="A1731" s="9"/>
      <c r="B1731" s="3"/>
      <c r="C1731" s="3"/>
      <c r="D1731" s="3"/>
      <c r="E1731" s="3"/>
      <c r="F1731" s="4"/>
    </row>
    <row r="1732" spans="1:7" ht="16.5" hidden="1" outlineLevel="1" thickTop="1" thickBot="1"/>
    <row r="1733" spans="1:7" ht="15.75" hidden="1" outlineLevel="1" thickTop="1">
      <c r="A1733" s="3782" t="s">
        <v>0</v>
      </c>
      <c r="B1733" s="3781" t="s">
        <v>1</v>
      </c>
      <c r="C1733" s="3781" t="s">
        <v>2</v>
      </c>
      <c r="D1733" s="3781" t="s">
        <v>3</v>
      </c>
      <c r="E1733" s="3781" t="s">
        <v>4</v>
      </c>
      <c r="F1733" s="3765" t="s">
        <v>5</v>
      </c>
    </row>
    <row r="1734" spans="1:7" ht="15.75" hidden="1" outlineLevel="1" thickBot="1">
      <c r="A1734" s="3783"/>
      <c r="B1734" s="3767"/>
      <c r="C1734" s="3767"/>
      <c r="D1734" s="3767"/>
      <c r="E1734" s="3767"/>
      <c r="F1734" s="3766"/>
    </row>
    <row r="1735" spans="1:7" ht="15.75" hidden="1" outlineLevel="1" thickTop="1">
      <c r="A1735" s="7" t="s">
        <v>1356</v>
      </c>
      <c r="B1735" s="5" t="s">
        <v>106</v>
      </c>
      <c r="C1735" s="5" t="s">
        <v>1357</v>
      </c>
      <c r="D1735" s="5" t="s">
        <v>343</v>
      </c>
      <c r="E1735" s="12">
        <v>0.1</v>
      </c>
      <c r="F1735" s="6">
        <v>41393</v>
      </c>
      <c r="G1735">
        <v>45992</v>
      </c>
    </row>
    <row r="1736" spans="1:7" hidden="1" outlineLevel="1">
      <c r="A1736" s="8"/>
      <c r="B1736" s="1"/>
      <c r="C1736" s="1" t="s">
        <v>1281</v>
      </c>
      <c r="D1736" s="5" t="s">
        <v>343</v>
      </c>
      <c r="E1736" s="12">
        <v>0.1</v>
      </c>
      <c r="F1736" s="6">
        <v>41393</v>
      </c>
    </row>
    <row r="1737" spans="1:7" hidden="1" outlineLevel="1">
      <c r="A1737" s="8"/>
      <c r="B1737" s="1"/>
      <c r="C1737" s="1"/>
      <c r="D1737" s="5"/>
      <c r="E1737" s="12"/>
      <c r="F1737" s="6"/>
    </row>
    <row r="1738" spans="1:7" hidden="1" outlineLevel="1">
      <c r="A1738" s="8"/>
      <c r="B1738" s="1"/>
      <c r="C1738" s="1"/>
      <c r="D1738" s="5"/>
      <c r="E1738" s="12"/>
      <c r="F1738" s="6"/>
    </row>
    <row r="1739" spans="1:7" hidden="1" outlineLevel="1">
      <c r="A1739" s="8"/>
      <c r="B1739" s="1"/>
      <c r="C1739" s="1"/>
      <c r="D1739" s="5"/>
      <c r="E1739" s="12"/>
      <c r="F1739" s="6"/>
    </row>
    <row r="1740" spans="1:7" hidden="1" outlineLevel="1">
      <c r="A1740" s="8"/>
      <c r="B1740" s="1"/>
      <c r="C1740" s="1"/>
      <c r="D1740" s="5"/>
      <c r="E1740" s="12"/>
      <c r="F1740" s="6"/>
    </row>
    <row r="1741" spans="1:7" hidden="1" outlineLevel="1">
      <c r="A1741" s="8"/>
      <c r="B1741" s="1"/>
      <c r="C1741" s="1"/>
      <c r="D1741" s="5"/>
      <c r="E1741" s="12"/>
      <c r="F1741" s="6"/>
    </row>
    <row r="1742" spans="1:7" hidden="1" outlineLevel="1">
      <c r="A1742" s="8"/>
      <c r="B1742" s="1"/>
      <c r="C1742" s="1"/>
      <c r="D1742" s="5"/>
      <c r="E1742" s="12"/>
      <c r="F1742" s="6"/>
    </row>
    <row r="1743" spans="1:7" hidden="1" outlineLevel="1">
      <c r="A1743" s="8"/>
      <c r="B1743" s="1"/>
      <c r="C1743" s="1"/>
      <c r="D1743" s="5"/>
      <c r="E1743" s="12"/>
      <c r="F1743" s="6"/>
    </row>
    <row r="1744" spans="1:7" hidden="1" outlineLevel="1">
      <c r="A1744" s="8"/>
      <c r="B1744" s="1"/>
      <c r="C1744" s="1"/>
      <c r="D1744" s="5"/>
      <c r="E1744" s="12"/>
      <c r="F1744" s="6"/>
    </row>
    <row r="1745" spans="1:7" hidden="1" outlineLevel="1">
      <c r="A1745" s="8"/>
      <c r="B1745" s="1"/>
      <c r="C1745" s="1"/>
      <c r="D1745" s="5"/>
      <c r="E1745" s="12"/>
      <c r="F1745" s="6"/>
    </row>
    <row r="1746" spans="1:7" ht="15.75" hidden="1" outlineLevel="1" thickBot="1">
      <c r="A1746" s="9"/>
      <c r="B1746" s="3"/>
      <c r="C1746" s="3"/>
      <c r="D1746" s="3"/>
      <c r="E1746" s="3"/>
      <c r="F1746" s="4"/>
    </row>
    <row r="1747" spans="1:7" ht="16.5" hidden="1" outlineLevel="1" thickTop="1" thickBot="1"/>
    <row r="1748" spans="1:7" ht="15.75" hidden="1" outlineLevel="1" thickTop="1">
      <c r="A1748" s="3782" t="s">
        <v>0</v>
      </c>
      <c r="B1748" s="3781" t="s">
        <v>1</v>
      </c>
      <c r="C1748" s="3781" t="s">
        <v>2</v>
      </c>
      <c r="D1748" s="3781" t="s">
        <v>3</v>
      </c>
      <c r="E1748" s="3781" t="s">
        <v>4</v>
      </c>
      <c r="F1748" s="3765" t="s">
        <v>5</v>
      </c>
    </row>
    <row r="1749" spans="1:7" ht="15.75" hidden="1" outlineLevel="1" thickBot="1">
      <c r="A1749" s="3783"/>
      <c r="B1749" s="3767"/>
      <c r="C1749" s="3767"/>
      <c r="D1749" s="3767"/>
      <c r="E1749" s="3767"/>
      <c r="F1749" s="3766"/>
    </row>
    <row r="1750" spans="1:7" ht="15.75" hidden="1" outlineLevel="1" thickTop="1">
      <c r="A1750" s="7" t="s">
        <v>1361</v>
      </c>
      <c r="B1750" s="5" t="s">
        <v>1171</v>
      </c>
      <c r="C1750" s="5" t="s">
        <v>1362</v>
      </c>
      <c r="D1750" s="5" t="s">
        <v>325</v>
      </c>
      <c r="E1750" s="12">
        <v>7.0000000000000007E-2</v>
      </c>
      <c r="F1750" s="6">
        <v>39833</v>
      </c>
      <c r="G1750">
        <v>42831</v>
      </c>
    </row>
    <row r="1751" spans="1:7" hidden="1" outlineLevel="1">
      <c r="A1751" s="8"/>
      <c r="B1751" s="1"/>
      <c r="C1751" s="1" t="s">
        <v>1363</v>
      </c>
      <c r="D1751" s="5" t="s">
        <v>325</v>
      </c>
      <c r="E1751" s="12">
        <v>7.0000000000000007E-2</v>
      </c>
      <c r="F1751" s="6">
        <v>39833</v>
      </c>
    </row>
    <row r="1752" spans="1:7" hidden="1" outlineLevel="1">
      <c r="A1752" s="8"/>
      <c r="B1752" s="1"/>
      <c r="C1752" s="1"/>
      <c r="D1752" s="5" t="s">
        <v>325</v>
      </c>
      <c r="E1752" s="12"/>
      <c r="F1752" s="6"/>
    </row>
    <row r="1753" spans="1:7" hidden="1" outlineLevel="1">
      <c r="A1753" s="8"/>
      <c r="B1753" s="1"/>
      <c r="C1753" s="1"/>
      <c r="D1753" s="5"/>
      <c r="E1753" s="12"/>
      <c r="F1753" s="6"/>
    </row>
    <row r="1754" spans="1:7" hidden="1" outlineLevel="1">
      <c r="A1754" s="8"/>
      <c r="B1754" s="1"/>
      <c r="C1754" s="1"/>
      <c r="D1754" s="5"/>
      <c r="E1754" s="12"/>
      <c r="F1754" s="6"/>
    </row>
    <row r="1755" spans="1:7" hidden="1" outlineLevel="1">
      <c r="A1755" s="8"/>
      <c r="B1755" s="1"/>
      <c r="C1755" s="1"/>
      <c r="D1755" s="5"/>
      <c r="E1755" s="12"/>
      <c r="F1755" s="6"/>
    </row>
    <row r="1756" spans="1:7" hidden="1" outlineLevel="1">
      <c r="A1756" s="8"/>
      <c r="B1756" s="1"/>
      <c r="C1756" s="1"/>
      <c r="D1756" s="1"/>
      <c r="E1756" s="1"/>
      <c r="F1756" s="2"/>
    </row>
    <row r="1757" spans="1:7" hidden="1" outlineLevel="1">
      <c r="A1757" s="8"/>
      <c r="B1757" s="1"/>
      <c r="C1757" s="1"/>
      <c r="D1757" s="1"/>
      <c r="E1757" s="1"/>
      <c r="F1757" s="2"/>
    </row>
    <row r="1758" spans="1:7" hidden="1" outlineLevel="1">
      <c r="A1758" s="8"/>
      <c r="B1758" s="1"/>
      <c r="C1758" s="1"/>
      <c r="D1758" s="1"/>
      <c r="E1758" s="1"/>
      <c r="F1758" s="2"/>
    </row>
    <row r="1759" spans="1:7" hidden="1" outlineLevel="1">
      <c r="A1759" s="8"/>
      <c r="B1759" s="1"/>
      <c r="C1759" s="1"/>
      <c r="D1759" s="1"/>
      <c r="E1759" s="1"/>
      <c r="F1759" s="2"/>
    </row>
    <row r="1760" spans="1:7" hidden="1" outlineLevel="1">
      <c r="A1760" s="8"/>
      <c r="B1760" s="1"/>
      <c r="C1760" s="1"/>
      <c r="D1760" s="1"/>
      <c r="E1760" s="1"/>
      <c r="F1760" s="2"/>
    </row>
    <row r="1761" spans="1:6" ht="15.75" hidden="1" outlineLevel="1" thickBot="1">
      <c r="A1761" s="9"/>
      <c r="B1761" s="3"/>
      <c r="C1761" s="3"/>
      <c r="D1761" s="3"/>
      <c r="E1761" s="3"/>
      <c r="F1761" s="4"/>
    </row>
    <row r="1762" spans="1:6" ht="16.5" hidden="1" outlineLevel="1" thickTop="1" thickBot="1"/>
    <row r="1763" spans="1:6" ht="15.75" hidden="1" outlineLevel="1" thickTop="1">
      <c r="A1763" s="3782" t="s">
        <v>0</v>
      </c>
      <c r="B1763" s="3781" t="s">
        <v>1</v>
      </c>
      <c r="C1763" s="3781" t="s">
        <v>2</v>
      </c>
      <c r="D1763" s="3781" t="s">
        <v>3</v>
      </c>
      <c r="E1763" s="3781" t="s">
        <v>4</v>
      </c>
      <c r="F1763" s="3765" t="s">
        <v>5</v>
      </c>
    </row>
    <row r="1764" spans="1:6" ht="15.75" hidden="1" outlineLevel="1" thickBot="1">
      <c r="A1764" s="3783"/>
      <c r="B1764" s="3767"/>
      <c r="C1764" s="3767"/>
      <c r="D1764" s="3767"/>
      <c r="E1764" s="3767"/>
      <c r="F1764" s="3766"/>
    </row>
    <row r="1765" spans="1:6" ht="15.75" hidden="1" outlineLevel="1" thickTop="1">
      <c r="A1765" s="7" t="s">
        <v>1364</v>
      </c>
      <c r="B1765" s="5" t="s">
        <v>106</v>
      </c>
      <c r="C1765" s="5" t="s">
        <v>897</v>
      </c>
      <c r="D1765" s="5" t="s">
        <v>343</v>
      </c>
      <c r="E1765" s="12">
        <v>0.15</v>
      </c>
      <c r="F1765" s="6">
        <v>11521</v>
      </c>
    </row>
    <row r="1766" spans="1:6" hidden="1" outlineLevel="1">
      <c r="A1766" s="8"/>
      <c r="B1766" s="1"/>
      <c r="C1766" s="1" t="s">
        <v>1315</v>
      </c>
      <c r="D1766" s="5" t="s">
        <v>343</v>
      </c>
      <c r="E1766" s="12">
        <v>0.15</v>
      </c>
      <c r="F1766" s="6">
        <v>11521</v>
      </c>
    </row>
    <row r="1767" spans="1:6" hidden="1" outlineLevel="1">
      <c r="A1767" s="8"/>
      <c r="B1767" s="1"/>
      <c r="C1767" s="1" t="s">
        <v>898</v>
      </c>
      <c r="D1767" s="5" t="s">
        <v>343</v>
      </c>
      <c r="E1767" s="12">
        <v>0.15</v>
      </c>
      <c r="F1767" s="6">
        <v>11521</v>
      </c>
    </row>
    <row r="1768" spans="1:6" hidden="1" outlineLevel="1">
      <c r="A1768" s="8"/>
      <c r="B1768" s="1"/>
      <c r="C1768" s="1" t="s">
        <v>1316</v>
      </c>
      <c r="D1768" s="5" t="s">
        <v>343</v>
      </c>
      <c r="E1768" s="12">
        <v>0.15</v>
      </c>
      <c r="F1768" s="6">
        <v>11521</v>
      </c>
    </row>
    <row r="1769" spans="1:6" hidden="1" outlineLevel="1">
      <c r="A1769" s="8"/>
      <c r="B1769" s="1"/>
      <c r="C1769" s="1" t="s">
        <v>899</v>
      </c>
      <c r="D1769" s="5" t="s">
        <v>343</v>
      </c>
      <c r="E1769" s="12">
        <v>0.15</v>
      </c>
      <c r="F1769" s="6">
        <v>11521</v>
      </c>
    </row>
    <row r="1770" spans="1:6" hidden="1" outlineLevel="1">
      <c r="A1770" s="8"/>
      <c r="B1770" s="1"/>
      <c r="C1770" s="1" t="s">
        <v>1317</v>
      </c>
      <c r="D1770" s="5" t="s">
        <v>343</v>
      </c>
      <c r="E1770" s="12">
        <v>0.15</v>
      </c>
      <c r="F1770" s="6">
        <v>11521</v>
      </c>
    </row>
    <row r="1771" spans="1:6" hidden="1" outlineLevel="1">
      <c r="A1771" s="8"/>
      <c r="B1771" s="1"/>
      <c r="C1771" s="1"/>
      <c r="D1771" s="5"/>
      <c r="E1771" s="12"/>
      <c r="F1771" s="6"/>
    </row>
    <row r="1772" spans="1:6" hidden="1" outlineLevel="1">
      <c r="A1772" s="8"/>
      <c r="B1772" s="1"/>
      <c r="C1772" s="1"/>
      <c r="D1772" s="5"/>
      <c r="E1772" s="12"/>
      <c r="F1772" s="6"/>
    </row>
    <row r="1773" spans="1:6" hidden="1" outlineLevel="1">
      <c r="A1773" s="8"/>
      <c r="B1773" s="1"/>
      <c r="C1773" s="1"/>
      <c r="D1773" s="5"/>
      <c r="E1773" s="12"/>
      <c r="F1773" s="6"/>
    </row>
    <row r="1774" spans="1:6" hidden="1" outlineLevel="1">
      <c r="A1774" s="8"/>
      <c r="B1774" s="1"/>
      <c r="C1774" s="1"/>
      <c r="D1774" s="5"/>
      <c r="E1774" s="12"/>
      <c r="F1774" s="6"/>
    </row>
    <row r="1775" spans="1:6" hidden="1" outlineLevel="1">
      <c r="A1775" s="8"/>
      <c r="B1775" s="1"/>
      <c r="C1775" s="1"/>
      <c r="D1775" s="5"/>
      <c r="E1775" s="12"/>
      <c r="F1775" s="6"/>
    </row>
    <row r="1776" spans="1:6" ht="15.75" hidden="1" outlineLevel="1" thickBot="1">
      <c r="A1776" s="9"/>
      <c r="B1776" s="3"/>
      <c r="C1776" s="3"/>
      <c r="D1776" s="3"/>
      <c r="E1776" s="3"/>
      <c r="F1776" s="4"/>
    </row>
    <row r="1777" spans="1:7" ht="16.5" hidden="1" outlineLevel="1" thickTop="1" thickBot="1"/>
    <row r="1778" spans="1:7" ht="15.75" hidden="1" outlineLevel="1" thickTop="1">
      <c r="A1778" s="3782" t="s">
        <v>0</v>
      </c>
      <c r="B1778" s="3781" t="s">
        <v>1</v>
      </c>
      <c r="C1778" s="3781" t="s">
        <v>2</v>
      </c>
      <c r="D1778" s="3781" t="s">
        <v>3</v>
      </c>
      <c r="E1778" s="3781" t="s">
        <v>4</v>
      </c>
      <c r="F1778" s="3765" t="s">
        <v>5</v>
      </c>
    </row>
    <row r="1779" spans="1:7" ht="15.75" hidden="1" outlineLevel="1" thickBot="1">
      <c r="A1779" s="3783"/>
      <c r="B1779" s="3767"/>
      <c r="C1779" s="3767"/>
      <c r="D1779" s="3767"/>
      <c r="E1779" s="3767"/>
      <c r="F1779" s="3766"/>
    </row>
    <row r="1780" spans="1:7" ht="15.75" hidden="1" outlineLevel="1" thickTop="1">
      <c r="A1780" s="7" t="s">
        <v>1368</v>
      </c>
      <c r="B1780" s="5" t="s">
        <v>1171</v>
      </c>
      <c r="C1780" s="5" t="s">
        <v>1271</v>
      </c>
      <c r="D1780" s="5" t="s">
        <v>325</v>
      </c>
      <c r="E1780" s="12">
        <v>0.15</v>
      </c>
      <c r="F1780" s="6">
        <v>238395</v>
      </c>
      <c r="G1780">
        <v>280465</v>
      </c>
    </row>
    <row r="1781" spans="1:7" hidden="1" outlineLevel="1">
      <c r="A1781" s="8"/>
      <c r="B1781" s="1"/>
      <c r="C1781" s="1" t="s">
        <v>1259</v>
      </c>
      <c r="D1781" s="5" t="s">
        <v>325</v>
      </c>
      <c r="E1781" s="12">
        <v>0.15</v>
      </c>
      <c r="F1781" s="6">
        <v>190894</v>
      </c>
      <c r="G1781">
        <v>224581</v>
      </c>
    </row>
    <row r="1782" spans="1:7" hidden="1" outlineLevel="1">
      <c r="A1782" s="8"/>
      <c r="B1782" s="1"/>
      <c r="C1782" s="1"/>
      <c r="D1782" s="5"/>
      <c r="E1782" s="12"/>
      <c r="F1782" s="6"/>
    </row>
    <row r="1783" spans="1:7" hidden="1" outlineLevel="1">
      <c r="A1783" s="8"/>
      <c r="B1783" s="1"/>
      <c r="C1783" s="1"/>
      <c r="D1783" s="5"/>
      <c r="E1783" s="12"/>
      <c r="F1783" s="6"/>
    </row>
    <row r="1784" spans="1:7" hidden="1" outlineLevel="1">
      <c r="A1784" s="8"/>
      <c r="B1784" s="1"/>
      <c r="C1784" s="1"/>
      <c r="D1784" s="5"/>
      <c r="E1784" s="12"/>
      <c r="F1784" s="6"/>
    </row>
    <row r="1785" spans="1:7" hidden="1" outlineLevel="1">
      <c r="A1785" s="8"/>
      <c r="B1785" s="1"/>
      <c r="C1785" s="1"/>
      <c r="D1785" s="5"/>
      <c r="E1785" s="12"/>
      <c r="F1785" s="6"/>
    </row>
    <row r="1786" spans="1:7" hidden="1" outlineLevel="1">
      <c r="A1786" s="8"/>
      <c r="B1786" s="1"/>
      <c r="C1786" s="1"/>
      <c r="D1786" s="1"/>
      <c r="E1786" s="1"/>
      <c r="F1786" s="2"/>
    </row>
    <row r="1787" spans="1:7" hidden="1" outlineLevel="1">
      <c r="A1787" s="8"/>
      <c r="B1787" s="1"/>
      <c r="C1787" s="1"/>
      <c r="D1787" s="1"/>
      <c r="E1787" s="1"/>
      <c r="F1787" s="2"/>
    </row>
    <row r="1788" spans="1:7" hidden="1" outlineLevel="1">
      <c r="A1788" s="8"/>
      <c r="B1788" s="1"/>
      <c r="C1788" s="1"/>
      <c r="D1788" s="1"/>
      <c r="E1788" s="1"/>
      <c r="F1788" s="2"/>
    </row>
    <row r="1789" spans="1:7" hidden="1" outlineLevel="1">
      <c r="A1789" s="8"/>
      <c r="B1789" s="1"/>
      <c r="C1789" s="1"/>
      <c r="D1789" s="1"/>
      <c r="E1789" s="1"/>
      <c r="F1789" s="2"/>
    </row>
    <row r="1790" spans="1:7" hidden="1" outlineLevel="1">
      <c r="A1790" s="8"/>
      <c r="B1790" s="1"/>
      <c r="C1790" s="1"/>
      <c r="D1790" s="1"/>
      <c r="E1790" s="1"/>
      <c r="F1790" s="2"/>
    </row>
    <row r="1791" spans="1:7" ht="15.75" hidden="1" outlineLevel="1" thickBot="1">
      <c r="A1791" s="9"/>
      <c r="B1791" s="3"/>
      <c r="C1791" s="3"/>
      <c r="D1791" s="3"/>
      <c r="E1791" s="3"/>
      <c r="F1791" s="4"/>
    </row>
    <row r="1792" spans="1:7" ht="16.5" hidden="1" outlineLevel="1" thickTop="1" thickBot="1"/>
    <row r="1793" spans="1:7" ht="15.75" hidden="1" customHeight="1" outlineLevel="1" thickTop="1">
      <c r="A1793" s="3782" t="s">
        <v>0</v>
      </c>
      <c r="B1793" s="3781" t="s">
        <v>1</v>
      </c>
      <c r="C1793" s="3781" t="s">
        <v>2</v>
      </c>
      <c r="D1793" s="3781" t="s">
        <v>3</v>
      </c>
      <c r="E1793" s="3781" t="s">
        <v>4</v>
      </c>
      <c r="F1793" s="3765" t="s">
        <v>5</v>
      </c>
    </row>
    <row r="1794" spans="1:7" ht="15.75" hidden="1" customHeight="1" outlineLevel="1" thickBot="1">
      <c r="A1794" s="3783"/>
      <c r="B1794" s="3767"/>
      <c r="C1794" s="3767"/>
      <c r="D1794" s="3767"/>
      <c r="E1794" s="3767"/>
      <c r="F1794" s="3766"/>
    </row>
    <row r="1795" spans="1:7" ht="15.75" hidden="1" outlineLevel="1" thickTop="1">
      <c r="A1795" s="7" t="s">
        <v>1388</v>
      </c>
      <c r="B1795" s="5" t="s">
        <v>1171</v>
      </c>
      <c r="C1795" s="5" t="s">
        <v>71</v>
      </c>
      <c r="D1795" s="5" t="s">
        <v>325</v>
      </c>
      <c r="E1795" s="12">
        <v>0.15</v>
      </c>
      <c r="F1795" s="6">
        <v>150086</v>
      </c>
      <c r="G1795">
        <v>176572</v>
      </c>
    </row>
    <row r="1796" spans="1:7" hidden="1" outlineLevel="1">
      <c r="A1796" s="8"/>
      <c r="B1796" s="1"/>
      <c r="C1796" s="1" t="s">
        <v>74</v>
      </c>
      <c r="D1796" s="5" t="s">
        <v>325</v>
      </c>
      <c r="E1796" s="12">
        <v>0.15</v>
      </c>
      <c r="F1796" s="6">
        <v>150086</v>
      </c>
    </row>
    <row r="1797" spans="1:7" hidden="1" outlineLevel="1">
      <c r="A1797" s="8"/>
      <c r="B1797" s="1"/>
      <c r="C1797" s="1"/>
      <c r="D1797" s="5"/>
      <c r="E1797" s="12"/>
      <c r="F1797" s="6"/>
    </row>
    <row r="1798" spans="1:7" hidden="1" outlineLevel="1">
      <c r="A1798" s="8"/>
      <c r="B1798" s="1"/>
      <c r="C1798" s="1"/>
      <c r="D1798" s="5"/>
      <c r="E1798" s="12"/>
      <c r="F1798" s="6"/>
    </row>
    <row r="1799" spans="1:7" hidden="1" outlineLevel="1">
      <c r="A1799" s="8"/>
      <c r="B1799" s="1"/>
      <c r="C1799" s="1"/>
      <c r="D1799" s="5"/>
      <c r="E1799" s="12"/>
      <c r="F1799" s="6"/>
    </row>
    <row r="1800" spans="1:7" hidden="1" outlineLevel="1">
      <c r="A1800" s="8"/>
      <c r="B1800" s="1"/>
      <c r="C1800" s="1"/>
      <c r="D1800" s="5"/>
      <c r="E1800" s="12"/>
      <c r="F1800" s="6"/>
    </row>
    <row r="1801" spans="1:7" hidden="1" outlineLevel="1">
      <c r="A1801" s="8"/>
      <c r="B1801" s="1"/>
      <c r="C1801" s="1"/>
      <c r="D1801" s="1"/>
      <c r="E1801" s="1"/>
      <c r="F1801" s="2"/>
    </row>
    <row r="1802" spans="1:7" hidden="1" outlineLevel="1">
      <c r="A1802" s="8"/>
      <c r="B1802" s="1"/>
      <c r="C1802" s="1"/>
      <c r="D1802" s="1"/>
      <c r="E1802" s="1"/>
      <c r="F1802" s="2"/>
    </row>
    <row r="1803" spans="1:7" hidden="1" outlineLevel="1">
      <c r="A1803" s="8"/>
      <c r="B1803" s="1"/>
      <c r="C1803" s="1"/>
      <c r="D1803" s="1"/>
      <c r="E1803" s="1"/>
      <c r="F1803" s="2"/>
    </row>
    <row r="1804" spans="1:7" hidden="1" outlineLevel="1">
      <c r="A1804" s="8"/>
      <c r="B1804" s="1"/>
      <c r="C1804" s="1"/>
      <c r="D1804" s="1"/>
      <c r="E1804" s="1"/>
      <c r="F1804" s="2"/>
    </row>
    <row r="1805" spans="1:7" hidden="1" outlineLevel="1">
      <c r="A1805" s="8"/>
      <c r="B1805" s="1"/>
      <c r="C1805" s="1"/>
      <c r="D1805" s="1"/>
      <c r="E1805" s="1"/>
      <c r="F1805" s="2"/>
    </row>
    <row r="1806" spans="1:7" ht="15.75" hidden="1" outlineLevel="1" thickBot="1">
      <c r="A1806" s="9"/>
      <c r="B1806" s="3"/>
      <c r="C1806" s="3"/>
      <c r="D1806" s="3"/>
      <c r="E1806" s="3"/>
      <c r="F1806" s="4"/>
    </row>
    <row r="1807" spans="1:7" ht="16.5" hidden="1" outlineLevel="1" thickTop="1" thickBot="1"/>
    <row r="1808" spans="1:7" ht="15.75" hidden="1" customHeight="1" outlineLevel="1" thickTop="1">
      <c r="A1808" s="3782" t="s">
        <v>0</v>
      </c>
      <c r="B1808" s="3781" t="s">
        <v>1</v>
      </c>
      <c r="C1808" s="3781" t="s">
        <v>2</v>
      </c>
      <c r="D1808" s="3781" t="s">
        <v>3</v>
      </c>
      <c r="E1808" s="3781" t="s">
        <v>4</v>
      </c>
      <c r="F1808" s="3765" t="s">
        <v>5</v>
      </c>
    </row>
    <row r="1809" spans="1:7" ht="15.75" hidden="1" customHeight="1" outlineLevel="1" thickBot="1">
      <c r="A1809" s="3783"/>
      <c r="B1809" s="3767"/>
      <c r="C1809" s="3767"/>
      <c r="D1809" s="3767"/>
      <c r="E1809" s="3767"/>
      <c r="F1809" s="3766"/>
    </row>
    <row r="1810" spans="1:7" ht="15.75" hidden="1" outlineLevel="1" thickTop="1">
      <c r="A1810" s="7" t="s">
        <v>1389</v>
      </c>
      <c r="B1810" s="5" t="s">
        <v>1171</v>
      </c>
      <c r="C1810" s="5" t="s">
        <v>394</v>
      </c>
      <c r="D1810" s="5" t="s">
        <v>325</v>
      </c>
      <c r="E1810" s="12">
        <v>0.15</v>
      </c>
      <c r="F1810" s="6">
        <v>7981</v>
      </c>
      <c r="G1810">
        <v>9389</v>
      </c>
    </row>
    <row r="1811" spans="1:7" hidden="1" outlineLevel="1">
      <c r="A1811" s="8"/>
      <c r="B1811" s="1"/>
      <c r="C1811" s="1" t="s">
        <v>517</v>
      </c>
      <c r="D1811" s="5" t="s">
        <v>325</v>
      </c>
      <c r="E1811" s="12">
        <v>0.15</v>
      </c>
      <c r="F1811" s="6">
        <v>7981</v>
      </c>
    </row>
    <row r="1812" spans="1:7" hidden="1" outlineLevel="1">
      <c r="A1812" s="8"/>
      <c r="B1812" s="1"/>
      <c r="C1812" s="1" t="s">
        <v>507</v>
      </c>
      <c r="D1812" s="5" t="s">
        <v>325</v>
      </c>
      <c r="E1812" s="12">
        <v>0.15</v>
      </c>
      <c r="F1812" s="6">
        <v>14730</v>
      </c>
      <c r="G1812">
        <v>17329</v>
      </c>
    </row>
    <row r="1813" spans="1:7" hidden="1" outlineLevel="1">
      <c r="A1813" s="8"/>
      <c r="B1813" s="1"/>
      <c r="C1813" s="1" t="s">
        <v>1058</v>
      </c>
      <c r="D1813" s="5" t="s">
        <v>325</v>
      </c>
      <c r="E1813" s="12">
        <v>0.15</v>
      </c>
      <c r="F1813" s="6">
        <v>14730</v>
      </c>
    </row>
    <row r="1814" spans="1:7" hidden="1" outlineLevel="1">
      <c r="A1814" s="8"/>
      <c r="B1814" s="1"/>
      <c r="C1814" s="1"/>
      <c r="D1814" s="5"/>
      <c r="E1814" s="12"/>
      <c r="F1814" s="6"/>
    </row>
    <row r="1815" spans="1:7" hidden="1" outlineLevel="1">
      <c r="A1815" s="8"/>
      <c r="B1815" s="1"/>
      <c r="C1815" s="1"/>
      <c r="D1815" s="5"/>
      <c r="E1815" s="12"/>
      <c r="F1815" s="6"/>
    </row>
    <row r="1816" spans="1:7" hidden="1" outlineLevel="1">
      <c r="A1816" s="8"/>
      <c r="B1816" s="1"/>
      <c r="C1816" s="1"/>
      <c r="D1816" s="1"/>
      <c r="E1816" s="1"/>
      <c r="F1816" s="2"/>
    </row>
    <row r="1817" spans="1:7" hidden="1" outlineLevel="1">
      <c r="A1817" s="8"/>
      <c r="B1817" s="1"/>
      <c r="C1817" s="1"/>
      <c r="D1817" s="1"/>
      <c r="E1817" s="1"/>
      <c r="F1817" s="2"/>
    </row>
    <row r="1818" spans="1:7" hidden="1" outlineLevel="1">
      <c r="A1818" s="8"/>
      <c r="B1818" s="1"/>
      <c r="C1818" s="1"/>
      <c r="D1818" s="1"/>
      <c r="E1818" s="1"/>
      <c r="F1818" s="2"/>
    </row>
    <row r="1819" spans="1:7" hidden="1" outlineLevel="1">
      <c r="A1819" s="8"/>
      <c r="B1819" s="1"/>
      <c r="C1819" s="1"/>
      <c r="D1819" s="1"/>
      <c r="E1819" s="1"/>
      <c r="F1819" s="2"/>
    </row>
    <row r="1820" spans="1:7" hidden="1" outlineLevel="1">
      <c r="A1820" s="8"/>
      <c r="B1820" s="1"/>
      <c r="C1820" s="1"/>
      <c r="D1820" s="1"/>
      <c r="E1820" s="1"/>
      <c r="F1820" s="2"/>
    </row>
    <row r="1821" spans="1:7" ht="15.75" hidden="1" outlineLevel="1" thickBot="1">
      <c r="A1821" s="9"/>
      <c r="B1821" s="3"/>
      <c r="C1821" s="3"/>
      <c r="D1821" s="3"/>
      <c r="E1821" s="3"/>
      <c r="F1821" s="4"/>
    </row>
    <row r="1822" spans="1:7" ht="16.5" hidden="1" outlineLevel="1" thickTop="1" thickBot="1"/>
    <row r="1823" spans="1:7" ht="15.75" hidden="1" outlineLevel="1" thickTop="1">
      <c r="A1823" s="3782"/>
      <c r="B1823" s="3781"/>
      <c r="C1823" s="3781"/>
      <c r="D1823" s="3781"/>
      <c r="E1823" s="3781"/>
      <c r="F1823" s="3765"/>
    </row>
    <row r="1824" spans="1:7" ht="15.75" hidden="1" outlineLevel="1" thickBot="1">
      <c r="A1824" s="3783"/>
      <c r="B1824" s="3767"/>
      <c r="C1824" s="3767"/>
      <c r="D1824" s="3767"/>
      <c r="E1824" s="3767"/>
      <c r="F1824" s="3766"/>
    </row>
    <row r="1825" spans="1:7" ht="15.75" hidden="1" outlineLevel="1" thickTop="1">
      <c r="A1825" s="7" t="s">
        <v>1394</v>
      </c>
      <c r="B1825" s="5" t="s">
        <v>106</v>
      </c>
      <c r="C1825" s="5" t="s">
        <v>328</v>
      </c>
      <c r="D1825" s="5" t="s">
        <v>360</v>
      </c>
      <c r="E1825" s="12">
        <v>0.15</v>
      </c>
      <c r="F1825" s="6">
        <v>179969</v>
      </c>
      <c r="G1825">
        <v>211728</v>
      </c>
    </row>
    <row r="1826" spans="1:7" hidden="1" outlineLevel="1">
      <c r="A1826" s="8"/>
      <c r="B1826" s="1"/>
      <c r="C1826" s="1" t="s">
        <v>326</v>
      </c>
      <c r="D1826" s="5" t="s">
        <v>360</v>
      </c>
      <c r="E1826" s="12">
        <v>0.15</v>
      </c>
      <c r="F1826" s="6">
        <v>179969</v>
      </c>
    </row>
    <row r="1827" spans="1:7" hidden="1" outlineLevel="1">
      <c r="A1827" s="8"/>
      <c r="B1827" s="1"/>
      <c r="C1827" s="1"/>
      <c r="D1827" s="5"/>
      <c r="E1827" s="12"/>
      <c r="F1827" s="6"/>
    </row>
    <row r="1828" spans="1:7" hidden="1" outlineLevel="1">
      <c r="A1828" s="8"/>
      <c r="B1828" s="1"/>
      <c r="C1828" s="1"/>
      <c r="D1828" s="5"/>
      <c r="E1828" s="12"/>
      <c r="F1828" s="6"/>
    </row>
    <row r="1829" spans="1:7" hidden="1" outlineLevel="1">
      <c r="A1829" s="8"/>
      <c r="B1829" s="1"/>
      <c r="C1829" s="1"/>
      <c r="D1829" s="5"/>
      <c r="E1829" s="12"/>
      <c r="F1829" s="6"/>
    </row>
    <row r="1830" spans="1:7" hidden="1" outlineLevel="1">
      <c r="A1830" s="8"/>
      <c r="B1830" s="1"/>
      <c r="C1830" s="1"/>
      <c r="D1830" s="5"/>
      <c r="E1830" s="12"/>
      <c r="F1830" s="6"/>
    </row>
    <row r="1831" spans="1:7" hidden="1" outlineLevel="1">
      <c r="A1831" s="8"/>
      <c r="B1831" s="1"/>
      <c r="C1831" s="1"/>
      <c r="D1831" s="1"/>
      <c r="E1831" s="1"/>
      <c r="F1831" s="2"/>
    </row>
    <row r="1832" spans="1:7" hidden="1" outlineLevel="1">
      <c r="A1832" s="8"/>
      <c r="B1832" s="1"/>
      <c r="C1832" s="1"/>
      <c r="D1832" s="1"/>
      <c r="E1832" s="1"/>
      <c r="F1832" s="2"/>
    </row>
    <row r="1833" spans="1:7" hidden="1" outlineLevel="1">
      <c r="A1833" s="8"/>
      <c r="B1833" s="1"/>
      <c r="C1833" s="1"/>
      <c r="D1833" s="1"/>
      <c r="E1833" s="1"/>
      <c r="F1833" s="2"/>
    </row>
    <row r="1834" spans="1:7" hidden="1" outlineLevel="1">
      <c r="A1834" s="8"/>
      <c r="B1834" s="1"/>
      <c r="C1834" s="1"/>
      <c r="D1834" s="1"/>
      <c r="E1834" s="1"/>
      <c r="F1834" s="2"/>
    </row>
    <row r="1835" spans="1:7" hidden="1" outlineLevel="1">
      <c r="A1835" s="8"/>
      <c r="B1835" s="1"/>
      <c r="C1835" s="1"/>
      <c r="D1835" s="1"/>
      <c r="E1835" s="1"/>
      <c r="F1835" s="2"/>
    </row>
    <row r="1836" spans="1:7" ht="15.75" hidden="1" outlineLevel="1" thickBot="1">
      <c r="A1836" s="9"/>
      <c r="B1836" s="3"/>
      <c r="C1836" s="3"/>
      <c r="D1836" s="3"/>
      <c r="E1836" s="3"/>
      <c r="F1836" s="4"/>
    </row>
    <row r="1837" spans="1:7" ht="16.5" hidden="1" outlineLevel="1" thickTop="1" thickBot="1"/>
    <row r="1838" spans="1:7" ht="15.75" hidden="1" outlineLevel="1" thickTop="1">
      <c r="A1838" s="3782"/>
      <c r="B1838" s="3781"/>
      <c r="C1838" s="3781"/>
      <c r="D1838" s="3781"/>
      <c r="E1838" s="3781"/>
      <c r="F1838" s="3765"/>
    </row>
    <row r="1839" spans="1:7" ht="15.75" hidden="1" outlineLevel="1" thickBot="1">
      <c r="A1839" s="3783"/>
      <c r="B1839" s="3767"/>
      <c r="C1839" s="3767"/>
      <c r="D1839" s="3767"/>
      <c r="E1839" s="3767"/>
      <c r="F1839" s="3766"/>
    </row>
    <row r="1840" spans="1:7" ht="15.75" hidden="1" outlineLevel="1" thickTop="1">
      <c r="A1840" s="7" t="s">
        <v>1398</v>
      </c>
      <c r="B1840" s="5" t="s">
        <v>106</v>
      </c>
      <c r="C1840" s="5" t="s">
        <v>1362</v>
      </c>
      <c r="D1840" s="5" t="s">
        <v>360</v>
      </c>
      <c r="E1840" s="12">
        <v>0.15</v>
      </c>
      <c r="F1840" s="6">
        <v>39093</v>
      </c>
      <c r="G1840">
        <v>45992</v>
      </c>
    </row>
    <row r="1841" spans="1:8" hidden="1" outlineLevel="1">
      <c r="A1841" s="8"/>
      <c r="B1841" s="1"/>
      <c r="C1841" s="1" t="s">
        <v>1363</v>
      </c>
      <c r="D1841" s="5" t="s">
        <v>360</v>
      </c>
      <c r="E1841" s="12">
        <v>0.15</v>
      </c>
      <c r="F1841" s="6">
        <v>39093</v>
      </c>
    </row>
    <row r="1842" spans="1:8" hidden="1" outlineLevel="1">
      <c r="A1842" s="8"/>
      <c r="B1842" s="1"/>
      <c r="C1842" s="1" t="s">
        <v>1376</v>
      </c>
      <c r="D1842" s="5" t="s">
        <v>360</v>
      </c>
      <c r="E1842" s="12">
        <v>0.15</v>
      </c>
      <c r="F1842" s="6">
        <v>39093</v>
      </c>
    </row>
    <row r="1843" spans="1:8" hidden="1" outlineLevel="1">
      <c r="A1843" s="8"/>
      <c r="B1843" s="1"/>
      <c r="C1843" s="1"/>
      <c r="D1843" s="5"/>
      <c r="E1843" s="12"/>
      <c r="F1843" s="6"/>
    </row>
    <row r="1844" spans="1:8" hidden="1" outlineLevel="1">
      <c r="A1844" s="8"/>
      <c r="B1844" s="1"/>
      <c r="C1844" s="1"/>
      <c r="D1844" s="5"/>
      <c r="E1844" s="12"/>
      <c r="F1844" s="6"/>
    </row>
    <row r="1845" spans="1:8" hidden="1" outlineLevel="1">
      <c r="A1845" s="8"/>
      <c r="B1845" s="1"/>
      <c r="C1845" s="1"/>
      <c r="D1845" s="5"/>
      <c r="E1845" s="12"/>
      <c r="F1845" s="6"/>
    </row>
    <row r="1846" spans="1:8" hidden="1" outlineLevel="1">
      <c r="A1846" s="8"/>
      <c r="B1846" s="1"/>
      <c r="C1846" s="1"/>
      <c r="D1846" s="1"/>
      <c r="E1846" s="1"/>
      <c r="F1846" s="2"/>
    </row>
    <row r="1847" spans="1:8" hidden="1" outlineLevel="1">
      <c r="A1847" s="8"/>
      <c r="B1847" s="1"/>
      <c r="C1847" s="1"/>
      <c r="D1847" s="1"/>
      <c r="E1847" s="1"/>
      <c r="F1847" s="2"/>
    </row>
    <row r="1848" spans="1:8" hidden="1" outlineLevel="1">
      <c r="A1848" s="8"/>
      <c r="B1848" s="1"/>
      <c r="C1848" s="1"/>
      <c r="D1848" s="1"/>
      <c r="E1848" s="1"/>
      <c r="F1848" s="2"/>
    </row>
    <row r="1849" spans="1:8" hidden="1" outlineLevel="1">
      <c r="A1849" s="8"/>
      <c r="B1849" s="1"/>
      <c r="C1849" s="1"/>
      <c r="D1849" s="1"/>
      <c r="E1849" s="1"/>
      <c r="F1849" s="2"/>
    </row>
    <row r="1850" spans="1:8" hidden="1" outlineLevel="1">
      <c r="A1850" s="8"/>
      <c r="B1850" s="1"/>
      <c r="C1850" s="1"/>
      <c r="D1850" s="1"/>
      <c r="E1850" s="1"/>
      <c r="F1850" s="2"/>
    </row>
    <row r="1851" spans="1:8" ht="15.75" hidden="1" outlineLevel="1" thickBot="1">
      <c r="A1851" s="9"/>
      <c r="B1851" s="3"/>
      <c r="C1851" s="3"/>
      <c r="D1851" s="3"/>
      <c r="E1851" s="3"/>
      <c r="F1851" s="4"/>
    </row>
    <row r="1852" spans="1:8" ht="16.5" hidden="1" outlineLevel="1" thickTop="1" thickBot="1"/>
    <row r="1853" spans="1:8" ht="15.75" hidden="1" outlineLevel="1" thickTop="1">
      <c r="A1853" s="3808"/>
      <c r="B1853" s="3804"/>
      <c r="C1853" s="3804"/>
      <c r="D1853" s="3804"/>
      <c r="E1853" s="3804"/>
      <c r="F1853" s="3806"/>
    </row>
    <row r="1854" spans="1:8" ht="15.75" hidden="1" outlineLevel="1" thickBot="1">
      <c r="A1854" s="3809"/>
      <c r="B1854" s="3805"/>
      <c r="C1854" s="3805"/>
      <c r="D1854" s="3805"/>
      <c r="E1854" s="3805"/>
      <c r="F1854" s="3807"/>
    </row>
    <row r="1855" spans="1:8" ht="15.75" hidden="1" outlineLevel="1" thickTop="1">
      <c r="A1855" s="277" t="s">
        <v>1399</v>
      </c>
      <c r="B1855" s="191" t="s">
        <v>1171</v>
      </c>
      <c r="C1855" s="191" t="s">
        <v>1266</v>
      </c>
      <c r="D1855" s="191" t="s">
        <v>325</v>
      </c>
      <c r="E1855" s="285">
        <v>7.0000000000000007E-2</v>
      </c>
      <c r="F1855" s="279">
        <v>34465</v>
      </c>
      <c r="G1855">
        <v>37059</v>
      </c>
      <c r="H1855" s="372">
        <v>42722</v>
      </c>
    </row>
    <row r="1856" spans="1:8" hidden="1" outlineLevel="1">
      <c r="A1856" s="280"/>
      <c r="B1856" s="31"/>
      <c r="C1856" s="31" t="s">
        <v>1264</v>
      </c>
      <c r="D1856" s="191" t="s">
        <v>325</v>
      </c>
      <c r="E1856" s="285">
        <v>7.0000000000000007E-2</v>
      </c>
      <c r="F1856" s="279">
        <v>15210</v>
      </c>
      <c r="G1856">
        <v>16355</v>
      </c>
      <c r="H1856" s="372">
        <v>18855</v>
      </c>
    </row>
    <row r="1857" spans="1:12" hidden="1" outlineLevel="1">
      <c r="A1857" s="280"/>
      <c r="B1857" s="31"/>
      <c r="C1857" s="31"/>
      <c r="D1857" s="191"/>
      <c r="E1857" s="285"/>
      <c r="F1857" s="279"/>
    </row>
    <row r="1858" spans="1:12" hidden="1" outlineLevel="1">
      <c r="A1858" s="280"/>
      <c r="B1858" s="31"/>
      <c r="C1858" s="31"/>
      <c r="D1858" s="191"/>
      <c r="E1858" s="285"/>
      <c r="F1858" s="279"/>
    </row>
    <row r="1859" spans="1:12" hidden="1" outlineLevel="1">
      <c r="A1859" s="280"/>
      <c r="B1859" s="31"/>
      <c r="C1859" s="31"/>
      <c r="D1859" s="191"/>
      <c r="E1859" s="285"/>
      <c r="F1859" s="279"/>
    </row>
    <row r="1860" spans="1:12" hidden="1" outlineLevel="1">
      <c r="A1860" s="280"/>
      <c r="B1860" s="31"/>
      <c r="C1860" s="31"/>
      <c r="D1860" s="191"/>
      <c r="E1860" s="285"/>
      <c r="F1860" s="279"/>
    </row>
    <row r="1861" spans="1:12" hidden="1" outlineLevel="1">
      <c r="A1861" s="280"/>
      <c r="B1861" s="31"/>
      <c r="C1861" s="31"/>
      <c r="D1861" s="31"/>
      <c r="E1861" s="31"/>
      <c r="F1861" s="281"/>
    </row>
    <row r="1862" spans="1:12" hidden="1" outlineLevel="1">
      <c r="A1862" s="280"/>
      <c r="B1862" s="31"/>
      <c r="C1862" s="31"/>
      <c r="D1862" s="31"/>
      <c r="E1862" s="31"/>
      <c r="F1862" s="281"/>
    </row>
    <row r="1863" spans="1:12" hidden="1" outlineLevel="1">
      <c r="A1863" s="280"/>
      <c r="B1863" s="31"/>
      <c r="C1863" s="31"/>
      <c r="D1863" s="31"/>
      <c r="E1863" s="31"/>
      <c r="F1863" s="281"/>
    </row>
    <row r="1864" spans="1:12" hidden="1" outlineLevel="1">
      <c r="A1864" s="280"/>
      <c r="B1864" s="31"/>
      <c r="C1864" s="31"/>
      <c r="D1864" s="31"/>
      <c r="E1864" s="31"/>
      <c r="F1864" s="281"/>
    </row>
    <row r="1865" spans="1:12" hidden="1" outlineLevel="1">
      <c r="A1865" s="280"/>
      <c r="B1865" s="31"/>
      <c r="C1865" s="31"/>
      <c r="D1865" s="31"/>
      <c r="E1865" s="31"/>
      <c r="F1865" s="281"/>
    </row>
    <row r="1866" spans="1:12" ht="15.75" hidden="1" outlineLevel="1" thickBot="1">
      <c r="A1866" s="282"/>
      <c r="B1866" s="283"/>
      <c r="C1866" s="283"/>
      <c r="D1866" s="283"/>
      <c r="E1866" s="283"/>
      <c r="F1866" s="284"/>
    </row>
    <row r="1867" spans="1:12" ht="16.5" hidden="1" outlineLevel="1" thickTop="1" thickBot="1">
      <c r="A1867" s="176"/>
      <c r="B1867" s="176"/>
      <c r="C1867" s="176"/>
      <c r="D1867" s="176"/>
      <c r="E1867" s="176"/>
      <c r="F1867" s="176"/>
    </row>
    <row r="1868" spans="1:12" ht="15.75" hidden="1" outlineLevel="1" thickTop="1">
      <c r="A1868" s="3808"/>
      <c r="B1868" s="3804"/>
      <c r="C1868" s="3804"/>
      <c r="D1868" s="3804"/>
      <c r="E1868" s="3804"/>
      <c r="F1868" s="3806"/>
    </row>
    <row r="1869" spans="1:12" ht="15.75" hidden="1" outlineLevel="1" thickBot="1">
      <c r="A1869" s="3809"/>
      <c r="B1869" s="3805"/>
      <c r="C1869" s="3805"/>
      <c r="D1869" s="3805"/>
      <c r="E1869" s="3805"/>
      <c r="F1869" s="3807"/>
    </row>
    <row r="1870" spans="1:12" ht="15.75" hidden="1" outlineLevel="1" thickTop="1">
      <c r="A1870" s="277" t="s">
        <v>1426</v>
      </c>
      <c r="B1870" s="191" t="s">
        <v>1171</v>
      </c>
      <c r="C1870" s="191" t="s">
        <v>1119</v>
      </c>
      <c r="D1870" s="191" t="s">
        <v>325</v>
      </c>
      <c r="E1870" s="285">
        <v>0.15</v>
      </c>
      <c r="F1870" s="279">
        <v>8944</v>
      </c>
      <c r="G1870">
        <v>11028</v>
      </c>
      <c r="I1870">
        <v>7394</v>
      </c>
      <c r="J1870">
        <f>G1870-F1870</f>
        <v>2084</v>
      </c>
      <c r="K1870">
        <f>I1870*J1870</f>
        <v>15409096</v>
      </c>
      <c r="L1870">
        <f>K1870/19500</f>
        <v>790.21005128205127</v>
      </c>
    </row>
    <row r="1871" spans="1:12" hidden="1" outlineLevel="1">
      <c r="A1871" s="280"/>
      <c r="B1871" s="31"/>
      <c r="C1871" s="31" t="s">
        <v>554</v>
      </c>
      <c r="D1871" s="191" t="s">
        <v>325</v>
      </c>
      <c r="E1871" s="285">
        <v>0.15</v>
      </c>
      <c r="F1871" s="279">
        <v>8944</v>
      </c>
    </row>
    <row r="1872" spans="1:12" hidden="1" outlineLevel="1">
      <c r="A1872" s="280"/>
      <c r="B1872" s="31"/>
      <c r="C1872" s="31"/>
      <c r="D1872" s="191"/>
      <c r="E1872" s="285"/>
      <c r="F1872" s="279"/>
    </row>
    <row r="1873" spans="1:7" hidden="1" outlineLevel="1">
      <c r="A1873" s="280"/>
      <c r="B1873" s="31"/>
      <c r="C1873" s="31"/>
      <c r="D1873" s="191"/>
      <c r="E1873" s="285"/>
      <c r="F1873" s="279"/>
    </row>
    <row r="1874" spans="1:7" hidden="1" outlineLevel="1">
      <c r="A1874" s="280"/>
      <c r="B1874" s="31"/>
      <c r="C1874" s="31"/>
      <c r="D1874" s="191"/>
      <c r="E1874" s="285"/>
      <c r="F1874" s="279"/>
    </row>
    <row r="1875" spans="1:7" hidden="1" outlineLevel="1">
      <c r="A1875" s="280"/>
      <c r="B1875" s="31"/>
      <c r="C1875" s="31"/>
      <c r="D1875" s="191"/>
      <c r="E1875" s="285"/>
      <c r="F1875" s="279"/>
    </row>
    <row r="1876" spans="1:7" hidden="1" outlineLevel="1">
      <c r="A1876" s="280"/>
      <c r="B1876" s="31"/>
      <c r="C1876" s="31"/>
      <c r="D1876" s="31"/>
      <c r="E1876" s="31"/>
      <c r="F1876" s="281"/>
    </row>
    <row r="1877" spans="1:7" hidden="1" outlineLevel="1">
      <c r="A1877" s="280"/>
      <c r="B1877" s="31"/>
      <c r="C1877" s="31"/>
      <c r="D1877" s="31"/>
      <c r="E1877" s="31"/>
      <c r="F1877" s="281"/>
    </row>
    <row r="1878" spans="1:7" hidden="1" outlineLevel="1">
      <c r="A1878" s="280"/>
      <c r="B1878" s="31"/>
      <c r="C1878" s="31"/>
      <c r="D1878" s="31"/>
      <c r="E1878" s="31"/>
      <c r="F1878" s="281"/>
    </row>
    <row r="1879" spans="1:7" hidden="1" outlineLevel="1">
      <c r="A1879" s="280"/>
      <c r="B1879" s="31"/>
      <c r="C1879" s="31"/>
      <c r="D1879" s="31"/>
      <c r="E1879" s="31"/>
      <c r="F1879" s="281"/>
    </row>
    <row r="1880" spans="1:7" hidden="1" outlineLevel="1">
      <c r="A1880" s="280"/>
      <c r="B1880" s="31"/>
      <c r="C1880" s="31"/>
      <c r="D1880" s="31"/>
      <c r="E1880" s="31"/>
      <c r="F1880" s="281"/>
    </row>
    <row r="1881" spans="1:7" ht="15.75" hidden="1" outlineLevel="1" thickBot="1">
      <c r="A1881" s="282"/>
      <c r="B1881" s="283"/>
      <c r="C1881" s="283"/>
      <c r="D1881" s="283"/>
      <c r="E1881" s="283"/>
      <c r="F1881" s="284"/>
    </row>
    <row r="1882" spans="1:7" ht="16.5" hidden="1" outlineLevel="1" thickTop="1" thickBot="1">
      <c r="A1882" s="176"/>
      <c r="B1882" s="176"/>
      <c r="C1882" s="176"/>
      <c r="D1882" s="176"/>
      <c r="E1882" s="176"/>
      <c r="F1882" s="176"/>
    </row>
    <row r="1883" spans="1:7" ht="15.75" hidden="1" outlineLevel="1" thickTop="1">
      <c r="A1883" s="3808"/>
      <c r="B1883" s="3804"/>
      <c r="C1883" s="3804"/>
      <c r="D1883" s="3804"/>
      <c r="E1883" s="3804"/>
      <c r="F1883" s="3806"/>
    </row>
    <row r="1884" spans="1:7" ht="15.75" hidden="1" outlineLevel="1" thickBot="1">
      <c r="A1884" s="3809"/>
      <c r="B1884" s="3805"/>
      <c r="C1884" s="3805"/>
      <c r="D1884" s="3805"/>
      <c r="E1884" s="3805"/>
      <c r="F1884" s="3807"/>
    </row>
    <row r="1885" spans="1:7" ht="15.75" hidden="1" outlineLevel="1" thickTop="1">
      <c r="A1885" s="277" t="s">
        <v>1399</v>
      </c>
      <c r="B1885" s="191" t="s">
        <v>1171</v>
      </c>
      <c r="C1885" s="191" t="s">
        <v>465</v>
      </c>
      <c r="D1885" s="191" t="s">
        <v>325</v>
      </c>
      <c r="E1885" s="285">
        <v>7.0000000000000007E-2</v>
      </c>
      <c r="F1885" s="279">
        <v>11159</v>
      </c>
      <c r="G1885">
        <v>12575</v>
      </c>
    </row>
    <row r="1886" spans="1:7" hidden="1" outlineLevel="1">
      <c r="A1886" s="280"/>
      <c r="B1886" s="31"/>
      <c r="C1886" s="31" t="s">
        <v>1332</v>
      </c>
      <c r="D1886" s="191" t="s">
        <v>325</v>
      </c>
      <c r="E1886" s="285">
        <v>7.0000000000000007E-2</v>
      </c>
      <c r="F1886" s="279">
        <v>11159</v>
      </c>
    </row>
    <row r="1887" spans="1:7" hidden="1" outlineLevel="1">
      <c r="A1887" s="280"/>
      <c r="B1887" s="31"/>
      <c r="C1887" s="31"/>
      <c r="D1887" s="191"/>
      <c r="E1887" s="285"/>
      <c r="F1887" s="279"/>
    </row>
    <row r="1888" spans="1:7" hidden="1" outlineLevel="1">
      <c r="A1888" s="280"/>
      <c r="B1888" s="31"/>
      <c r="C1888" s="31"/>
      <c r="D1888" s="191"/>
      <c r="E1888" s="285"/>
      <c r="F1888" s="279"/>
    </row>
    <row r="1889" spans="1:13" hidden="1" outlineLevel="1">
      <c r="A1889" s="280"/>
      <c r="B1889" s="31"/>
      <c r="C1889" s="31"/>
      <c r="D1889" s="191"/>
      <c r="E1889" s="285"/>
      <c r="F1889" s="279"/>
    </row>
    <row r="1890" spans="1:13" hidden="1" outlineLevel="1">
      <c r="A1890" s="280"/>
      <c r="B1890" s="31"/>
      <c r="C1890" s="31"/>
      <c r="D1890" s="191"/>
      <c r="E1890" s="285"/>
      <c r="F1890" s="279"/>
    </row>
    <row r="1891" spans="1:13" hidden="1" outlineLevel="1">
      <c r="A1891" s="280"/>
      <c r="B1891" s="31"/>
      <c r="C1891" s="31"/>
      <c r="D1891" s="31"/>
      <c r="E1891" s="31"/>
      <c r="F1891" s="281"/>
    </row>
    <row r="1892" spans="1:13" hidden="1" outlineLevel="1">
      <c r="A1892" s="280"/>
      <c r="B1892" s="31"/>
      <c r="C1892" s="31"/>
      <c r="D1892" s="31"/>
      <c r="E1892" s="31"/>
      <c r="F1892" s="281"/>
    </row>
    <row r="1893" spans="1:13" hidden="1" outlineLevel="1">
      <c r="A1893" s="280"/>
      <c r="B1893" s="31"/>
      <c r="C1893" s="31"/>
      <c r="D1893" s="31"/>
      <c r="E1893" s="31"/>
      <c r="F1893" s="281"/>
    </row>
    <row r="1894" spans="1:13" hidden="1" outlineLevel="1">
      <c r="A1894" s="280"/>
      <c r="B1894" s="31"/>
      <c r="C1894" s="31"/>
      <c r="D1894" s="31"/>
      <c r="E1894" s="31"/>
      <c r="F1894" s="281"/>
    </row>
    <row r="1895" spans="1:13" hidden="1" outlineLevel="1">
      <c r="A1895" s="280"/>
      <c r="B1895" s="31"/>
      <c r="C1895" s="31"/>
      <c r="D1895" s="31"/>
      <c r="E1895" s="31"/>
      <c r="F1895" s="281"/>
    </row>
    <row r="1896" spans="1:13" ht="15.75" hidden="1" outlineLevel="1" thickBot="1">
      <c r="A1896" s="282"/>
      <c r="B1896" s="283"/>
      <c r="C1896" s="283"/>
      <c r="D1896" s="283"/>
      <c r="E1896" s="283"/>
      <c r="F1896" s="284"/>
    </row>
    <row r="1897" spans="1:13" ht="16.5" hidden="1" outlineLevel="1" thickTop="1" thickBot="1"/>
    <row r="1898" spans="1:13" ht="15.75" hidden="1" outlineLevel="1" thickTop="1">
      <c r="A1898" s="3782"/>
      <c r="B1898" s="3781"/>
      <c r="C1898" s="3781"/>
      <c r="D1898" s="3781"/>
      <c r="E1898" s="3781"/>
      <c r="F1898" s="3765"/>
    </row>
    <row r="1899" spans="1:13" ht="15.75" hidden="1" outlineLevel="1" thickBot="1">
      <c r="A1899" s="3783"/>
      <c r="B1899" s="3767"/>
      <c r="C1899" s="3767"/>
      <c r="D1899" s="3767"/>
      <c r="E1899" s="3767"/>
      <c r="F1899" s="3766"/>
    </row>
    <row r="1900" spans="1:13" ht="15.75" hidden="1" outlineLevel="1" thickTop="1">
      <c r="A1900" s="7" t="s">
        <v>1400</v>
      </c>
      <c r="B1900" s="5" t="s">
        <v>1171</v>
      </c>
      <c r="C1900" s="5" t="s">
        <v>937</v>
      </c>
      <c r="D1900" s="5" t="s">
        <v>325</v>
      </c>
      <c r="E1900" s="12">
        <v>0.15</v>
      </c>
      <c r="F1900" s="6">
        <v>47442</v>
      </c>
      <c r="G1900">
        <v>55814</v>
      </c>
      <c r="I1900">
        <v>193</v>
      </c>
      <c r="J1900">
        <f>G1900-F1900</f>
        <v>8372</v>
      </c>
      <c r="K1900">
        <f>I1900*J1900</f>
        <v>1615796</v>
      </c>
      <c r="L1900">
        <f>K1900+K1902</f>
        <v>2827708</v>
      </c>
      <c r="M1900">
        <f>L1900/19500</f>
        <v>145.01066666666668</v>
      </c>
    </row>
    <row r="1901" spans="1:13" hidden="1" outlineLevel="1">
      <c r="A1901" s="8"/>
      <c r="B1901" s="1"/>
      <c r="C1901" s="1" t="s">
        <v>1168</v>
      </c>
      <c r="D1901" s="5" t="s">
        <v>325</v>
      </c>
      <c r="E1901" s="12">
        <v>0.15</v>
      </c>
      <c r="F1901" s="6">
        <v>47442</v>
      </c>
    </row>
    <row r="1902" spans="1:13" hidden="1" outlineLevel="1">
      <c r="A1902" s="8"/>
      <c r="B1902" s="1"/>
      <c r="C1902" s="1" t="s">
        <v>903</v>
      </c>
      <c r="D1902" s="5" t="s">
        <v>325</v>
      </c>
      <c r="E1902" s="12">
        <v>0.15</v>
      </c>
      <c r="F1902" s="6">
        <v>25344</v>
      </c>
      <c r="G1902">
        <v>29816</v>
      </c>
      <c r="I1902">
        <v>271</v>
      </c>
      <c r="J1902">
        <f>G1902-F1902</f>
        <v>4472</v>
      </c>
      <c r="K1902">
        <f>I1902*J1902</f>
        <v>1211912</v>
      </c>
    </row>
    <row r="1903" spans="1:13" hidden="1" outlineLevel="1">
      <c r="A1903" s="8"/>
      <c r="B1903" s="1"/>
      <c r="C1903" s="1" t="s">
        <v>1401</v>
      </c>
      <c r="D1903" s="5" t="s">
        <v>325</v>
      </c>
      <c r="E1903" s="12">
        <v>0.15</v>
      </c>
      <c r="F1903" s="6">
        <v>25344</v>
      </c>
    </row>
    <row r="1904" spans="1:13" hidden="1" outlineLevel="1">
      <c r="A1904" s="8"/>
      <c r="B1904" s="1"/>
      <c r="C1904" s="1"/>
      <c r="D1904" s="5"/>
      <c r="E1904" s="12"/>
      <c r="F1904" s="6"/>
    </row>
    <row r="1905" spans="1:7" hidden="1" outlineLevel="1">
      <c r="A1905" s="8"/>
      <c r="B1905" s="1"/>
      <c r="C1905" s="1"/>
      <c r="D1905" s="5"/>
      <c r="E1905" s="12"/>
      <c r="F1905" s="6"/>
    </row>
    <row r="1906" spans="1:7" hidden="1" outlineLevel="1">
      <c r="A1906" s="8"/>
      <c r="B1906" s="1"/>
      <c r="C1906" s="1"/>
      <c r="D1906" s="1"/>
      <c r="E1906" s="1"/>
      <c r="F1906" s="2"/>
    </row>
    <row r="1907" spans="1:7" hidden="1" outlineLevel="1">
      <c r="A1907" s="8"/>
      <c r="B1907" s="1"/>
      <c r="C1907" s="1"/>
      <c r="D1907" s="1"/>
      <c r="E1907" s="1"/>
      <c r="F1907" s="2"/>
    </row>
    <row r="1908" spans="1:7" hidden="1" outlineLevel="1">
      <c r="A1908" s="8"/>
      <c r="B1908" s="1"/>
      <c r="C1908" s="1"/>
      <c r="D1908" s="1"/>
      <c r="E1908" s="1"/>
      <c r="F1908" s="2"/>
    </row>
    <row r="1909" spans="1:7" hidden="1" outlineLevel="1">
      <c r="A1909" s="8"/>
      <c r="B1909" s="1"/>
      <c r="C1909" s="1"/>
      <c r="D1909" s="1"/>
      <c r="E1909" s="1"/>
      <c r="F1909" s="2"/>
    </row>
    <row r="1910" spans="1:7" hidden="1" outlineLevel="1">
      <c r="A1910" s="8"/>
      <c r="B1910" s="1"/>
      <c r="C1910" s="1"/>
      <c r="D1910" s="1"/>
      <c r="E1910" s="1"/>
      <c r="F1910" s="2"/>
    </row>
    <row r="1911" spans="1:7" ht="15.75" hidden="1" outlineLevel="1" thickBot="1">
      <c r="A1911" s="9"/>
      <c r="B1911" s="3"/>
      <c r="C1911" s="3"/>
      <c r="D1911" s="3"/>
      <c r="E1911" s="3"/>
      <c r="F1911" s="4"/>
    </row>
    <row r="1912" spans="1:7" ht="16.5" hidden="1" outlineLevel="1" thickTop="1" thickBot="1"/>
    <row r="1913" spans="1:7" ht="15.75" hidden="1" outlineLevel="1" thickTop="1">
      <c r="A1913" s="3782"/>
      <c r="B1913" s="3781"/>
      <c r="C1913" s="3781"/>
      <c r="D1913" s="3781"/>
      <c r="E1913" s="3781"/>
      <c r="F1913" s="3765"/>
    </row>
    <row r="1914" spans="1:7" ht="15.75" hidden="1" outlineLevel="1" thickBot="1">
      <c r="A1914" s="3783"/>
      <c r="B1914" s="3767"/>
      <c r="C1914" s="3767"/>
      <c r="D1914" s="3767"/>
      <c r="E1914" s="3767"/>
      <c r="F1914" s="3766"/>
    </row>
    <row r="1915" spans="1:7" ht="15.75" hidden="1" outlineLevel="1" thickTop="1">
      <c r="A1915" s="7" t="s">
        <v>1427</v>
      </c>
      <c r="B1915" s="5" t="s">
        <v>1171</v>
      </c>
      <c r="C1915" s="5" t="s">
        <v>857</v>
      </c>
      <c r="D1915" s="5" t="s">
        <v>325</v>
      </c>
      <c r="E1915" s="12">
        <v>0.15</v>
      </c>
      <c r="F1915" s="6">
        <v>13648</v>
      </c>
      <c r="G1915">
        <v>16056</v>
      </c>
    </row>
    <row r="1916" spans="1:7" hidden="1" outlineLevel="1">
      <c r="A1916" s="8"/>
      <c r="B1916" s="1"/>
      <c r="C1916" s="1" t="s">
        <v>1218</v>
      </c>
      <c r="D1916" s="5" t="s">
        <v>325</v>
      </c>
      <c r="E1916" s="12">
        <v>0.15</v>
      </c>
      <c r="F1916" s="6">
        <v>13648</v>
      </c>
    </row>
    <row r="1917" spans="1:7" hidden="1" outlineLevel="1">
      <c r="A1917" s="8"/>
      <c r="B1917" s="1"/>
      <c r="C1917" s="1" t="s">
        <v>856</v>
      </c>
      <c r="D1917" s="5" t="s">
        <v>325</v>
      </c>
      <c r="E1917" s="12">
        <v>0.15</v>
      </c>
      <c r="F1917" s="6">
        <v>13648</v>
      </c>
    </row>
    <row r="1918" spans="1:7" hidden="1" outlineLevel="1">
      <c r="A1918" s="8"/>
      <c r="B1918" s="1"/>
      <c r="C1918" s="1"/>
      <c r="D1918" s="5"/>
      <c r="E1918" s="12"/>
      <c r="F1918" s="6"/>
    </row>
    <row r="1919" spans="1:7" hidden="1" outlineLevel="1">
      <c r="A1919" s="8"/>
      <c r="B1919" s="1"/>
      <c r="C1919" s="1"/>
      <c r="D1919" s="5"/>
      <c r="E1919" s="12"/>
      <c r="F1919" s="6"/>
    </row>
    <row r="1920" spans="1:7" hidden="1" outlineLevel="1">
      <c r="A1920" s="8"/>
      <c r="B1920" s="1"/>
      <c r="C1920" s="1"/>
      <c r="D1920" s="5"/>
      <c r="E1920" s="12"/>
      <c r="F1920" s="6"/>
    </row>
    <row r="1921" spans="1:7" hidden="1" outlineLevel="1">
      <c r="A1921" s="8"/>
      <c r="B1921" s="1"/>
      <c r="C1921" s="1"/>
      <c r="D1921" s="1"/>
      <c r="E1921" s="1"/>
      <c r="F1921" s="2"/>
    </row>
    <row r="1922" spans="1:7" hidden="1" outlineLevel="1">
      <c r="A1922" s="8"/>
      <c r="B1922" s="1"/>
      <c r="C1922" s="1"/>
      <c r="D1922" s="1"/>
      <c r="E1922" s="1"/>
      <c r="F1922" s="2"/>
    </row>
    <row r="1923" spans="1:7" hidden="1" outlineLevel="1">
      <c r="A1923" s="8"/>
      <c r="B1923" s="1"/>
      <c r="C1923" s="1"/>
      <c r="D1923" s="1"/>
      <c r="E1923" s="1"/>
      <c r="F1923" s="2"/>
    </row>
    <row r="1924" spans="1:7" hidden="1" outlineLevel="1">
      <c r="A1924" s="8"/>
      <c r="B1924" s="1"/>
      <c r="C1924" s="1"/>
      <c r="D1924" s="1"/>
      <c r="E1924" s="1"/>
      <c r="F1924" s="2"/>
    </row>
    <row r="1925" spans="1:7" hidden="1" outlineLevel="1">
      <c r="A1925" s="8"/>
      <c r="B1925" s="1"/>
      <c r="C1925" s="1"/>
      <c r="D1925" s="1"/>
      <c r="E1925" s="1"/>
      <c r="F1925" s="2"/>
    </row>
    <row r="1926" spans="1:7" ht="15.75" hidden="1" outlineLevel="1" thickBot="1">
      <c r="A1926" s="9"/>
      <c r="B1926" s="3"/>
      <c r="C1926" s="3"/>
      <c r="D1926" s="3"/>
      <c r="E1926" s="3"/>
      <c r="F1926" s="4"/>
    </row>
    <row r="1927" spans="1:7" ht="16.5" hidden="1" outlineLevel="1" thickTop="1" thickBot="1"/>
    <row r="1928" spans="1:7" ht="15.75" hidden="1" outlineLevel="1" thickTop="1">
      <c r="A1928" s="3782"/>
      <c r="B1928" s="3781"/>
      <c r="C1928" s="3781"/>
      <c r="D1928" s="3781"/>
      <c r="E1928" s="3781"/>
      <c r="F1928" s="3765"/>
    </row>
    <row r="1929" spans="1:7" ht="15.75" hidden="1" outlineLevel="1" thickBot="1">
      <c r="A1929" s="3783"/>
      <c r="B1929" s="3767"/>
      <c r="C1929" s="3767"/>
      <c r="D1929" s="3767"/>
      <c r="E1929" s="3767"/>
      <c r="F1929" s="3766"/>
    </row>
    <row r="1930" spans="1:7" ht="15.75" hidden="1" outlineLevel="1" thickTop="1">
      <c r="A1930" s="7" t="s">
        <v>1441</v>
      </c>
      <c r="B1930" s="5" t="s">
        <v>1171</v>
      </c>
      <c r="C1930" s="5" t="s">
        <v>160</v>
      </c>
      <c r="D1930" s="5" t="s">
        <v>325</v>
      </c>
      <c r="E1930" s="12">
        <v>0.05</v>
      </c>
      <c r="F1930" s="6">
        <v>189873</v>
      </c>
      <c r="G1930">
        <v>199866</v>
      </c>
    </row>
    <row r="1931" spans="1:7" hidden="1" outlineLevel="1">
      <c r="A1931" s="8"/>
      <c r="B1931" s="1"/>
      <c r="C1931" s="1" t="s">
        <v>113</v>
      </c>
      <c r="D1931" s="5" t="s">
        <v>325</v>
      </c>
      <c r="E1931" s="12">
        <v>0.05</v>
      </c>
      <c r="F1931" s="6">
        <v>189873</v>
      </c>
    </row>
    <row r="1932" spans="1:7" hidden="1" outlineLevel="1">
      <c r="A1932" s="8"/>
      <c r="B1932" s="1"/>
      <c r="C1932" s="1" t="s">
        <v>161</v>
      </c>
      <c r="D1932" s="5" t="s">
        <v>325</v>
      </c>
      <c r="E1932" s="12">
        <v>0.05</v>
      </c>
      <c r="F1932" s="6">
        <v>189873</v>
      </c>
    </row>
    <row r="1933" spans="1:7" hidden="1" outlineLevel="1">
      <c r="A1933" s="8"/>
      <c r="B1933" s="1"/>
      <c r="C1933" s="1" t="s">
        <v>328</v>
      </c>
      <c r="D1933" s="5" t="s">
        <v>325</v>
      </c>
      <c r="E1933" s="12">
        <v>0.05</v>
      </c>
      <c r="F1933" s="6">
        <v>208924</v>
      </c>
      <c r="G1933">
        <v>219920</v>
      </c>
    </row>
    <row r="1934" spans="1:7" hidden="1" outlineLevel="1">
      <c r="A1934" s="8"/>
      <c r="B1934" s="1"/>
      <c r="C1934" s="1" t="s">
        <v>326</v>
      </c>
      <c r="D1934" s="5" t="s">
        <v>325</v>
      </c>
      <c r="E1934" s="12">
        <v>0.05</v>
      </c>
      <c r="F1934" s="6">
        <v>208924</v>
      </c>
    </row>
    <row r="1935" spans="1:7" hidden="1" outlineLevel="1">
      <c r="A1935" s="8"/>
      <c r="B1935" s="1"/>
      <c r="C1935" s="1" t="s">
        <v>327</v>
      </c>
      <c r="D1935" s="5" t="s">
        <v>325</v>
      </c>
      <c r="E1935" s="12">
        <v>0.05</v>
      </c>
      <c r="F1935" s="6">
        <v>208924</v>
      </c>
    </row>
    <row r="1936" spans="1:7" hidden="1" outlineLevel="1">
      <c r="A1936" s="8"/>
      <c r="B1936" s="1"/>
      <c r="C1936" s="1"/>
      <c r="D1936" s="1"/>
      <c r="E1936" s="1"/>
      <c r="F1936" s="2"/>
    </row>
    <row r="1937" spans="1:7" hidden="1" outlineLevel="1">
      <c r="A1937" s="8"/>
      <c r="B1937" s="1"/>
      <c r="C1937" s="1"/>
      <c r="D1937" s="1"/>
      <c r="E1937" s="1"/>
      <c r="F1937" s="2"/>
    </row>
    <row r="1938" spans="1:7" hidden="1" outlineLevel="1">
      <c r="A1938" s="8"/>
      <c r="B1938" s="1"/>
      <c r="C1938" s="1"/>
      <c r="D1938" s="1"/>
      <c r="E1938" s="1"/>
      <c r="F1938" s="2"/>
    </row>
    <row r="1939" spans="1:7" hidden="1" outlineLevel="1">
      <c r="A1939" s="8"/>
      <c r="B1939" s="1"/>
      <c r="C1939" s="1"/>
      <c r="D1939" s="1"/>
      <c r="E1939" s="1"/>
      <c r="F1939" s="2"/>
    </row>
    <row r="1940" spans="1:7" hidden="1" outlineLevel="1">
      <c r="A1940" s="8"/>
      <c r="B1940" s="1"/>
      <c r="C1940" s="1"/>
      <c r="D1940" s="1"/>
      <c r="E1940" s="1"/>
      <c r="F1940" s="2"/>
    </row>
    <row r="1941" spans="1:7" ht="15.75" hidden="1" outlineLevel="1" thickBot="1">
      <c r="A1941" s="9"/>
      <c r="B1941" s="3"/>
      <c r="C1941" s="3"/>
      <c r="D1941" s="3"/>
      <c r="E1941" s="3"/>
      <c r="F1941" s="4"/>
    </row>
    <row r="1942" spans="1:7" ht="16.5" hidden="1" outlineLevel="1" thickTop="1" thickBot="1"/>
    <row r="1943" spans="1:7" ht="15.75" hidden="1" outlineLevel="1" thickTop="1">
      <c r="A1943" s="3782"/>
      <c r="B1943" s="3781"/>
      <c r="C1943" s="3781"/>
      <c r="D1943" s="3781"/>
      <c r="E1943" s="3781"/>
      <c r="F1943" s="3765"/>
    </row>
    <row r="1944" spans="1:7" ht="15.75" hidden="1" outlineLevel="1" thickBot="1">
      <c r="A1944" s="3783"/>
      <c r="B1944" s="3767"/>
      <c r="C1944" s="3767"/>
      <c r="D1944" s="3767"/>
      <c r="E1944" s="3767"/>
      <c r="F1944" s="3766"/>
    </row>
    <row r="1945" spans="1:7" ht="15.75" hidden="1" outlineLevel="1" thickTop="1">
      <c r="A1945" s="7" t="s">
        <v>1441</v>
      </c>
      <c r="B1945" s="5" t="s">
        <v>1171</v>
      </c>
      <c r="C1945" s="5" t="s">
        <v>1374</v>
      </c>
      <c r="D1945" s="5" t="s">
        <v>325</v>
      </c>
      <c r="E1945" s="12">
        <v>0.05</v>
      </c>
      <c r="F1945" s="6">
        <v>7276</v>
      </c>
      <c r="G1945">
        <v>7659</v>
      </c>
    </row>
    <row r="1946" spans="1:7" hidden="1" outlineLevel="1">
      <c r="A1946" s="8"/>
      <c r="B1946" s="1"/>
      <c r="C1946" s="1" t="s">
        <v>1440</v>
      </c>
      <c r="D1946" s="5" t="s">
        <v>325</v>
      </c>
      <c r="E1946" s="12">
        <v>0.05</v>
      </c>
      <c r="F1946" s="6">
        <v>7276</v>
      </c>
    </row>
    <row r="1947" spans="1:7" hidden="1" outlineLevel="1">
      <c r="A1947" s="8"/>
      <c r="B1947" s="1"/>
      <c r="C1947" s="1" t="s">
        <v>522</v>
      </c>
      <c r="D1947" s="5" t="s">
        <v>325</v>
      </c>
      <c r="E1947" s="12">
        <v>0.05</v>
      </c>
      <c r="F1947" s="6">
        <v>7276</v>
      </c>
    </row>
    <row r="1948" spans="1:7" hidden="1" outlineLevel="1">
      <c r="A1948" s="8"/>
      <c r="B1948" s="1"/>
      <c r="C1948" s="31" t="s">
        <v>1362</v>
      </c>
      <c r="D1948" s="191" t="s">
        <v>325</v>
      </c>
      <c r="E1948" s="285">
        <v>0.05</v>
      </c>
      <c r="F1948" s="279">
        <v>43367</v>
      </c>
      <c r="G1948">
        <v>45649</v>
      </c>
    </row>
    <row r="1949" spans="1:7" hidden="1" outlineLevel="1">
      <c r="A1949" s="8"/>
      <c r="B1949" s="1"/>
      <c r="C1949" s="31" t="s">
        <v>1363</v>
      </c>
      <c r="D1949" s="191" t="s">
        <v>325</v>
      </c>
      <c r="E1949" s="285">
        <v>0.05</v>
      </c>
      <c r="F1949" s="279">
        <v>43367</v>
      </c>
    </row>
    <row r="1950" spans="1:7" hidden="1" outlineLevel="1">
      <c r="A1950" s="8"/>
      <c r="B1950" s="1"/>
      <c r="C1950" s="1" t="s">
        <v>510</v>
      </c>
      <c r="D1950" s="5" t="s">
        <v>325</v>
      </c>
      <c r="E1950" s="12">
        <v>0.05</v>
      </c>
      <c r="F1950" s="6">
        <v>43367</v>
      </c>
    </row>
    <row r="1951" spans="1:7" hidden="1" outlineLevel="1">
      <c r="A1951" s="8"/>
      <c r="B1951" s="1"/>
      <c r="C1951" s="31" t="s">
        <v>1375</v>
      </c>
      <c r="D1951" s="191" t="s">
        <v>325</v>
      </c>
      <c r="E1951" s="285">
        <v>0.05</v>
      </c>
      <c r="F1951" s="279">
        <v>43367</v>
      </c>
    </row>
    <row r="1952" spans="1:7" hidden="1" outlineLevel="1">
      <c r="A1952" s="8"/>
      <c r="B1952" s="1"/>
      <c r="C1952" s="1" t="s">
        <v>1439</v>
      </c>
      <c r="D1952" s="5" t="s">
        <v>325</v>
      </c>
      <c r="E1952" s="12">
        <v>0.05</v>
      </c>
      <c r="F1952" s="2">
        <v>86527</v>
      </c>
      <c r="G1952">
        <v>91081</v>
      </c>
    </row>
    <row r="1953" spans="1:12" hidden="1" outlineLevel="1">
      <c r="A1953" s="8"/>
      <c r="B1953" s="1"/>
      <c r="C1953" s="1" t="s">
        <v>838</v>
      </c>
      <c r="D1953" s="5" t="s">
        <v>325</v>
      </c>
      <c r="E1953" s="12">
        <v>0.05</v>
      </c>
      <c r="F1953" s="2">
        <v>86527</v>
      </c>
    </row>
    <row r="1954" spans="1:12" hidden="1" outlineLevel="1">
      <c r="A1954" s="8"/>
      <c r="B1954" s="1"/>
      <c r="C1954" s="1"/>
      <c r="D1954" s="1"/>
      <c r="E1954" s="1"/>
      <c r="F1954" s="2"/>
    </row>
    <row r="1955" spans="1:12" hidden="1" outlineLevel="1">
      <c r="A1955" s="8"/>
      <c r="B1955" s="1"/>
      <c r="C1955" s="1"/>
      <c r="D1955" s="1"/>
      <c r="E1955" s="1"/>
      <c r="F1955" s="2"/>
    </row>
    <row r="1956" spans="1:12" ht="15.75" hidden="1" outlineLevel="1" thickBot="1">
      <c r="A1956" s="9"/>
      <c r="B1956" s="3"/>
      <c r="C1956" s="3"/>
      <c r="D1956" s="3"/>
      <c r="E1956" s="3"/>
      <c r="F1956" s="4"/>
    </row>
    <row r="1957" spans="1:12" ht="16.5" hidden="1" outlineLevel="1" thickTop="1" thickBot="1"/>
    <row r="1958" spans="1:12" ht="15.75" hidden="1" outlineLevel="1" thickTop="1">
      <c r="A1958" s="3782"/>
      <c r="B1958" s="3781"/>
      <c r="C1958" s="3781"/>
      <c r="D1958" s="3781"/>
      <c r="E1958" s="3781"/>
      <c r="F1958" s="3765"/>
    </row>
    <row r="1959" spans="1:12" ht="15.75" hidden="1" outlineLevel="1" thickBot="1">
      <c r="A1959" s="3783"/>
      <c r="B1959" s="3767"/>
      <c r="C1959" s="3767"/>
      <c r="D1959" s="3767"/>
      <c r="E1959" s="3767"/>
      <c r="F1959" s="3766"/>
    </row>
    <row r="1960" spans="1:12" ht="15.75" hidden="1" outlineLevel="1" thickTop="1">
      <c r="A1960" s="7" t="s">
        <v>1454</v>
      </c>
      <c r="B1960" s="5" t="s">
        <v>106</v>
      </c>
      <c r="C1960" s="5" t="s">
        <v>507</v>
      </c>
      <c r="D1960" s="5" t="s">
        <v>325</v>
      </c>
      <c r="E1960" s="12">
        <v>0.15</v>
      </c>
      <c r="F1960" s="6">
        <v>16209</v>
      </c>
      <c r="G1960">
        <v>19069</v>
      </c>
      <c r="I1960">
        <v>1119</v>
      </c>
      <c r="J1960">
        <f>G1960-F1960</f>
        <v>2860</v>
      </c>
      <c r="K1960">
        <f>I1960*J1960</f>
        <v>3200340</v>
      </c>
      <c r="L1960">
        <f>K1960/19500</f>
        <v>164.12</v>
      </c>
    </row>
    <row r="1961" spans="1:12" hidden="1" outlineLevel="1">
      <c r="A1961" s="8"/>
      <c r="B1961" s="1"/>
      <c r="C1961" s="1" t="s">
        <v>1058</v>
      </c>
      <c r="D1961" s="5" t="s">
        <v>325</v>
      </c>
      <c r="E1961" s="12">
        <v>0.15</v>
      </c>
      <c r="F1961" s="6">
        <v>16209</v>
      </c>
    </row>
    <row r="1962" spans="1:12" hidden="1" outlineLevel="1">
      <c r="A1962" s="8"/>
      <c r="B1962" s="1"/>
      <c r="C1962" s="1"/>
      <c r="D1962" s="5"/>
      <c r="E1962" s="12"/>
      <c r="F1962" s="6"/>
    </row>
    <row r="1963" spans="1:12" hidden="1" outlineLevel="1">
      <c r="A1963" s="8"/>
      <c r="B1963" s="1"/>
      <c r="C1963" s="1"/>
      <c r="D1963" s="5"/>
      <c r="E1963" s="12"/>
      <c r="F1963" s="6"/>
    </row>
    <row r="1964" spans="1:12" hidden="1" outlineLevel="1">
      <c r="A1964" s="8"/>
      <c r="B1964" s="1"/>
      <c r="C1964" s="1"/>
      <c r="D1964" s="5"/>
      <c r="E1964" s="12"/>
      <c r="F1964" s="6"/>
    </row>
    <row r="1965" spans="1:12" hidden="1" outlineLevel="1">
      <c r="A1965" s="8"/>
      <c r="B1965" s="1"/>
      <c r="C1965" s="1"/>
      <c r="D1965" s="5"/>
      <c r="E1965" s="12"/>
      <c r="F1965" s="6"/>
    </row>
    <row r="1966" spans="1:12" hidden="1" outlineLevel="1">
      <c r="A1966" s="8"/>
      <c r="B1966" s="1"/>
      <c r="C1966" s="1"/>
      <c r="D1966" s="1"/>
      <c r="E1966" s="1"/>
      <c r="F1966" s="2"/>
    </row>
    <row r="1967" spans="1:12" hidden="1" outlineLevel="1">
      <c r="A1967" s="8"/>
      <c r="B1967" s="1"/>
      <c r="C1967" s="1"/>
      <c r="D1967" s="1"/>
      <c r="E1967" s="1"/>
      <c r="F1967" s="2"/>
    </row>
    <row r="1968" spans="1:12" hidden="1" outlineLevel="1">
      <c r="A1968" s="8"/>
      <c r="B1968" s="1"/>
      <c r="C1968" s="1"/>
      <c r="D1968" s="1"/>
      <c r="E1968" s="1"/>
      <c r="F1968" s="2"/>
    </row>
    <row r="1969" spans="1:12" hidden="1" outlineLevel="1">
      <c r="A1969" s="8"/>
      <c r="B1969" s="1"/>
      <c r="C1969" s="1"/>
      <c r="D1969" s="1"/>
      <c r="E1969" s="1"/>
      <c r="F1969" s="2"/>
    </row>
    <row r="1970" spans="1:12" hidden="1" outlineLevel="1">
      <c r="A1970" s="8"/>
      <c r="B1970" s="1"/>
      <c r="C1970" s="1"/>
      <c r="D1970" s="1"/>
      <c r="E1970" s="1"/>
      <c r="F1970" s="2"/>
    </row>
    <row r="1971" spans="1:12" ht="15.75" hidden="1" outlineLevel="1" thickBot="1">
      <c r="A1971" s="9"/>
      <c r="B1971" s="3"/>
      <c r="C1971" s="3"/>
      <c r="D1971" s="3"/>
      <c r="E1971" s="3"/>
      <c r="F1971" s="4"/>
    </row>
    <row r="1972" spans="1:12" ht="16.5" hidden="1" outlineLevel="1" thickTop="1" thickBot="1"/>
    <row r="1973" spans="1:12" ht="15.75" hidden="1" outlineLevel="1" thickTop="1">
      <c r="A1973" s="3808"/>
      <c r="B1973" s="3804"/>
      <c r="C1973" s="3804"/>
      <c r="D1973" s="3804"/>
      <c r="E1973" s="3804"/>
      <c r="F1973" s="3806"/>
    </row>
    <row r="1974" spans="1:12" ht="15.75" hidden="1" outlineLevel="1" thickBot="1">
      <c r="A1974" s="3809"/>
      <c r="B1974" s="3805"/>
      <c r="C1974" s="3805"/>
      <c r="D1974" s="3805"/>
      <c r="E1974" s="3805"/>
      <c r="F1974" s="3807"/>
    </row>
    <row r="1975" spans="1:12" ht="15.75" hidden="1" outlineLevel="1" thickTop="1">
      <c r="A1975" s="277" t="s">
        <v>1461</v>
      </c>
      <c r="B1975" s="191" t="s">
        <v>1171</v>
      </c>
      <c r="C1975" s="191" t="s">
        <v>239</v>
      </c>
      <c r="D1975" s="191" t="s">
        <v>325</v>
      </c>
      <c r="E1975" s="285">
        <v>0.15</v>
      </c>
      <c r="F1975" s="279">
        <v>71023</v>
      </c>
      <c r="G1975">
        <v>83556</v>
      </c>
      <c r="I1975">
        <v>1008</v>
      </c>
      <c r="J1975">
        <f>G1975-F1975</f>
        <v>12533</v>
      </c>
      <c r="K1975">
        <f>J1975*I1975</f>
        <v>12633264</v>
      </c>
      <c r="L1975">
        <f>K1975/19500</f>
        <v>647.85969230769228</v>
      </c>
    </row>
    <row r="1976" spans="1:12" hidden="1" outlineLevel="1">
      <c r="A1976" s="280"/>
      <c r="B1976" s="31"/>
      <c r="C1976" s="31" t="s">
        <v>868</v>
      </c>
      <c r="D1976" s="191" t="s">
        <v>325</v>
      </c>
      <c r="E1976" s="285">
        <v>0.15</v>
      </c>
      <c r="F1976" s="279">
        <v>71023</v>
      </c>
    </row>
    <row r="1977" spans="1:12" hidden="1" outlineLevel="1">
      <c r="A1977" s="280"/>
      <c r="B1977" s="31"/>
      <c r="C1977" s="31" t="s">
        <v>238</v>
      </c>
      <c r="D1977" s="191" t="s">
        <v>325</v>
      </c>
      <c r="E1977" s="285">
        <v>0.15</v>
      </c>
      <c r="F1977" s="279">
        <v>71023</v>
      </c>
    </row>
    <row r="1978" spans="1:12" hidden="1" outlineLevel="1">
      <c r="A1978" s="280"/>
      <c r="B1978" s="31"/>
      <c r="C1978" s="31"/>
      <c r="D1978" s="191"/>
      <c r="E1978" s="285"/>
      <c r="F1978" s="279"/>
    </row>
    <row r="1979" spans="1:12" hidden="1" outlineLevel="1">
      <c r="A1979" s="280"/>
      <c r="B1979" s="31"/>
      <c r="C1979" s="31"/>
      <c r="D1979" s="191"/>
      <c r="E1979" s="285"/>
      <c r="F1979" s="279"/>
    </row>
    <row r="1980" spans="1:12" hidden="1" outlineLevel="1">
      <c r="A1980" s="280"/>
      <c r="B1980" s="31"/>
      <c r="C1980" s="31"/>
      <c r="D1980" s="191"/>
      <c r="E1980" s="285"/>
      <c r="F1980" s="279"/>
    </row>
    <row r="1981" spans="1:12" hidden="1" outlineLevel="1">
      <c r="A1981" s="280"/>
      <c r="B1981" s="31"/>
      <c r="C1981" s="31"/>
      <c r="D1981" s="31"/>
      <c r="E1981" s="31"/>
      <c r="F1981" s="281"/>
    </row>
    <row r="1982" spans="1:12" hidden="1" outlineLevel="1">
      <c r="A1982" s="280"/>
      <c r="B1982" s="31"/>
      <c r="C1982" s="31"/>
      <c r="D1982" s="31"/>
      <c r="E1982" s="31"/>
      <c r="F1982" s="281"/>
    </row>
    <row r="1983" spans="1:12" hidden="1" outlineLevel="1">
      <c r="A1983" s="280"/>
      <c r="B1983" s="31"/>
      <c r="C1983" s="31"/>
      <c r="D1983" s="31"/>
      <c r="E1983" s="31"/>
      <c r="F1983" s="281"/>
    </row>
    <row r="1984" spans="1:12" hidden="1" outlineLevel="1">
      <c r="A1984" s="280"/>
      <c r="B1984" s="31"/>
      <c r="C1984" s="31"/>
      <c r="D1984" s="31"/>
      <c r="E1984" s="31"/>
      <c r="F1984" s="281"/>
    </row>
    <row r="1985" spans="1:12" hidden="1" outlineLevel="1">
      <c r="A1985" s="280"/>
      <c r="B1985" s="31"/>
      <c r="C1985" s="31"/>
      <c r="D1985" s="31"/>
      <c r="E1985" s="31"/>
      <c r="F1985" s="281"/>
    </row>
    <row r="1986" spans="1:12" ht="15.75" hidden="1" outlineLevel="1" thickBot="1">
      <c r="A1986" s="9"/>
      <c r="B1986" s="3"/>
      <c r="C1986" s="3"/>
      <c r="D1986" s="3"/>
      <c r="E1986" s="3"/>
      <c r="F1986" s="4"/>
    </row>
    <row r="1987" spans="1:12" ht="16.5" hidden="1" outlineLevel="1" thickTop="1" thickBot="1"/>
    <row r="1988" spans="1:12" ht="15.75" hidden="1" outlineLevel="1" thickTop="1">
      <c r="A1988" s="3782"/>
      <c r="B1988" s="3781"/>
      <c r="C1988" s="3781"/>
      <c r="D1988" s="3781"/>
      <c r="E1988" s="3781"/>
      <c r="F1988" s="3765"/>
    </row>
    <row r="1989" spans="1:12" ht="15.75" hidden="1" outlineLevel="1" thickBot="1">
      <c r="A1989" s="3783"/>
      <c r="B1989" s="3767"/>
      <c r="C1989" s="3767"/>
      <c r="D1989" s="3767"/>
      <c r="E1989" s="3767"/>
      <c r="F1989" s="3766"/>
    </row>
    <row r="1990" spans="1:12" ht="15.75" hidden="1" outlineLevel="1" thickTop="1">
      <c r="A1990" s="277" t="s">
        <v>1461</v>
      </c>
      <c r="B1990" s="191" t="s">
        <v>1171</v>
      </c>
      <c r="C1990" s="191" t="s">
        <v>226</v>
      </c>
      <c r="D1990" s="191" t="s">
        <v>325</v>
      </c>
      <c r="E1990" s="285">
        <v>0.15</v>
      </c>
      <c r="F1990" s="279">
        <v>6527</v>
      </c>
      <c r="G1990">
        <v>7679</v>
      </c>
      <c r="I1990">
        <v>4362</v>
      </c>
      <c r="J1990">
        <f>G1990-F1990</f>
        <v>1152</v>
      </c>
      <c r="K1990">
        <f>J1990*I1990</f>
        <v>5025024</v>
      </c>
      <c r="L1990">
        <f>K1990/19500</f>
        <v>257.69353846153848</v>
      </c>
    </row>
    <row r="1991" spans="1:12" hidden="1" outlineLevel="1">
      <c r="A1991" s="280"/>
      <c r="B1991" s="31"/>
      <c r="C1991" s="31" t="s">
        <v>227</v>
      </c>
      <c r="D1991" s="191" t="s">
        <v>325</v>
      </c>
      <c r="E1991" s="285">
        <v>0.15</v>
      </c>
      <c r="F1991" s="279">
        <v>6527</v>
      </c>
    </row>
    <row r="1992" spans="1:12" hidden="1" outlineLevel="1">
      <c r="A1992" s="280"/>
      <c r="B1992" s="31"/>
      <c r="C1992" s="31" t="s">
        <v>228</v>
      </c>
      <c r="D1992" s="191" t="s">
        <v>325</v>
      </c>
      <c r="E1992" s="285">
        <v>0.15</v>
      </c>
      <c r="F1992" s="279">
        <v>6527</v>
      </c>
    </row>
    <row r="1993" spans="1:12" hidden="1" outlineLevel="1">
      <c r="A1993" s="280"/>
      <c r="B1993" s="31"/>
      <c r="C1993" s="31" t="s">
        <v>1315</v>
      </c>
      <c r="D1993" s="191" t="s">
        <v>325</v>
      </c>
      <c r="E1993" s="285">
        <v>0.17</v>
      </c>
      <c r="F1993" s="279">
        <v>11803</v>
      </c>
      <c r="G1993">
        <v>14220</v>
      </c>
      <c r="I1993">
        <v>3398</v>
      </c>
      <c r="J1993">
        <v>3398</v>
      </c>
      <c r="K1993">
        <f>J1993*I1993</f>
        <v>11546404</v>
      </c>
      <c r="L1993">
        <f>K1993/19500</f>
        <v>592.1232820512821</v>
      </c>
    </row>
    <row r="1994" spans="1:12" hidden="1" outlineLevel="1">
      <c r="A1994" s="280"/>
      <c r="B1994" s="31"/>
      <c r="C1994" s="31" t="s">
        <v>1317</v>
      </c>
      <c r="D1994" s="191" t="s">
        <v>325</v>
      </c>
      <c r="E1994" s="285">
        <v>0.17</v>
      </c>
      <c r="F1994" s="279">
        <v>11803</v>
      </c>
    </row>
    <row r="1995" spans="1:12" hidden="1" outlineLevel="1">
      <c r="A1995" s="280"/>
      <c r="B1995" s="31"/>
      <c r="C1995" s="31" t="s">
        <v>1316</v>
      </c>
      <c r="D1995" s="191" t="s">
        <v>325</v>
      </c>
      <c r="E1995" s="285">
        <v>0.17</v>
      </c>
      <c r="F1995" s="279">
        <v>11803</v>
      </c>
    </row>
    <row r="1996" spans="1:12" hidden="1" outlineLevel="1">
      <c r="A1996" s="280"/>
      <c r="B1996" s="31"/>
      <c r="C1996" s="31"/>
      <c r="D1996" s="31"/>
      <c r="E1996" s="31"/>
      <c r="F1996" s="281"/>
    </row>
    <row r="1997" spans="1:12" hidden="1" outlineLevel="1">
      <c r="A1997" s="280"/>
      <c r="B1997" s="31"/>
      <c r="C1997" s="31"/>
      <c r="D1997" s="31"/>
      <c r="E1997" s="31"/>
      <c r="F1997" s="281"/>
    </row>
    <row r="1998" spans="1:12" hidden="1" outlineLevel="1">
      <c r="A1998" s="8"/>
      <c r="B1998" s="1"/>
      <c r="C1998" s="1"/>
      <c r="D1998" s="1"/>
      <c r="E1998" s="1"/>
      <c r="F1998" s="2"/>
    </row>
    <row r="1999" spans="1:12" hidden="1" outlineLevel="1">
      <c r="A1999" s="8"/>
      <c r="B1999" s="1"/>
      <c r="C1999" s="1"/>
      <c r="D1999" s="1"/>
      <c r="E1999" s="1"/>
      <c r="F1999" s="2"/>
    </row>
    <row r="2000" spans="1:12" hidden="1" outlineLevel="1">
      <c r="A2000" s="8"/>
      <c r="B2000" s="1"/>
      <c r="C2000" s="1"/>
      <c r="D2000" s="1"/>
      <c r="E2000" s="1"/>
      <c r="F2000" s="2"/>
    </row>
    <row r="2001" spans="1:12" ht="15.75" hidden="1" outlineLevel="1" thickBot="1">
      <c r="A2001" s="9"/>
      <c r="B2001" s="3"/>
      <c r="C2001" s="3"/>
      <c r="D2001" s="3"/>
      <c r="E2001" s="3"/>
      <c r="F2001" s="4"/>
    </row>
    <row r="2002" spans="1:12" ht="16.5" hidden="1" outlineLevel="1" thickTop="1" thickBot="1"/>
    <row r="2003" spans="1:12" ht="15.75" hidden="1" outlineLevel="1" thickTop="1">
      <c r="A2003" s="3782"/>
      <c r="B2003" s="3781"/>
      <c r="C2003" s="3781"/>
      <c r="D2003" s="3781"/>
      <c r="E2003" s="3781"/>
      <c r="F2003" s="3765"/>
    </row>
    <row r="2004" spans="1:12" ht="15.75" hidden="1" outlineLevel="1" thickBot="1">
      <c r="A2004" s="3783"/>
      <c r="B2004" s="3767"/>
      <c r="C2004" s="3767"/>
      <c r="D2004" s="3767"/>
      <c r="E2004" s="3767"/>
      <c r="F2004" s="3766"/>
    </row>
    <row r="2005" spans="1:12" ht="15.75" hidden="1" outlineLevel="1" thickTop="1">
      <c r="A2005" s="7" t="s">
        <v>1465</v>
      </c>
      <c r="B2005" s="5" t="s">
        <v>106</v>
      </c>
      <c r="C2005" s="5" t="s">
        <v>1176</v>
      </c>
      <c r="D2005" s="5" t="s">
        <v>325</v>
      </c>
      <c r="E2005" s="12">
        <v>0.15</v>
      </c>
      <c r="F2005" s="6">
        <v>109426</v>
      </c>
      <c r="G2005">
        <v>128736</v>
      </c>
      <c r="I2005">
        <v>180</v>
      </c>
      <c r="J2005">
        <f>G2005-F2005</f>
        <v>19310</v>
      </c>
      <c r="K2005">
        <f>I2005*J2005</f>
        <v>3475800</v>
      </c>
      <c r="L2005">
        <f>K2005/19500</f>
        <v>178.24615384615385</v>
      </c>
    </row>
    <row r="2006" spans="1:12" hidden="1" outlineLevel="1">
      <c r="A2006" s="8"/>
      <c r="B2006" s="1"/>
      <c r="C2006" s="1"/>
      <c r="D2006" s="5"/>
      <c r="E2006" s="12"/>
      <c r="F2006" s="6"/>
    </row>
    <row r="2007" spans="1:12" hidden="1" outlineLevel="1">
      <c r="A2007" s="8"/>
      <c r="B2007" s="1"/>
      <c r="C2007" s="1"/>
      <c r="D2007" s="5"/>
      <c r="E2007" s="12"/>
      <c r="F2007" s="6"/>
    </row>
    <row r="2008" spans="1:12" hidden="1" outlineLevel="1">
      <c r="A2008" s="8"/>
      <c r="B2008" s="1"/>
      <c r="C2008" s="1"/>
      <c r="D2008" s="5"/>
      <c r="E2008" s="12"/>
      <c r="F2008" s="6"/>
    </row>
    <row r="2009" spans="1:12" hidden="1" outlineLevel="1">
      <c r="A2009" s="8"/>
      <c r="B2009" s="1"/>
      <c r="C2009" s="1"/>
      <c r="D2009" s="5"/>
      <c r="E2009" s="12"/>
      <c r="F2009" s="6"/>
    </row>
    <row r="2010" spans="1:12" hidden="1" outlineLevel="1">
      <c r="A2010" s="8"/>
      <c r="B2010" s="1"/>
      <c r="C2010" s="1"/>
      <c r="D2010" s="5"/>
      <c r="E2010" s="12"/>
      <c r="F2010" s="6"/>
    </row>
    <row r="2011" spans="1:12" hidden="1" outlineLevel="1">
      <c r="A2011" s="8"/>
      <c r="B2011" s="1"/>
      <c r="C2011" s="1"/>
      <c r="D2011" s="1"/>
      <c r="E2011" s="1"/>
      <c r="F2011" s="2"/>
    </row>
    <row r="2012" spans="1:12" hidden="1" outlineLevel="1">
      <c r="A2012" s="8"/>
      <c r="B2012" s="1"/>
      <c r="C2012" s="1"/>
      <c r="D2012" s="1"/>
      <c r="E2012" s="1"/>
      <c r="F2012" s="2"/>
    </row>
    <row r="2013" spans="1:12" hidden="1" outlineLevel="1">
      <c r="A2013" s="8"/>
      <c r="B2013" s="1"/>
      <c r="C2013" s="1"/>
      <c r="D2013" s="1"/>
      <c r="E2013" s="1"/>
      <c r="F2013" s="2"/>
    </row>
    <row r="2014" spans="1:12" hidden="1" outlineLevel="1">
      <c r="A2014" s="8"/>
      <c r="B2014" s="1"/>
      <c r="C2014" s="1"/>
      <c r="D2014" s="1"/>
      <c r="E2014" s="1"/>
      <c r="F2014" s="2"/>
    </row>
    <row r="2015" spans="1:12" hidden="1" outlineLevel="1">
      <c r="A2015" s="8"/>
      <c r="B2015" s="1"/>
      <c r="C2015" s="1"/>
      <c r="D2015" s="1"/>
      <c r="E2015" s="1"/>
      <c r="F2015" s="2"/>
    </row>
    <row r="2016" spans="1:12" ht="15.75" hidden="1" outlineLevel="1" thickBot="1">
      <c r="A2016" s="9"/>
      <c r="B2016" s="3"/>
      <c r="C2016" s="3"/>
      <c r="D2016" s="3"/>
      <c r="E2016" s="3"/>
      <c r="F2016" s="4"/>
    </row>
    <row r="2017" spans="1:6" ht="16.5" hidden="1" outlineLevel="1" thickTop="1" thickBot="1"/>
    <row r="2018" spans="1:6" ht="15.75" hidden="1" outlineLevel="1" thickTop="1">
      <c r="A2018" s="3782"/>
      <c r="B2018" s="3781"/>
      <c r="C2018" s="3781"/>
      <c r="D2018" s="3781"/>
      <c r="E2018" s="3781"/>
      <c r="F2018" s="3765"/>
    </row>
    <row r="2019" spans="1:6" ht="15.75" hidden="1" outlineLevel="1" thickBot="1">
      <c r="A2019" s="3783"/>
      <c r="B2019" s="3767"/>
      <c r="C2019" s="3767"/>
      <c r="D2019" s="3767"/>
      <c r="E2019" s="3767"/>
      <c r="F2019" s="3766"/>
    </row>
    <row r="2020" spans="1:6" ht="15.75" hidden="1" outlineLevel="1" thickTop="1">
      <c r="A2020" s="7" t="s">
        <v>1466</v>
      </c>
      <c r="B2020" s="5" t="s">
        <v>106</v>
      </c>
      <c r="C2020" s="5" t="s">
        <v>623</v>
      </c>
      <c r="D2020" s="5" t="s">
        <v>325</v>
      </c>
      <c r="E2020" s="12">
        <v>0.1</v>
      </c>
      <c r="F2020" s="6">
        <v>19917</v>
      </c>
    </row>
    <row r="2021" spans="1:6" hidden="1" outlineLevel="1">
      <c r="A2021" s="8"/>
      <c r="B2021" s="1"/>
      <c r="C2021" s="1"/>
      <c r="D2021" s="5"/>
      <c r="E2021" s="12"/>
      <c r="F2021" s="6"/>
    </row>
    <row r="2022" spans="1:6" hidden="1" outlineLevel="1">
      <c r="A2022" s="8"/>
      <c r="B2022" s="1"/>
      <c r="C2022" s="1"/>
      <c r="D2022" s="5"/>
      <c r="E2022" s="12"/>
      <c r="F2022" s="6"/>
    </row>
    <row r="2023" spans="1:6" hidden="1" outlineLevel="1">
      <c r="A2023" s="8"/>
      <c r="B2023" s="1"/>
      <c r="C2023" s="1"/>
      <c r="D2023" s="5"/>
      <c r="E2023" s="12"/>
      <c r="F2023" s="6"/>
    </row>
    <row r="2024" spans="1:6" hidden="1" outlineLevel="1">
      <c r="A2024" s="8"/>
      <c r="B2024" s="1"/>
      <c r="C2024" s="1"/>
      <c r="D2024" s="5"/>
      <c r="E2024" s="12"/>
      <c r="F2024" s="6"/>
    </row>
    <row r="2025" spans="1:6" hidden="1" outlineLevel="1">
      <c r="A2025" s="8"/>
      <c r="B2025" s="1"/>
      <c r="C2025" s="1"/>
      <c r="D2025" s="5"/>
      <c r="E2025" s="12"/>
      <c r="F2025" s="6"/>
    </row>
    <row r="2026" spans="1:6" hidden="1" outlineLevel="1">
      <c r="A2026" s="8"/>
      <c r="B2026" s="1"/>
      <c r="C2026" s="1"/>
      <c r="D2026" s="1"/>
      <c r="E2026" s="1"/>
      <c r="F2026" s="2"/>
    </row>
    <row r="2027" spans="1:6" hidden="1" outlineLevel="1">
      <c r="A2027" s="8"/>
      <c r="B2027" s="1"/>
      <c r="C2027" s="1"/>
      <c r="D2027" s="1"/>
      <c r="E2027" s="1"/>
      <c r="F2027" s="2"/>
    </row>
    <row r="2028" spans="1:6" hidden="1" outlineLevel="1">
      <c r="A2028" s="8"/>
      <c r="B2028" s="1"/>
      <c r="C2028" s="1"/>
      <c r="D2028" s="1"/>
      <c r="E2028" s="1"/>
      <c r="F2028" s="2"/>
    </row>
    <row r="2029" spans="1:6" hidden="1" outlineLevel="1">
      <c r="A2029" s="8"/>
      <c r="B2029" s="1"/>
      <c r="C2029" s="1"/>
      <c r="D2029" s="1"/>
      <c r="E2029" s="1"/>
      <c r="F2029" s="2"/>
    </row>
    <row r="2030" spans="1:6" hidden="1" outlineLevel="1">
      <c r="A2030" s="8"/>
      <c r="B2030" s="1"/>
      <c r="C2030" s="1"/>
      <c r="D2030" s="1"/>
      <c r="E2030" s="1"/>
      <c r="F2030" s="2"/>
    </row>
    <row r="2031" spans="1:6" ht="15.75" hidden="1" outlineLevel="1" thickBot="1">
      <c r="A2031" s="9"/>
      <c r="B2031" s="3"/>
      <c r="C2031" s="3"/>
      <c r="D2031" s="3"/>
      <c r="E2031" s="3"/>
      <c r="F2031" s="4"/>
    </row>
    <row r="2032" spans="1:6" ht="16.5" hidden="1" outlineLevel="1" thickTop="1" thickBot="1"/>
    <row r="2033" spans="1:12" ht="15.75" hidden="1" outlineLevel="1" thickTop="1">
      <c r="A2033" s="3782"/>
      <c r="B2033" s="3781"/>
      <c r="C2033" s="3781"/>
      <c r="D2033" s="3781"/>
      <c r="E2033" s="3781"/>
      <c r="F2033" s="3765"/>
    </row>
    <row r="2034" spans="1:12" ht="15.75" hidden="1" outlineLevel="1" thickBot="1">
      <c r="A2034" s="3783"/>
      <c r="B2034" s="3767"/>
      <c r="C2034" s="3767"/>
      <c r="D2034" s="3767"/>
      <c r="E2034" s="3767"/>
      <c r="F2034" s="3766"/>
    </row>
    <row r="2035" spans="1:12" ht="15.75" hidden="1" outlineLevel="1" thickTop="1">
      <c r="A2035" s="277" t="s">
        <v>1470</v>
      </c>
      <c r="B2035" s="191" t="s">
        <v>1171</v>
      </c>
      <c r="C2035" s="191" t="s">
        <v>623</v>
      </c>
      <c r="D2035" s="191" t="s">
        <v>325</v>
      </c>
      <c r="E2035" s="285">
        <v>0.15</v>
      </c>
      <c r="F2035" s="279">
        <v>19917</v>
      </c>
      <c r="G2035">
        <v>23432</v>
      </c>
    </row>
    <row r="2036" spans="1:12" hidden="1" outlineLevel="1">
      <c r="A2036" s="280"/>
      <c r="B2036" s="31"/>
      <c r="C2036" s="31" t="s">
        <v>554</v>
      </c>
      <c r="D2036" s="191" t="s">
        <v>325</v>
      </c>
      <c r="E2036" s="285">
        <v>0.15</v>
      </c>
      <c r="F2036" s="279">
        <v>9374</v>
      </c>
      <c r="G2036">
        <v>11028</v>
      </c>
      <c r="I2036">
        <v>1990</v>
      </c>
      <c r="J2036">
        <f>G2036-F2036</f>
        <v>1654</v>
      </c>
      <c r="K2036">
        <f>J2036*I2036</f>
        <v>3291460</v>
      </c>
    </row>
    <row r="2037" spans="1:12" hidden="1" outlineLevel="1">
      <c r="A2037" s="280"/>
      <c r="B2037" s="31"/>
      <c r="C2037" s="31" t="s">
        <v>1120</v>
      </c>
      <c r="D2037" s="191" t="s">
        <v>325</v>
      </c>
      <c r="E2037" s="285">
        <v>0.15</v>
      </c>
      <c r="F2037" s="279">
        <v>3967</v>
      </c>
      <c r="G2037">
        <v>4667</v>
      </c>
      <c r="I2037">
        <v>2020</v>
      </c>
      <c r="J2037">
        <f>G2037-F2037</f>
        <v>700</v>
      </c>
      <c r="K2037">
        <f>J2037*I2037</f>
        <v>1414000</v>
      </c>
    </row>
    <row r="2038" spans="1:12" hidden="1" outlineLevel="1">
      <c r="A2038" s="280"/>
      <c r="B2038" s="31"/>
      <c r="C2038" s="31"/>
      <c r="D2038" s="191"/>
      <c r="E2038" s="285"/>
      <c r="F2038" s="279"/>
      <c r="K2038">
        <f>SUM(K2036:K2037)</f>
        <v>4705460</v>
      </c>
      <c r="L2038">
        <f>K2038/19500</f>
        <v>241.30564102564102</v>
      </c>
    </row>
    <row r="2039" spans="1:12" hidden="1" outlineLevel="1">
      <c r="A2039" s="280"/>
      <c r="B2039" s="31"/>
      <c r="C2039" s="31"/>
      <c r="D2039" s="191"/>
      <c r="E2039" s="285"/>
      <c r="F2039" s="279"/>
    </row>
    <row r="2040" spans="1:12" hidden="1" outlineLevel="1">
      <c r="A2040" s="8"/>
      <c r="B2040" s="1"/>
      <c r="C2040" s="1"/>
      <c r="D2040" s="5"/>
      <c r="E2040" s="12"/>
      <c r="F2040" s="6"/>
    </row>
    <row r="2041" spans="1:12" hidden="1" outlineLevel="1">
      <c r="A2041" s="8"/>
      <c r="B2041" s="1"/>
      <c r="C2041" s="1"/>
      <c r="D2041" s="1"/>
      <c r="E2041" s="1"/>
      <c r="F2041" s="2"/>
    </row>
    <row r="2042" spans="1:12" hidden="1" outlineLevel="1">
      <c r="A2042" s="8"/>
      <c r="B2042" s="1"/>
      <c r="C2042" s="1"/>
      <c r="D2042" s="1"/>
      <c r="E2042" s="1"/>
      <c r="F2042" s="2"/>
    </row>
    <row r="2043" spans="1:12" hidden="1" outlineLevel="1">
      <c r="A2043" s="8"/>
      <c r="B2043" s="1"/>
      <c r="C2043" s="1"/>
      <c r="D2043" s="1"/>
      <c r="E2043" s="1"/>
      <c r="F2043" s="2"/>
    </row>
    <row r="2044" spans="1:12" hidden="1" outlineLevel="1">
      <c r="A2044" s="8"/>
      <c r="B2044" s="1"/>
      <c r="C2044" s="1"/>
      <c r="D2044" s="1"/>
      <c r="E2044" s="1"/>
      <c r="F2044" s="2"/>
    </row>
    <row r="2045" spans="1:12" hidden="1" outlineLevel="1">
      <c r="A2045" s="8"/>
      <c r="B2045" s="1"/>
      <c r="C2045" s="1"/>
      <c r="D2045" s="1"/>
      <c r="E2045" s="1"/>
      <c r="F2045" s="2"/>
    </row>
    <row r="2046" spans="1:12" ht="15.75" hidden="1" outlineLevel="1" thickBot="1">
      <c r="A2046" s="9"/>
      <c r="B2046" s="3"/>
      <c r="C2046" s="3"/>
      <c r="D2046" s="3"/>
      <c r="E2046" s="3"/>
      <c r="F2046" s="4"/>
    </row>
    <row r="2047" spans="1:12" ht="16.5" hidden="1" outlineLevel="1" thickTop="1" thickBot="1"/>
    <row r="2048" spans="1:12" ht="15.75" hidden="1" outlineLevel="1" thickTop="1">
      <c r="A2048" s="3782"/>
      <c r="B2048" s="3781"/>
      <c r="C2048" s="3781"/>
      <c r="D2048" s="3781"/>
      <c r="E2048" s="3781"/>
      <c r="F2048" s="3765"/>
    </row>
    <row r="2049" spans="1:7" ht="15.75" hidden="1" outlineLevel="1" thickBot="1">
      <c r="A2049" s="3783"/>
      <c r="B2049" s="3767"/>
      <c r="C2049" s="3767"/>
      <c r="D2049" s="3767"/>
      <c r="E2049" s="3767"/>
      <c r="F2049" s="3766"/>
    </row>
    <row r="2050" spans="1:7" ht="15.75" hidden="1" outlineLevel="1" thickTop="1">
      <c r="A2050" s="7" t="s">
        <v>1484</v>
      </c>
      <c r="B2050" s="5" t="s">
        <v>1171</v>
      </c>
      <c r="C2050" s="5" t="s">
        <v>465</v>
      </c>
      <c r="D2050" s="5" t="s">
        <v>325</v>
      </c>
      <c r="E2050" s="12">
        <v>0.15</v>
      </c>
      <c r="F2050" s="6">
        <v>10689</v>
      </c>
      <c r="G2050">
        <v>12575</v>
      </c>
    </row>
    <row r="2051" spans="1:7" hidden="1" outlineLevel="1">
      <c r="A2051" s="8"/>
      <c r="B2051" s="1"/>
      <c r="C2051" s="1" t="s">
        <v>1332</v>
      </c>
      <c r="D2051" s="5" t="s">
        <v>325</v>
      </c>
      <c r="E2051" s="12">
        <v>0.15</v>
      </c>
      <c r="F2051" s="6">
        <v>10689</v>
      </c>
    </row>
    <row r="2052" spans="1:7" hidden="1" outlineLevel="1">
      <c r="A2052" s="8"/>
      <c r="B2052" s="1"/>
      <c r="C2052" s="1" t="s">
        <v>1168</v>
      </c>
      <c r="D2052" s="5" t="s">
        <v>325</v>
      </c>
      <c r="E2052" s="12">
        <v>0.15</v>
      </c>
      <c r="F2052" s="6">
        <v>56930</v>
      </c>
      <c r="G2052">
        <v>66977</v>
      </c>
    </row>
    <row r="2053" spans="1:7" hidden="1" outlineLevel="1">
      <c r="A2053" s="8"/>
      <c r="B2053" s="1"/>
      <c r="C2053" s="1" t="s">
        <v>937</v>
      </c>
      <c r="D2053" s="5" t="s">
        <v>325</v>
      </c>
      <c r="E2053" s="12">
        <v>0.15</v>
      </c>
      <c r="F2053" s="6">
        <v>56930</v>
      </c>
    </row>
    <row r="2054" spans="1:7" hidden="1" outlineLevel="1">
      <c r="A2054" s="8"/>
      <c r="B2054" s="1"/>
      <c r="C2054" s="1" t="s">
        <v>1485</v>
      </c>
      <c r="D2054" s="5" t="s">
        <v>325</v>
      </c>
      <c r="E2054" s="12">
        <v>0.15</v>
      </c>
      <c r="F2054" s="6">
        <v>180103</v>
      </c>
    </row>
    <row r="2055" spans="1:7" hidden="1" outlineLevel="1">
      <c r="A2055" s="8"/>
      <c r="B2055" s="1"/>
      <c r="C2055" s="1" t="s">
        <v>74</v>
      </c>
      <c r="D2055" s="5" t="s">
        <v>325</v>
      </c>
      <c r="E2055" s="12">
        <v>0.15</v>
      </c>
      <c r="F2055" s="6">
        <v>180103</v>
      </c>
    </row>
    <row r="2056" spans="1:7" hidden="1" outlineLevel="1">
      <c r="A2056" s="8"/>
      <c r="B2056" s="1"/>
      <c r="C2056" s="1" t="s">
        <v>71</v>
      </c>
      <c r="D2056" s="5" t="s">
        <v>325</v>
      </c>
      <c r="E2056" s="12">
        <v>0.15</v>
      </c>
      <c r="F2056" s="6">
        <v>180103</v>
      </c>
      <c r="G2056">
        <v>211886</v>
      </c>
    </row>
    <row r="2057" spans="1:7" hidden="1" outlineLevel="1">
      <c r="A2057" s="8"/>
      <c r="B2057" s="1"/>
      <c r="C2057" s="1"/>
      <c r="D2057" s="1"/>
      <c r="E2057" s="1"/>
      <c r="F2057" s="2"/>
    </row>
    <row r="2058" spans="1:7" hidden="1" outlineLevel="1">
      <c r="A2058" s="8"/>
      <c r="B2058" s="1"/>
      <c r="C2058" s="1"/>
      <c r="D2058" s="1"/>
      <c r="E2058" s="1"/>
      <c r="F2058" s="2"/>
    </row>
    <row r="2059" spans="1:7" hidden="1" outlineLevel="1">
      <c r="A2059" s="8"/>
      <c r="B2059" s="1"/>
      <c r="C2059" s="1"/>
      <c r="D2059" s="1"/>
      <c r="E2059" s="1"/>
      <c r="F2059" s="2"/>
    </row>
    <row r="2060" spans="1:7" hidden="1" outlineLevel="1">
      <c r="A2060" s="8"/>
      <c r="B2060" s="1"/>
      <c r="C2060" s="1"/>
      <c r="D2060" s="1"/>
      <c r="E2060" s="1"/>
      <c r="F2060" s="2"/>
    </row>
    <row r="2061" spans="1:7" ht="15.75" hidden="1" outlineLevel="1" thickBot="1">
      <c r="A2061" s="9"/>
      <c r="B2061" s="3"/>
      <c r="C2061" s="3"/>
      <c r="D2061" s="3"/>
      <c r="E2061" s="3"/>
      <c r="F2061" s="4"/>
    </row>
    <row r="2062" spans="1:7" ht="16.5" hidden="1" outlineLevel="1" thickTop="1" thickBot="1"/>
    <row r="2063" spans="1:7" ht="15.75" hidden="1" outlineLevel="1" thickTop="1">
      <c r="A2063" s="3782"/>
      <c r="B2063" s="3781"/>
      <c r="C2063" s="3781"/>
      <c r="D2063" s="3781"/>
      <c r="E2063" s="3781"/>
      <c r="F2063" s="3765"/>
    </row>
    <row r="2064" spans="1:7" ht="15.75" hidden="1" outlineLevel="1" thickBot="1">
      <c r="A2064" s="3783"/>
      <c r="B2064" s="3767"/>
      <c r="C2064" s="3767"/>
      <c r="D2064" s="3767"/>
      <c r="E2064" s="3767"/>
      <c r="F2064" s="3766"/>
    </row>
    <row r="2065" spans="1:7" ht="15.75" hidden="1" outlineLevel="1" thickTop="1">
      <c r="A2065" s="7" t="s">
        <v>1486</v>
      </c>
      <c r="B2065" s="5" t="s">
        <v>1171</v>
      </c>
      <c r="C2065" s="1" t="s">
        <v>1362</v>
      </c>
      <c r="D2065" s="5" t="s">
        <v>325</v>
      </c>
      <c r="E2065" s="12">
        <v>0.05</v>
      </c>
      <c r="F2065" s="6">
        <v>43367</v>
      </c>
    </row>
    <row r="2066" spans="1:7" hidden="1" outlineLevel="1">
      <c r="A2066" s="8"/>
      <c r="B2066" s="1"/>
      <c r="C2066" s="1" t="s">
        <v>1363</v>
      </c>
      <c r="D2066" s="5" t="s">
        <v>325</v>
      </c>
      <c r="E2066" s="12">
        <v>0.05</v>
      </c>
      <c r="F2066" s="6">
        <v>43367</v>
      </c>
    </row>
    <row r="2067" spans="1:7" hidden="1" outlineLevel="1">
      <c r="A2067" s="8"/>
      <c r="B2067" s="1"/>
      <c r="C2067" s="1" t="s">
        <v>1375</v>
      </c>
      <c r="D2067" s="5" t="s">
        <v>325</v>
      </c>
      <c r="E2067" s="12">
        <v>0.05</v>
      </c>
      <c r="F2067" s="6">
        <v>43367</v>
      </c>
    </row>
    <row r="2068" spans="1:7" hidden="1" outlineLevel="1">
      <c r="A2068" s="8"/>
      <c r="B2068" s="1"/>
      <c r="C2068" s="1" t="s">
        <v>940</v>
      </c>
      <c r="D2068" s="5" t="s">
        <v>325</v>
      </c>
      <c r="E2068" s="12">
        <v>0.05</v>
      </c>
      <c r="F2068" s="6">
        <v>50588</v>
      </c>
      <c r="G2068">
        <v>53250</v>
      </c>
    </row>
    <row r="2069" spans="1:7" hidden="1" outlineLevel="1">
      <c r="A2069" s="8"/>
      <c r="B2069" s="1"/>
      <c r="C2069" s="1" t="s">
        <v>786</v>
      </c>
      <c r="D2069" s="5" t="s">
        <v>325</v>
      </c>
      <c r="E2069" s="12">
        <v>0.05</v>
      </c>
      <c r="F2069" s="6">
        <v>50588</v>
      </c>
    </row>
    <row r="2070" spans="1:7" hidden="1" outlineLevel="1">
      <c r="A2070" s="8"/>
      <c r="B2070" s="1"/>
      <c r="C2070" s="1" t="s">
        <v>869</v>
      </c>
      <c r="D2070" s="5" t="s">
        <v>325</v>
      </c>
      <c r="E2070" s="12">
        <v>0.05</v>
      </c>
      <c r="F2070" s="6">
        <v>9183</v>
      </c>
      <c r="G2070">
        <v>9667</v>
      </c>
    </row>
    <row r="2071" spans="1:7" hidden="1" outlineLevel="1">
      <c r="A2071" s="8"/>
      <c r="B2071" s="1"/>
      <c r="C2071" s="1" t="s">
        <v>870</v>
      </c>
      <c r="D2071" s="5" t="s">
        <v>325</v>
      </c>
      <c r="E2071" s="12">
        <v>0.05</v>
      </c>
      <c r="F2071" s="2">
        <v>9183</v>
      </c>
      <c r="G2071">
        <v>9667</v>
      </c>
    </row>
    <row r="2072" spans="1:7" hidden="1" outlineLevel="1">
      <c r="A2072" s="8"/>
      <c r="B2072" s="1"/>
      <c r="C2072" s="1"/>
      <c r="D2072" s="1"/>
      <c r="E2072" s="1"/>
      <c r="F2072" s="2"/>
    </row>
    <row r="2073" spans="1:7" hidden="1" outlineLevel="1">
      <c r="A2073" s="8"/>
      <c r="B2073" s="1"/>
      <c r="C2073" s="1"/>
      <c r="D2073" s="1"/>
      <c r="E2073" s="1"/>
      <c r="F2073" s="2"/>
    </row>
    <row r="2074" spans="1:7" hidden="1" outlineLevel="1">
      <c r="A2074" s="8"/>
      <c r="B2074" s="1"/>
      <c r="C2074" s="1"/>
      <c r="D2074" s="1"/>
      <c r="E2074" s="1"/>
      <c r="F2074" s="2"/>
    </row>
    <row r="2075" spans="1:7" hidden="1" outlineLevel="1">
      <c r="A2075" s="8"/>
      <c r="B2075" s="1"/>
      <c r="C2075" s="1"/>
      <c r="D2075" s="1"/>
      <c r="E2075" s="1"/>
      <c r="F2075" s="2"/>
    </row>
    <row r="2076" spans="1:7" ht="15.75" hidden="1" outlineLevel="1" thickBot="1">
      <c r="A2076" s="9"/>
      <c r="B2076" s="3"/>
      <c r="C2076" s="3"/>
      <c r="D2076" s="3"/>
      <c r="E2076" s="3"/>
      <c r="F2076" s="4"/>
    </row>
    <row r="2077" spans="1:7" ht="16.5" hidden="1" outlineLevel="1" thickTop="1" thickBot="1"/>
    <row r="2078" spans="1:7" ht="15.75" hidden="1" outlineLevel="1" thickTop="1">
      <c r="A2078" s="3782"/>
      <c r="B2078" s="3781"/>
      <c r="C2078" s="3781"/>
      <c r="D2078" s="3781"/>
      <c r="E2078" s="3781"/>
      <c r="F2078" s="3765"/>
    </row>
    <row r="2079" spans="1:7" ht="15.75" hidden="1" outlineLevel="1" thickBot="1">
      <c r="A2079" s="3783"/>
      <c r="B2079" s="3767"/>
      <c r="C2079" s="3767"/>
      <c r="D2079" s="3767"/>
      <c r="E2079" s="3767"/>
      <c r="F2079" s="3766"/>
    </row>
    <row r="2080" spans="1:7" ht="15.75" hidden="1" outlineLevel="1" thickTop="1">
      <c r="A2080" s="7" t="s">
        <v>1524</v>
      </c>
      <c r="B2080" s="5" t="s">
        <v>1171</v>
      </c>
      <c r="C2080" s="358" t="s">
        <v>1494</v>
      </c>
      <c r="D2080" s="5" t="s">
        <v>325</v>
      </c>
      <c r="E2080" s="12">
        <v>9.9993962932404923E-2</v>
      </c>
      <c r="F2080" s="6">
        <v>44724</v>
      </c>
      <c r="G2080" s="15">
        <v>49693</v>
      </c>
    </row>
    <row r="2081" spans="1:7" hidden="1" outlineLevel="1">
      <c r="A2081" s="8"/>
      <c r="B2081" s="1"/>
      <c r="C2081" s="358" t="s">
        <v>1495</v>
      </c>
      <c r="D2081" s="5" t="s">
        <v>325</v>
      </c>
      <c r="E2081" s="12">
        <v>9.9995492145062759E-2</v>
      </c>
      <c r="F2081" s="6">
        <v>79861</v>
      </c>
      <c r="G2081" s="15">
        <v>88734</v>
      </c>
    </row>
    <row r="2082" spans="1:7" hidden="1" outlineLevel="1">
      <c r="A2082" s="8"/>
      <c r="B2082" s="1"/>
      <c r="C2082" s="358" t="s">
        <v>1496</v>
      </c>
      <c r="D2082" s="5" t="s">
        <v>325</v>
      </c>
      <c r="E2082" s="12">
        <v>9.9986654210596604E-2</v>
      </c>
      <c r="F2082" s="6">
        <v>33719</v>
      </c>
      <c r="G2082" s="15">
        <v>37465</v>
      </c>
    </row>
    <row r="2083" spans="1:7" hidden="1" outlineLevel="1">
      <c r="A2083" s="8"/>
      <c r="B2083" s="1"/>
      <c r="C2083" s="358" t="s">
        <v>238</v>
      </c>
      <c r="D2083" s="5" t="s">
        <v>325</v>
      </c>
      <c r="E2083" s="12">
        <v>0.10000478720857864</v>
      </c>
      <c r="F2083" s="6">
        <v>75200</v>
      </c>
      <c r="G2083" s="15">
        <v>83556</v>
      </c>
    </row>
    <row r="2084" spans="1:7" hidden="1" outlineLevel="1">
      <c r="A2084" s="8"/>
      <c r="B2084" s="1"/>
      <c r="C2084" s="358" t="s">
        <v>71</v>
      </c>
      <c r="D2084" s="5" t="s">
        <v>325</v>
      </c>
      <c r="E2084" s="12">
        <v>0.1500004719518987</v>
      </c>
      <c r="F2084" s="6">
        <v>180103</v>
      </c>
      <c r="G2084" s="15">
        <v>211886</v>
      </c>
    </row>
    <row r="2085" spans="1:7" hidden="1" outlineLevel="1">
      <c r="A2085" s="8"/>
      <c r="B2085" s="1"/>
      <c r="C2085" s="358" t="s">
        <v>1497</v>
      </c>
      <c r="D2085" s="5" t="s">
        <v>325</v>
      </c>
      <c r="E2085" s="12">
        <v>9.9986654210596604E-2</v>
      </c>
      <c r="F2085" s="6">
        <v>33719</v>
      </c>
      <c r="G2085" s="15">
        <v>37465</v>
      </c>
    </row>
    <row r="2086" spans="1:7" hidden="1" outlineLevel="1">
      <c r="A2086" s="8"/>
      <c r="B2086" s="1"/>
      <c r="C2086" s="358" t="s">
        <v>239</v>
      </c>
      <c r="D2086" s="5" t="s">
        <v>325</v>
      </c>
      <c r="E2086" s="12">
        <v>0.10000478720857864</v>
      </c>
      <c r="F2086" s="6">
        <v>75200</v>
      </c>
      <c r="G2086" s="15">
        <v>83556</v>
      </c>
    </row>
    <row r="2087" spans="1:7" hidden="1" outlineLevel="1">
      <c r="A2087" s="8"/>
      <c r="B2087" s="1"/>
      <c r="C2087" s="358" t="s">
        <v>74</v>
      </c>
      <c r="D2087" s="5" t="s">
        <v>325</v>
      </c>
      <c r="E2087" s="12">
        <v>0.1500004719518987</v>
      </c>
      <c r="F2087" s="6">
        <v>180103</v>
      </c>
      <c r="G2087" s="15">
        <v>211886</v>
      </c>
    </row>
    <row r="2088" spans="1:7" hidden="1" outlineLevel="1">
      <c r="A2088" s="8"/>
      <c r="B2088" s="1"/>
      <c r="C2088" s="358" t="s">
        <v>72</v>
      </c>
      <c r="D2088" s="5" t="s">
        <v>325</v>
      </c>
      <c r="E2088" s="12">
        <v>0.1500004719518987</v>
      </c>
      <c r="F2088" s="6">
        <v>180103</v>
      </c>
      <c r="G2088" s="15">
        <v>211886</v>
      </c>
    </row>
    <row r="2089" spans="1:7" hidden="1" outlineLevel="1">
      <c r="A2089" s="8"/>
      <c r="B2089" s="1"/>
      <c r="C2089" s="358" t="s">
        <v>1498</v>
      </c>
      <c r="D2089" s="1" t="s">
        <v>325</v>
      </c>
      <c r="E2089" s="12">
        <v>9.9986654210596604E-2</v>
      </c>
      <c r="F2089" s="6">
        <v>33719</v>
      </c>
      <c r="G2089" s="15">
        <v>37465</v>
      </c>
    </row>
    <row r="2090" spans="1:7" hidden="1" outlineLevel="1">
      <c r="A2090" s="8"/>
      <c r="B2090" s="1"/>
      <c r="C2090" s="358" t="s">
        <v>868</v>
      </c>
      <c r="D2090" s="1" t="s">
        <v>325</v>
      </c>
      <c r="E2090" s="12">
        <v>0.10000478720857864</v>
      </c>
      <c r="F2090" s="6">
        <v>75200</v>
      </c>
      <c r="G2090" s="15">
        <v>83556</v>
      </c>
    </row>
    <row r="2091" spans="1:7" hidden="1" outlineLevel="1">
      <c r="A2091" s="8"/>
      <c r="B2091" s="1"/>
      <c r="C2091" s="358" t="s">
        <v>1485</v>
      </c>
      <c r="D2091" s="1" t="s">
        <v>325</v>
      </c>
      <c r="E2091" s="12">
        <v>0.1500004719518987</v>
      </c>
      <c r="F2091" s="6">
        <v>180103</v>
      </c>
      <c r="G2091" s="15">
        <v>211886</v>
      </c>
    </row>
    <row r="2092" spans="1:7" hidden="1" outlineLevel="1">
      <c r="A2092" s="8"/>
      <c r="B2092" s="1"/>
      <c r="C2092" s="358" t="s">
        <v>930</v>
      </c>
      <c r="D2092" s="1" t="s">
        <v>325</v>
      </c>
      <c r="E2092" s="12">
        <v>0.10000432451133023</v>
      </c>
      <c r="F2092" s="2">
        <v>83246</v>
      </c>
      <c r="G2092" s="15">
        <v>92496</v>
      </c>
    </row>
    <row r="2093" spans="1:7" hidden="1" outlineLevel="1">
      <c r="A2093" s="8"/>
      <c r="B2093" s="1"/>
      <c r="C2093" s="358" t="s">
        <v>931</v>
      </c>
      <c r="D2093" s="1" t="s">
        <v>325</v>
      </c>
      <c r="E2093" s="12">
        <v>0.14999904337344783</v>
      </c>
      <c r="F2093" s="2">
        <v>44427</v>
      </c>
      <c r="G2093" s="15">
        <v>52267</v>
      </c>
    </row>
    <row r="2094" spans="1:7" ht="15.75" hidden="1" outlineLevel="1" thickBot="1">
      <c r="A2094" s="9"/>
      <c r="B2094" s="3"/>
      <c r="C2094" s="358" t="s">
        <v>1499</v>
      </c>
      <c r="D2094" s="3" t="s">
        <v>325</v>
      </c>
      <c r="E2094" s="12">
        <v>9.9999999999999978E-2</v>
      </c>
      <c r="F2094" s="4">
        <v>77454</v>
      </c>
      <c r="G2094" s="15">
        <v>86060</v>
      </c>
    </row>
    <row r="2095" spans="1:7" ht="16.5" hidden="1" outlineLevel="1" thickTop="1" thickBot="1"/>
    <row r="2096" spans="1:7" ht="15.75" hidden="1" outlineLevel="1" thickTop="1">
      <c r="A2096" s="3782"/>
      <c r="B2096" s="3781"/>
      <c r="C2096" s="3781"/>
      <c r="D2096" s="3781"/>
      <c r="E2096" s="3781"/>
      <c r="F2096" s="3765"/>
    </row>
    <row r="2097" spans="1:7" ht="15.75" hidden="1" outlineLevel="1" thickBot="1">
      <c r="A2097" s="3783"/>
      <c r="B2097" s="3767"/>
      <c r="C2097" s="3767"/>
      <c r="D2097" s="3767"/>
      <c r="E2097" s="3767"/>
      <c r="F2097" s="3766"/>
    </row>
    <row r="2098" spans="1:7" ht="15.75" hidden="1" outlineLevel="1" thickTop="1">
      <c r="A2098" s="7" t="s">
        <v>1500</v>
      </c>
      <c r="B2098" s="5" t="s">
        <v>1171</v>
      </c>
      <c r="C2098" s="5" t="s">
        <v>554</v>
      </c>
      <c r="D2098" s="5" t="s">
        <v>325</v>
      </c>
      <c r="E2098" s="12">
        <v>0.15</v>
      </c>
      <c r="F2098" s="6">
        <v>9374</v>
      </c>
      <c r="G2098">
        <v>11028</v>
      </c>
    </row>
    <row r="2099" spans="1:7" hidden="1" outlineLevel="1">
      <c r="A2099" s="8"/>
      <c r="B2099" s="1"/>
      <c r="C2099" s="1" t="s">
        <v>1120</v>
      </c>
      <c r="D2099" s="5" t="s">
        <v>325</v>
      </c>
      <c r="E2099" s="12">
        <v>0.15</v>
      </c>
      <c r="F2099" s="6">
        <v>3967</v>
      </c>
      <c r="G2099">
        <v>4667</v>
      </c>
    </row>
    <row r="2100" spans="1:7" hidden="1" outlineLevel="1">
      <c r="A2100" s="8"/>
      <c r="B2100" s="1"/>
      <c r="C2100" s="1"/>
      <c r="D2100" s="5"/>
      <c r="E2100" s="12"/>
      <c r="F2100" s="6"/>
    </row>
    <row r="2101" spans="1:7" hidden="1" outlineLevel="1">
      <c r="A2101" s="8"/>
      <c r="B2101" s="1"/>
      <c r="C2101" s="1"/>
      <c r="D2101" s="5"/>
      <c r="E2101" s="12"/>
      <c r="F2101" s="6"/>
    </row>
    <row r="2102" spans="1:7" hidden="1" outlineLevel="1">
      <c r="A2102" s="8"/>
      <c r="B2102" s="1"/>
      <c r="C2102" s="1"/>
      <c r="D2102" s="5"/>
      <c r="E2102" s="12"/>
      <c r="F2102" s="6"/>
    </row>
    <row r="2103" spans="1:7" hidden="1" outlineLevel="1">
      <c r="A2103" s="8"/>
      <c r="B2103" s="1"/>
      <c r="C2103" s="1"/>
      <c r="D2103" s="5"/>
      <c r="E2103" s="12"/>
      <c r="F2103" s="6"/>
    </row>
    <row r="2104" spans="1:7" hidden="1" outlineLevel="1">
      <c r="A2104" s="8"/>
      <c r="B2104" s="1"/>
      <c r="C2104" s="1"/>
      <c r="D2104" s="1"/>
      <c r="E2104" s="1"/>
      <c r="F2104" s="2"/>
    </row>
    <row r="2105" spans="1:7" hidden="1" outlineLevel="1">
      <c r="A2105" s="8"/>
      <c r="B2105" s="1"/>
      <c r="C2105" s="1"/>
      <c r="D2105" s="1"/>
      <c r="E2105" s="1"/>
      <c r="F2105" s="2"/>
    </row>
    <row r="2106" spans="1:7" hidden="1" outlineLevel="1">
      <c r="A2106" s="8"/>
      <c r="B2106" s="1"/>
      <c r="C2106" s="1"/>
      <c r="D2106" s="1"/>
      <c r="E2106" s="1"/>
      <c r="F2106" s="2"/>
    </row>
    <row r="2107" spans="1:7" hidden="1" outlineLevel="1">
      <c r="A2107" s="8"/>
      <c r="B2107" s="1"/>
      <c r="C2107" s="1"/>
      <c r="D2107" s="1"/>
      <c r="E2107" s="1"/>
      <c r="F2107" s="2"/>
    </row>
    <row r="2108" spans="1:7" hidden="1" outlineLevel="1">
      <c r="A2108" s="8"/>
      <c r="B2108" s="1"/>
      <c r="C2108" s="1"/>
      <c r="D2108" s="1"/>
      <c r="E2108" s="1"/>
      <c r="F2108" s="2"/>
    </row>
    <row r="2109" spans="1:7" ht="15.75" hidden="1" outlineLevel="1" thickBot="1">
      <c r="A2109" s="9"/>
      <c r="B2109" s="3"/>
      <c r="C2109" s="3"/>
      <c r="D2109" s="3"/>
      <c r="E2109" s="3"/>
      <c r="F2109" s="4"/>
    </row>
    <row r="2110" spans="1:7" ht="16.5" hidden="1" outlineLevel="1" thickTop="1" thickBot="1">
      <c r="B2110" s="3"/>
    </row>
    <row r="2111" spans="1:7" ht="15.75" hidden="1" outlineLevel="1" thickTop="1">
      <c r="A2111" s="3782"/>
      <c r="B2111" s="3781"/>
      <c r="C2111" s="3781"/>
      <c r="D2111" s="3781"/>
      <c r="E2111" s="3781"/>
      <c r="F2111" s="3765"/>
    </row>
    <row r="2112" spans="1:7" ht="15.75" hidden="1" outlineLevel="1" thickBot="1">
      <c r="A2112" s="3783"/>
      <c r="B2112" s="3767"/>
      <c r="C2112" s="3767"/>
      <c r="D2112" s="3767"/>
      <c r="E2112" s="3767"/>
      <c r="F2112" s="3766"/>
    </row>
    <row r="2113" spans="1:7" ht="15.75" hidden="1" outlineLevel="1" thickTop="1">
      <c r="A2113" s="7" t="s">
        <v>1508</v>
      </c>
      <c r="B2113" s="5" t="s">
        <v>1171</v>
      </c>
      <c r="C2113" s="5" t="s">
        <v>623</v>
      </c>
      <c r="D2113" s="5" t="s">
        <v>325</v>
      </c>
      <c r="E2113" s="12">
        <v>0.15</v>
      </c>
      <c r="F2113" s="6">
        <v>19917</v>
      </c>
      <c r="G2113">
        <v>23432</v>
      </c>
    </row>
    <row r="2114" spans="1:7" hidden="1" outlineLevel="1">
      <c r="A2114" s="8"/>
      <c r="B2114" s="1"/>
      <c r="C2114" s="1" t="s">
        <v>1058</v>
      </c>
      <c r="D2114" s="5" t="s">
        <v>325</v>
      </c>
      <c r="E2114" s="12">
        <v>0.15</v>
      </c>
      <c r="F2114" s="6">
        <v>16209</v>
      </c>
      <c r="G2114">
        <v>19069</v>
      </c>
    </row>
    <row r="2115" spans="1:7" hidden="1" outlineLevel="1">
      <c r="A2115" s="8"/>
      <c r="B2115" s="1"/>
      <c r="C2115" s="1"/>
      <c r="D2115" s="5"/>
      <c r="E2115" s="12"/>
      <c r="F2115" s="6"/>
    </row>
    <row r="2116" spans="1:7" hidden="1" outlineLevel="1">
      <c r="A2116" s="8"/>
      <c r="B2116" s="1"/>
      <c r="C2116" s="1"/>
      <c r="D2116" s="5"/>
      <c r="E2116" s="12"/>
      <c r="F2116" s="6"/>
    </row>
    <row r="2117" spans="1:7" hidden="1" outlineLevel="1">
      <c r="A2117" s="8"/>
      <c r="B2117" s="1"/>
      <c r="C2117" s="1"/>
      <c r="D2117" s="5"/>
      <c r="E2117" s="12"/>
      <c r="F2117" s="6"/>
    </row>
    <row r="2118" spans="1:7" hidden="1" outlineLevel="1">
      <c r="A2118" s="8"/>
      <c r="B2118" s="1"/>
      <c r="C2118" s="1"/>
      <c r="D2118" s="5"/>
      <c r="E2118" s="12"/>
      <c r="F2118" s="6"/>
    </row>
    <row r="2119" spans="1:7" hidden="1" outlineLevel="1">
      <c r="A2119" s="8"/>
      <c r="B2119" s="1"/>
      <c r="C2119" s="1"/>
      <c r="D2119" s="1"/>
      <c r="E2119" s="1"/>
      <c r="F2119" s="2"/>
    </row>
    <row r="2120" spans="1:7" hidden="1" outlineLevel="1">
      <c r="A2120" s="8"/>
      <c r="B2120" s="1"/>
      <c r="C2120" s="1"/>
      <c r="D2120" s="1"/>
      <c r="E2120" s="1"/>
      <c r="F2120" s="2"/>
    </row>
    <row r="2121" spans="1:7" hidden="1" outlineLevel="1">
      <c r="A2121" s="8"/>
      <c r="B2121" s="1"/>
      <c r="C2121" s="1"/>
      <c r="D2121" s="1"/>
      <c r="E2121" s="1"/>
      <c r="F2121" s="2"/>
    </row>
    <row r="2122" spans="1:7" hidden="1" outlineLevel="1">
      <c r="A2122" s="8"/>
      <c r="B2122" s="1"/>
      <c r="C2122" s="1"/>
      <c r="D2122" s="1"/>
      <c r="E2122" s="1"/>
      <c r="F2122" s="2"/>
    </row>
    <row r="2123" spans="1:7" hidden="1" outlineLevel="1">
      <c r="A2123" s="8"/>
      <c r="B2123" s="1"/>
      <c r="C2123" s="1"/>
      <c r="D2123" s="1"/>
      <c r="E2123" s="1"/>
      <c r="F2123" s="2"/>
    </row>
    <row r="2124" spans="1:7" ht="15.75" hidden="1" outlineLevel="1" thickBot="1">
      <c r="A2124" s="9"/>
      <c r="B2124" s="3"/>
      <c r="C2124" s="3"/>
      <c r="D2124" s="3"/>
      <c r="E2124" s="3"/>
      <c r="F2124" s="4"/>
    </row>
    <row r="2125" spans="1:7" ht="16.5" hidden="1" outlineLevel="1" thickTop="1" thickBot="1"/>
    <row r="2126" spans="1:7" ht="15.75" hidden="1" outlineLevel="1" thickTop="1">
      <c r="A2126" s="3782"/>
      <c r="B2126" s="3781"/>
      <c r="C2126" s="3781"/>
      <c r="D2126" s="3781"/>
      <c r="E2126" s="3781"/>
      <c r="F2126" s="3765"/>
    </row>
    <row r="2127" spans="1:7" ht="15.75" hidden="1" outlineLevel="1" thickBot="1">
      <c r="A2127" s="3783"/>
      <c r="B2127" s="3767"/>
      <c r="C2127" s="3767"/>
      <c r="D2127" s="3767"/>
      <c r="E2127" s="3767"/>
      <c r="F2127" s="3766"/>
    </row>
    <row r="2128" spans="1:7" ht="15.75" hidden="1" outlineLevel="1" thickTop="1">
      <c r="A2128" s="7" t="s">
        <v>1509</v>
      </c>
      <c r="B2128" s="5" t="s">
        <v>1171</v>
      </c>
      <c r="C2128" s="5" t="s">
        <v>160</v>
      </c>
      <c r="D2128" s="5" t="s">
        <v>325</v>
      </c>
      <c r="E2128" s="12">
        <v>0.05</v>
      </c>
      <c r="F2128" s="6">
        <v>189873</v>
      </c>
    </row>
    <row r="2129" spans="1:7" hidden="1" outlineLevel="1">
      <c r="A2129" s="8"/>
      <c r="B2129" s="1"/>
      <c r="C2129" s="1" t="s">
        <v>113</v>
      </c>
      <c r="D2129" s="5" t="s">
        <v>325</v>
      </c>
      <c r="E2129" s="12">
        <v>0.05</v>
      </c>
      <c r="F2129" s="6">
        <v>189873</v>
      </c>
    </row>
    <row r="2130" spans="1:7" hidden="1" outlineLevel="1">
      <c r="A2130" s="8"/>
      <c r="B2130" s="1"/>
      <c r="C2130" s="1" t="s">
        <v>161</v>
      </c>
      <c r="D2130" s="5" t="s">
        <v>325</v>
      </c>
      <c r="E2130" s="12">
        <v>0.05</v>
      </c>
      <c r="F2130" s="6">
        <v>189873</v>
      </c>
    </row>
    <row r="2131" spans="1:7" hidden="1" outlineLevel="1">
      <c r="A2131" s="8"/>
      <c r="B2131" s="1"/>
      <c r="C2131" s="1"/>
      <c r="D2131" s="5"/>
      <c r="E2131" s="12"/>
      <c r="F2131" s="6"/>
    </row>
    <row r="2132" spans="1:7" hidden="1" outlineLevel="1">
      <c r="A2132" s="8"/>
      <c r="B2132" s="1"/>
      <c r="C2132" s="1"/>
      <c r="D2132" s="5"/>
      <c r="E2132" s="12"/>
      <c r="F2132" s="6"/>
    </row>
    <row r="2133" spans="1:7" hidden="1" outlineLevel="1">
      <c r="A2133" s="8"/>
      <c r="B2133" s="1"/>
      <c r="C2133" s="1"/>
      <c r="D2133" s="5"/>
      <c r="E2133" s="12"/>
      <c r="F2133" s="6"/>
    </row>
    <row r="2134" spans="1:7" hidden="1" outlineLevel="1">
      <c r="A2134" s="8"/>
      <c r="B2134" s="1"/>
      <c r="C2134" s="1"/>
      <c r="D2134" s="1"/>
      <c r="E2134" s="1"/>
      <c r="F2134" s="2"/>
    </row>
    <row r="2135" spans="1:7" hidden="1" outlineLevel="1">
      <c r="A2135" s="8"/>
      <c r="B2135" s="1"/>
      <c r="C2135" s="1"/>
      <c r="D2135" s="1"/>
      <c r="E2135" s="1"/>
      <c r="F2135" s="2"/>
    </row>
    <row r="2136" spans="1:7" hidden="1" outlineLevel="1">
      <c r="A2136" s="8"/>
      <c r="B2136" s="1"/>
      <c r="C2136" s="1"/>
      <c r="D2136" s="1"/>
      <c r="E2136" s="1"/>
      <c r="F2136" s="2"/>
    </row>
    <row r="2137" spans="1:7" hidden="1" outlineLevel="1">
      <c r="A2137" s="8"/>
      <c r="B2137" s="1"/>
      <c r="C2137" s="1"/>
      <c r="D2137" s="1"/>
      <c r="E2137" s="1"/>
      <c r="F2137" s="2"/>
    </row>
    <row r="2138" spans="1:7" hidden="1" outlineLevel="1">
      <c r="A2138" s="8"/>
      <c r="B2138" s="1"/>
      <c r="C2138" s="1"/>
      <c r="D2138" s="1"/>
      <c r="E2138" s="1"/>
      <c r="F2138" s="2"/>
    </row>
    <row r="2139" spans="1:7" ht="15.75" hidden="1" outlineLevel="1" thickBot="1">
      <c r="A2139" s="9"/>
      <c r="B2139" s="3"/>
      <c r="C2139" s="3"/>
      <c r="D2139" s="3"/>
      <c r="E2139" s="3"/>
      <c r="F2139" s="4"/>
    </row>
    <row r="2140" spans="1:7" ht="16.5" hidden="1" outlineLevel="1" thickTop="1" thickBot="1"/>
    <row r="2141" spans="1:7" ht="15.75" hidden="1" outlineLevel="1" thickTop="1">
      <c r="A2141" s="3782"/>
      <c r="B2141" s="3781"/>
      <c r="C2141" s="3781"/>
      <c r="D2141" s="3781"/>
      <c r="E2141" s="3781"/>
      <c r="F2141" s="3765"/>
    </row>
    <row r="2142" spans="1:7" ht="15.75" hidden="1" outlineLevel="1" thickBot="1">
      <c r="A2142" s="3783"/>
      <c r="B2142" s="3767"/>
      <c r="C2142" s="3767"/>
      <c r="D2142" s="3767"/>
      <c r="E2142" s="3767"/>
      <c r="F2142" s="3766"/>
    </row>
    <row r="2143" spans="1:7" ht="15.75" hidden="1" outlineLevel="1" thickTop="1">
      <c r="A2143" s="7" t="s">
        <v>1509</v>
      </c>
      <c r="B2143" s="5" t="s">
        <v>106</v>
      </c>
      <c r="C2143" s="5" t="s">
        <v>1293</v>
      </c>
      <c r="D2143" s="5" t="s">
        <v>325</v>
      </c>
      <c r="E2143" s="12">
        <v>9.999918140814168E-2</v>
      </c>
      <c r="F2143" s="6">
        <v>109945</v>
      </c>
      <c r="G2143">
        <v>122161</v>
      </c>
    </row>
    <row r="2144" spans="1:7" hidden="1" outlineLevel="1">
      <c r="A2144" s="8"/>
      <c r="B2144" s="1"/>
      <c r="C2144" s="1" t="s">
        <v>1294</v>
      </c>
      <c r="D2144" s="5" t="s">
        <v>325</v>
      </c>
      <c r="E2144" s="12">
        <v>9.9997342381049403E-2</v>
      </c>
      <c r="F2144" s="6">
        <v>101595</v>
      </c>
      <c r="G2144">
        <v>112883</v>
      </c>
    </row>
    <row r="2145" spans="1:7" hidden="1" outlineLevel="1">
      <c r="A2145" s="8"/>
      <c r="B2145" s="1"/>
      <c r="C2145" s="1" t="s">
        <v>1295</v>
      </c>
      <c r="D2145" s="5" t="s">
        <v>325</v>
      </c>
      <c r="E2145" s="12">
        <v>0.10000381730383834</v>
      </c>
      <c r="F2145" s="6">
        <v>94307</v>
      </c>
      <c r="G2145">
        <v>104786</v>
      </c>
    </row>
    <row r="2146" spans="1:7" hidden="1" outlineLevel="1">
      <c r="A2146" s="8"/>
      <c r="B2146" s="1"/>
      <c r="C2146" s="1" t="s">
        <v>1510</v>
      </c>
      <c r="D2146" s="5" t="s">
        <v>325</v>
      </c>
      <c r="E2146" s="12">
        <v>9.9995576395647157E-2</v>
      </c>
      <c r="F2146" s="6">
        <v>40691</v>
      </c>
      <c r="G2146">
        <v>45212</v>
      </c>
    </row>
    <row r="2147" spans="1:7" hidden="1" outlineLevel="1">
      <c r="A2147" s="8"/>
      <c r="B2147" s="1"/>
      <c r="C2147" s="1" t="s">
        <v>1174</v>
      </c>
      <c r="D2147" s="5" t="s">
        <v>325</v>
      </c>
      <c r="E2147" s="12">
        <v>0.10001437504492205</v>
      </c>
      <c r="F2147" s="6">
        <v>25043</v>
      </c>
      <c r="G2147">
        <v>27826</v>
      </c>
    </row>
    <row r="2148" spans="1:7" hidden="1" outlineLevel="1">
      <c r="A2148" s="8"/>
      <c r="B2148" s="1"/>
      <c r="C2148" s="1" t="s">
        <v>1511</v>
      </c>
      <c r="D2148" s="5" t="s">
        <v>325</v>
      </c>
      <c r="E2148" s="12">
        <v>0.10001437504492205</v>
      </c>
      <c r="F2148" s="6">
        <v>25043</v>
      </c>
      <c r="G2148">
        <v>27826</v>
      </c>
    </row>
    <row r="2149" spans="1:7" hidden="1" outlineLevel="1">
      <c r="A2149" s="8"/>
      <c r="B2149" s="1"/>
      <c r="C2149" s="1" t="s">
        <v>1251</v>
      </c>
      <c r="D2149" s="5" t="s">
        <v>325</v>
      </c>
      <c r="E2149" s="12">
        <v>0.19999651710536626</v>
      </c>
      <c r="F2149" s="6">
        <v>91878</v>
      </c>
      <c r="G2149">
        <v>114847</v>
      </c>
    </row>
    <row r="2150" spans="1:7" hidden="1" outlineLevel="1">
      <c r="A2150" s="8"/>
      <c r="B2150" s="1"/>
      <c r="C2150" s="1" t="s">
        <v>1252</v>
      </c>
      <c r="D2150" s="5" t="s">
        <v>325</v>
      </c>
      <c r="E2150" s="12">
        <v>0.19999651710536626</v>
      </c>
      <c r="F2150" s="6">
        <v>91878</v>
      </c>
      <c r="G2150">
        <v>114847</v>
      </c>
    </row>
    <row r="2151" spans="1:7" hidden="1" outlineLevel="1">
      <c r="A2151" s="8"/>
      <c r="B2151" s="1"/>
      <c r="C2151" s="1" t="s">
        <v>1270</v>
      </c>
      <c r="D2151" s="5" t="s">
        <v>325</v>
      </c>
      <c r="E2151" s="12">
        <v>0.20000061856499107</v>
      </c>
      <c r="F2151" s="6">
        <v>258663</v>
      </c>
      <c r="G2151">
        <v>323329</v>
      </c>
    </row>
    <row r="2152" spans="1:7" hidden="1" outlineLevel="1">
      <c r="A2152" s="8"/>
      <c r="B2152" s="1"/>
      <c r="C2152" s="1" t="s">
        <v>1271</v>
      </c>
      <c r="D2152" s="5" t="s">
        <v>325</v>
      </c>
      <c r="E2152" s="12">
        <v>0.20000061856499107</v>
      </c>
      <c r="F2152" s="6">
        <v>258663</v>
      </c>
      <c r="G2152">
        <v>323329</v>
      </c>
    </row>
    <row r="2153" spans="1:7" hidden="1" outlineLevel="1">
      <c r="A2153" s="8"/>
      <c r="B2153" s="1"/>
      <c r="C2153" s="1" t="s">
        <v>1253</v>
      </c>
      <c r="D2153" s="5" t="s">
        <v>325</v>
      </c>
      <c r="E2153" s="12">
        <v>0.19999625124177611</v>
      </c>
      <c r="F2153" s="6">
        <v>85362</v>
      </c>
      <c r="G2153">
        <v>106702</v>
      </c>
    </row>
    <row r="2154" spans="1:7" hidden="1" outlineLevel="1">
      <c r="A2154" s="8"/>
      <c r="B2154" s="1"/>
      <c r="C2154" s="1" t="s">
        <v>1254</v>
      </c>
      <c r="D2154" s="5" t="s">
        <v>325</v>
      </c>
      <c r="E2154" s="12">
        <v>0.19999625124177611</v>
      </c>
      <c r="F2154" s="6">
        <v>85362</v>
      </c>
      <c r="G2154">
        <v>106702</v>
      </c>
    </row>
    <row r="2155" spans="1:7" hidden="1" outlineLevel="1">
      <c r="A2155" s="8"/>
      <c r="B2155" s="1"/>
      <c r="C2155" s="1" t="s">
        <v>549</v>
      </c>
      <c r="D2155" s="5" t="s">
        <v>325</v>
      </c>
      <c r="E2155" s="12">
        <v>0.19999867813167127</v>
      </c>
      <c r="F2155" s="6">
        <v>242082</v>
      </c>
      <c r="G2155">
        <v>302602</v>
      </c>
    </row>
    <row r="2156" spans="1:7" hidden="1" outlineLevel="1">
      <c r="A2156" s="8"/>
      <c r="B2156" s="1"/>
      <c r="C2156" s="1" t="s">
        <v>1258</v>
      </c>
      <c r="D2156" s="5" t="s">
        <v>325</v>
      </c>
      <c r="E2156" s="12">
        <v>0.19999867813167127</v>
      </c>
      <c r="F2156" s="6">
        <v>242082</v>
      </c>
      <c r="G2156">
        <v>302602</v>
      </c>
    </row>
    <row r="2157" spans="1:7" hidden="1" outlineLevel="1">
      <c r="A2157" s="8"/>
      <c r="B2157" s="1"/>
      <c r="C2157" s="1" t="s">
        <v>1255</v>
      </c>
      <c r="D2157" s="5" t="s">
        <v>325</v>
      </c>
      <c r="E2157" s="12">
        <v>0.20000224054490057</v>
      </c>
      <c r="F2157" s="6">
        <v>71411</v>
      </c>
      <c r="G2157">
        <v>89264</v>
      </c>
    </row>
    <row r="2158" spans="1:7" hidden="1" outlineLevel="1">
      <c r="A2158" s="8"/>
      <c r="B2158" s="1"/>
      <c r="C2158" s="1" t="s">
        <v>1256</v>
      </c>
      <c r="D2158" s="5" t="s">
        <v>325</v>
      </c>
      <c r="E2158" s="12">
        <v>0.20000224054490057</v>
      </c>
      <c r="F2158" s="6">
        <v>71411</v>
      </c>
      <c r="G2158">
        <v>89264</v>
      </c>
    </row>
    <row r="2159" spans="1:7" hidden="1" outlineLevel="1">
      <c r="A2159" s="8"/>
      <c r="B2159" s="1"/>
      <c r="C2159" s="1" t="s">
        <v>550</v>
      </c>
      <c r="D2159" s="5" t="s">
        <v>325</v>
      </c>
      <c r="E2159" s="12">
        <v>0.20000077248709947</v>
      </c>
      <c r="F2159" s="6">
        <v>207123</v>
      </c>
      <c r="G2159">
        <v>258904</v>
      </c>
    </row>
    <row r="2160" spans="1:7" hidden="1" outlineLevel="1">
      <c r="A2160" s="8"/>
      <c r="B2160" s="1"/>
      <c r="C2160" s="1" t="s">
        <v>1259</v>
      </c>
      <c r="D2160" s="5" t="s">
        <v>325</v>
      </c>
      <c r="E2160" s="12">
        <v>0.20000077248709947</v>
      </c>
      <c r="F2160" s="6">
        <v>207123</v>
      </c>
      <c r="G2160">
        <v>258904</v>
      </c>
    </row>
    <row r="2161" spans="1:7" hidden="1" outlineLevel="1">
      <c r="A2161" s="8"/>
      <c r="B2161" s="1"/>
      <c r="C2161" s="1" t="s">
        <v>1257</v>
      </c>
      <c r="D2161" s="5" t="s">
        <v>325</v>
      </c>
      <c r="E2161" s="12">
        <v>9.9994428503774713E-2</v>
      </c>
      <c r="F2161" s="6">
        <v>64615</v>
      </c>
      <c r="G2161">
        <v>71794</v>
      </c>
    </row>
    <row r="2162" spans="1:7" hidden="1" outlineLevel="1">
      <c r="A2162" s="8"/>
      <c r="B2162" s="1"/>
      <c r="C2162" s="1" t="s">
        <v>1026</v>
      </c>
      <c r="D2162" s="5" t="s">
        <v>325</v>
      </c>
      <c r="E2162" s="12">
        <v>9.9999999999999978E-2</v>
      </c>
      <c r="F2162" s="6">
        <v>89091</v>
      </c>
      <c r="G2162">
        <v>98990</v>
      </c>
    </row>
    <row r="2163" spans="1:7" hidden="1" outlineLevel="1">
      <c r="A2163" s="8"/>
      <c r="B2163" s="1"/>
      <c r="C2163" s="1" t="s">
        <v>1264</v>
      </c>
      <c r="D2163" s="5" t="s">
        <v>325</v>
      </c>
      <c r="E2163" s="12">
        <v>9.9973481835057054E-2</v>
      </c>
      <c r="F2163" s="6">
        <v>16970</v>
      </c>
      <c r="G2163">
        <v>18855</v>
      </c>
    </row>
    <row r="2164" spans="1:7" hidden="1" outlineLevel="1">
      <c r="A2164" s="8"/>
      <c r="B2164" s="1"/>
      <c r="C2164" s="1" t="s">
        <v>1262</v>
      </c>
      <c r="D2164" s="5" t="s">
        <v>325</v>
      </c>
      <c r="E2164" s="12">
        <v>0.19999204644873936</v>
      </c>
      <c r="F2164" s="6">
        <v>20117</v>
      </c>
      <c r="G2164">
        <v>25146</v>
      </c>
    </row>
    <row r="2165" spans="1:7" hidden="1" outlineLevel="1">
      <c r="A2165" s="8"/>
      <c r="B2165" s="1"/>
      <c r="C2165" s="1" t="s">
        <v>1263</v>
      </c>
      <c r="D2165" s="5" t="s">
        <v>325</v>
      </c>
      <c r="E2165" s="12">
        <v>0.19999204644873936</v>
      </c>
      <c r="F2165" s="6">
        <v>20117</v>
      </c>
      <c r="G2165">
        <v>25146</v>
      </c>
    </row>
    <row r="2166" spans="1:7" hidden="1" outlineLevel="1">
      <c r="A2166" s="8"/>
      <c r="B2166" s="1"/>
      <c r="C2166" s="1" t="s">
        <v>1260</v>
      </c>
      <c r="D2166" s="5" t="s">
        <v>325</v>
      </c>
      <c r="E2166" s="12">
        <v>0.20000590336196467</v>
      </c>
      <c r="F2166" s="2">
        <v>27103</v>
      </c>
      <c r="G2166">
        <v>33879</v>
      </c>
    </row>
    <row r="2167" spans="1:7" hidden="1" outlineLevel="1">
      <c r="A2167" s="8"/>
      <c r="B2167" s="1"/>
      <c r="C2167" s="1" t="s">
        <v>1261</v>
      </c>
      <c r="D2167" s="5" t="s">
        <v>325</v>
      </c>
      <c r="E2167" s="12">
        <v>0.20000590336196467</v>
      </c>
      <c r="F2167" s="2">
        <v>27103</v>
      </c>
      <c r="G2167">
        <v>33879</v>
      </c>
    </row>
    <row r="2168" spans="1:7" hidden="1" outlineLevel="1">
      <c r="A2168" s="8"/>
      <c r="B2168" s="1"/>
      <c r="C2168" s="1" t="s">
        <v>1027</v>
      </c>
      <c r="D2168" s="5" t="s">
        <v>325</v>
      </c>
      <c r="E2168" s="12">
        <v>0.20000621426795928</v>
      </c>
      <c r="F2168" s="2">
        <v>102988</v>
      </c>
      <c r="G2168">
        <v>128736</v>
      </c>
    </row>
    <row r="2169" spans="1:7" hidden="1" outlineLevel="1">
      <c r="A2169" s="8"/>
      <c r="B2169" s="1"/>
      <c r="C2169" s="1" t="s">
        <v>1176</v>
      </c>
      <c r="D2169" s="5" t="s">
        <v>325</v>
      </c>
      <c r="E2169" s="12">
        <v>0.20000621426795928</v>
      </c>
      <c r="F2169" s="2">
        <v>102988</v>
      </c>
      <c r="G2169">
        <v>128736</v>
      </c>
    </row>
    <row r="2170" spans="1:7" hidden="1" outlineLevel="1">
      <c r="A2170" s="8"/>
      <c r="B2170" s="1"/>
      <c r="C2170" s="1" t="s">
        <v>238</v>
      </c>
      <c r="D2170" s="5" t="s">
        <v>325</v>
      </c>
      <c r="E2170" s="12">
        <v>0.1499983062521878</v>
      </c>
      <c r="F2170" s="2">
        <v>75277</v>
      </c>
      <c r="G2170">
        <v>88561</v>
      </c>
    </row>
    <row r="2171" spans="1:7" hidden="1" outlineLevel="1">
      <c r="A2171" s="8"/>
      <c r="B2171" s="1"/>
      <c r="C2171" s="1" t="s">
        <v>239</v>
      </c>
      <c r="D2171" s="5" t="s">
        <v>325</v>
      </c>
      <c r="E2171" s="12">
        <v>0.1499983062521878</v>
      </c>
      <c r="F2171" s="2">
        <v>75277</v>
      </c>
      <c r="G2171">
        <v>88561</v>
      </c>
    </row>
    <row r="2172" spans="1:7" ht="15.75" hidden="1" outlineLevel="1" thickBot="1">
      <c r="A2172" s="9"/>
      <c r="B2172" s="3"/>
      <c r="C2172" s="3" t="s">
        <v>868</v>
      </c>
      <c r="D2172" s="3" t="s">
        <v>325</v>
      </c>
      <c r="E2172" s="12">
        <v>0.1499983062521878</v>
      </c>
      <c r="F2172" s="2">
        <v>75277</v>
      </c>
      <c r="G2172">
        <v>88561</v>
      </c>
    </row>
    <row r="2173" spans="1:7" ht="15.75" hidden="1" outlineLevel="1" thickTop="1"/>
    <row r="2174" spans="1:7" ht="15.75" hidden="1" outlineLevel="1" thickBot="1"/>
    <row r="2175" spans="1:7" ht="15.75" hidden="1" outlineLevel="1" thickTop="1">
      <c r="A2175" s="3782"/>
      <c r="B2175" s="3781"/>
      <c r="C2175" s="3781"/>
      <c r="D2175" s="3781"/>
      <c r="E2175" s="3781"/>
      <c r="F2175" s="3765"/>
    </row>
    <row r="2176" spans="1:7" ht="15.75" hidden="1" outlineLevel="1" thickBot="1">
      <c r="A2176" s="3783"/>
      <c r="B2176" s="3767"/>
      <c r="C2176" s="3767"/>
      <c r="D2176" s="3767"/>
      <c r="E2176" s="3767"/>
      <c r="F2176" s="3766"/>
    </row>
    <row r="2177" spans="1:7" ht="15.75" hidden="1" outlineLevel="1" thickTop="1">
      <c r="A2177" s="7" t="s">
        <v>1519</v>
      </c>
      <c r="B2177" s="5" t="s">
        <v>1171</v>
      </c>
      <c r="C2177" s="5" t="s">
        <v>1258</v>
      </c>
      <c r="D2177" s="5" t="s">
        <v>325</v>
      </c>
      <c r="E2177" s="12">
        <v>0.15</v>
      </c>
      <c r="F2177" s="6">
        <v>257212</v>
      </c>
      <c r="G2177">
        <v>302602</v>
      </c>
    </row>
    <row r="2178" spans="1:7" hidden="1" outlineLevel="1">
      <c r="A2178" s="8"/>
      <c r="B2178" s="1"/>
      <c r="C2178" s="1" t="s">
        <v>1259</v>
      </c>
      <c r="D2178" s="5" t="s">
        <v>325</v>
      </c>
      <c r="E2178" s="12">
        <v>0.15</v>
      </c>
      <c r="F2178" s="6">
        <v>220068</v>
      </c>
      <c r="G2178">
        <v>258904</v>
      </c>
    </row>
    <row r="2179" spans="1:7" hidden="1" outlineLevel="1">
      <c r="A2179" s="8"/>
      <c r="B2179" s="1"/>
      <c r="C2179" s="1"/>
      <c r="D2179" s="5"/>
      <c r="E2179" s="12"/>
      <c r="F2179" s="6"/>
    </row>
    <row r="2180" spans="1:7" hidden="1" outlineLevel="1">
      <c r="A2180" s="8"/>
      <c r="B2180" s="1"/>
      <c r="C2180" s="1"/>
      <c r="D2180" s="5"/>
      <c r="E2180" s="12"/>
      <c r="F2180" s="6"/>
    </row>
    <row r="2181" spans="1:7" hidden="1" outlineLevel="1">
      <c r="A2181" s="8"/>
      <c r="B2181" s="1"/>
      <c r="C2181" s="1"/>
      <c r="D2181" s="5"/>
      <c r="E2181" s="12"/>
      <c r="F2181" s="6"/>
    </row>
    <row r="2182" spans="1:7" hidden="1" outlineLevel="1">
      <c r="A2182" s="8"/>
      <c r="B2182" s="1"/>
      <c r="C2182" s="1"/>
      <c r="D2182" s="5"/>
      <c r="E2182" s="12"/>
      <c r="F2182" s="6"/>
    </row>
    <row r="2183" spans="1:7" hidden="1" outlineLevel="1">
      <c r="A2183" s="8"/>
      <c r="B2183" s="1"/>
      <c r="C2183" s="1"/>
      <c r="D2183" s="1"/>
      <c r="E2183" s="1"/>
      <c r="F2183" s="2"/>
    </row>
    <row r="2184" spans="1:7" hidden="1" outlineLevel="1">
      <c r="A2184" s="8"/>
      <c r="B2184" s="1"/>
      <c r="C2184" s="1"/>
      <c r="D2184" s="1"/>
      <c r="E2184" s="1"/>
      <c r="F2184" s="2"/>
    </row>
    <row r="2185" spans="1:7" hidden="1" outlineLevel="1">
      <c r="A2185" s="8"/>
      <c r="B2185" s="1"/>
      <c r="C2185" s="1"/>
      <c r="D2185" s="1"/>
      <c r="E2185" s="1"/>
      <c r="F2185" s="2"/>
    </row>
    <row r="2186" spans="1:7" hidden="1" outlineLevel="1">
      <c r="A2186" s="8"/>
      <c r="B2186" s="1"/>
      <c r="C2186" s="1"/>
      <c r="D2186" s="1"/>
      <c r="E2186" s="1"/>
      <c r="F2186" s="2"/>
    </row>
    <row r="2187" spans="1:7" hidden="1" outlineLevel="1">
      <c r="A2187" s="8"/>
      <c r="B2187" s="1"/>
      <c r="C2187" s="1"/>
      <c r="D2187" s="1"/>
      <c r="E2187" s="1"/>
      <c r="F2187" s="2"/>
    </row>
    <row r="2188" spans="1:7" ht="15.75" hidden="1" outlineLevel="1" thickBot="1">
      <c r="A2188" s="9"/>
      <c r="B2188" s="3"/>
      <c r="C2188" s="3"/>
      <c r="D2188" s="3"/>
      <c r="E2188" s="3"/>
      <c r="F2188" s="4"/>
    </row>
    <row r="2189" spans="1:7" ht="15.75" hidden="1" outlineLevel="1" thickTop="1"/>
    <row r="2190" spans="1:7" ht="15.75" hidden="1" outlineLevel="1" thickBot="1"/>
    <row r="2191" spans="1:7" ht="15.75" hidden="1" outlineLevel="1" thickTop="1">
      <c r="A2191" s="3782"/>
      <c r="B2191" s="3781"/>
      <c r="C2191" s="3781"/>
      <c r="D2191" s="3781"/>
      <c r="E2191" s="3781"/>
      <c r="F2191" s="3765"/>
    </row>
    <row r="2192" spans="1:7" ht="15.75" hidden="1" outlineLevel="1" thickBot="1">
      <c r="A2192" s="3783"/>
      <c r="B2192" s="3767"/>
      <c r="C2192" s="3767"/>
      <c r="D2192" s="3767"/>
      <c r="E2192" s="3767"/>
      <c r="F2192" s="3766"/>
    </row>
    <row r="2193" spans="1:7" ht="15.75" hidden="1" outlineLevel="1" thickTop="1">
      <c r="A2193" s="7" t="s">
        <v>1519</v>
      </c>
      <c r="B2193" s="5" t="s">
        <v>1171</v>
      </c>
      <c r="C2193" s="5" t="s">
        <v>554</v>
      </c>
      <c r="D2193" s="5" t="s">
        <v>325</v>
      </c>
      <c r="E2193" s="12">
        <v>0.2</v>
      </c>
      <c r="F2193" s="6">
        <v>8822</v>
      </c>
      <c r="G2193">
        <v>11028</v>
      </c>
    </row>
    <row r="2194" spans="1:7" hidden="1" outlineLevel="1">
      <c r="A2194" s="8"/>
      <c r="B2194" s="1"/>
      <c r="C2194" s="1" t="s">
        <v>1268</v>
      </c>
      <c r="D2194" s="5" t="s">
        <v>325</v>
      </c>
      <c r="E2194" s="12">
        <v>0.2</v>
      </c>
      <c r="F2194" s="6">
        <v>8252</v>
      </c>
      <c r="G2194">
        <v>10135</v>
      </c>
    </row>
    <row r="2195" spans="1:7" hidden="1" outlineLevel="1">
      <c r="A2195" s="8"/>
      <c r="B2195" s="1"/>
      <c r="C2195" s="1"/>
      <c r="D2195" s="5"/>
      <c r="E2195" s="12"/>
      <c r="F2195" s="6"/>
    </row>
    <row r="2196" spans="1:7" hidden="1" outlineLevel="1">
      <c r="A2196" s="8"/>
      <c r="B2196" s="1"/>
      <c r="C2196" s="1"/>
      <c r="D2196" s="5"/>
      <c r="E2196" s="12"/>
      <c r="F2196" s="6"/>
    </row>
    <row r="2197" spans="1:7" hidden="1" outlineLevel="1">
      <c r="A2197" s="8"/>
      <c r="B2197" s="1"/>
      <c r="C2197" s="1"/>
      <c r="D2197" s="5"/>
      <c r="E2197" s="12"/>
      <c r="F2197" s="6"/>
    </row>
    <row r="2198" spans="1:7" hidden="1" outlineLevel="1">
      <c r="A2198" s="8"/>
      <c r="B2198" s="1"/>
      <c r="C2198" s="1"/>
      <c r="D2198" s="5"/>
      <c r="E2198" s="12"/>
      <c r="F2198" s="6"/>
    </row>
    <row r="2199" spans="1:7" hidden="1" outlineLevel="1">
      <c r="A2199" s="8"/>
      <c r="B2199" s="1"/>
      <c r="C2199" s="1"/>
      <c r="D2199" s="1"/>
      <c r="E2199" s="1"/>
      <c r="F2199" s="2"/>
    </row>
    <row r="2200" spans="1:7" hidden="1" outlineLevel="1">
      <c r="A2200" s="8"/>
      <c r="B2200" s="1"/>
      <c r="C2200" s="1"/>
      <c r="D2200" s="1"/>
      <c r="E2200" s="1"/>
      <c r="F2200" s="2"/>
    </row>
    <row r="2201" spans="1:7" hidden="1" outlineLevel="1">
      <c r="A2201" s="8"/>
      <c r="B2201" s="1"/>
      <c r="C2201" s="1"/>
      <c r="D2201" s="1"/>
      <c r="E2201" s="1"/>
      <c r="F2201" s="2"/>
    </row>
    <row r="2202" spans="1:7" hidden="1" outlineLevel="1">
      <c r="A2202" s="8"/>
      <c r="B2202" s="1"/>
      <c r="C2202" s="1"/>
      <c r="D2202" s="1"/>
      <c r="E2202" s="1"/>
      <c r="F2202" s="2"/>
    </row>
    <row r="2203" spans="1:7" hidden="1" outlineLevel="1">
      <c r="A2203" s="8"/>
      <c r="B2203" s="1"/>
      <c r="C2203" s="1"/>
      <c r="D2203" s="1"/>
      <c r="E2203" s="1"/>
      <c r="F2203" s="2"/>
    </row>
    <row r="2204" spans="1:7" ht="15.75" hidden="1" outlineLevel="1" thickBot="1">
      <c r="A2204" s="9"/>
      <c r="B2204" s="3"/>
      <c r="C2204" s="3"/>
      <c r="D2204" s="3"/>
      <c r="E2204" s="3"/>
      <c r="F2204" s="4"/>
    </row>
    <row r="2205" spans="1:7" ht="15.75" hidden="1" outlineLevel="1" thickTop="1"/>
    <row r="2206" spans="1:7" hidden="1" outlineLevel="1"/>
    <row r="2207" spans="1:7" hidden="1" outlineLevel="1"/>
    <row r="2208" spans="1:7" ht="15.75" hidden="1" outlineLevel="1" thickBot="1"/>
    <row r="2209" spans="1:7" ht="15.75" hidden="1" outlineLevel="1" thickTop="1">
      <c r="A2209" s="3782"/>
      <c r="B2209" s="3781"/>
      <c r="C2209" s="3781"/>
      <c r="D2209" s="3781"/>
      <c r="E2209" s="3781"/>
      <c r="F2209" s="3765"/>
    </row>
    <row r="2210" spans="1:7" ht="15.75" hidden="1" outlineLevel="1" thickBot="1">
      <c r="A2210" s="3783"/>
      <c r="B2210" s="3767"/>
      <c r="C2210" s="3767"/>
      <c r="D2210" s="3767"/>
      <c r="E2210" s="3767"/>
      <c r="F2210" s="3766"/>
    </row>
    <row r="2211" spans="1:7" ht="15.75" hidden="1" outlineLevel="1" thickTop="1">
      <c r="A2211" s="7" t="s">
        <v>1523</v>
      </c>
      <c r="B2211" s="5" t="s">
        <v>1171</v>
      </c>
      <c r="C2211" s="5" t="s">
        <v>465</v>
      </c>
      <c r="D2211" s="5" t="s">
        <v>325</v>
      </c>
      <c r="E2211" s="12">
        <v>0.15</v>
      </c>
      <c r="F2211" s="6">
        <v>10689</v>
      </c>
      <c r="G2211">
        <v>12575</v>
      </c>
    </row>
    <row r="2212" spans="1:7" hidden="1" outlineLevel="1">
      <c r="A2212" s="8"/>
      <c r="B2212" s="1"/>
      <c r="C2212" s="1" t="s">
        <v>1332</v>
      </c>
      <c r="D2212" s="5" t="s">
        <v>325</v>
      </c>
      <c r="E2212" s="12">
        <v>0.15</v>
      </c>
      <c r="F2212" s="6">
        <v>10689</v>
      </c>
    </row>
    <row r="2213" spans="1:7" hidden="1" outlineLevel="1">
      <c r="A2213" s="8"/>
      <c r="B2213" s="1"/>
      <c r="C2213" s="1"/>
      <c r="D2213" s="5"/>
      <c r="E2213" s="12"/>
      <c r="F2213" s="6"/>
    </row>
    <row r="2214" spans="1:7" hidden="1" outlineLevel="1">
      <c r="A2214" s="8"/>
      <c r="B2214" s="1"/>
      <c r="C2214" s="1"/>
      <c r="D2214" s="5"/>
      <c r="E2214" s="12"/>
      <c r="F2214" s="6"/>
    </row>
    <row r="2215" spans="1:7" hidden="1" outlineLevel="1">
      <c r="A2215" s="8"/>
      <c r="B2215" s="1"/>
      <c r="C2215" s="1"/>
      <c r="D2215" s="5"/>
      <c r="E2215" s="12"/>
      <c r="F2215" s="6"/>
    </row>
    <row r="2216" spans="1:7" hidden="1" outlineLevel="1">
      <c r="A2216" s="8"/>
      <c r="B2216" s="1"/>
      <c r="C2216" s="1"/>
      <c r="D2216" s="5"/>
      <c r="E2216" s="12"/>
      <c r="F2216" s="6"/>
    </row>
    <row r="2217" spans="1:7" hidden="1" outlineLevel="1">
      <c r="A2217" s="8"/>
      <c r="B2217" s="1"/>
      <c r="C2217" s="1"/>
      <c r="D2217" s="1"/>
      <c r="E2217" s="1"/>
      <c r="F2217" s="2"/>
    </row>
    <row r="2218" spans="1:7" hidden="1" outlineLevel="1">
      <c r="A2218" s="8"/>
      <c r="B2218" s="1"/>
      <c r="C2218" s="1"/>
      <c r="D2218" s="1"/>
      <c r="E2218" s="1"/>
      <c r="F2218" s="2"/>
    </row>
    <row r="2219" spans="1:7" hidden="1" outlineLevel="1">
      <c r="A2219" s="8"/>
      <c r="B2219" s="1"/>
      <c r="C2219" s="1"/>
      <c r="D2219" s="1"/>
      <c r="E2219" s="1"/>
      <c r="F2219" s="2"/>
    </row>
    <row r="2220" spans="1:7" hidden="1" outlineLevel="1">
      <c r="A2220" s="8"/>
      <c r="B2220" s="1"/>
      <c r="C2220" s="1"/>
      <c r="D2220" s="1"/>
      <c r="E2220" s="1"/>
      <c r="F2220" s="2"/>
    </row>
    <row r="2221" spans="1:7" hidden="1" outlineLevel="1">
      <c r="A2221" s="8"/>
      <c r="B2221" s="1"/>
      <c r="C2221" s="1"/>
      <c r="D2221" s="1"/>
      <c r="E2221" s="1"/>
      <c r="F2221" s="2"/>
    </row>
    <row r="2222" spans="1:7" ht="15.75" hidden="1" outlineLevel="1" thickBot="1">
      <c r="A2222" s="9"/>
      <c r="B2222" s="3"/>
      <c r="C2222" s="3"/>
      <c r="D2222" s="3"/>
      <c r="E2222" s="3"/>
      <c r="F2222" s="4"/>
    </row>
    <row r="2223" spans="1:7" ht="16.5" hidden="1" outlineLevel="1" thickTop="1" thickBot="1"/>
    <row r="2224" spans="1:7" ht="15.75" hidden="1" outlineLevel="1" thickTop="1">
      <c r="A2224" s="3782"/>
      <c r="B2224" s="3781"/>
      <c r="C2224" s="3781"/>
      <c r="D2224" s="3781"/>
      <c r="E2224" s="3781"/>
      <c r="F2224" s="3765"/>
    </row>
    <row r="2225" spans="1:7" ht="15.75" hidden="1" outlineLevel="1" thickBot="1">
      <c r="A2225" s="3783"/>
      <c r="B2225" s="3767"/>
      <c r="C2225" s="3767"/>
      <c r="D2225" s="3767"/>
      <c r="E2225" s="3767"/>
      <c r="F2225" s="3766"/>
    </row>
    <row r="2226" spans="1:7" ht="15.75" hidden="1" outlineLevel="1" thickTop="1">
      <c r="A2226" s="7" t="s">
        <v>1535</v>
      </c>
      <c r="B2226" s="5" t="s">
        <v>106</v>
      </c>
      <c r="C2226" s="1" t="s">
        <v>1315</v>
      </c>
      <c r="D2226" s="5" t="s">
        <v>325</v>
      </c>
      <c r="E2226" s="12">
        <v>0.15</v>
      </c>
      <c r="F2226" s="6">
        <v>12087</v>
      </c>
      <c r="G2226">
        <v>14220</v>
      </c>
    </row>
    <row r="2227" spans="1:7" hidden="1" outlineLevel="1">
      <c r="A2227" s="8"/>
      <c r="B2227" s="1"/>
      <c r="C2227" s="1" t="s">
        <v>1316</v>
      </c>
      <c r="D2227" s="5" t="s">
        <v>325</v>
      </c>
      <c r="E2227" s="12">
        <v>0.15</v>
      </c>
      <c r="F2227" s="6">
        <v>12087</v>
      </c>
      <c r="G2227">
        <v>14220</v>
      </c>
    </row>
    <row r="2228" spans="1:7" hidden="1" outlineLevel="1">
      <c r="A2228" s="8"/>
      <c r="B2228" s="1"/>
      <c r="C2228" s="1" t="s">
        <v>1317</v>
      </c>
      <c r="D2228" s="5" t="s">
        <v>325</v>
      </c>
      <c r="E2228" s="12">
        <v>0.15</v>
      </c>
      <c r="F2228" s="6">
        <v>12087</v>
      </c>
      <c r="G2228">
        <v>14220</v>
      </c>
    </row>
    <row r="2229" spans="1:7" hidden="1" outlineLevel="1">
      <c r="A2229" s="8"/>
      <c r="B2229" s="1"/>
      <c r="C2229" s="1"/>
      <c r="D2229" s="5"/>
      <c r="E2229" s="12"/>
      <c r="F2229" s="6"/>
    </row>
    <row r="2230" spans="1:7" hidden="1" outlineLevel="1">
      <c r="A2230" s="8"/>
      <c r="B2230" s="1"/>
      <c r="C2230" s="1"/>
      <c r="D2230" s="5"/>
      <c r="E2230" s="12"/>
      <c r="F2230" s="6"/>
    </row>
    <row r="2231" spans="1:7" hidden="1" outlineLevel="1">
      <c r="A2231" s="8"/>
      <c r="B2231" s="1"/>
      <c r="C2231" s="1"/>
      <c r="D2231" s="5"/>
      <c r="E2231" s="12"/>
      <c r="F2231" s="6"/>
    </row>
    <row r="2232" spans="1:7" hidden="1" outlineLevel="1">
      <c r="A2232" s="8"/>
      <c r="B2232" s="1"/>
      <c r="C2232" s="1"/>
      <c r="D2232" s="1"/>
      <c r="E2232" s="1"/>
      <c r="F2232" s="2"/>
    </row>
    <row r="2233" spans="1:7" hidden="1" outlineLevel="1">
      <c r="A2233" s="8"/>
      <c r="B2233" s="1"/>
      <c r="C2233" s="1"/>
      <c r="D2233" s="1"/>
      <c r="E2233" s="1"/>
      <c r="F2233" s="2"/>
    </row>
    <row r="2234" spans="1:7" hidden="1" outlineLevel="1">
      <c r="A2234" s="8"/>
      <c r="B2234" s="1"/>
      <c r="C2234" s="1"/>
      <c r="D2234" s="1"/>
      <c r="E2234" s="1"/>
      <c r="F2234" s="2"/>
    </row>
    <row r="2235" spans="1:7" hidden="1" outlineLevel="1">
      <c r="A2235" s="8"/>
      <c r="B2235" s="1"/>
      <c r="C2235" s="1"/>
      <c r="D2235" s="1"/>
      <c r="E2235" s="1"/>
      <c r="F2235" s="2"/>
    </row>
    <row r="2236" spans="1:7" hidden="1" outlineLevel="1">
      <c r="A2236" s="8"/>
      <c r="B2236" s="1"/>
      <c r="C2236" s="1"/>
      <c r="D2236" s="1"/>
      <c r="E2236" s="1"/>
      <c r="F2236" s="2"/>
    </row>
    <row r="2237" spans="1:7" ht="15.75" hidden="1" outlineLevel="1" thickBot="1">
      <c r="A2237" s="9"/>
      <c r="B2237" s="3"/>
      <c r="C2237" s="3"/>
      <c r="D2237" s="3"/>
      <c r="E2237" s="3"/>
      <c r="F2237" s="4"/>
    </row>
    <row r="2238" spans="1:7" ht="16.5" hidden="1" outlineLevel="1" thickTop="1" thickBot="1"/>
    <row r="2239" spans="1:7" ht="15.75" hidden="1" outlineLevel="1" thickTop="1">
      <c r="A2239" s="3782"/>
      <c r="B2239" s="3781"/>
      <c r="C2239" s="3781"/>
      <c r="D2239" s="3781"/>
      <c r="E2239" s="3781"/>
      <c r="F2239" s="3765"/>
    </row>
    <row r="2240" spans="1:7" ht="15.75" hidden="1" outlineLevel="1" thickBot="1">
      <c r="A2240" s="3783"/>
      <c r="B2240" s="3767"/>
      <c r="C2240" s="3767"/>
      <c r="D2240" s="3767"/>
      <c r="E2240" s="3767"/>
      <c r="F2240" s="3766"/>
    </row>
    <row r="2241" spans="1:7" ht="15.75" hidden="1" outlineLevel="1" thickTop="1">
      <c r="A2241" s="7" t="s">
        <v>1541</v>
      </c>
      <c r="B2241" s="5" t="s">
        <v>1171</v>
      </c>
      <c r="C2241" s="5" t="s">
        <v>1271</v>
      </c>
      <c r="D2241" s="5" t="s">
        <v>325</v>
      </c>
      <c r="E2241" s="12">
        <v>0.15</v>
      </c>
      <c r="F2241" s="6">
        <v>274830</v>
      </c>
      <c r="G2241">
        <v>323329</v>
      </c>
    </row>
    <row r="2242" spans="1:7" hidden="1" outlineLevel="1">
      <c r="A2242" s="8"/>
      <c r="B2242" s="1"/>
      <c r="C2242" s="1" t="s">
        <v>1258</v>
      </c>
      <c r="D2242" s="5" t="s">
        <v>325</v>
      </c>
      <c r="E2242" s="12">
        <v>0.15</v>
      </c>
      <c r="F2242" s="6">
        <v>257212</v>
      </c>
      <c r="G2242">
        <v>302602</v>
      </c>
    </row>
    <row r="2243" spans="1:7" hidden="1" outlineLevel="1">
      <c r="A2243" s="8"/>
      <c r="B2243" s="1"/>
      <c r="C2243" s="1" t="s">
        <v>1259</v>
      </c>
      <c r="D2243" s="5" t="s">
        <v>325</v>
      </c>
      <c r="E2243" s="12">
        <v>0.15</v>
      </c>
      <c r="F2243" s="6">
        <v>220068</v>
      </c>
      <c r="G2243">
        <v>258904</v>
      </c>
    </row>
    <row r="2244" spans="1:7" hidden="1" outlineLevel="1">
      <c r="A2244" s="8"/>
      <c r="B2244" s="1"/>
      <c r="C2244" s="1"/>
      <c r="D2244" s="5"/>
      <c r="E2244" s="12"/>
      <c r="F2244" s="6"/>
    </row>
    <row r="2245" spans="1:7" hidden="1" outlineLevel="1">
      <c r="A2245" s="8"/>
      <c r="B2245" s="1"/>
      <c r="C2245" s="1"/>
      <c r="D2245" s="5"/>
      <c r="E2245" s="12"/>
      <c r="F2245" s="6"/>
    </row>
    <row r="2246" spans="1:7" hidden="1" outlineLevel="1">
      <c r="A2246" s="8"/>
      <c r="B2246" s="1"/>
      <c r="C2246" s="1"/>
      <c r="D2246" s="5"/>
      <c r="E2246" s="12"/>
      <c r="F2246" s="6"/>
    </row>
    <row r="2247" spans="1:7" hidden="1" outlineLevel="1">
      <c r="A2247" s="8"/>
      <c r="B2247" s="1"/>
      <c r="C2247" s="1"/>
      <c r="D2247" s="1"/>
      <c r="E2247" s="1"/>
      <c r="F2247" s="2"/>
    </row>
    <row r="2248" spans="1:7" hidden="1" outlineLevel="1">
      <c r="A2248" s="8"/>
      <c r="B2248" s="1"/>
      <c r="C2248" s="1"/>
      <c r="D2248" s="1"/>
      <c r="E2248" s="1"/>
      <c r="F2248" s="2"/>
    </row>
    <row r="2249" spans="1:7" hidden="1" outlineLevel="1">
      <c r="A2249" s="8"/>
      <c r="B2249" s="1"/>
      <c r="C2249" s="1"/>
      <c r="D2249" s="1"/>
      <c r="E2249" s="1"/>
      <c r="F2249" s="2"/>
    </row>
    <row r="2250" spans="1:7" hidden="1" outlineLevel="1">
      <c r="A2250" s="8"/>
      <c r="B2250" s="1"/>
      <c r="C2250" s="1"/>
      <c r="D2250" s="1"/>
      <c r="E2250" s="1"/>
      <c r="F2250" s="2"/>
    </row>
    <row r="2251" spans="1:7" hidden="1" outlineLevel="1">
      <c r="A2251" s="8"/>
      <c r="B2251" s="1"/>
      <c r="C2251" s="1"/>
      <c r="D2251" s="1"/>
      <c r="E2251" s="1"/>
      <c r="F2251" s="2"/>
    </row>
    <row r="2252" spans="1:7" ht="15.75" hidden="1" outlineLevel="1" thickBot="1">
      <c r="A2252" s="9"/>
      <c r="B2252" s="3"/>
      <c r="C2252" s="3"/>
      <c r="D2252" s="3"/>
      <c r="E2252" s="3"/>
      <c r="F2252" s="4"/>
    </row>
    <row r="2253" spans="1:7" ht="16.5" hidden="1" outlineLevel="1" thickTop="1" thickBot="1"/>
    <row r="2254" spans="1:7" ht="15.75" hidden="1" outlineLevel="1" thickTop="1">
      <c r="A2254" s="3782"/>
      <c r="B2254" s="3781"/>
      <c r="C2254" s="3781"/>
      <c r="D2254" s="3781"/>
      <c r="E2254" s="3781"/>
      <c r="F2254" s="3765"/>
    </row>
    <row r="2255" spans="1:7" ht="15.75" hidden="1" outlineLevel="1" thickBot="1">
      <c r="A2255" s="3783"/>
      <c r="B2255" s="3767"/>
      <c r="C2255" s="3767"/>
      <c r="D2255" s="3767"/>
      <c r="E2255" s="3767"/>
      <c r="F2255" s="3766"/>
    </row>
    <row r="2256" spans="1:7" ht="15.75" hidden="1" outlineLevel="1" thickTop="1">
      <c r="A2256" s="7" t="s">
        <v>1552</v>
      </c>
      <c r="B2256" s="5" t="s">
        <v>1171</v>
      </c>
      <c r="C2256" s="1" t="s">
        <v>1315</v>
      </c>
      <c r="D2256" s="5" t="s">
        <v>325</v>
      </c>
      <c r="E2256" s="12">
        <v>0.15</v>
      </c>
      <c r="F2256" s="6">
        <v>12087</v>
      </c>
      <c r="G2256">
        <v>14220</v>
      </c>
    </row>
    <row r="2257" spans="1:7" hidden="1" outlineLevel="1">
      <c r="A2257" s="8"/>
      <c r="B2257" s="1"/>
      <c r="C2257" s="1" t="s">
        <v>1316</v>
      </c>
      <c r="D2257" s="5" t="s">
        <v>325</v>
      </c>
      <c r="E2257" s="12">
        <v>0.15</v>
      </c>
      <c r="F2257" s="6">
        <v>12087</v>
      </c>
    </row>
    <row r="2258" spans="1:7" hidden="1" outlineLevel="1">
      <c r="A2258" s="8"/>
      <c r="B2258" s="1"/>
      <c r="C2258" s="1" t="s">
        <v>1317</v>
      </c>
      <c r="D2258" s="5" t="s">
        <v>325</v>
      </c>
      <c r="E2258" s="12">
        <v>0.15</v>
      </c>
      <c r="F2258" s="6">
        <v>12087</v>
      </c>
    </row>
    <row r="2259" spans="1:7" hidden="1" outlineLevel="1">
      <c r="A2259" s="8"/>
      <c r="B2259" s="1"/>
      <c r="C2259" s="1"/>
      <c r="D2259" s="5"/>
      <c r="E2259" s="12"/>
      <c r="F2259" s="6"/>
    </row>
    <row r="2260" spans="1:7" hidden="1" outlineLevel="1">
      <c r="A2260" s="8"/>
      <c r="B2260" s="1"/>
      <c r="C2260" s="1"/>
      <c r="D2260" s="5"/>
      <c r="E2260" s="12"/>
      <c r="F2260" s="6"/>
    </row>
    <row r="2261" spans="1:7" hidden="1" outlineLevel="1">
      <c r="A2261" s="8"/>
      <c r="B2261" s="1"/>
      <c r="C2261" s="1"/>
      <c r="D2261" s="5"/>
      <c r="E2261" s="12"/>
      <c r="F2261" s="6"/>
    </row>
    <row r="2262" spans="1:7" hidden="1" outlineLevel="1">
      <c r="A2262" s="8"/>
      <c r="B2262" s="1"/>
      <c r="C2262" s="1"/>
      <c r="D2262" s="1"/>
      <c r="E2262" s="1"/>
      <c r="F2262" s="2"/>
    </row>
    <row r="2263" spans="1:7" hidden="1" outlineLevel="1">
      <c r="A2263" s="8"/>
      <c r="B2263" s="1"/>
      <c r="C2263" s="1"/>
      <c r="D2263" s="1"/>
      <c r="E2263" s="1"/>
      <c r="F2263" s="2"/>
    </row>
    <row r="2264" spans="1:7" hidden="1" outlineLevel="1">
      <c r="A2264" s="8"/>
      <c r="B2264" s="1"/>
      <c r="C2264" s="1"/>
      <c r="D2264" s="1"/>
      <c r="E2264" s="1"/>
      <c r="F2264" s="2"/>
    </row>
    <row r="2265" spans="1:7" hidden="1" outlineLevel="1">
      <c r="A2265" s="8"/>
      <c r="B2265" s="1"/>
      <c r="C2265" s="1"/>
      <c r="D2265" s="1"/>
      <c r="E2265" s="1"/>
      <c r="F2265" s="2"/>
    </row>
    <row r="2266" spans="1:7" hidden="1" outlineLevel="1">
      <c r="A2266" s="8"/>
      <c r="B2266" s="1"/>
      <c r="C2266" s="1"/>
      <c r="D2266" s="1"/>
      <c r="E2266" s="1"/>
      <c r="F2266" s="2"/>
    </row>
    <row r="2267" spans="1:7" ht="15.75" hidden="1" outlineLevel="1" thickBot="1">
      <c r="A2267" s="9"/>
      <c r="B2267" s="3"/>
      <c r="C2267" s="3"/>
      <c r="D2267" s="3"/>
      <c r="E2267" s="3"/>
      <c r="F2267" s="4"/>
    </row>
    <row r="2268" spans="1:7" ht="16.5" hidden="1" outlineLevel="1" thickTop="1" thickBot="1"/>
    <row r="2269" spans="1:7" ht="15.75" hidden="1" outlineLevel="1" thickTop="1">
      <c r="A2269" s="3782"/>
      <c r="B2269" s="3781"/>
      <c r="C2269" s="3781"/>
      <c r="D2269" s="3781"/>
      <c r="E2269" s="3781"/>
      <c r="F2269" s="3765"/>
    </row>
    <row r="2270" spans="1:7" ht="15.75" hidden="1" outlineLevel="1" thickBot="1">
      <c r="A2270" s="3783"/>
      <c r="B2270" s="3767"/>
      <c r="C2270" s="3767"/>
      <c r="D2270" s="3767"/>
      <c r="E2270" s="3767"/>
      <c r="F2270" s="3766"/>
    </row>
    <row r="2271" spans="1:7" ht="15.75" hidden="1" outlineLevel="1" thickTop="1">
      <c r="A2271" s="7" t="s">
        <v>1553</v>
      </c>
      <c r="B2271" s="5" t="s">
        <v>1171</v>
      </c>
      <c r="C2271" s="1" t="s">
        <v>226</v>
      </c>
      <c r="D2271" s="5" t="s">
        <v>325</v>
      </c>
      <c r="E2271" s="12">
        <v>0.15</v>
      </c>
      <c r="F2271" s="6">
        <v>6527</v>
      </c>
      <c r="G2271">
        <v>7679</v>
      </c>
    </row>
    <row r="2272" spans="1:7" hidden="1" outlineLevel="1">
      <c r="A2272" s="8"/>
      <c r="B2272" s="1"/>
      <c r="C2272" s="1" t="s">
        <v>227</v>
      </c>
      <c r="D2272" s="5" t="s">
        <v>325</v>
      </c>
      <c r="E2272" s="12">
        <v>0.15</v>
      </c>
      <c r="F2272" s="6">
        <v>6527</v>
      </c>
    </row>
    <row r="2273" spans="1:7" hidden="1" outlineLevel="1">
      <c r="A2273" s="8"/>
      <c r="B2273" s="1"/>
      <c r="C2273" s="1" t="s">
        <v>228</v>
      </c>
      <c r="D2273" s="5" t="s">
        <v>325</v>
      </c>
      <c r="E2273" s="12">
        <v>0.15</v>
      </c>
      <c r="F2273" s="6">
        <v>6527</v>
      </c>
    </row>
    <row r="2274" spans="1:7" hidden="1" outlineLevel="1">
      <c r="A2274" s="8"/>
      <c r="B2274" s="1"/>
      <c r="C2274" s="1" t="s">
        <v>238</v>
      </c>
      <c r="D2274" s="5" t="s">
        <v>325</v>
      </c>
      <c r="E2274" s="12">
        <v>0.06</v>
      </c>
      <c r="F2274" s="6">
        <v>71023</v>
      </c>
      <c r="G2274">
        <v>75200</v>
      </c>
    </row>
    <row r="2275" spans="1:7" hidden="1" outlineLevel="1">
      <c r="A2275" s="8"/>
      <c r="B2275" s="1"/>
      <c r="C2275" s="1" t="s">
        <v>239</v>
      </c>
      <c r="D2275" s="5" t="s">
        <v>325</v>
      </c>
      <c r="E2275" s="12">
        <v>0.06</v>
      </c>
      <c r="F2275" s="6">
        <v>71023</v>
      </c>
    </row>
    <row r="2276" spans="1:7" ht="15.75" hidden="1" outlineLevel="1" thickBot="1">
      <c r="A2276" s="8"/>
      <c r="B2276" s="1"/>
      <c r="C2276" s="3" t="s">
        <v>868</v>
      </c>
      <c r="D2276" s="5" t="s">
        <v>325</v>
      </c>
      <c r="E2276" s="12">
        <v>0.06</v>
      </c>
      <c r="F2276" s="6">
        <v>71023</v>
      </c>
    </row>
    <row r="2277" spans="1:7" ht="15.75" hidden="1" outlineLevel="1" thickTop="1">
      <c r="A2277" s="8"/>
      <c r="B2277" s="1"/>
      <c r="C2277" s="1"/>
      <c r="D2277" s="1"/>
      <c r="E2277" s="1"/>
      <c r="F2277" s="2"/>
    </row>
    <row r="2278" spans="1:7" hidden="1" outlineLevel="1">
      <c r="A2278" s="8"/>
      <c r="B2278" s="1"/>
      <c r="C2278" s="1"/>
      <c r="D2278" s="1"/>
      <c r="E2278" s="1"/>
      <c r="F2278" s="2"/>
    </row>
    <row r="2279" spans="1:7" hidden="1" outlineLevel="1">
      <c r="A2279" s="8"/>
      <c r="B2279" s="1"/>
      <c r="C2279" s="1"/>
      <c r="D2279" s="1"/>
      <c r="E2279" s="1"/>
      <c r="F2279" s="2"/>
    </row>
    <row r="2280" spans="1:7" hidden="1" outlineLevel="1">
      <c r="A2280" s="8"/>
      <c r="B2280" s="1"/>
      <c r="C2280" s="1"/>
      <c r="D2280" s="1"/>
      <c r="E2280" s="1"/>
      <c r="F2280" s="2"/>
    </row>
    <row r="2281" spans="1:7" hidden="1" outlineLevel="1">
      <c r="A2281" s="8"/>
      <c r="B2281" s="1"/>
      <c r="C2281" s="1"/>
      <c r="D2281" s="1"/>
      <c r="E2281" s="1"/>
      <c r="F2281" s="2"/>
    </row>
    <row r="2282" spans="1:7" ht="15.75" hidden="1" outlineLevel="1" thickBot="1">
      <c r="A2282" s="9"/>
      <c r="B2282" s="3"/>
      <c r="C2282" s="3"/>
      <c r="D2282" s="3"/>
      <c r="E2282" s="3"/>
      <c r="F2282" s="4"/>
    </row>
    <row r="2283" spans="1:7" ht="16.5" hidden="1" outlineLevel="1" thickTop="1" thickBot="1"/>
    <row r="2284" spans="1:7" ht="15.75" hidden="1" outlineLevel="1" thickTop="1">
      <c r="A2284" s="3782"/>
      <c r="B2284" s="3781"/>
      <c r="C2284" s="3781"/>
      <c r="D2284" s="3781"/>
      <c r="E2284" s="3781"/>
      <c r="F2284" s="3765"/>
    </row>
    <row r="2285" spans="1:7" ht="15.75" hidden="1" outlineLevel="1" thickBot="1">
      <c r="A2285" s="3783"/>
      <c r="B2285" s="3767"/>
      <c r="C2285" s="3767"/>
      <c r="D2285" s="3767"/>
      <c r="E2285" s="3767"/>
      <c r="F2285" s="3766"/>
    </row>
    <row r="2286" spans="1:7" ht="15.75" hidden="1" outlineLevel="1" thickTop="1">
      <c r="A2286" s="7" t="s">
        <v>1562</v>
      </c>
      <c r="B2286" s="5" t="s">
        <v>106</v>
      </c>
      <c r="C2286" s="5" t="s">
        <v>1271</v>
      </c>
      <c r="D2286" s="5" t="s">
        <v>325</v>
      </c>
      <c r="E2286" s="12">
        <v>0.15</v>
      </c>
      <c r="F2286" s="6">
        <v>274830</v>
      </c>
      <c r="G2286">
        <v>323329</v>
      </c>
    </row>
    <row r="2287" spans="1:7" hidden="1" outlineLevel="1">
      <c r="A2287" s="8"/>
      <c r="B2287" s="1"/>
      <c r="C2287" s="1" t="s">
        <v>1258</v>
      </c>
      <c r="D2287" s="5" t="s">
        <v>325</v>
      </c>
      <c r="E2287" s="12">
        <v>0.15</v>
      </c>
      <c r="F2287" s="6">
        <v>257212</v>
      </c>
      <c r="G2287">
        <v>302602</v>
      </c>
    </row>
    <row r="2288" spans="1:7" hidden="1" outlineLevel="1">
      <c r="A2288" s="8"/>
      <c r="B2288" s="1"/>
      <c r="C2288" s="1" t="s">
        <v>1259</v>
      </c>
      <c r="D2288" s="5" t="s">
        <v>325</v>
      </c>
      <c r="E2288" s="12">
        <v>0.15</v>
      </c>
      <c r="F2288" s="6">
        <v>220068</v>
      </c>
      <c r="G2288">
        <v>258904</v>
      </c>
    </row>
    <row r="2289" spans="1:7" hidden="1" outlineLevel="1">
      <c r="A2289" s="8"/>
      <c r="B2289" s="1"/>
      <c r="C2289" s="1" t="s">
        <v>1263</v>
      </c>
      <c r="D2289" s="5" t="s">
        <v>325</v>
      </c>
      <c r="E2289" s="12">
        <v>0.15</v>
      </c>
      <c r="F2289" s="6">
        <v>21374</v>
      </c>
      <c r="G2289">
        <v>25146</v>
      </c>
    </row>
    <row r="2290" spans="1:7" hidden="1" outlineLevel="1">
      <c r="A2290" s="8"/>
      <c r="B2290" s="1"/>
      <c r="C2290" s="1" t="s">
        <v>1058</v>
      </c>
      <c r="D2290" s="5" t="s">
        <v>325</v>
      </c>
      <c r="E2290" s="12">
        <v>0.15</v>
      </c>
      <c r="F2290" s="6">
        <v>16209</v>
      </c>
      <c r="G2290">
        <v>19069</v>
      </c>
    </row>
    <row r="2291" spans="1:7" hidden="1" outlineLevel="1">
      <c r="A2291" s="8"/>
      <c r="B2291" s="1"/>
      <c r="C2291" s="1" t="s">
        <v>1120</v>
      </c>
      <c r="D2291" s="5" t="s">
        <v>325</v>
      </c>
      <c r="E2291" s="12">
        <v>0.15</v>
      </c>
      <c r="F2291" s="6">
        <v>3967</v>
      </c>
      <c r="G2291">
        <v>4667</v>
      </c>
    </row>
    <row r="2292" spans="1:7" hidden="1" outlineLevel="1">
      <c r="A2292" s="8"/>
      <c r="B2292" s="1"/>
      <c r="C2292" s="1" t="s">
        <v>1563</v>
      </c>
      <c r="D2292" s="5" t="s">
        <v>325</v>
      </c>
      <c r="E2292" s="12">
        <v>0.15</v>
      </c>
      <c r="F2292" s="2">
        <v>9654</v>
      </c>
      <c r="G2292">
        <v>11358</v>
      </c>
    </row>
    <row r="2293" spans="1:7" hidden="1" outlineLevel="1">
      <c r="A2293" s="8"/>
      <c r="B2293" s="1"/>
      <c r="C2293" s="1"/>
      <c r="D2293" s="1"/>
      <c r="E2293" s="1"/>
      <c r="F2293" s="2"/>
    </row>
    <row r="2294" spans="1:7" hidden="1" outlineLevel="1">
      <c r="A2294" s="8"/>
      <c r="B2294" s="1"/>
      <c r="C2294" s="1"/>
      <c r="D2294" s="1"/>
      <c r="E2294" s="1"/>
      <c r="F2294" s="2"/>
    </row>
    <row r="2295" spans="1:7" hidden="1" outlineLevel="1">
      <c r="A2295" s="8"/>
      <c r="B2295" s="1"/>
      <c r="C2295" s="1"/>
      <c r="D2295" s="1"/>
      <c r="E2295" s="1"/>
      <c r="F2295" s="2"/>
    </row>
    <row r="2296" spans="1:7" hidden="1" outlineLevel="1">
      <c r="A2296" s="8"/>
      <c r="B2296" s="1"/>
      <c r="C2296" s="1"/>
      <c r="D2296" s="1"/>
      <c r="E2296" s="1"/>
      <c r="F2296" s="2"/>
    </row>
    <row r="2297" spans="1:7" ht="15.75" hidden="1" outlineLevel="1" thickBot="1">
      <c r="A2297" s="9"/>
      <c r="B2297" s="3"/>
      <c r="C2297" s="3"/>
      <c r="D2297" s="3"/>
      <c r="E2297" s="3"/>
      <c r="F2297" s="4"/>
    </row>
    <row r="2298" spans="1:7" ht="16.5" hidden="1" outlineLevel="1" thickTop="1" thickBot="1"/>
    <row r="2299" spans="1:7" ht="15.75" hidden="1" outlineLevel="1" thickTop="1">
      <c r="A2299" s="3782"/>
      <c r="B2299" s="3781"/>
      <c r="C2299" s="3781"/>
      <c r="D2299" s="3781"/>
      <c r="E2299" s="3781"/>
      <c r="F2299" s="3765"/>
    </row>
    <row r="2300" spans="1:7" ht="15.75" hidden="1" outlineLevel="1" thickBot="1">
      <c r="A2300" s="3783"/>
      <c r="B2300" s="3767"/>
      <c r="C2300" s="3767"/>
      <c r="D2300" s="3767"/>
      <c r="E2300" s="3767"/>
      <c r="F2300" s="3766"/>
    </row>
    <row r="2301" spans="1:7" ht="15.75" hidden="1" outlineLevel="1" thickTop="1">
      <c r="A2301" s="7" t="s">
        <v>1566</v>
      </c>
      <c r="B2301" s="5" t="s">
        <v>114</v>
      </c>
      <c r="C2301" s="5" t="s">
        <v>155</v>
      </c>
      <c r="D2301" s="5"/>
      <c r="E2301" s="12">
        <v>0.15</v>
      </c>
      <c r="F2301" s="6">
        <v>11149</v>
      </c>
      <c r="G2301">
        <v>14874</v>
      </c>
    </row>
    <row r="2302" spans="1:7" hidden="1" outlineLevel="1">
      <c r="A2302" s="8"/>
      <c r="B2302" s="1"/>
      <c r="C2302" s="1" t="s">
        <v>183</v>
      </c>
      <c r="D2302" s="5"/>
      <c r="E2302" s="12">
        <v>0.15</v>
      </c>
      <c r="F2302" s="6">
        <v>12890</v>
      </c>
      <c r="G2302">
        <v>17197</v>
      </c>
    </row>
    <row r="2303" spans="1:7" hidden="1" outlineLevel="1">
      <c r="A2303" s="8"/>
      <c r="B2303" s="1"/>
      <c r="C2303" s="1"/>
      <c r="D2303" s="5"/>
      <c r="E2303" s="12"/>
      <c r="F2303" s="6"/>
    </row>
    <row r="2304" spans="1:7" hidden="1" outlineLevel="1">
      <c r="A2304" s="8"/>
      <c r="B2304" s="1"/>
      <c r="C2304" s="1"/>
      <c r="D2304" s="5"/>
      <c r="E2304" s="12"/>
      <c r="F2304" s="6"/>
    </row>
    <row r="2305" spans="1:8" hidden="1" outlineLevel="1">
      <c r="A2305" s="8"/>
      <c r="B2305" s="1"/>
      <c r="C2305" s="1"/>
      <c r="D2305" s="5"/>
      <c r="E2305" s="12"/>
      <c r="F2305" s="6"/>
    </row>
    <row r="2306" spans="1:8" hidden="1" outlineLevel="1">
      <c r="A2306" s="8"/>
      <c r="B2306" s="1"/>
      <c r="C2306" s="1"/>
      <c r="D2306" s="5"/>
      <c r="E2306" s="12"/>
      <c r="F2306" s="6"/>
    </row>
    <row r="2307" spans="1:8" hidden="1" outlineLevel="1">
      <c r="A2307" s="8"/>
      <c r="B2307" s="1"/>
      <c r="C2307" s="1"/>
      <c r="D2307" s="5"/>
      <c r="E2307" s="12"/>
      <c r="F2307" s="2"/>
    </row>
    <row r="2308" spans="1:8" hidden="1" outlineLevel="1">
      <c r="A2308" s="8"/>
      <c r="B2308" s="1"/>
      <c r="C2308" s="1"/>
      <c r="D2308" s="1"/>
      <c r="E2308" s="1"/>
      <c r="F2308" s="2"/>
    </row>
    <row r="2309" spans="1:8" hidden="1" outlineLevel="1">
      <c r="A2309" s="8"/>
      <c r="B2309" s="1"/>
      <c r="C2309" s="1"/>
      <c r="D2309" s="1"/>
      <c r="E2309" s="1"/>
      <c r="F2309" s="2"/>
    </row>
    <row r="2310" spans="1:8" hidden="1" outlineLevel="1">
      <c r="A2310" s="8"/>
      <c r="B2310" s="1"/>
      <c r="C2310" s="1"/>
      <c r="D2310" s="1"/>
      <c r="E2310" s="1"/>
      <c r="F2310" s="2"/>
    </row>
    <row r="2311" spans="1:8" hidden="1" outlineLevel="1">
      <c r="A2311" s="8"/>
      <c r="B2311" s="1"/>
      <c r="C2311" s="1"/>
      <c r="D2311" s="1"/>
      <c r="E2311" s="1"/>
      <c r="F2311" s="2"/>
    </row>
    <row r="2312" spans="1:8" ht="15.75" hidden="1" outlineLevel="1" thickBot="1">
      <c r="A2312" s="9"/>
      <c r="B2312" s="3"/>
      <c r="C2312" s="3"/>
      <c r="D2312" s="3"/>
      <c r="E2312" s="3"/>
      <c r="F2312" s="4"/>
    </row>
    <row r="2313" spans="1:8" ht="16.5" hidden="1" outlineLevel="1" thickTop="1" thickBot="1"/>
    <row r="2314" spans="1:8" ht="15.75" hidden="1" outlineLevel="1" thickTop="1">
      <c r="A2314" s="3782"/>
      <c r="B2314" s="3781"/>
      <c r="C2314" s="3781"/>
      <c r="D2314" s="3781"/>
      <c r="E2314" s="3781"/>
      <c r="F2314" s="3765"/>
    </row>
    <row r="2315" spans="1:8" ht="15.75" hidden="1" outlineLevel="1" thickBot="1">
      <c r="A2315" s="3783"/>
      <c r="B2315" s="3767"/>
      <c r="C2315" s="3767"/>
      <c r="D2315" s="3767"/>
      <c r="E2315" s="3767"/>
      <c r="F2315" s="3766"/>
    </row>
    <row r="2316" spans="1:8" ht="15.75" hidden="1" outlineLevel="1" thickTop="1">
      <c r="A2316" s="7" t="s">
        <v>1575</v>
      </c>
      <c r="B2316" s="5" t="s">
        <v>106</v>
      </c>
      <c r="C2316" s="5" t="s">
        <v>1576</v>
      </c>
      <c r="D2316" s="5"/>
      <c r="E2316" s="12">
        <v>0.15</v>
      </c>
      <c r="F2316" s="6">
        <v>10539</v>
      </c>
      <c r="G2316">
        <v>12398</v>
      </c>
    </row>
    <row r="2317" spans="1:8" hidden="1" outlineLevel="1">
      <c r="A2317" s="8"/>
      <c r="B2317" s="1"/>
      <c r="C2317" s="1" t="s">
        <v>1577</v>
      </c>
      <c r="D2317" s="5"/>
      <c r="E2317" s="12">
        <v>0.15</v>
      </c>
      <c r="F2317" s="6">
        <v>10539</v>
      </c>
      <c r="G2317">
        <v>12398</v>
      </c>
    </row>
    <row r="2318" spans="1:8" hidden="1" outlineLevel="1">
      <c r="A2318" s="8"/>
      <c r="B2318" s="1"/>
      <c r="C2318" s="1" t="s">
        <v>1578</v>
      </c>
      <c r="D2318" s="5"/>
      <c r="E2318" s="12">
        <v>0.15</v>
      </c>
      <c r="F2318" s="6">
        <v>3315</v>
      </c>
      <c r="G2318">
        <v>3900</v>
      </c>
    </row>
    <row r="2319" spans="1:8" hidden="1" outlineLevel="1">
      <c r="A2319" s="8"/>
      <c r="B2319" s="1"/>
      <c r="C2319" s="1" t="s">
        <v>1579</v>
      </c>
      <c r="D2319" s="5"/>
      <c r="E2319" s="12">
        <v>0.15</v>
      </c>
      <c r="F2319" s="6">
        <v>3315</v>
      </c>
      <c r="G2319">
        <v>3900</v>
      </c>
    </row>
    <row r="2320" spans="1:8" hidden="1" outlineLevel="1">
      <c r="A2320" s="8"/>
      <c r="B2320" s="1"/>
      <c r="C2320" s="1" t="s">
        <v>1580</v>
      </c>
      <c r="D2320" s="5"/>
      <c r="E2320" s="12">
        <v>0.28000000000000003</v>
      </c>
      <c r="F2320" s="6">
        <v>10044</v>
      </c>
      <c r="G2320">
        <v>13903</v>
      </c>
      <c r="H2320">
        <v>11817</v>
      </c>
    </row>
    <row r="2321" spans="1:8" hidden="1" outlineLevel="1">
      <c r="A2321" s="8"/>
      <c r="B2321" s="1"/>
      <c r="C2321" s="1" t="s">
        <v>1581</v>
      </c>
      <c r="D2321" s="5"/>
      <c r="E2321" s="12">
        <v>0.28000000000000003</v>
      </c>
      <c r="F2321" s="6">
        <v>10044</v>
      </c>
      <c r="G2321">
        <v>13903</v>
      </c>
      <c r="H2321">
        <v>11817</v>
      </c>
    </row>
    <row r="2322" spans="1:8" hidden="1" outlineLevel="1">
      <c r="A2322" s="8"/>
      <c r="B2322" s="1"/>
      <c r="C2322" s="1" t="s">
        <v>385</v>
      </c>
      <c r="D2322" s="5"/>
      <c r="E2322" s="12">
        <v>0.15</v>
      </c>
      <c r="F2322" s="2">
        <v>5754</v>
      </c>
      <c r="G2322">
        <v>6770</v>
      </c>
    </row>
    <row r="2323" spans="1:8" hidden="1" outlineLevel="1">
      <c r="A2323" s="8"/>
      <c r="B2323" s="1"/>
      <c r="C2323" s="1" t="s">
        <v>387</v>
      </c>
      <c r="D2323" s="1"/>
      <c r="E2323" s="12">
        <v>0.15</v>
      </c>
      <c r="F2323" s="2">
        <v>5754</v>
      </c>
      <c r="G2323">
        <v>6770</v>
      </c>
    </row>
    <row r="2324" spans="1:8" hidden="1" outlineLevel="1">
      <c r="A2324" s="8"/>
      <c r="B2324" s="1"/>
      <c r="C2324" s="1"/>
      <c r="D2324" s="1"/>
      <c r="E2324" s="1"/>
      <c r="F2324" s="2"/>
    </row>
    <row r="2325" spans="1:8" hidden="1" outlineLevel="1">
      <c r="A2325" s="8"/>
      <c r="B2325" s="1"/>
      <c r="C2325" s="1"/>
      <c r="D2325" s="1"/>
      <c r="E2325" s="1"/>
      <c r="F2325" s="2"/>
    </row>
    <row r="2326" spans="1:8" hidden="1" outlineLevel="1">
      <c r="A2326" s="8"/>
      <c r="B2326" s="1"/>
      <c r="C2326" s="1"/>
      <c r="D2326" s="1"/>
      <c r="E2326" s="1"/>
      <c r="F2326" s="2"/>
    </row>
    <row r="2327" spans="1:8" ht="15.75" hidden="1" outlineLevel="1" thickBot="1">
      <c r="A2327" s="9"/>
      <c r="B2327" s="3"/>
      <c r="C2327" s="3"/>
      <c r="D2327" s="3"/>
      <c r="E2327" s="3"/>
      <c r="F2327" s="4"/>
    </row>
    <row r="2328" spans="1:8" ht="16.5" hidden="1" outlineLevel="1" thickTop="1" thickBot="1"/>
    <row r="2329" spans="1:8" ht="15.75" hidden="1" outlineLevel="1" thickTop="1">
      <c r="A2329" s="3782"/>
      <c r="B2329" s="3781"/>
      <c r="C2329" s="3781"/>
      <c r="D2329" s="3781"/>
      <c r="E2329" s="3781"/>
      <c r="F2329" s="3765"/>
    </row>
    <row r="2330" spans="1:8" ht="15.75" hidden="1" outlineLevel="1" thickBot="1">
      <c r="A2330" s="3783"/>
      <c r="B2330" s="3767"/>
      <c r="C2330" s="3767"/>
      <c r="D2330" s="3767"/>
      <c r="E2330" s="3767"/>
      <c r="F2330" s="3766"/>
    </row>
    <row r="2331" spans="1:8" ht="15.75" hidden="1" outlineLevel="1" thickTop="1">
      <c r="A2331" s="7" t="s">
        <v>1601</v>
      </c>
      <c r="B2331" s="5" t="s">
        <v>1171</v>
      </c>
      <c r="C2331" s="5" t="s">
        <v>554</v>
      </c>
      <c r="D2331" s="5"/>
      <c r="E2331" s="12">
        <v>0.15</v>
      </c>
      <c r="F2331" s="6">
        <v>9374</v>
      </c>
      <c r="G2331">
        <v>11028</v>
      </c>
    </row>
    <row r="2332" spans="1:8" hidden="1" outlineLevel="1">
      <c r="A2332" s="8"/>
      <c r="B2332" s="1"/>
      <c r="C2332" s="1" t="s">
        <v>1119</v>
      </c>
      <c r="D2332" s="5"/>
      <c r="E2332" s="12">
        <v>0.15</v>
      </c>
      <c r="F2332" s="6">
        <v>9374</v>
      </c>
    </row>
    <row r="2333" spans="1:8" hidden="1" outlineLevel="1">
      <c r="A2333" s="8"/>
      <c r="B2333" s="1"/>
      <c r="C2333" s="1"/>
      <c r="D2333" s="5"/>
      <c r="E2333" s="12"/>
      <c r="F2333" s="6"/>
    </row>
    <row r="2334" spans="1:8" hidden="1" outlineLevel="1">
      <c r="A2334" s="8"/>
      <c r="B2334" s="1"/>
      <c r="C2334" s="1"/>
      <c r="D2334" s="5"/>
      <c r="E2334" s="12"/>
      <c r="F2334" s="6"/>
    </row>
    <row r="2335" spans="1:8" hidden="1" outlineLevel="1">
      <c r="A2335" s="8"/>
      <c r="B2335" s="1"/>
      <c r="C2335" s="1"/>
      <c r="D2335" s="5"/>
      <c r="E2335" s="12"/>
      <c r="F2335" s="6"/>
    </row>
    <row r="2336" spans="1:8" hidden="1" outlineLevel="1">
      <c r="A2336" s="8"/>
      <c r="B2336" s="1"/>
      <c r="C2336" s="1"/>
      <c r="D2336" s="5"/>
      <c r="E2336" s="12"/>
      <c r="F2336" s="6"/>
    </row>
    <row r="2337" spans="1:7" hidden="1" outlineLevel="1">
      <c r="A2337" s="8"/>
      <c r="B2337" s="1"/>
      <c r="C2337" s="1"/>
      <c r="D2337" s="5"/>
      <c r="E2337" s="12"/>
      <c r="F2337" s="2"/>
    </row>
    <row r="2338" spans="1:7" hidden="1" outlineLevel="1">
      <c r="A2338" s="8"/>
      <c r="B2338" s="1"/>
      <c r="C2338" s="1"/>
      <c r="D2338" s="1"/>
      <c r="E2338" s="12"/>
      <c r="F2338" s="2"/>
    </row>
    <row r="2339" spans="1:7" hidden="1" outlineLevel="1">
      <c r="A2339" s="8"/>
      <c r="B2339" s="1"/>
      <c r="C2339" s="1"/>
      <c r="D2339" s="1"/>
      <c r="E2339" s="1"/>
      <c r="F2339" s="2"/>
    </row>
    <row r="2340" spans="1:7" hidden="1" outlineLevel="1">
      <c r="A2340" s="8"/>
      <c r="B2340" s="1"/>
      <c r="C2340" s="1"/>
      <c r="D2340" s="1"/>
      <c r="E2340" s="1"/>
      <c r="F2340" s="2"/>
    </row>
    <row r="2341" spans="1:7" hidden="1" outlineLevel="1">
      <c r="A2341" s="8"/>
      <c r="B2341" s="1"/>
      <c r="C2341" s="1"/>
      <c r="D2341" s="1"/>
      <c r="E2341" s="1"/>
      <c r="F2341" s="2"/>
    </row>
    <row r="2342" spans="1:7" ht="15.75" hidden="1" outlineLevel="1" thickBot="1">
      <c r="A2342" s="9"/>
      <c r="B2342" s="3"/>
      <c r="C2342" s="3"/>
      <c r="D2342" s="3"/>
      <c r="E2342" s="3"/>
      <c r="F2342" s="4"/>
    </row>
    <row r="2343" spans="1:7" ht="16.5" hidden="1" outlineLevel="1" thickTop="1" thickBot="1"/>
    <row r="2344" spans="1:7" ht="15.75" hidden="1" outlineLevel="1" thickTop="1">
      <c r="A2344" s="3782"/>
      <c r="B2344" s="3781"/>
      <c r="C2344" s="3781"/>
      <c r="D2344" s="3781"/>
      <c r="E2344" s="3781"/>
      <c r="F2344" s="3765"/>
    </row>
    <row r="2345" spans="1:7" ht="15.75" hidden="1" outlineLevel="1" thickBot="1">
      <c r="A2345" s="3783"/>
      <c r="B2345" s="3767"/>
      <c r="C2345" s="3767"/>
      <c r="D2345" s="3767"/>
      <c r="E2345" s="3767"/>
      <c r="F2345" s="3766"/>
    </row>
    <row r="2346" spans="1:7" ht="15.75" hidden="1" outlineLevel="1" thickTop="1">
      <c r="A2346" s="7" t="s">
        <v>1588</v>
      </c>
      <c r="B2346" s="5" t="s">
        <v>1171</v>
      </c>
      <c r="C2346" s="5" t="s">
        <v>326</v>
      </c>
      <c r="D2346" s="5"/>
      <c r="E2346" s="12">
        <v>0.15</v>
      </c>
      <c r="F2346" s="6">
        <v>223389</v>
      </c>
      <c r="G2346">
        <v>262811</v>
      </c>
    </row>
    <row r="2347" spans="1:7" hidden="1" outlineLevel="1">
      <c r="A2347" s="8"/>
      <c r="B2347" s="1"/>
      <c r="C2347" s="1" t="s">
        <v>328</v>
      </c>
      <c r="D2347" s="5"/>
      <c r="E2347" s="12">
        <v>0.15</v>
      </c>
      <c r="F2347" s="6">
        <v>223389</v>
      </c>
      <c r="G2347">
        <v>262811</v>
      </c>
    </row>
    <row r="2348" spans="1:7" hidden="1" outlineLevel="1">
      <c r="A2348" s="8"/>
      <c r="B2348" s="1"/>
      <c r="C2348" s="1" t="s">
        <v>647</v>
      </c>
      <c r="D2348" s="5"/>
      <c r="E2348" s="12">
        <v>0.15</v>
      </c>
      <c r="F2348" s="6">
        <v>8596</v>
      </c>
      <c r="G2348">
        <v>10113</v>
      </c>
    </row>
    <row r="2349" spans="1:7" hidden="1" outlineLevel="1">
      <c r="A2349" s="8"/>
      <c r="B2349" s="1"/>
      <c r="C2349" s="1" t="s">
        <v>648</v>
      </c>
      <c r="D2349" s="5"/>
      <c r="E2349" s="12">
        <v>0.15</v>
      </c>
      <c r="F2349" s="6">
        <v>8596</v>
      </c>
      <c r="G2349">
        <v>10113</v>
      </c>
    </row>
    <row r="2350" spans="1:7" hidden="1" outlineLevel="1">
      <c r="A2350" s="8"/>
      <c r="B2350" s="1"/>
      <c r="C2350" s="1" t="s">
        <v>465</v>
      </c>
      <c r="D2350" s="5"/>
      <c r="E2350" s="12">
        <v>0.15</v>
      </c>
      <c r="F2350" s="6">
        <v>11170</v>
      </c>
      <c r="G2350">
        <v>13141</v>
      </c>
    </row>
    <row r="2351" spans="1:7" hidden="1" outlineLevel="1">
      <c r="A2351" s="8"/>
      <c r="B2351" s="1"/>
      <c r="C2351" s="1"/>
      <c r="D2351" s="5"/>
      <c r="E2351" s="12"/>
      <c r="F2351" s="6"/>
    </row>
    <row r="2352" spans="1:7" hidden="1" outlineLevel="1">
      <c r="A2352" s="8"/>
      <c r="B2352" s="1"/>
      <c r="C2352" s="1"/>
      <c r="D2352" s="5"/>
      <c r="E2352" s="12"/>
      <c r="F2352" s="2"/>
    </row>
    <row r="2353" spans="1:7" hidden="1" outlineLevel="1">
      <c r="A2353" s="8"/>
      <c r="B2353" s="1"/>
      <c r="C2353" s="1"/>
      <c r="D2353" s="1"/>
      <c r="E2353" s="12"/>
      <c r="F2353" s="2"/>
    </row>
    <row r="2354" spans="1:7" hidden="1" outlineLevel="1">
      <c r="A2354" s="8"/>
      <c r="B2354" s="1"/>
      <c r="C2354" s="1"/>
      <c r="D2354" s="1"/>
      <c r="E2354" s="1"/>
      <c r="F2354" s="2"/>
    </row>
    <row r="2355" spans="1:7" hidden="1" outlineLevel="1">
      <c r="A2355" s="8"/>
      <c r="B2355" s="1"/>
      <c r="C2355" s="1"/>
      <c r="D2355" s="1"/>
      <c r="E2355" s="1"/>
      <c r="F2355" s="2"/>
    </row>
    <row r="2356" spans="1:7" hidden="1" outlineLevel="1">
      <c r="A2356" s="8"/>
      <c r="B2356" s="1"/>
      <c r="C2356" s="1"/>
      <c r="D2356" s="1"/>
      <c r="E2356" s="1"/>
      <c r="F2356" s="2"/>
    </row>
    <row r="2357" spans="1:7" ht="15.75" hidden="1" outlineLevel="1" thickBot="1">
      <c r="A2357" s="9"/>
      <c r="B2357" s="3"/>
      <c r="C2357" s="3"/>
      <c r="D2357" s="3"/>
      <c r="E2357" s="3"/>
      <c r="F2357" s="4"/>
    </row>
    <row r="2358" spans="1:7" ht="16.5" hidden="1" outlineLevel="1" thickTop="1" thickBot="1"/>
    <row r="2359" spans="1:7" ht="15.75" hidden="1" outlineLevel="1" thickTop="1">
      <c r="A2359" s="3782"/>
      <c r="B2359" s="3781"/>
      <c r="C2359" s="3781"/>
      <c r="D2359" s="3781"/>
      <c r="E2359" s="3781"/>
      <c r="F2359" s="3765"/>
    </row>
    <row r="2360" spans="1:7" ht="15.75" hidden="1" outlineLevel="1" thickBot="1">
      <c r="A2360" s="3783"/>
      <c r="B2360" s="3767"/>
      <c r="C2360" s="3767"/>
      <c r="D2360" s="3767"/>
      <c r="E2360" s="3767"/>
      <c r="F2360" s="3766"/>
    </row>
    <row r="2361" spans="1:7" ht="15.75" hidden="1" outlineLevel="1" thickTop="1">
      <c r="A2361" s="7" t="s">
        <v>1594</v>
      </c>
      <c r="B2361" s="5" t="s">
        <v>1171</v>
      </c>
      <c r="C2361" s="5" t="s">
        <v>1058</v>
      </c>
      <c r="D2361" s="5"/>
      <c r="E2361" s="12">
        <v>0.15</v>
      </c>
      <c r="F2361" s="6">
        <v>16209</v>
      </c>
      <c r="G2361">
        <v>19069</v>
      </c>
    </row>
    <row r="2362" spans="1:7" hidden="1" outlineLevel="1">
      <c r="A2362" s="8"/>
      <c r="B2362" s="1"/>
      <c r="C2362" s="1" t="s">
        <v>1120</v>
      </c>
      <c r="D2362" s="5"/>
      <c r="E2362" s="12">
        <v>0.15</v>
      </c>
      <c r="F2362" s="6">
        <v>3967</v>
      </c>
      <c r="G2362">
        <v>4667</v>
      </c>
    </row>
    <row r="2363" spans="1:7" hidden="1" outlineLevel="1">
      <c r="A2363" s="8"/>
      <c r="B2363" s="1"/>
      <c r="C2363" s="1" t="s">
        <v>1315</v>
      </c>
      <c r="D2363" s="5"/>
      <c r="E2363" s="12">
        <v>0.15</v>
      </c>
      <c r="F2363" s="6">
        <v>12087</v>
      </c>
      <c r="G2363">
        <v>14220</v>
      </c>
    </row>
    <row r="2364" spans="1:7" hidden="1" outlineLevel="1">
      <c r="A2364" s="8"/>
      <c r="B2364" s="1"/>
      <c r="C2364" s="1" t="s">
        <v>1316</v>
      </c>
      <c r="D2364" s="5"/>
      <c r="E2364" s="12">
        <v>0.15</v>
      </c>
      <c r="F2364" s="6">
        <v>12087</v>
      </c>
      <c r="G2364">
        <v>14220</v>
      </c>
    </row>
    <row r="2365" spans="1:7" hidden="1" outlineLevel="1">
      <c r="A2365" s="8"/>
      <c r="B2365" s="1"/>
      <c r="C2365" s="1" t="s">
        <v>1317</v>
      </c>
      <c r="D2365" s="5"/>
      <c r="E2365" s="12">
        <v>0.15</v>
      </c>
      <c r="F2365" s="6">
        <v>12087</v>
      </c>
      <c r="G2365">
        <v>14220</v>
      </c>
    </row>
    <row r="2366" spans="1:7" hidden="1" outlineLevel="1">
      <c r="A2366" s="8"/>
      <c r="B2366" s="1"/>
      <c r="C2366" s="1" t="s">
        <v>623</v>
      </c>
      <c r="D2366" s="5"/>
      <c r="E2366" s="12">
        <v>0.15</v>
      </c>
      <c r="F2366" s="6">
        <v>21511</v>
      </c>
      <c r="G2366">
        <v>25307</v>
      </c>
    </row>
    <row r="2367" spans="1:7" hidden="1" outlineLevel="1">
      <c r="A2367" s="8"/>
      <c r="B2367" s="1"/>
      <c r="C2367" s="1"/>
      <c r="D2367" s="5"/>
      <c r="E2367" s="12"/>
      <c r="F2367" s="2"/>
    </row>
    <row r="2368" spans="1:7" hidden="1" outlineLevel="1">
      <c r="A2368" s="8"/>
      <c r="B2368" s="1"/>
      <c r="C2368" s="1"/>
      <c r="D2368" s="1"/>
      <c r="E2368" s="12"/>
      <c r="F2368" s="2"/>
    </row>
    <row r="2369" spans="1:7" hidden="1" outlineLevel="1">
      <c r="A2369" s="8"/>
      <c r="B2369" s="1"/>
      <c r="C2369" s="1"/>
      <c r="D2369" s="1"/>
      <c r="E2369" s="1"/>
      <c r="F2369" s="2"/>
    </row>
    <row r="2370" spans="1:7" hidden="1" outlineLevel="1">
      <c r="A2370" s="8"/>
      <c r="B2370" s="1"/>
      <c r="C2370" s="1"/>
      <c r="D2370" s="1"/>
      <c r="E2370" s="1"/>
      <c r="F2370" s="2"/>
    </row>
    <row r="2371" spans="1:7" hidden="1" outlineLevel="1">
      <c r="A2371" s="8"/>
      <c r="B2371" s="1"/>
      <c r="C2371" s="1"/>
      <c r="D2371" s="1"/>
      <c r="E2371" s="1"/>
      <c r="F2371" s="2"/>
    </row>
    <row r="2372" spans="1:7" ht="15.75" hidden="1" outlineLevel="1" thickBot="1">
      <c r="A2372" s="9"/>
      <c r="B2372" s="3"/>
      <c r="C2372" s="3"/>
      <c r="D2372" s="3"/>
      <c r="E2372" s="3"/>
      <c r="F2372" s="4"/>
    </row>
    <row r="2373" spans="1:7" ht="16.5" hidden="1" outlineLevel="1" thickTop="1" thickBot="1"/>
    <row r="2374" spans="1:7" ht="15.75" hidden="1" outlineLevel="1" thickTop="1">
      <c r="A2374" s="3782"/>
      <c r="B2374" s="3781"/>
      <c r="C2374" s="3781"/>
      <c r="D2374" s="3781"/>
      <c r="E2374" s="3781"/>
      <c r="F2374" s="3765"/>
    </row>
    <row r="2375" spans="1:7" ht="15.75" hidden="1" outlineLevel="1" thickBot="1">
      <c r="A2375" s="3783"/>
      <c r="B2375" s="3767"/>
      <c r="C2375" s="3767"/>
      <c r="D2375" s="3767"/>
      <c r="E2375" s="3767"/>
      <c r="F2375" s="3766"/>
    </row>
    <row r="2376" spans="1:7" ht="15.75" hidden="1" outlineLevel="1" thickTop="1">
      <c r="A2376" s="7" t="s">
        <v>1595</v>
      </c>
      <c r="B2376" s="5" t="s">
        <v>106</v>
      </c>
      <c r="C2376" s="5" t="s">
        <v>933</v>
      </c>
      <c r="D2376" s="5"/>
      <c r="E2376" s="12">
        <v>0.15</v>
      </c>
      <c r="F2376" s="6">
        <v>28620</v>
      </c>
      <c r="G2376">
        <v>33670</v>
      </c>
    </row>
    <row r="2377" spans="1:7" hidden="1" outlineLevel="1">
      <c r="A2377" s="8"/>
      <c r="B2377" s="1"/>
      <c r="C2377" s="1" t="s">
        <v>934</v>
      </c>
      <c r="D2377" s="5"/>
      <c r="E2377" s="12">
        <v>0.15</v>
      </c>
      <c r="F2377" s="6">
        <v>28620</v>
      </c>
      <c r="G2377">
        <v>33670</v>
      </c>
    </row>
    <row r="2378" spans="1:7" hidden="1" outlineLevel="1">
      <c r="A2378" s="8"/>
      <c r="B2378" s="1"/>
      <c r="C2378" s="1" t="s">
        <v>554</v>
      </c>
      <c r="D2378" s="5"/>
      <c r="E2378" s="12">
        <v>0.15</v>
      </c>
      <c r="F2378" s="6">
        <v>9374</v>
      </c>
      <c r="G2378">
        <v>11028</v>
      </c>
    </row>
    <row r="2379" spans="1:7" hidden="1" outlineLevel="1">
      <c r="A2379" s="8"/>
      <c r="B2379" s="1"/>
      <c r="C2379" s="1"/>
      <c r="D2379" s="5"/>
      <c r="E2379" s="12"/>
      <c r="F2379" s="6"/>
    </row>
    <row r="2380" spans="1:7" hidden="1" outlineLevel="1">
      <c r="A2380" s="8"/>
      <c r="B2380" s="1"/>
      <c r="C2380" s="1"/>
      <c r="D2380" s="5"/>
      <c r="E2380" s="12"/>
      <c r="F2380" s="6"/>
    </row>
    <row r="2381" spans="1:7" hidden="1" outlineLevel="1">
      <c r="A2381" s="8"/>
      <c r="B2381" s="1"/>
      <c r="C2381" s="1"/>
      <c r="D2381" s="5"/>
      <c r="E2381" s="12"/>
      <c r="F2381" s="6"/>
    </row>
    <row r="2382" spans="1:7" hidden="1" outlineLevel="1">
      <c r="A2382" s="8"/>
      <c r="B2382" s="1"/>
      <c r="C2382" s="1"/>
      <c r="D2382" s="5"/>
      <c r="E2382" s="12"/>
      <c r="F2382" s="2"/>
    </row>
    <row r="2383" spans="1:7" hidden="1" outlineLevel="1">
      <c r="A2383" s="8"/>
      <c r="B2383" s="1"/>
      <c r="C2383" s="1"/>
      <c r="D2383" s="1"/>
      <c r="E2383" s="12"/>
      <c r="F2383" s="2"/>
    </row>
    <row r="2384" spans="1:7" hidden="1" outlineLevel="1">
      <c r="A2384" s="8"/>
      <c r="B2384" s="1"/>
      <c r="C2384" s="1"/>
      <c r="D2384" s="1"/>
      <c r="E2384" s="1"/>
      <c r="F2384" s="2"/>
    </row>
    <row r="2385" spans="1:7" hidden="1" outlineLevel="1">
      <c r="A2385" s="8"/>
      <c r="B2385" s="1"/>
      <c r="C2385" s="1"/>
      <c r="D2385" s="1"/>
      <c r="E2385" s="1"/>
      <c r="F2385" s="2"/>
    </row>
    <row r="2386" spans="1:7" hidden="1" outlineLevel="1">
      <c r="A2386" s="8"/>
      <c r="B2386" s="1"/>
      <c r="C2386" s="1"/>
      <c r="D2386" s="1"/>
      <c r="E2386" s="1"/>
      <c r="F2386" s="2"/>
    </row>
    <row r="2387" spans="1:7" ht="15.75" hidden="1" outlineLevel="1" thickBot="1">
      <c r="A2387" s="9"/>
      <c r="B2387" s="3"/>
      <c r="C2387" s="3"/>
      <c r="D2387" s="3"/>
      <c r="E2387" s="3"/>
      <c r="F2387" s="4"/>
    </row>
    <row r="2388" spans="1:7" ht="16.5" hidden="1" outlineLevel="1" thickTop="1" thickBot="1"/>
    <row r="2389" spans="1:7" ht="15.75" hidden="1" outlineLevel="1" thickTop="1">
      <c r="A2389" s="3782"/>
      <c r="B2389" s="3781"/>
      <c r="C2389" s="3781"/>
      <c r="D2389" s="3781"/>
      <c r="E2389" s="3781"/>
      <c r="F2389" s="3765"/>
    </row>
    <row r="2390" spans="1:7" ht="15.75" hidden="1" outlineLevel="1" thickBot="1">
      <c r="A2390" s="3783"/>
      <c r="B2390" s="3767"/>
      <c r="C2390" s="3767"/>
      <c r="D2390" s="3767"/>
      <c r="E2390" s="3767"/>
      <c r="F2390" s="3766"/>
    </row>
    <row r="2391" spans="1:7" ht="15.75" hidden="1" outlineLevel="1" thickTop="1">
      <c r="A2391" s="7" t="s">
        <v>1596</v>
      </c>
      <c r="B2391" s="5" t="s">
        <v>1171</v>
      </c>
      <c r="C2391" s="5" t="s">
        <v>1270</v>
      </c>
      <c r="D2391" s="5"/>
      <c r="E2391" s="12">
        <v>0.15</v>
      </c>
      <c r="F2391" s="6">
        <v>274830</v>
      </c>
      <c r="G2391">
        <v>322520</v>
      </c>
    </row>
    <row r="2392" spans="1:7" hidden="1" outlineLevel="1">
      <c r="A2392" s="8"/>
      <c r="B2392" s="1"/>
      <c r="C2392" s="1" t="s">
        <v>1271</v>
      </c>
      <c r="D2392" s="5"/>
      <c r="E2392" s="12">
        <v>0.15</v>
      </c>
      <c r="F2392" s="6">
        <v>274830</v>
      </c>
      <c r="G2392">
        <v>322520</v>
      </c>
    </row>
    <row r="2393" spans="1:7" hidden="1" outlineLevel="1">
      <c r="A2393" s="8"/>
      <c r="B2393" s="1"/>
      <c r="C2393" s="1" t="s">
        <v>549</v>
      </c>
      <c r="D2393" s="5"/>
      <c r="E2393" s="12">
        <v>0.15</v>
      </c>
      <c r="F2393" s="6">
        <v>257212</v>
      </c>
      <c r="G2393">
        <v>302602</v>
      </c>
    </row>
    <row r="2394" spans="1:7" hidden="1" outlineLevel="1">
      <c r="A2394" s="8"/>
      <c r="B2394" s="1"/>
      <c r="C2394" s="1" t="s">
        <v>1258</v>
      </c>
      <c r="D2394" s="5"/>
      <c r="E2394" s="12">
        <v>0.15</v>
      </c>
      <c r="F2394" s="6">
        <v>257212</v>
      </c>
      <c r="G2394">
        <v>302602</v>
      </c>
    </row>
    <row r="2395" spans="1:7" hidden="1" outlineLevel="1">
      <c r="A2395" s="8"/>
      <c r="B2395" s="1"/>
      <c r="C2395" s="1" t="s">
        <v>550</v>
      </c>
      <c r="D2395" s="5"/>
      <c r="E2395" s="12">
        <v>0.15</v>
      </c>
      <c r="F2395" s="6">
        <v>220069</v>
      </c>
      <c r="G2395">
        <v>258904</v>
      </c>
    </row>
    <row r="2396" spans="1:7" hidden="1" outlineLevel="1">
      <c r="A2396" s="8"/>
      <c r="B2396" s="1"/>
      <c r="C2396" s="1" t="s">
        <v>1259</v>
      </c>
      <c r="D2396" s="5"/>
      <c r="E2396" s="12">
        <v>0.15</v>
      </c>
      <c r="F2396" s="6">
        <v>220069</v>
      </c>
      <c r="G2396">
        <v>258904</v>
      </c>
    </row>
    <row r="2397" spans="1:7" hidden="1" outlineLevel="1">
      <c r="A2397" s="8"/>
      <c r="B2397" s="1"/>
      <c r="C2397" s="1"/>
      <c r="D2397" s="5"/>
      <c r="E2397" s="12"/>
      <c r="F2397" s="2"/>
    </row>
    <row r="2398" spans="1:7" hidden="1" outlineLevel="1">
      <c r="A2398" s="8"/>
      <c r="B2398" s="1"/>
      <c r="C2398" s="1"/>
      <c r="D2398" s="1"/>
      <c r="E2398" s="12"/>
      <c r="F2398" s="2"/>
    </row>
    <row r="2399" spans="1:7" hidden="1" outlineLevel="1">
      <c r="A2399" s="8"/>
      <c r="B2399" s="1"/>
      <c r="C2399" s="1"/>
      <c r="D2399" s="1"/>
      <c r="E2399" s="1"/>
      <c r="F2399" s="2"/>
    </row>
    <row r="2400" spans="1:7" hidden="1" outlineLevel="1">
      <c r="A2400" s="8"/>
      <c r="B2400" s="1"/>
      <c r="C2400" s="1"/>
      <c r="D2400" s="1"/>
      <c r="E2400" s="1"/>
      <c r="F2400" s="2"/>
    </row>
    <row r="2401" spans="1:7" hidden="1" outlineLevel="1">
      <c r="A2401" s="8"/>
      <c r="B2401" s="1"/>
      <c r="C2401" s="1"/>
      <c r="D2401" s="1"/>
      <c r="E2401" s="1"/>
      <c r="F2401" s="2"/>
    </row>
    <row r="2402" spans="1:7" ht="15.75" hidden="1" outlineLevel="1" thickBot="1">
      <c r="A2402" s="9"/>
      <c r="B2402" s="3"/>
      <c r="C2402" s="3"/>
      <c r="D2402" s="3"/>
      <c r="E2402" s="3"/>
      <c r="F2402" s="4"/>
    </row>
    <row r="2403" spans="1:7" ht="16.5" hidden="1" outlineLevel="1" thickTop="1" thickBot="1"/>
    <row r="2404" spans="1:7" ht="15.75" hidden="1" outlineLevel="1" thickTop="1">
      <c r="A2404" s="3782"/>
      <c r="B2404" s="3781"/>
      <c r="C2404" s="3781"/>
      <c r="D2404" s="3781"/>
      <c r="E2404" s="3781"/>
      <c r="F2404" s="3765"/>
    </row>
    <row r="2405" spans="1:7" ht="15.75" hidden="1" outlineLevel="1" thickBot="1">
      <c r="A2405" s="3783"/>
      <c r="B2405" s="3767"/>
      <c r="C2405" s="3767"/>
      <c r="D2405" s="3767"/>
      <c r="E2405" s="3767"/>
      <c r="F2405" s="3766"/>
    </row>
    <row r="2406" spans="1:7" ht="15.75" hidden="1" outlineLevel="1" thickTop="1">
      <c r="A2406" s="7" t="s">
        <v>1607</v>
      </c>
      <c r="B2406" s="5" t="s">
        <v>106</v>
      </c>
      <c r="C2406" s="5" t="s">
        <v>1608</v>
      </c>
      <c r="D2406" s="5"/>
      <c r="E2406" s="12">
        <v>0.15</v>
      </c>
      <c r="F2406" s="6">
        <v>11332</v>
      </c>
      <c r="G2406">
        <v>13332</v>
      </c>
    </row>
    <row r="2407" spans="1:7" hidden="1" outlineLevel="1">
      <c r="A2407" s="8"/>
      <c r="B2407" s="1"/>
      <c r="C2407" s="1" t="s">
        <v>1090</v>
      </c>
      <c r="D2407" s="5"/>
      <c r="E2407" s="12">
        <v>0.15</v>
      </c>
      <c r="F2407" s="6">
        <v>11332</v>
      </c>
    </row>
    <row r="2408" spans="1:7" hidden="1" outlineLevel="1">
      <c r="A2408" s="8"/>
      <c r="B2408" s="1"/>
      <c r="C2408" s="1" t="s">
        <v>1091</v>
      </c>
      <c r="D2408" s="5"/>
      <c r="E2408" s="12">
        <v>0.15</v>
      </c>
      <c r="F2408" s="6">
        <v>11332</v>
      </c>
    </row>
    <row r="2409" spans="1:7" hidden="1" outlineLevel="1">
      <c r="A2409" s="8"/>
      <c r="B2409" s="1"/>
      <c r="C2409" s="1" t="s">
        <v>1092</v>
      </c>
      <c r="D2409" s="5"/>
      <c r="E2409" s="12">
        <v>0.15</v>
      </c>
      <c r="F2409" s="6">
        <v>11332</v>
      </c>
    </row>
    <row r="2410" spans="1:7" hidden="1" outlineLevel="1">
      <c r="A2410" s="8"/>
      <c r="B2410" s="1"/>
      <c r="C2410" s="1"/>
      <c r="D2410" s="5"/>
      <c r="E2410" s="12"/>
      <c r="F2410" s="6"/>
    </row>
    <row r="2411" spans="1:7" hidden="1" outlineLevel="1">
      <c r="A2411" s="8"/>
      <c r="B2411" s="1"/>
      <c r="C2411" s="1"/>
      <c r="D2411" s="5"/>
      <c r="E2411" s="12"/>
      <c r="F2411" s="6"/>
    </row>
    <row r="2412" spans="1:7" hidden="1" outlineLevel="1">
      <c r="A2412" s="8"/>
      <c r="B2412" s="1"/>
      <c r="C2412" s="1"/>
      <c r="D2412" s="5"/>
      <c r="E2412" s="12"/>
      <c r="F2412" s="2"/>
    </row>
    <row r="2413" spans="1:7" hidden="1" outlineLevel="1">
      <c r="A2413" s="8"/>
      <c r="B2413" s="1"/>
      <c r="C2413" s="1"/>
      <c r="D2413" s="1"/>
      <c r="E2413" s="12"/>
      <c r="F2413" s="2"/>
    </row>
    <row r="2414" spans="1:7" hidden="1" outlineLevel="1">
      <c r="A2414" s="8"/>
      <c r="B2414" s="1"/>
      <c r="C2414" s="1"/>
      <c r="D2414" s="1"/>
      <c r="E2414" s="1"/>
      <c r="F2414" s="2"/>
    </row>
    <row r="2415" spans="1:7" hidden="1" outlineLevel="1">
      <c r="A2415" s="8"/>
      <c r="B2415" s="1"/>
      <c r="C2415" s="1"/>
      <c r="D2415" s="1"/>
      <c r="E2415" s="1"/>
      <c r="F2415" s="2"/>
    </row>
    <row r="2416" spans="1:7" hidden="1" outlineLevel="1">
      <c r="A2416" s="8"/>
      <c r="B2416" s="1"/>
      <c r="C2416" s="1"/>
      <c r="D2416" s="1"/>
      <c r="E2416" s="1"/>
      <c r="F2416" s="2"/>
    </row>
    <row r="2417" spans="1:7" ht="15.75" hidden="1" outlineLevel="1" thickBot="1">
      <c r="A2417" s="9"/>
      <c r="B2417" s="3"/>
      <c r="C2417" s="3"/>
      <c r="D2417" s="3"/>
      <c r="E2417" s="3"/>
      <c r="F2417" s="4"/>
    </row>
    <row r="2418" spans="1:7" ht="16.5" hidden="1" outlineLevel="1" thickTop="1" thickBot="1"/>
    <row r="2419" spans="1:7" ht="15.75" hidden="1" outlineLevel="1" thickTop="1">
      <c r="A2419" s="3782"/>
      <c r="B2419" s="3781"/>
      <c r="C2419" s="3781"/>
      <c r="D2419" s="3781"/>
      <c r="E2419" s="3781"/>
      <c r="F2419" s="3765"/>
    </row>
    <row r="2420" spans="1:7" ht="15.75" hidden="1" outlineLevel="1" thickBot="1">
      <c r="A2420" s="3783"/>
      <c r="B2420" s="3767"/>
      <c r="C2420" s="3767"/>
      <c r="D2420" s="3767"/>
      <c r="E2420" s="3767"/>
      <c r="F2420" s="3766"/>
    </row>
    <row r="2421" spans="1:7" ht="15.75" hidden="1" outlineLevel="1" thickTop="1">
      <c r="A2421" s="7" t="s">
        <v>1609</v>
      </c>
      <c r="B2421" s="5" t="s">
        <v>1171</v>
      </c>
      <c r="C2421" s="5" t="s">
        <v>1270</v>
      </c>
      <c r="D2421" s="5"/>
      <c r="E2421" s="12">
        <v>0.15</v>
      </c>
      <c r="F2421" s="6">
        <v>274142</v>
      </c>
      <c r="G2421">
        <v>322520</v>
      </c>
    </row>
    <row r="2422" spans="1:7" hidden="1" outlineLevel="1">
      <c r="A2422" s="8"/>
      <c r="B2422" s="1"/>
      <c r="C2422" s="1" t="s">
        <v>1271</v>
      </c>
      <c r="D2422" s="5"/>
      <c r="E2422" s="12">
        <v>0.15</v>
      </c>
      <c r="F2422" s="6">
        <v>274142</v>
      </c>
      <c r="G2422">
        <v>322520</v>
      </c>
    </row>
    <row r="2423" spans="1:7" hidden="1" outlineLevel="1">
      <c r="A2423" s="8"/>
      <c r="B2423" s="1"/>
      <c r="C2423" s="1" t="s">
        <v>549</v>
      </c>
      <c r="D2423" s="5"/>
      <c r="E2423" s="12">
        <v>0.15</v>
      </c>
      <c r="F2423" s="6">
        <v>257212</v>
      </c>
      <c r="G2423">
        <v>302602</v>
      </c>
    </row>
    <row r="2424" spans="1:7" hidden="1" outlineLevel="1">
      <c r="A2424" s="8"/>
      <c r="B2424" s="1"/>
      <c r="C2424" s="1" t="s">
        <v>1258</v>
      </c>
      <c r="D2424" s="5"/>
      <c r="E2424" s="12">
        <v>0.15</v>
      </c>
      <c r="F2424" s="6">
        <v>257212</v>
      </c>
      <c r="G2424">
        <v>302602</v>
      </c>
    </row>
    <row r="2425" spans="1:7" hidden="1" outlineLevel="1">
      <c r="A2425" s="8"/>
      <c r="B2425" s="1"/>
      <c r="C2425" s="1" t="s">
        <v>550</v>
      </c>
      <c r="D2425" s="5"/>
      <c r="E2425" s="12">
        <v>0.15</v>
      </c>
      <c r="F2425" s="6">
        <v>220069</v>
      </c>
      <c r="G2425">
        <v>258904</v>
      </c>
    </row>
    <row r="2426" spans="1:7" hidden="1" outlineLevel="1">
      <c r="A2426" s="8"/>
      <c r="B2426" s="1"/>
      <c r="C2426" s="1" t="s">
        <v>1259</v>
      </c>
      <c r="D2426" s="5"/>
      <c r="E2426" s="12">
        <v>0.15</v>
      </c>
      <c r="F2426" s="6">
        <v>220069</v>
      </c>
      <c r="G2426">
        <v>258904</v>
      </c>
    </row>
    <row r="2427" spans="1:7" hidden="1" outlineLevel="1">
      <c r="A2427" s="8"/>
      <c r="B2427" s="1"/>
      <c r="C2427" s="1" t="s">
        <v>1176</v>
      </c>
      <c r="D2427" s="5"/>
      <c r="E2427" s="12">
        <v>0.15</v>
      </c>
      <c r="F2427" s="2">
        <v>111231</v>
      </c>
      <c r="G2427">
        <v>130860</v>
      </c>
    </row>
    <row r="2428" spans="1:7" hidden="1" outlineLevel="1">
      <c r="A2428" s="8"/>
      <c r="B2428" s="1"/>
      <c r="C2428" s="1" t="s">
        <v>1178</v>
      </c>
      <c r="D2428" s="1"/>
      <c r="E2428" s="12">
        <v>0.15</v>
      </c>
      <c r="F2428" s="2">
        <v>150442</v>
      </c>
      <c r="G2428">
        <v>176990</v>
      </c>
    </row>
    <row r="2429" spans="1:7" hidden="1" outlineLevel="1">
      <c r="A2429" s="8"/>
      <c r="B2429" s="1"/>
      <c r="C2429" s="1"/>
      <c r="D2429" s="1"/>
      <c r="E2429" s="1"/>
      <c r="F2429" s="2"/>
    </row>
    <row r="2430" spans="1:7" hidden="1" outlineLevel="1">
      <c r="A2430" s="8"/>
      <c r="B2430" s="1"/>
      <c r="C2430" s="1"/>
      <c r="D2430" s="1"/>
      <c r="E2430" s="1"/>
      <c r="F2430" s="2"/>
    </row>
    <row r="2431" spans="1:7" hidden="1" outlineLevel="1">
      <c r="A2431" s="8"/>
      <c r="B2431" s="1"/>
      <c r="C2431" s="1"/>
      <c r="D2431" s="1"/>
      <c r="E2431" s="1"/>
      <c r="F2431" s="2"/>
    </row>
    <row r="2432" spans="1:7" ht="15.75" hidden="1" outlineLevel="1" thickBot="1">
      <c r="A2432" s="9"/>
      <c r="B2432" s="3"/>
      <c r="C2432" s="3"/>
      <c r="D2432" s="3"/>
      <c r="E2432" s="3"/>
      <c r="F2432" s="4"/>
    </row>
    <row r="2433" spans="1:7" ht="16.5" hidden="1" outlineLevel="1" thickTop="1" thickBot="1"/>
    <row r="2434" spans="1:7" ht="15.75" hidden="1" outlineLevel="1" thickTop="1">
      <c r="A2434" s="3782"/>
      <c r="B2434" s="3781"/>
      <c r="C2434" s="3781"/>
      <c r="D2434" s="3781"/>
      <c r="E2434" s="3781"/>
      <c r="F2434" s="3765"/>
    </row>
    <row r="2435" spans="1:7" ht="15.75" hidden="1" outlineLevel="1" thickBot="1">
      <c r="A2435" s="3783"/>
      <c r="B2435" s="3767"/>
      <c r="C2435" s="3767"/>
      <c r="D2435" s="3767"/>
      <c r="E2435" s="3767"/>
      <c r="F2435" s="3766"/>
    </row>
    <row r="2436" spans="1:7" ht="15.75" hidden="1" outlineLevel="1" thickTop="1">
      <c r="A2436" s="7" t="s">
        <v>1610</v>
      </c>
      <c r="B2436" s="5" t="s">
        <v>114</v>
      </c>
      <c r="C2436" s="5" t="s">
        <v>153</v>
      </c>
      <c r="D2436" s="5"/>
      <c r="E2436" s="12">
        <v>0.25</v>
      </c>
      <c r="F2436" s="6">
        <v>9059</v>
      </c>
      <c r="G2436">
        <v>12085</v>
      </c>
    </row>
    <row r="2437" spans="1:7" hidden="1" outlineLevel="1">
      <c r="A2437" s="8"/>
      <c r="B2437" s="1"/>
      <c r="C2437" s="1" t="s">
        <v>485</v>
      </c>
      <c r="D2437" s="5"/>
      <c r="E2437" s="12">
        <v>0.15</v>
      </c>
      <c r="F2437" s="6">
        <v>8359</v>
      </c>
      <c r="G2437">
        <v>9834</v>
      </c>
    </row>
    <row r="2438" spans="1:7" hidden="1" outlineLevel="1">
      <c r="A2438" s="8"/>
      <c r="B2438" s="1"/>
      <c r="C2438" s="1" t="s">
        <v>486</v>
      </c>
      <c r="D2438" s="5"/>
      <c r="E2438" s="12">
        <v>0.15</v>
      </c>
      <c r="F2438" s="6">
        <v>8359</v>
      </c>
      <c r="G2438">
        <v>9834</v>
      </c>
    </row>
    <row r="2439" spans="1:7" hidden="1" outlineLevel="1">
      <c r="A2439" s="8"/>
      <c r="B2439" s="1"/>
      <c r="C2439" s="1" t="s">
        <v>22</v>
      </c>
      <c r="D2439" s="5"/>
      <c r="E2439" s="12">
        <v>0.15</v>
      </c>
      <c r="F2439" s="6">
        <v>21091</v>
      </c>
      <c r="G2439">
        <v>24813</v>
      </c>
    </row>
    <row r="2440" spans="1:7" hidden="1" outlineLevel="1">
      <c r="A2440" s="8"/>
      <c r="B2440" s="1"/>
      <c r="C2440" s="1"/>
      <c r="D2440" s="5"/>
      <c r="E2440" s="12"/>
      <c r="F2440" s="6"/>
    </row>
    <row r="2441" spans="1:7" hidden="1" outlineLevel="1">
      <c r="A2441" s="8"/>
      <c r="B2441" s="1"/>
      <c r="C2441" s="1"/>
      <c r="D2441" s="5"/>
      <c r="E2441" s="12"/>
      <c r="F2441" s="6"/>
    </row>
    <row r="2442" spans="1:7" hidden="1" outlineLevel="1">
      <c r="A2442" s="8"/>
      <c r="B2442" s="1"/>
      <c r="C2442" s="1"/>
      <c r="D2442" s="5"/>
      <c r="E2442" s="12"/>
      <c r="F2442" s="2"/>
    </row>
    <row r="2443" spans="1:7" hidden="1" outlineLevel="1">
      <c r="A2443" s="8"/>
      <c r="B2443" s="1"/>
      <c r="C2443" s="1"/>
      <c r="D2443" s="1"/>
      <c r="E2443" s="12"/>
      <c r="F2443" s="2"/>
    </row>
    <row r="2444" spans="1:7" hidden="1" outlineLevel="1">
      <c r="A2444" s="8"/>
      <c r="B2444" s="1"/>
      <c r="C2444" s="1"/>
      <c r="D2444" s="1"/>
      <c r="E2444" s="1"/>
      <c r="F2444" s="2"/>
    </row>
    <row r="2445" spans="1:7" hidden="1" outlineLevel="1">
      <c r="A2445" s="8"/>
      <c r="B2445" s="1"/>
      <c r="C2445" s="1"/>
      <c r="D2445" s="1"/>
      <c r="E2445" s="1"/>
      <c r="F2445" s="2"/>
    </row>
    <row r="2446" spans="1:7" hidden="1" outlineLevel="1">
      <c r="A2446" s="8"/>
      <c r="B2446" s="1"/>
      <c r="C2446" s="1"/>
      <c r="D2446" s="1"/>
      <c r="E2446" s="1"/>
      <c r="F2446" s="2"/>
    </row>
    <row r="2447" spans="1:7" ht="15.75" hidden="1" outlineLevel="1" thickBot="1">
      <c r="A2447" s="9"/>
      <c r="B2447" s="3"/>
      <c r="C2447" s="3"/>
      <c r="D2447" s="3"/>
      <c r="E2447" s="3"/>
      <c r="F2447" s="4"/>
    </row>
    <row r="2448" spans="1:7" ht="16.5" hidden="1" outlineLevel="1" thickTop="1" thickBot="1"/>
    <row r="2449" spans="1:7" ht="15.75" hidden="1" outlineLevel="1" thickTop="1">
      <c r="A2449" s="3782"/>
      <c r="B2449" s="3781"/>
      <c r="C2449" s="3781"/>
      <c r="D2449" s="3781"/>
      <c r="E2449" s="3781"/>
      <c r="F2449" s="3765"/>
    </row>
    <row r="2450" spans="1:7" ht="15.75" hidden="1" outlineLevel="1" thickBot="1">
      <c r="A2450" s="3783"/>
      <c r="B2450" s="3767"/>
      <c r="C2450" s="3767"/>
      <c r="D2450" s="3767"/>
      <c r="E2450" s="3767"/>
      <c r="F2450" s="3766"/>
    </row>
    <row r="2451" spans="1:7" ht="15.75" hidden="1" outlineLevel="1" thickTop="1">
      <c r="A2451" s="7" t="s">
        <v>1611</v>
      </c>
      <c r="B2451" s="5" t="s">
        <v>106</v>
      </c>
      <c r="C2451" s="5" t="s">
        <v>684</v>
      </c>
      <c r="D2451" s="5"/>
      <c r="E2451" s="12">
        <v>0.15</v>
      </c>
      <c r="F2451" s="6">
        <v>8186</v>
      </c>
      <c r="G2451">
        <v>9631</v>
      </c>
    </row>
    <row r="2452" spans="1:7" hidden="1" outlineLevel="1">
      <c r="A2452" s="8"/>
      <c r="B2452" s="1"/>
      <c r="C2452" s="1" t="s">
        <v>1002</v>
      </c>
      <c r="D2452" s="5"/>
      <c r="E2452" s="12">
        <v>0.15</v>
      </c>
      <c r="F2452" s="6">
        <v>8955</v>
      </c>
      <c r="G2452">
        <v>10535</v>
      </c>
    </row>
    <row r="2453" spans="1:7" hidden="1" outlineLevel="1">
      <c r="A2453" s="8"/>
      <c r="B2453" s="1"/>
      <c r="C2453" s="1" t="s">
        <v>1612</v>
      </c>
      <c r="D2453" s="5"/>
      <c r="E2453" s="12">
        <v>0.15</v>
      </c>
      <c r="F2453" s="6">
        <v>6612</v>
      </c>
      <c r="G2453">
        <v>7779</v>
      </c>
    </row>
    <row r="2454" spans="1:7" hidden="1" outlineLevel="1">
      <c r="A2454" s="8"/>
      <c r="B2454" s="1"/>
      <c r="C2454" s="1" t="s">
        <v>732</v>
      </c>
      <c r="D2454" s="5"/>
      <c r="E2454" s="12">
        <v>0.15</v>
      </c>
      <c r="F2454" s="6">
        <v>6612</v>
      </c>
    </row>
    <row r="2455" spans="1:7" hidden="1" outlineLevel="1">
      <c r="A2455" s="8"/>
      <c r="B2455" s="1"/>
      <c r="C2455" s="1" t="s">
        <v>686</v>
      </c>
      <c r="D2455" s="5"/>
      <c r="E2455" s="12">
        <v>0.15</v>
      </c>
      <c r="F2455" s="6">
        <v>17275</v>
      </c>
      <c r="G2455">
        <v>20323</v>
      </c>
    </row>
    <row r="2456" spans="1:7" hidden="1" outlineLevel="1">
      <c r="A2456" s="8"/>
      <c r="B2456" s="1"/>
      <c r="C2456" s="1" t="s">
        <v>687</v>
      </c>
      <c r="D2456" s="5"/>
      <c r="E2456" s="12">
        <v>0.15</v>
      </c>
      <c r="F2456" s="6">
        <v>17275</v>
      </c>
    </row>
    <row r="2457" spans="1:7" hidden="1" outlineLevel="1">
      <c r="A2457" s="8"/>
      <c r="B2457" s="1"/>
      <c r="C2457" s="1"/>
      <c r="D2457" s="5"/>
      <c r="E2457" s="12"/>
      <c r="F2457" s="2"/>
    </row>
    <row r="2458" spans="1:7" hidden="1" outlineLevel="1">
      <c r="A2458" s="8"/>
      <c r="B2458" s="1"/>
      <c r="C2458" s="1"/>
      <c r="D2458" s="1"/>
      <c r="E2458" s="12"/>
      <c r="F2458" s="2"/>
    </row>
    <row r="2459" spans="1:7" hidden="1" outlineLevel="1">
      <c r="A2459" s="8"/>
      <c r="B2459" s="1"/>
      <c r="C2459" s="1"/>
      <c r="D2459" s="1"/>
      <c r="E2459" s="1"/>
      <c r="F2459" s="2"/>
    </row>
    <row r="2460" spans="1:7" hidden="1" outlineLevel="1">
      <c r="A2460" s="8"/>
      <c r="B2460" s="1"/>
      <c r="C2460" s="1"/>
      <c r="D2460" s="1"/>
      <c r="E2460" s="1"/>
      <c r="F2460" s="2"/>
    </row>
    <row r="2461" spans="1:7" hidden="1" outlineLevel="1">
      <c r="A2461" s="8"/>
      <c r="B2461" s="1"/>
      <c r="C2461" s="1"/>
      <c r="D2461" s="1"/>
      <c r="E2461" s="1"/>
      <c r="F2461" s="2"/>
    </row>
    <row r="2462" spans="1:7" ht="15.75" hidden="1" outlineLevel="1" thickBot="1">
      <c r="A2462" s="9"/>
      <c r="B2462" s="3"/>
      <c r="C2462" s="3"/>
      <c r="D2462" s="3"/>
      <c r="E2462" s="3"/>
      <c r="F2462" s="4"/>
    </row>
    <row r="2463" spans="1:7" ht="16.5" hidden="1" outlineLevel="1" thickTop="1" thickBot="1"/>
    <row r="2464" spans="1:7" ht="15.75" hidden="1" outlineLevel="1" thickTop="1">
      <c r="A2464" s="3782"/>
      <c r="B2464" s="3781"/>
      <c r="C2464" s="3781"/>
      <c r="D2464" s="3781"/>
      <c r="E2464" s="3781"/>
      <c r="F2464" s="3765"/>
    </row>
    <row r="2465" spans="1:7" ht="15.75" hidden="1" outlineLevel="1" thickBot="1">
      <c r="A2465" s="3783"/>
      <c r="B2465" s="3767"/>
      <c r="C2465" s="3767"/>
      <c r="D2465" s="3767"/>
      <c r="E2465" s="3767"/>
      <c r="F2465" s="3766"/>
    </row>
    <row r="2466" spans="1:7" ht="15.75" hidden="1" outlineLevel="1" thickTop="1">
      <c r="A2466" s="7" t="s">
        <v>1626</v>
      </c>
      <c r="B2466" s="5" t="s">
        <v>114</v>
      </c>
      <c r="C2466" s="5" t="s">
        <v>273</v>
      </c>
      <c r="D2466" s="5"/>
      <c r="E2466" s="12"/>
      <c r="F2466" s="6">
        <v>8430</v>
      </c>
      <c r="G2466">
        <v>9918</v>
      </c>
    </row>
    <row r="2467" spans="1:7" hidden="1" outlineLevel="1">
      <c r="A2467" s="8"/>
      <c r="B2467" s="1"/>
      <c r="C2467" s="1" t="s">
        <v>908</v>
      </c>
      <c r="D2467" s="5"/>
      <c r="E2467" s="12"/>
      <c r="F2467" s="6">
        <v>8430</v>
      </c>
    </row>
    <row r="2468" spans="1:7" hidden="1" outlineLevel="1">
      <c r="A2468" s="8"/>
      <c r="B2468" s="1"/>
      <c r="C2468" s="1" t="s">
        <v>177</v>
      </c>
      <c r="D2468" s="5"/>
      <c r="E2468" s="12"/>
      <c r="F2468" s="6">
        <v>8430</v>
      </c>
    </row>
    <row r="2469" spans="1:7" hidden="1" outlineLevel="1">
      <c r="A2469" s="8"/>
      <c r="B2469" s="1"/>
      <c r="C2469" s="1" t="s">
        <v>909</v>
      </c>
      <c r="D2469" s="5"/>
      <c r="E2469" s="12"/>
      <c r="F2469" s="6">
        <v>8430</v>
      </c>
    </row>
    <row r="2470" spans="1:7" hidden="1" outlineLevel="1">
      <c r="A2470" s="8"/>
      <c r="B2470" s="1"/>
      <c r="C2470" s="1" t="s">
        <v>178</v>
      </c>
      <c r="D2470" s="5"/>
      <c r="E2470" s="12"/>
      <c r="F2470" s="6">
        <v>8430</v>
      </c>
    </row>
    <row r="2471" spans="1:7" hidden="1" outlineLevel="1">
      <c r="A2471" s="8"/>
      <c r="B2471" s="1"/>
      <c r="C2471" s="1" t="s">
        <v>626</v>
      </c>
      <c r="D2471" s="5"/>
      <c r="E2471" s="12"/>
      <c r="F2471" s="6">
        <v>2508</v>
      </c>
      <c r="G2471">
        <v>2950</v>
      </c>
    </row>
    <row r="2472" spans="1:7" hidden="1" outlineLevel="1">
      <c r="A2472" s="8"/>
      <c r="B2472" s="1"/>
      <c r="C2472" s="1" t="s">
        <v>1346</v>
      </c>
      <c r="D2472" s="5"/>
      <c r="E2472" s="12"/>
      <c r="F2472" s="6">
        <v>2508</v>
      </c>
    </row>
    <row r="2473" spans="1:7" hidden="1" outlineLevel="1">
      <c r="A2473" s="8"/>
      <c r="B2473" s="1"/>
      <c r="C2473" s="1" t="s">
        <v>627</v>
      </c>
      <c r="D2473" s="1"/>
      <c r="E2473" s="12"/>
      <c r="F2473" s="6">
        <v>2508</v>
      </c>
    </row>
    <row r="2474" spans="1:7" hidden="1" outlineLevel="1">
      <c r="A2474" s="8"/>
      <c r="B2474" s="1"/>
      <c r="C2474" s="1" t="s">
        <v>1347</v>
      </c>
      <c r="D2474" s="1"/>
      <c r="E2474" s="12"/>
      <c r="F2474" s="6">
        <v>2508</v>
      </c>
    </row>
    <row r="2475" spans="1:7" hidden="1" outlineLevel="1">
      <c r="A2475" s="8"/>
      <c r="B2475" s="1"/>
      <c r="C2475" s="1" t="s">
        <v>628</v>
      </c>
      <c r="D2475" s="1"/>
      <c r="E2475" s="12"/>
      <c r="F2475" s="6">
        <v>2508</v>
      </c>
    </row>
    <row r="2476" spans="1:7" hidden="1" outlineLevel="1">
      <c r="A2476" s="8"/>
      <c r="B2476" s="1"/>
      <c r="C2476" s="1" t="s">
        <v>1326</v>
      </c>
      <c r="D2476" s="1"/>
      <c r="E2476" s="12"/>
      <c r="F2476" s="6">
        <v>2508</v>
      </c>
    </row>
    <row r="2477" spans="1:7" hidden="1" outlineLevel="1">
      <c r="A2477" s="8"/>
      <c r="B2477" s="1"/>
      <c r="C2477" s="1" t="s">
        <v>706</v>
      </c>
      <c r="D2477" s="1"/>
      <c r="E2477" s="12"/>
      <c r="F2477" s="6">
        <v>2508</v>
      </c>
    </row>
    <row r="2478" spans="1:7" hidden="1" outlineLevel="1">
      <c r="A2478" s="8"/>
      <c r="B2478" s="1"/>
      <c r="C2478" s="1" t="s">
        <v>1327</v>
      </c>
      <c r="D2478" s="1"/>
      <c r="E2478" s="12"/>
      <c r="F2478" s="6">
        <v>2508</v>
      </c>
    </row>
    <row r="2479" spans="1:7" hidden="1" outlineLevel="1">
      <c r="A2479" s="8"/>
      <c r="B2479" s="1"/>
      <c r="C2479" s="1" t="s">
        <v>707</v>
      </c>
      <c r="D2479" s="1"/>
      <c r="E2479" s="12"/>
      <c r="F2479" s="6">
        <v>2508</v>
      </c>
    </row>
    <row r="2480" spans="1:7" hidden="1" outlineLevel="1">
      <c r="A2480" s="8"/>
      <c r="B2480" s="1"/>
      <c r="C2480" s="1" t="s">
        <v>709</v>
      </c>
      <c r="D2480" s="1"/>
      <c r="E2480" s="12"/>
      <c r="F2480" s="6">
        <v>2508</v>
      </c>
    </row>
    <row r="2481" spans="1:7" hidden="1" outlineLevel="1">
      <c r="A2481" s="8"/>
      <c r="B2481" s="1"/>
      <c r="C2481" s="1" t="s">
        <v>1325</v>
      </c>
      <c r="D2481" s="1"/>
      <c r="E2481" s="1"/>
      <c r="F2481" s="6">
        <v>2508</v>
      </c>
    </row>
    <row r="2482" spans="1:7" hidden="1" outlineLevel="1">
      <c r="A2482" s="8"/>
      <c r="B2482" s="1"/>
      <c r="C2482" s="1" t="s">
        <v>149</v>
      </c>
      <c r="D2482" s="1"/>
      <c r="E2482" s="1"/>
      <c r="F2482" s="2">
        <v>6348</v>
      </c>
      <c r="G2482">
        <v>7468</v>
      </c>
    </row>
    <row r="2483" spans="1:7" hidden="1" outlineLevel="1">
      <c r="A2483" s="8"/>
      <c r="B2483" s="1"/>
      <c r="C2483" s="1" t="s">
        <v>487</v>
      </c>
      <c r="D2483" s="1"/>
      <c r="E2483" s="1"/>
      <c r="F2483" s="2">
        <v>4506</v>
      </c>
      <c r="G2483">
        <v>5301</v>
      </c>
    </row>
    <row r="2484" spans="1:7" ht="15.75" hidden="1" outlineLevel="1" thickBot="1">
      <c r="A2484" s="9"/>
      <c r="B2484" s="3"/>
      <c r="C2484" s="3"/>
      <c r="D2484" s="3"/>
      <c r="E2484" s="3"/>
      <c r="F2484" s="4"/>
    </row>
    <row r="2485" spans="1:7" ht="15.75" hidden="1" outlineLevel="1" thickTop="1"/>
    <row r="2486" spans="1:7" ht="15.75" hidden="1" outlineLevel="1" thickBot="1"/>
    <row r="2487" spans="1:7" ht="15.75" hidden="1" outlineLevel="1" thickTop="1">
      <c r="A2487" s="3782"/>
      <c r="B2487" s="3781"/>
      <c r="C2487" s="3781"/>
      <c r="D2487" s="3781"/>
      <c r="E2487" s="3781"/>
      <c r="F2487" s="3765"/>
    </row>
    <row r="2488" spans="1:7" ht="15.75" hidden="1" outlineLevel="1" thickBot="1">
      <c r="A2488" s="3783"/>
      <c r="B2488" s="3767"/>
      <c r="C2488" s="3767"/>
      <c r="D2488" s="3767"/>
      <c r="E2488" s="3767"/>
      <c r="F2488" s="3766"/>
    </row>
    <row r="2489" spans="1:7" ht="15.75" hidden="1" outlineLevel="1" thickTop="1">
      <c r="A2489" s="7" t="s">
        <v>1643</v>
      </c>
      <c r="B2489" s="5" t="s">
        <v>106</v>
      </c>
      <c r="C2489" s="5" t="s">
        <v>1644</v>
      </c>
      <c r="D2489" s="5"/>
      <c r="E2489" s="12">
        <v>0.1</v>
      </c>
      <c r="F2489" s="6">
        <v>42268</v>
      </c>
      <c r="G2489">
        <v>46964</v>
      </c>
    </row>
    <row r="2490" spans="1:7" hidden="1" outlineLevel="1">
      <c r="A2490" s="8"/>
      <c r="B2490" s="1"/>
      <c r="C2490" s="1" t="s">
        <v>623</v>
      </c>
      <c r="D2490" s="5"/>
      <c r="E2490" s="12">
        <v>0.15</v>
      </c>
      <c r="F2490" s="6">
        <v>20725</v>
      </c>
      <c r="G2490">
        <v>24382</v>
      </c>
    </row>
    <row r="2491" spans="1:7" hidden="1" outlineLevel="1">
      <c r="A2491" s="8"/>
      <c r="B2491" s="1"/>
      <c r="C2491" s="1"/>
      <c r="D2491" s="5"/>
      <c r="E2491" s="12"/>
      <c r="F2491" s="6"/>
    </row>
    <row r="2492" spans="1:7" hidden="1" outlineLevel="1">
      <c r="A2492" s="8"/>
      <c r="B2492" s="1"/>
      <c r="C2492" s="1"/>
      <c r="D2492" s="5"/>
      <c r="E2492" s="12"/>
      <c r="F2492" s="6"/>
    </row>
    <row r="2493" spans="1:7" hidden="1" outlineLevel="1">
      <c r="A2493" s="8"/>
      <c r="B2493" s="1"/>
      <c r="C2493" s="1"/>
      <c r="D2493" s="5"/>
      <c r="E2493" s="12"/>
      <c r="F2493" s="6"/>
    </row>
    <row r="2494" spans="1:7" hidden="1" outlineLevel="1">
      <c r="A2494" s="8"/>
      <c r="B2494" s="1"/>
      <c r="C2494" s="1"/>
      <c r="D2494" s="5"/>
      <c r="E2494" s="12"/>
      <c r="F2494" s="6"/>
    </row>
    <row r="2495" spans="1:7" hidden="1" outlineLevel="1">
      <c r="A2495" s="8"/>
      <c r="B2495" s="1"/>
      <c r="C2495" s="1"/>
      <c r="D2495" s="5"/>
      <c r="E2495" s="12"/>
      <c r="F2495" s="2"/>
    </row>
    <row r="2496" spans="1:7" hidden="1" outlineLevel="1">
      <c r="A2496" s="8"/>
      <c r="B2496" s="1"/>
      <c r="C2496" s="1"/>
      <c r="D2496" s="1"/>
      <c r="E2496" s="12"/>
      <c r="F2496" s="2"/>
    </row>
    <row r="2497" spans="1:9" hidden="1" outlineLevel="1">
      <c r="A2497" s="8"/>
      <c r="B2497" s="1"/>
      <c r="C2497" s="1"/>
      <c r="D2497" s="1"/>
      <c r="E2497" s="1"/>
      <c r="F2497" s="2"/>
    </row>
    <row r="2498" spans="1:9" hidden="1" outlineLevel="1">
      <c r="A2498" s="8"/>
      <c r="B2498" s="1"/>
      <c r="C2498" s="1"/>
      <c r="D2498" s="1"/>
      <c r="E2498" s="1"/>
      <c r="F2498" s="2"/>
    </row>
    <row r="2499" spans="1:9" hidden="1" outlineLevel="1">
      <c r="A2499" s="8"/>
      <c r="B2499" s="1"/>
      <c r="C2499" s="1"/>
      <c r="D2499" s="1"/>
      <c r="E2499" s="1"/>
      <c r="F2499" s="2"/>
    </row>
    <row r="2500" spans="1:9" ht="15.75" hidden="1" outlineLevel="1" thickBot="1">
      <c r="A2500" s="9"/>
      <c r="B2500" s="3"/>
      <c r="C2500" s="3"/>
      <c r="D2500" s="3"/>
      <c r="E2500" s="3"/>
      <c r="F2500" s="4"/>
    </row>
    <row r="2501" spans="1:9" ht="16.5" hidden="1" outlineLevel="1" thickTop="1" thickBot="1"/>
    <row r="2502" spans="1:9" ht="15.75" hidden="1" outlineLevel="1" thickTop="1">
      <c r="A2502" s="3782"/>
      <c r="B2502" s="3781"/>
      <c r="C2502" s="3781"/>
      <c r="D2502" s="3781"/>
      <c r="E2502" s="3781"/>
      <c r="F2502" s="3765"/>
    </row>
    <row r="2503" spans="1:9" ht="15.75" hidden="1" outlineLevel="1" thickBot="1">
      <c r="A2503" s="3783"/>
      <c r="B2503" s="3767"/>
      <c r="C2503" s="3767"/>
      <c r="D2503" s="3767"/>
      <c r="E2503" s="3767"/>
      <c r="F2503" s="3766"/>
    </row>
    <row r="2504" spans="1:9" ht="15.75" hidden="1" outlineLevel="1" thickTop="1">
      <c r="A2504" s="7" t="s">
        <v>1645</v>
      </c>
      <c r="B2504" s="5" t="s">
        <v>106</v>
      </c>
      <c r="C2504" s="5" t="s">
        <v>184</v>
      </c>
      <c r="D2504" s="5"/>
      <c r="E2504" s="12">
        <v>0.1</v>
      </c>
      <c r="F2504" s="6">
        <v>23631</v>
      </c>
      <c r="G2504">
        <v>26257</v>
      </c>
    </row>
    <row r="2505" spans="1:9" hidden="1" outlineLevel="1">
      <c r="A2505" s="8"/>
      <c r="B2505" s="1"/>
      <c r="C2505" s="1" t="s">
        <v>185</v>
      </c>
      <c r="D2505" s="5"/>
      <c r="E2505" s="12">
        <v>0.1</v>
      </c>
      <c r="F2505" s="6">
        <v>23631</v>
      </c>
    </row>
    <row r="2506" spans="1:9" hidden="1" outlineLevel="1">
      <c r="A2506" s="8"/>
      <c r="B2506" s="1"/>
      <c r="C2506" s="1" t="s">
        <v>1362</v>
      </c>
      <c r="D2506" s="5"/>
      <c r="E2506" s="12">
        <v>0.15</v>
      </c>
      <c r="F2506" s="6">
        <v>47320</v>
      </c>
      <c r="G2506">
        <v>55670</v>
      </c>
      <c r="H2506">
        <v>41997</v>
      </c>
      <c r="I2506">
        <f>F2506/H2506</f>
        <v>1.1267471486058529</v>
      </c>
    </row>
    <row r="2507" spans="1:9" hidden="1" outlineLevel="1">
      <c r="A2507" s="8"/>
      <c r="B2507" s="1"/>
      <c r="C2507" s="1" t="s">
        <v>1376</v>
      </c>
      <c r="D2507" s="5"/>
      <c r="E2507" s="12">
        <v>0.15</v>
      </c>
      <c r="F2507" s="6">
        <v>47320</v>
      </c>
    </row>
    <row r="2508" spans="1:9" hidden="1" outlineLevel="1">
      <c r="A2508" s="8"/>
      <c r="B2508" s="1"/>
      <c r="C2508" s="1" t="s">
        <v>1363</v>
      </c>
      <c r="D2508" s="5"/>
      <c r="E2508" s="12">
        <v>0.15</v>
      </c>
      <c r="F2508" s="6">
        <v>47320</v>
      </c>
    </row>
    <row r="2509" spans="1:9" hidden="1" outlineLevel="1">
      <c r="A2509" s="8"/>
      <c r="B2509" s="1"/>
      <c r="C2509" s="1" t="s">
        <v>510</v>
      </c>
      <c r="D2509" s="5"/>
      <c r="E2509" s="12">
        <v>0.15</v>
      </c>
      <c r="F2509" s="6">
        <v>47320</v>
      </c>
    </row>
    <row r="2510" spans="1:9" hidden="1" outlineLevel="1">
      <c r="A2510" s="8"/>
      <c r="B2510" s="1"/>
      <c r="C2510" s="1" t="s">
        <v>1375</v>
      </c>
      <c r="D2510" s="5"/>
      <c r="E2510" s="12">
        <v>0.15</v>
      </c>
      <c r="F2510" s="6">
        <v>47320</v>
      </c>
    </row>
    <row r="2511" spans="1:9" hidden="1" outlineLevel="1">
      <c r="A2511" s="8"/>
      <c r="B2511" s="1"/>
      <c r="C2511" s="1" t="s">
        <v>730</v>
      </c>
      <c r="D2511" s="1"/>
      <c r="E2511" s="12">
        <v>0.15</v>
      </c>
      <c r="F2511" s="2">
        <v>6555</v>
      </c>
      <c r="G2511">
        <v>7712</v>
      </c>
    </row>
    <row r="2512" spans="1:9" hidden="1" outlineLevel="1">
      <c r="A2512" s="8"/>
      <c r="B2512" s="1"/>
      <c r="C2512" s="1" t="s">
        <v>554</v>
      </c>
      <c r="D2512" s="1"/>
      <c r="E2512" s="12">
        <v>0.15</v>
      </c>
      <c r="F2512" s="2">
        <v>9374</v>
      </c>
      <c r="G2512">
        <v>11028</v>
      </c>
    </row>
    <row r="2513" spans="1:7" hidden="1" outlineLevel="1">
      <c r="A2513" s="8"/>
      <c r="B2513" s="1"/>
      <c r="C2513" s="1"/>
      <c r="D2513" s="1"/>
      <c r="E2513" s="1"/>
      <c r="F2513" s="2"/>
    </row>
    <row r="2514" spans="1:7" hidden="1" outlineLevel="1">
      <c r="A2514" s="8"/>
      <c r="B2514" s="1"/>
      <c r="C2514" s="1"/>
      <c r="D2514" s="1"/>
      <c r="E2514" s="1"/>
      <c r="F2514" s="2"/>
    </row>
    <row r="2515" spans="1:7" ht="15.75" hidden="1" outlineLevel="1" thickBot="1">
      <c r="A2515" s="9"/>
      <c r="B2515" s="3"/>
      <c r="C2515" s="3"/>
      <c r="D2515" s="3"/>
      <c r="E2515" s="3"/>
      <c r="F2515" s="4"/>
    </row>
    <row r="2516" spans="1:7" ht="16.5" hidden="1" outlineLevel="1" thickTop="1" thickBot="1"/>
    <row r="2517" spans="1:7" ht="15.75" hidden="1" outlineLevel="1" thickTop="1">
      <c r="A2517" s="3782"/>
      <c r="B2517" s="3781"/>
      <c r="C2517" s="3781"/>
      <c r="D2517" s="3781"/>
      <c r="E2517" s="3781"/>
      <c r="F2517" s="3765"/>
    </row>
    <row r="2518" spans="1:7" ht="15.75" hidden="1" outlineLevel="1" thickBot="1">
      <c r="A2518" s="3783"/>
      <c r="B2518" s="3767"/>
      <c r="C2518" s="3767"/>
      <c r="D2518" s="3767"/>
      <c r="E2518" s="3767"/>
      <c r="F2518" s="3766"/>
    </row>
    <row r="2519" spans="1:7" ht="15.75" hidden="1" outlineLevel="1" thickTop="1">
      <c r="A2519" s="7" t="s">
        <v>1656</v>
      </c>
      <c r="B2519" s="5" t="s">
        <v>106</v>
      </c>
      <c r="C2519" s="1" t="s">
        <v>226</v>
      </c>
      <c r="D2519" s="5"/>
      <c r="E2519" s="12">
        <v>0.1</v>
      </c>
      <c r="F2519" s="6">
        <v>7223</v>
      </c>
      <c r="G2519">
        <v>8026</v>
      </c>
    </row>
    <row r="2520" spans="1:7" hidden="1" outlineLevel="1">
      <c r="A2520" s="8"/>
      <c r="B2520" s="1"/>
      <c r="C2520" s="1" t="s">
        <v>227</v>
      </c>
      <c r="D2520" s="5"/>
      <c r="E2520" s="12">
        <v>0.1</v>
      </c>
      <c r="F2520" s="6">
        <v>7223</v>
      </c>
    </row>
    <row r="2521" spans="1:7" hidden="1" outlineLevel="1">
      <c r="A2521" s="8"/>
      <c r="B2521" s="1"/>
      <c r="C2521" s="1" t="s">
        <v>228</v>
      </c>
      <c r="D2521" s="5"/>
      <c r="E2521" s="12">
        <v>0.1</v>
      </c>
      <c r="F2521" s="6">
        <v>7223</v>
      </c>
    </row>
    <row r="2522" spans="1:7" hidden="1" outlineLevel="1">
      <c r="A2522" s="8"/>
      <c r="B2522" s="1"/>
      <c r="C2522" s="1" t="s">
        <v>1270</v>
      </c>
      <c r="D2522" s="5"/>
      <c r="E2522" s="12">
        <v>0.1</v>
      </c>
      <c r="F2522" s="6">
        <v>290996</v>
      </c>
      <c r="G2522">
        <v>323329</v>
      </c>
    </row>
    <row r="2523" spans="1:7" hidden="1" outlineLevel="1">
      <c r="A2523" s="8"/>
      <c r="B2523" s="1"/>
      <c r="C2523" s="1" t="s">
        <v>1271</v>
      </c>
      <c r="D2523" s="5"/>
      <c r="E2523" s="12">
        <v>0.1</v>
      </c>
      <c r="F2523" s="6">
        <v>290996</v>
      </c>
    </row>
    <row r="2524" spans="1:7" hidden="1" outlineLevel="1">
      <c r="A2524" s="8"/>
      <c r="B2524" s="1"/>
      <c r="C2524" s="1" t="s">
        <v>549</v>
      </c>
      <c r="D2524" s="5"/>
      <c r="E2524" s="12">
        <v>0.1</v>
      </c>
      <c r="F2524" s="6">
        <v>272342</v>
      </c>
      <c r="G2524">
        <v>302602</v>
      </c>
    </row>
    <row r="2525" spans="1:7" hidden="1" outlineLevel="1">
      <c r="A2525" s="8"/>
      <c r="B2525" s="1"/>
      <c r="C2525" s="1" t="s">
        <v>1258</v>
      </c>
      <c r="D2525" s="5"/>
      <c r="E2525" s="12">
        <v>0.1</v>
      </c>
      <c r="F2525" s="6">
        <v>272342</v>
      </c>
    </row>
    <row r="2526" spans="1:7" hidden="1" outlineLevel="1">
      <c r="A2526" s="8"/>
      <c r="B2526" s="1"/>
      <c r="C2526" s="1" t="s">
        <v>550</v>
      </c>
      <c r="D2526" s="1"/>
      <c r="E2526" s="12">
        <v>0.1</v>
      </c>
      <c r="F2526" s="2">
        <v>233014</v>
      </c>
      <c r="G2526">
        <v>258904</v>
      </c>
    </row>
    <row r="2527" spans="1:7" hidden="1" outlineLevel="1">
      <c r="A2527" s="8"/>
      <c r="B2527" s="1"/>
      <c r="C2527" s="1" t="s">
        <v>1259</v>
      </c>
      <c r="D2527" s="1"/>
      <c r="E2527" s="12">
        <v>0.1</v>
      </c>
      <c r="F2527" s="2">
        <v>233014</v>
      </c>
    </row>
    <row r="2528" spans="1:7" hidden="1" outlineLevel="1">
      <c r="A2528" s="8"/>
      <c r="B2528" s="1"/>
      <c r="C2528" s="1" t="s">
        <v>1027</v>
      </c>
      <c r="D2528" s="1"/>
      <c r="E2528" s="12">
        <v>0.1</v>
      </c>
      <c r="F2528" s="2">
        <v>117774</v>
      </c>
      <c r="G2528">
        <v>130860</v>
      </c>
    </row>
    <row r="2529" spans="1:7" hidden="1" outlineLevel="1">
      <c r="A2529" s="8"/>
      <c r="B2529" s="1"/>
      <c r="C2529" s="1" t="s">
        <v>1176</v>
      </c>
      <c r="D2529" s="1"/>
      <c r="E2529" s="12">
        <v>0.1</v>
      </c>
      <c r="F2529" s="2">
        <v>117774</v>
      </c>
    </row>
    <row r="2530" spans="1:7" ht="15.75" hidden="1" outlineLevel="1" thickBot="1">
      <c r="A2530" s="9"/>
      <c r="B2530" s="3"/>
      <c r="C2530" s="3"/>
      <c r="D2530" s="3"/>
      <c r="E2530" s="3"/>
      <c r="F2530" s="4"/>
    </row>
    <row r="2531" spans="1:7" ht="16.5" hidden="1" outlineLevel="1" thickTop="1" thickBot="1"/>
    <row r="2532" spans="1:7" ht="15.75" hidden="1" outlineLevel="1" thickTop="1">
      <c r="A2532" s="3782"/>
      <c r="B2532" s="3781"/>
      <c r="C2532" s="3781"/>
      <c r="D2532" s="3781"/>
      <c r="E2532" s="3781"/>
      <c r="F2532" s="3765"/>
    </row>
    <row r="2533" spans="1:7" ht="15.75" hidden="1" outlineLevel="1" thickBot="1">
      <c r="A2533" s="3783"/>
      <c r="B2533" s="3767"/>
      <c r="C2533" s="3767"/>
      <c r="D2533" s="3767"/>
      <c r="E2533" s="3767"/>
      <c r="F2533" s="3766"/>
    </row>
    <row r="2534" spans="1:7" ht="15.75" hidden="1" outlineLevel="1" thickTop="1">
      <c r="A2534" s="7" t="s">
        <v>1662</v>
      </c>
      <c r="B2534" s="5" t="s">
        <v>106</v>
      </c>
      <c r="C2534" s="1" t="s">
        <v>1374</v>
      </c>
      <c r="D2534" s="5"/>
      <c r="E2534" s="12">
        <v>7.0000000000000007E-2</v>
      </c>
      <c r="F2534" s="6">
        <v>8803</v>
      </c>
      <c r="G2534">
        <v>9437</v>
      </c>
    </row>
    <row r="2535" spans="1:7" hidden="1" outlineLevel="1">
      <c r="A2535" s="8"/>
      <c r="B2535" s="1"/>
      <c r="C2535" s="1" t="s">
        <v>1301</v>
      </c>
      <c r="D2535" s="5"/>
      <c r="E2535" s="12">
        <v>7.0000000000000007E-2</v>
      </c>
      <c r="F2535" s="6">
        <v>8803</v>
      </c>
    </row>
    <row r="2536" spans="1:7" hidden="1" outlineLevel="1">
      <c r="A2536" s="8"/>
      <c r="B2536" s="1"/>
      <c r="C2536" s="1" t="s">
        <v>1440</v>
      </c>
      <c r="D2536" s="5"/>
      <c r="E2536" s="12">
        <v>7.0000000000000007E-2</v>
      </c>
      <c r="F2536" s="6">
        <v>8803</v>
      </c>
    </row>
    <row r="2537" spans="1:7" hidden="1" outlineLevel="1">
      <c r="A2537" s="8"/>
      <c r="B2537" s="1"/>
      <c r="C2537" s="1" t="s">
        <v>522</v>
      </c>
      <c r="D2537" s="5"/>
      <c r="E2537" s="12">
        <v>7.0000000000000007E-2</v>
      </c>
      <c r="F2537" s="6">
        <v>8803</v>
      </c>
    </row>
    <row r="2538" spans="1:7" hidden="1" outlineLevel="1">
      <c r="A2538" s="8"/>
      <c r="B2538" s="1"/>
      <c r="C2538" s="1" t="s">
        <v>1373</v>
      </c>
      <c r="D2538" s="5"/>
      <c r="E2538" s="12">
        <v>7.0000000000000007E-2</v>
      </c>
      <c r="F2538" s="6">
        <v>8803</v>
      </c>
    </row>
    <row r="2539" spans="1:7" hidden="1" outlineLevel="1">
      <c r="A2539" s="8"/>
      <c r="B2539" s="1"/>
      <c r="C2539" s="1"/>
      <c r="D2539" s="5"/>
      <c r="E2539" s="12"/>
      <c r="F2539" s="6"/>
    </row>
    <row r="2540" spans="1:7" hidden="1" outlineLevel="1">
      <c r="A2540" s="8"/>
      <c r="B2540" s="1"/>
      <c r="C2540" s="1"/>
      <c r="D2540" s="5"/>
      <c r="E2540" s="12"/>
      <c r="F2540" s="6"/>
    </row>
    <row r="2541" spans="1:7" hidden="1" outlineLevel="1">
      <c r="A2541" s="8"/>
      <c r="B2541" s="1"/>
      <c r="C2541" s="1"/>
      <c r="D2541" s="1"/>
      <c r="E2541" s="12"/>
      <c r="F2541" s="2"/>
    </row>
    <row r="2542" spans="1:7" hidden="1" outlineLevel="1">
      <c r="A2542" s="8"/>
      <c r="B2542" s="1"/>
      <c r="C2542" s="1"/>
      <c r="D2542" s="1"/>
      <c r="E2542" s="12"/>
      <c r="F2542" s="2"/>
    </row>
    <row r="2543" spans="1:7" hidden="1" outlineLevel="1">
      <c r="A2543" s="8"/>
      <c r="B2543" s="1"/>
      <c r="C2543" s="1"/>
      <c r="D2543" s="1"/>
      <c r="E2543" s="12"/>
      <c r="F2543" s="2"/>
    </row>
    <row r="2544" spans="1:7" hidden="1" outlineLevel="1">
      <c r="A2544" s="8"/>
      <c r="B2544" s="1"/>
      <c r="C2544" s="1"/>
      <c r="D2544" s="1"/>
      <c r="E2544" s="12"/>
      <c r="F2544" s="2"/>
    </row>
    <row r="2545" spans="1:7" ht="15.75" hidden="1" outlineLevel="1" thickBot="1">
      <c r="A2545" s="9"/>
      <c r="B2545" s="3"/>
      <c r="C2545" s="3"/>
      <c r="D2545" s="3"/>
      <c r="E2545" s="3"/>
      <c r="F2545" s="4"/>
    </row>
    <row r="2546" spans="1:7" ht="16.5" hidden="1" outlineLevel="1" thickTop="1" thickBot="1"/>
    <row r="2547" spans="1:7" ht="15.75" hidden="1" outlineLevel="1" thickTop="1">
      <c r="A2547" s="3782"/>
      <c r="B2547" s="3781"/>
      <c r="C2547" s="3781"/>
      <c r="D2547" s="3781"/>
      <c r="E2547" s="3781"/>
      <c r="F2547" s="3765"/>
    </row>
    <row r="2548" spans="1:7" ht="15.75" hidden="1" outlineLevel="1" thickBot="1">
      <c r="A2548" s="3783"/>
      <c r="B2548" s="3767"/>
      <c r="C2548" s="3767"/>
      <c r="D2548" s="3767"/>
      <c r="E2548" s="3767"/>
      <c r="F2548" s="3766"/>
    </row>
    <row r="2549" spans="1:7" ht="15.75" hidden="1" outlineLevel="1" thickTop="1">
      <c r="A2549" s="7" t="s">
        <v>1667</v>
      </c>
      <c r="B2549" s="5" t="s">
        <v>106</v>
      </c>
      <c r="C2549" s="1" t="s">
        <v>1346</v>
      </c>
      <c r="D2549" s="5"/>
      <c r="E2549" s="12">
        <v>0.15</v>
      </c>
      <c r="F2549" s="6">
        <v>2416</v>
      </c>
      <c r="G2549">
        <v>2842</v>
      </c>
    </row>
    <row r="2550" spans="1:7" hidden="1" outlineLevel="1">
      <c r="A2550" s="8"/>
      <c r="B2550" s="1"/>
      <c r="C2550" s="1" t="s">
        <v>1347</v>
      </c>
      <c r="D2550" s="5"/>
      <c r="E2550" s="12">
        <v>0.15</v>
      </c>
      <c r="F2550" s="6">
        <v>2416</v>
      </c>
    </row>
    <row r="2551" spans="1:7" hidden="1" outlineLevel="1">
      <c r="A2551" s="8"/>
      <c r="B2551" s="1"/>
      <c r="C2551" s="1" t="s">
        <v>1326</v>
      </c>
      <c r="D2551" s="5"/>
      <c r="E2551" s="12">
        <v>0.15</v>
      </c>
      <c r="F2551" s="6">
        <v>2416</v>
      </c>
    </row>
    <row r="2552" spans="1:7" hidden="1" outlineLevel="1">
      <c r="A2552" s="8"/>
      <c r="B2552" s="1"/>
      <c r="C2552" s="1" t="s">
        <v>1327</v>
      </c>
      <c r="D2552" s="5"/>
      <c r="E2552" s="12">
        <v>0.15</v>
      </c>
      <c r="F2552" s="6">
        <v>2416</v>
      </c>
    </row>
    <row r="2553" spans="1:7" hidden="1" outlineLevel="1">
      <c r="A2553" s="8"/>
      <c r="B2553" s="1"/>
      <c r="C2553" s="1" t="s">
        <v>1325</v>
      </c>
      <c r="D2553" s="5"/>
      <c r="E2553" s="12">
        <v>0.15</v>
      </c>
      <c r="F2553" s="6">
        <v>2416</v>
      </c>
    </row>
    <row r="2554" spans="1:7" hidden="1" outlineLevel="1">
      <c r="A2554" s="8"/>
      <c r="B2554" s="1"/>
      <c r="C2554" s="1"/>
      <c r="D2554" s="5"/>
      <c r="E2554" s="12"/>
      <c r="F2554" s="6"/>
    </row>
    <row r="2555" spans="1:7" hidden="1" outlineLevel="1">
      <c r="A2555" s="8"/>
      <c r="B2555" s="1"/>
      <c r="C2555" s="1"/>
      <c r="D2555" s="5"/>
      <c r="E2555" s="12"/>
      <c r="F2555" s="6"/>
    </row>
    <row r="2556" spans="1:7" hidden="1" outlineLevel="1">
      <c r="A2556" s="8"/>
      <c r="B2556" s="1"/>
      <c r="C2556" s="1"/>
      <c r="D2556" s="1"/>
      <c r="E2556" s="12"/>
      <c r="F2556" s="2"/>
    </row>
    <row r="2557" spans="1:7" hidden="1" outlineLevel="1">
      <c r="A2557" s="8"/>
      <c r="B2557" s="1"/>
      <c r="C2557" s="1"/>
      <c r="D2557" s="1"/>
      <c r="E2557" s="12"/>
      <c r="F2557" s="2"/>
    </row>
    <row r="2558" spans="1:7" hidden="1" outlineLevel="1">
      <c r="A2558" s="8"/>
      <c r="B2558" s="1"/>
      <c r="C2558" s="1"/>
      <c r="D2558" s="1"/>
      <c r="E2558" s="12"/>
      <c r="F2558" s="2"/>
    </row>
    <row r="2559" spans="1:7" hidden="1" outlineLevel="1">
      <c r="A2559" s="8"/>
      <c r="B2559" s="1"/>
      <c r="C2559" s="1"/>
      <c r="D2559" s="1"/>
      <c r="E2559" s="12"/>
      <c r="F2559" s="2"/>
    </row>
    <row r="2560" spans="1:7" ht="15.75" hidden="1" outlineLevel="1" thickBot="1">
      <c r="A2560" s="9"/>
      <c r="B2560" s="3"/>
      <c r="C2560" s="3"/>
      <c r="D2560" s="3"/>
      <c r="E2560" s="3"/>
      <c r="F2560" s="4"/>
    </row>
    <row r="2561" spans="1:7" ht="16.5" hidden="1" outlineLevel="1" thickTop="1" thickBot="1"/>
    <row r="2562" spans="1:7" ht="15.75" hidden="1" outlineLevel="1" thickTop="1">
      <c r="A2562" s="3782"/>
      <c r="B2562" s="3781"/>
      <c r="C2562" s="3781"/>
      <c r="D2562" s="3781"/>
      <c r="E2562" s="3781"/>
      <c r="F2562" s="3765"/>
    </row>
    <row r="2563" spans="1:7" ht="15.75" hidden="1" outlineLevel="1" thickBot="1">
      <c r="A2563" s="3783"/>
      <c r="B2563" s="3767"/>
      <c r="C2563" s="3767"/>
      <c r="D2563" s="3767"/>
      <c r="E2563" s="3767"/>
      <c r="F2563" s="3766"/>
    </row>
    <row r="2564" spans="1:7" ht="15.75" hidden="1" outlineLevel="1" thickTop="1">
      <c r="A2564" s="7" t="s">
        <v>1682</v>
      </c>
      <c r="B2564" s="5" t="s">
        <v>106</v>
      </c>
      <c r="C2564" s="1" t="s">
        <v>1315</v>
      </c>
      <c r="D2564" s="5"/>
      <c r="E2564" s="12">
        <v>0.15</v>
      </c>
      <c r="F2564" s="6">
        <v>12087</v>
      </c>
      <c r="G2564">
        <v>14220</v>
      </c>
    </row>
    <row r="2565" spans="1:7" hidden="1" outlineLevel="1">
      <c r="A2565" s="8"/>
      <c r="B2565" s="1"/>
      <c r="C2565" s="1" t="s">
        <v>1316</v>
      </c>
      <c r="D2565" s="5"/>
      <c r="E2565" s="12">
        <v>0.15</v>
      </c>
      <c r="F2565" s="6">
        <v>12087</v>
      </c>
    </row>
    <row r="2566" spans="1:7" hidden="1" outlineLevel="1">
      <c r="A2566" s="8"/>
      <c r="B2566" s="1"/>
      <c r="C2566" s="1" t="s">
        <v>1317</v>
      </c>
      <c r="D2566" s="5"/>
      <c r="E2566" s="12">
        <v>0.15</v>
      </c>
      <c r="F2566" s="6">
        <v>12087</v>
      </c>
    </row>
    <row r="2567" spans="1:7" hidden="1" outlineLevel="1">
      <c r="A2567" s="8"/>
      <c r="B2567" s="1"/>
      <c r="C2567" s="1"/>
      <c r="D2567" s="5"/>
      <c r="E2567" s="12"/>
      <c r="F2567" s="6"/>
    </row>
    <row r="2568" spans="1:7" hidden="1" outlineLevel="1">
      <c r="A2568" s="8"/>
      <c r="B2568" s="1"/>
      <c r="C2568" s="1"/>
      <c r="D2568" s="5"/>
      <c r="E2568" s="12"/>
      <c r="F2568" s="6"/>
    </row>
    <row r="2569" spans="1:7" hidden="1" outlineLevel="1">
      <c r="A2569" s="8"/>
      <c r="B2569" s="1"/>
      <c r="C2569" s="1"/>
      <c r="D2569" s="5"/>
      <c r="E2569" s="12"/>
      <c r="F2569" s="6"/>
    </row>
    <row r="2570" spans="1:7" hidden="1" outlineLevel="1">
      <c r="A2570" s="8"/>
      <c r="B2570" s="1"/>
      <c r="C2570" s="1"/>
      <c r="D2570" s="5"/>
      <c r="E2570" s="12"/>
      <c r="F2570" s="6"/>
    </row>
    <row r="2571" spans="1:7" hidden="1" outlineLevel="1">
      <c r="A2571" s="8"/>
      <c r="B2571" s="1"/>
      <c r="C2571" s="1"/>
      <c r="D2571" s="1"/>
      <c r="E2571" s="12"/>
      <c r="F2571" s="2"/>
    </row>
    <row r="2572" spans="1:7" hidden="1" outlineLevel="1">
      <c r="A2572" s="8"/>
      <c r="B2572" s="1"/>
      <c r="C2572" s="1"/>
      <c r="D2572" s="1"/>
      <c r="E2572" s="12"/>
      <c r="F2572" s="2"/>
    </row>
    <row r="2573" spans="1:7" hidden="1" outlineLevel="1">
      <c r="A2573" s="8"/>
      <c r="B2573" s="1"/>
      <c r="C2573" s="1"/>
      <c r="D2573" s="1"/>
      <c r="E2573" s="12"/>
      <c r="F2573" s="2"/>
    </row>
    <row r="2574" spans="1:7" hidden="1" outlineLevel="1">
      <c r="A2574" s="8"/>
      <c r="B2574" s="1"/>
      <c r="C2574" s="1"/>
      <c r="D2574" s="1"/>
      <c r="E2574" s="12"/>
      <c r="F2574" s="2"/>
    </row>
    <row r="2575" spans="1:7" ht="15.75" hidden="1" outlineLevel="1" thickBot="1">
      <c r="A2575" s="9"/>
      <c r="B2575" s="3"/>
      <c r="C2575" s="3"/>
      <c r="D2575" s="3"/>
      <c r="E2575" s="3"/>
      <c r="F2575" s="4"/>
    </row>
    <row r="2576" spans="1:7" ht="16.5" hidden="1" outlineLevel="1" thickTop="1" thickBot="1"/>
    <row r="2577" spans="1:7" ht="15.75" hidden="1" outlineLevel="1" thickTop="1">
      <c r="A2577" s="3782"/>
      <c r="B2577" s="3781"/>
      <c r="C2577" s="3781"/>
      <c r="D2577" s="3781"/>
      <c r="E2577" s="3781"/>
      <c r="F2577" s="3765"/>
    </row>
    <row r="2578" spans="1:7" ht="15.75" hidden="1" outlineLevel="1" thickBot="1">
      <c r="A2578" s="3783"/>
      <c r="B2578" s="3767"/>
      <c r="C2578" s="3767"/>
      <c r="D2578" s="3767"/>
      <c r="E2578" s="3767"/>
      <c r="F2578" s="3766"/>
    </row>
    <row r="2579" spans="1:7" ht="15.75" hidden="1" outlineLevel="1" thickTop="1">
      <c r="A2579" s="7" t="s">
        <v>1689</v>
      </c>
      <c r="B2579" s="5" t="s">
        <v>114</v>
      </c>
      <c r="C2579" s="1" t="s">
        <v>623</v>
      </c>
      <c r="D2579" s="5"/>
      <c r="E2579" s="12">
        <v>0.24</v>
      </c>
      <c r="F2579" s="6">
        <v>19234</v>
      </c>
      <c r="G2579">
        <v>25307</v>
      </c>
    </row>
    <row r="2580" spans="1:7" hidden="1" outlineLevel="1">
      <c r="A2580" s="8"/>
      <c r="B2580" s="1"/>
      <c r="C2580" s="1"/>
      <c r="D2580" s="5"/>
      <c r="E2580" s="12"/>
      <c r="F2580" s="6"/>
    </row>
    <row r="2581" spans="1:7" hidden="1" outlineLevel="1">
      <c r="A2581" s="8"/>
      <c r="B2581" s="1"/>
      <c r="C2581" s="1"/>
      <c r="D2581" s="5"/>
      <c r="E2581" s="12"/>
      <c r="F2581" s="6"/>
    </row>
    <row r="2582" spans="1:7" hidden="1" outlineLevel="1">
      <c r="A2582" s="8"/>
      <c r="B2582" s="1"/>
      <c r="C2582" s="1"/>
      <c r="D2582" s="5"/>
      <c r="E2582" s="12"/>
      <c r="F2582" s="6"/>
    </row>
    <row r="2583" spans="1:7" hidden="1" outlineLevel="1">
      <c r="A2583" s="8"/>
      <c r="B2583" s="1"/>
      <c r="C2583" s="1"/>
      <c r="D2583" s="5"/>
      <c r="E2583" s="12"/>
      <c r="F2583" s="6"/>
    </row>
    <row r="2584" spans="1:7" hidden="1" outlineLevel="1">
      <c r="A2584" s="8"/>
      <c r="B2584" s="1"/>
      <c r="C2584" s="1"/>
      <c r="D2584" s="5"/>
      <c r="E2584" s="12"/>
      <c r="F2584" s="6"/>
    </row>
    <row r="2585" spans="1:7" hidden="1" outlineLevel="1">
      <c r="A2585" s="8"/>
      <c r="B2585" s="1"/>
      <c r="C2585" s="1"/>
      <c r="D2585" s="5"/>
      <c r="E2585" s="12"/>
      <c r="F2585" s="6"/>
    </row>
    <row r="2586" spans="1:7" hidden="1" outlineLevel="1">
      <c r="A2586" s="8"/>
      <c r="B2586" s="1"/>
      <c r="C2586" s="1"/>
      <c r="D2586" s="1"/>
      <c r="E2586" s="12"/>
      <c r="F2586" s="2"/>
    </row>
    <row r="2587" spans="1:7" hidden="1" outlineLevel="1">
      <c r="A2587" s="8"/>
      <c r="B2587" s="1"/>
      <c r="C2587" s="1"/>
      <c r="D2587" s="1"/>
      <c r="E2587" s="12"/>
      <c r="F2587" s="2"/>
    </row>
    <row r="2588" spans="1:7" hidden="1" outlineLevel="1">
      <c r="A2588" s="8"/>
      <c r="B2588" s="1"/>
      <c r="C2588" s="1"/>
      <c r="D2588" s="1"/>
      <c r="E2588" s="12"/>
      <c r="F2588" s="2"/>
    </row>
    <row r="2589" spans="1:7" hidden="1" outlineLevel="1">
      <c r="A2589" s="8"/>
      <c r="B2589" s="1"/>
      <c r="C2589" s="1"/>
      <c r="D2589" s="1"/>
      <c r="E2589" s="12"/>
      <c r="F2589" s="2"/>
    </row>
    <row r="2590" spans="1:7" ht="15.75" hidden="1" outlineLevel="1" thickBot="1">
      <c r="A2590" s="9"/>
      <c r="B2590" s="3"/>
      <c r="C2590" s="3"/>
      <c r="D2590" s="3"/>
      <c r="E2590" s="3"/>
      <c r="F2590" s="4"/>
    </row>
    <row r="2591" spans="1:7" ht="16.5" hidden="1" outlineLevel="1" thickTop="1" thickBot="1"/>
    <row r="2592" spans="1:7" ht="15.75" hidden="1" outlineLevel="1" thickTop="1">
      <c r="A2592" s="3782"/>
      <c r="B2592" s="3781"/>
      <c r="C2592" s="3781"/>
      <c r="D2592" s="3781"/>
      <c r="E2592" s="3781"/>
      <c r="F2592" s="3765"/>
    </row>
    <row r="2593" spans="1:8" ht="15.75" hidden="1" outlineLevel="1" thickBot="1">
      <c r="A2593" s="3783"/>
      <c r="B2593" s="3767"/>
      <c r="C2593" s="3767"/>
      <c r="D2593" s="3767"/>
      <c r="E2593" s="3767"/>
      <c r="F2593" s="3766"/>
    </row>
    <row r="2594" spans="1:8" ht="15.75" hidden="1" outlineLevel="1" thickTop="1">
      <c r="A2594" s="7" t="s">
        <v>1699</v>
      </c>
      <c r="B2594" s="5" t="s">
        <v>106</v>
      </c>
      <c r="C2594" s="1" t="s">
        <v>154</v>
      </c>
      <c r="D2594" s="5"/>
      <c r="E2594" s="12">
        <v>0.15</v>
      </c>
      <c r="F2594" s="6">
        <v>8934</v>
      </c>
      <c r="G2594">
        <v>10510</v>
      </c>
      <c r="H2594">
        <f>G2594/10000</f>
        <v>1.0509999999999999</v>
      </c>
    </row>
    <row r="2595" spans="1:8" hidden="1" outlineLevel="1">
      <c r="A2595" s="8"/>
      <c r="B2595" s="1"/>
      <c r="C2595" s="1" t="s">
        <v>1058</v>
      </c>
      <c r="D2595" s="5"/>
      <c r="E2595" s="12">
        <v>0.15</v>
      </c>
      <c r="F2595" s="6">
        <v>16209</v>
      </c>
      <c r="G2595">
        <v>19069</v>
      </c>
      <c r="H2595">
        <f>G2595/10000</f>
        <v>1.9069</v>
      </c>
    </row>
    <row r="2596" spans="1:8" hidden="1" outlineLevel="1">
      <c r="A2596" s="8"/>
      <c r="B2596" s="1"/>
      <c r="C2596" s="1" t="s">
        <v>474</v>
      </c>
      <c r="D2596" s="5"/>
      <c r="E2596" s="12">
        <v>0.15</v>
      </c>
      <c r="F2596" s="6">
        <v>7239</v>
      </c>
      <c r="G2596">
        <v>8516</v>
      </c>
      <c r="H2596">
        <f>G2596/10000</f>
        <v>0.85160000000000002</v>
      </c>
    </row>
    <row r="2597" spans="1:8" hidden="1" outlineLevel="1">
      <c r="A2597" s="8"/>
      <c r="B2597" s="1"/>
      <c r="C2597" s="1" t="s">
        <v>473</v>
      </c>
      <c r="D2597" s="5"/>
      <c r="E2597" s="12">
        <v>0.15</v>
      </c>
      <c r="F2597" s="6">
        <v>7239</v>
      </c>
    </row>
    <row r="2598" spans="1:8" hidden="1" outlineLevel="1">
      <c r="A2598" s="8"/>
      <c r="B2598" s="1"/>
      <c r="C2598" s="1"/>
      <c r="D2598" s="5"/>
      <c r="E2598" s="12"/>
      <c r="F2598" s="6"/>
    </row>
    <row r="2599" spans="1:8" hidden="1" outlineLevel="1">
      <c r="A2599" s="8"/>
      <c r="B2599" s="1"/>
      <c r="C2599" s="1"/>
      <c r="D2599" s="5"/>
      <c r="E2599" s="12"/>
      <c r="F2599" s="6"/>
    </row>
    <row r="2600" spans="1:8" hidden="1" outlineLevel="1">
      <c r="A2600" s="8"/>
      <c r="B2600" s="1"/>
      <c r="C2600" s="1"/>
      <c r="D2600" s="5"/>
      <c r="E2600" s="12"/>
      <c r="F2600" s="6"/>
    </row>
    <row r="2601" spans="1:8" hidden="1" outlineLevel="1">
      <c r="A2601" s="8"/>
      <c r="B2601" s="1"/>
      <c r="C2601" s="1"/>
      <c r="D2601" s="1"/>
      <c r="E2601" s="12"/>
      <c r="F2601" s="2"/>
    </row>
    <row r="2602" spans="1:8" hidden="1" outlineLevel="1">
      <c r="A2602" s="8"/>
      <c r="B2602" s="1"/>
      <c r="C2602" s="1"/>
      <c r="D2602" s="1"/>
      <c r="E2602" s="12"/>
      <c r="F2602" s="2"/>
    </row>
    <row r="2603" spans="1:8" hidden="1" outlineLevel="1">
      <c r="A2603" s="8"/>
      <c r="B2603" s="1"/>
      <c r="C2603" s="1"/>
      <c r="D2603" s="1"/>
      <c r="E2603" s="12"/>
      <c r="F2603" s="2"/>
    </row>
    <row r="2604" spans="1:8" hidden="1" outlineLevel="1">
      <c r="A2604" s="8"/>
      <c r="B2604" s="1"/>
      <c r="C2604" s="1"/>
      <c r="D2604" s="1"/>
      <c r="E2604" s="12"/>
      <c r="F2604" s="2"/>
    </row>
    <row r="2605" spans="1:8" ht="15.75" hidden="1" outlineLevel="1" thickBot="1">
      <c r="A2605" s="9"/>
      <c r="B2605" s="3"/>
      <c r="C2605" s="3"/>
      <c r="D2605" s="3"/>
      <c r="E2605" s="3"/>
      <c r="F2605" s="4"/>
    </row>
    <row r="2606" spans="1:8" ht="16.5" hidden="1" outlineLevel="1" thickTop="1" thickBot="1"/>
    <row r="2607" spans="1:8" ht="15.75" hidden="1" outlineLevel="1" thickTop="1">
      <c r="A2607" s="3782"/>
      <c r="B2607" s="3781"/>
      <c r="C2607" s="3781"/>
      <c r="D2607" s="3781"/>
      <c r="E2607" s="3781"/>
      <c r="F2607" s="3765"/>
    </row>
    <row r="2608" spans="1:8" ht="15.75" hidden="1" outlineLevel="1" thickBot="1">
      <c r="A2608" s="3783"/>
      <c r="B2608" s="3767"/>
      <c r="C2608" s="3767"/>
      <c r="D2608" s="3767"/>
      <c r="E2608" s="3767"/>
      <c r="F2608" s="3766"/>
    </row>
    <row r="2609" spans="1:8" ht="15.75" hidden="1" outlineLevel="1" thickTop="1">
      <c r="A2609" s="7" t="s">
        <v>1700</v>
      </c>
      <c r="B2609" s="5" t="s">
        <v>1171</v>
      </c>
      <c r="C2609" s="1" t="s">
        <v>1315</v>
      </c>
      <c r="D2609" s="5"/>
      <c r="E2609" s="12">
        <v>0.15</v>
      </c>
      <c r="F2609" s="6">
        <v>12087</v>
      </c>
      <c r="G2609">
        <v>14220</v>
      </c>
    </row>
    <row r="2610" spans="1:8" hidden="1" outlineLevel="1">
      <c r="A2610" s="8"/>
      <c r="B2610" s="1"/>
      <c r="C2610" s="1" t="s">
        <v>1316</v>
      </c>
      <c r="D2610" s="5"/>
      <c r="E2610" s="12">
        <v>0.15</v>
      </c>
      <c r="F2610" s="6">
        <v>12087</v>
      </c>
    </row>
    <row r="2611" spans="1:8" hidden="1" outlineLevel="1">
      <c r="A2611" s="8"/>
      <c r="B2611" s="1"/>
      <c r="C2611" s="1" t="s">
        <v>1317</v>
      </c>
      <c r="D2611" s="5"/>
      <c r="E2611" s="12">
        <v>0.15</v>
      </c>
      <c r="F2611" s="6">
        <v>12087</v>
      </c>
    </row>
    <row r="2612" spans="1:8" hidden="1" outlineLevel="1">
      <c r="A2612" s="8"/>
      <c r="B2612" s="1"/>
      <c r="C2612" s="1" t="s">
        <v>554</v>
      </c>
      <c r="D2612" s="5"/>
      <c r="E2612" s="12">
        <v>0.15</v>
      </c>
      <c r="F2612" s="6">
        <v>11028</v>
      </c>
      <c r="G2612">
        <v>9374</v>
      </c>
    </row>
    <row r="2613" spans="1:8" hidden="1" outlineLevel="1">
      <c r="A2613" s="8"/>
      <c r="B2613" s="1"/>
      <c r="C2613" s="1" t="s">
        <v>1058</v>
      </c>
      <c r="D2613" s="5"/>
      <c r="E2613" s="12">
        <v>0.15</v>
      </c>
      <c r="F2613" s="6">
        <v>16209</v>
      </c>
      <c r="G2613">
        <v>19069</v>
      </c>
    </row>
    <row r="2614" spans="1:8" hidden="1" outlineLevel="1">
      <c r="A2614" s="8"/>
      <c r="B2614" s="1"/>
      <c r="C2614" s="1"/>
      <c r="D2614" s="5"/>
      <c r="E2614" s="12"/>
      <c r="F2614" s="6"/>
    </row>
    <row r="2615" spans="1:8" hidden="1" outlineLevel="1">
      <c r="A2615" s="8"/>
      <c r="B2615" s="1"/>
      <c r="C2615" s="1"/>
      <c r="D2615" s="5"/>
      <c r="E2615" s="12"/>
      <c r="F2615" s="6"/>
    </row>
    <row r="2616" spans="1:8" hidden="1" outlineLevel="1">
      <c r="A2616" s="8"/>
      <c r="B2616" s="1"/>
      <c r="C2616" s="1"/>
      <c r="D2616" s="1"/>
      <c r="E2616" s="12"/>
      <c r="F2616" s="2"/>
    </row>
    <row r="2617" spans="1:8" hidden="1" outlineLevel="1">
      <c r="A2617" s="8"/>
      <c r="B2617" s="1"/>
      <c r="C2617" s="1"/>
      <c r="D2617" s="1"/>
      <c r="E2617" s="12"/>
      <c r="F2617" s="2"/>
    </row>
    <row r="2618" spans="1:8" hidden="1" outlineLevel="1">
      <c r="A2618" s="8"/>
      <c r="B2618" s="1"/>
      <c r="C2618" s="1"/>
      <c r="D2618" s="1"/>
      <c r="E2618" s="12"/>
      <c r="F2618" s="2"/>
    </row>
    <row r="2619" spans="1:8" hidden="1" outlineLevel="1">
      <c r="A2619" s="8"/>
      <c r="B2619" s="1"/>
      <c r="C2619" s="1"/>
      <c r="D2619" s="1"/>
      <c r="E2619" s="12"/>
      <c r="F2619" s="2"/>
    </row>
    <row r="2620" spans="1:8" ht="15.75" hidden="1" outlineLevel="1" thickBot="1">
      <c r="A2620" s="9"/>
      <c r="B2620" s="3"/>
      <c r="C2620" s="3"/>
      <c r="D2620" s="3"/>
      <c r="E2620" s="3"/>
      <c r="F2620" s="4"/>
    </row>
    <row r="2621" spans="1:8" ht="16.5" hidden="1" outlineLevel="1" thickTop="1" thickBot="1"/>
    <row r="2622" spans="1:8" ht="15.75" hidden="1" outlineLevel="1" thickTop="1">
      <c r="A2622" s="3782"/>
      <c r="B2622" s="3781"/>
      <c r="C2622" s="3781"/>
      <c r="D2622" s="3781"/>
      <c r="E2622" s="3781"/>
      <c r="F2622" s="3765"/>
    </row>
    <row r="2623" spans="1:8" ht="15.75" hidden="1" outlineLevel="1" thickBot="1">
      <c r="A2623" s="3783"/>
      <c r="B2623" s="3767"/>
      <c r="C2623" s="3767"/>
      <c r="D2623" s="3767"/>
      <c r="E2623" s="3767"/>
      <c r="F2623" s="3766"/>
    </row>
    <row r="2624" spans="1:8" ht="15.75" hidden="1" outlineLevel="1" thickTop="1">
      <c r="A2624" s="7" t="s">
        <v>1709</v>
      </c>
      <c r="B2624" s="5" t="s">
        <v>1171</v>
      </c>
      <c r="C2624" s="31" t="s">
        <v>1315</v>
      </c>
      <c r="D2624" s="288"/>
      <c r="E2624" s="343"/>
      <c r="F2624" s="291">
        <v>0.9</v>
      </c>
      <c r="H2624">
        <v>14</v>
      </c>
    </row>
    <row r="2625" spans="1:10" hidden="1" outlineLevel="1">
      <c r="A2625" s="8"/>
      <c r="B2625" s="1"/>
      <c r="C2625" s="31" t="s">
        <v>1316</v>
      </c>
      <c r="D2625" s="288"/>
      <c r="E2625" s="343"/>
      <c r="F2625" s="291">
        <v>0.9</v>
      </c>
    </row>
    <row r="2626" spans="1:10" hidden="1" outlineLevel="1">
      <c r="A2626" s="8"/>
      <c r="B2626" s="1"/>
      <c r="C2626" s="31" t="s">
        <v>1317</v>
      </c>
      <c r="D2626" s="288"/>
      <c r="E2626" s="343"/>
      <c r="F2626" s="291">
        <v>0.9</v>
      </c>
    </row>
    <row r="2627" spans="1:10" hidden="1" outlineLevel="1">
      <c r="A2627" s="8"/>
      <c r="B2627" s="1"/>
      <c r="C2627" s="31" t="s">
        <v>1058</v>
      </c>
      <c r="D2627" s="288"/>
      <c r="E2627" s="343"/>
      <c r="F2627" s="291">
        <v>1.26</v>
      </c>
      <c r="H2627">
        <v>12600</v>
      </c>
      <c r="I2627">
        <v>19069</v>
      </c>
      <c r="J2627">
        <f>H2627/I2627</f>
        <v>0.66075829880958625</v>
      </c>
    </row>
    <row r="2628" spans="1:10" hidden="1" outlineLevel="1">
      <c r="A2628" s="8"/>
      <c r="B2628" s="1"/>
      <c r="C2628" s="31" t="s">
        <v>1346</v>
      </c>
      <c r="D2628" s="288"/>
      <c r="E2628" s="343"/>
      <c r="F2628" s="291">
        <v>0.21</v>
      </c>
    </row>
    <row r="2629" spans="1:10" hidden="1" outlineLevel="1">
      <c r="A2629" s="8"/>
      <c r="B2629" s="1"/>
      <c r="C2629" s="31" t="s">
        <v>1347</v>
      </c>
      <c r="D2629" s="288"/>
      <c r="E2629" s="343"/>
      <c r="F2629" s="291">
        <v>0.21</v>
      </c>
    </row>
    <row r="2630" spans="1:10" hidden="1" outlineLevel="1">
      <c r="A2630" s="8"/>
      <c r="B2630" s="1"/>
      <c r="C2630" s="31" t="s">
        <v>1326</v>
      </c>
      <c r="D2630" s="288"/>
      <c r="E2630" s="343"/>
      <c r="F2630" s="291">
        <v>0.21</v>
      </c>
    </row>
    <row r="2631" spans="1:10" hidden="1" outlineLevel="1">
      <c r="A2631" s="8"/>
      <c r="B2631" s="1"/>
      <c r="C2631" s="31" t="s">
        <v>1327</v>
      </c>
      <c r="D2631" s="81"/>
      <c r="E2631" s="343"/>
      <c r="F2631" s="291">
        <v>0.21</v>
      </c>
    </row>
    <row r="2632" spans="1:10" hidden="1" outlineLevel="1">
      <c r="A2632" s="8"/>
      <c r="B2632" s="1"/>
      <c r="C2632" s="31" t="s">
        <v>1325</v>
      </c>
      <c r="D2632" s="81"/>
      <c r="E2632" s="343"/>
      <c r="F2632" s="291">
        <v>0.21</v>
      </c>
    </row>
    <row r="2633" spans="1:10" hidden="1" outlineLevel="1">
      <c r="A2633" s="8"/>
      <c r="B2633" s="1"/>
      <c r="C2633" s="1"/>
      <c r="D2633" s="1"/>
      <c r="E2633" s="12"/>
      <c r="F2633" s="2"/>
    </row>
    <row r="2634" spans="1:10" hidden="1" outlineLevel="1">
      <c r="A2634" s="8"/>
      <c r="B2634" s="1"/>
      <c r="C2634" s="1"/>
      <c r="D2634" s="1"/>
      <c r="E2634" s="12"/>
      <c r="F2634" s="2"/>
    </row>
    <row r="2635" spans="1:10" ht="15.75" hidden="1" outlineLevel="1" thickBot="1">
      <c r="A2635" s="9"/>
      <c r="B2635" s="3"/>
      <c r="C2635" s="3"/>
      <c r="D2635" s="3"/>
      <c r="E2635" s="3"/>
      <c r="F2635" s="4"/>
    </row>
    <row r="2636" spans="1:10" ht="16.5" hidden="1" outlineLevel="1" thickTop="1" thickBot="1"/>
    <row r="2637" spans="1:10" ht="15.75" hidden="1" outlineLevel="1" thickTop="1">
      <c r="A2637" s="3782"/>
      <c r="B2637" s="3781"/>
      <c r="C2637" s="3781"/>
      <c r="D2637" s="3781"/>
      <c r="E2637" s="3781"/>
      <c r="F2637" s="3765"/>
    </row>
    <row r="2638" spans="1:10" ht="15.75" hidden="1" outlineLevel="1" thickBot="1">
      <c r="A2638" s="3783"/>
      <c r="B2638" s="3767"/>
      <c r="C2638" s="3767"/>
      <c r="D2638" s="3767"/>
      <c r="E2638" s="3767"/>
      <c r="F2638" s="3766"/>
    </row>
    <row r="2639" spans="1:10" ht="15.75" hidden="1" outlineLevel="1" thickTop="1">
      <c r="A2639" s="7" t="s">
        <v>1709</v>
      </c>
      <c r="B2639" s="5" t="s">
        <v>1171</v>
      </c>
      <c r="C2639" s="31" t="s">
        <v>623</v>
      </c>
      <c r="D2639" s="5"/>
      <c r="E2639" s="12"/>
      <c r="F2639" s="6">
        <v>1.77</v>
      </c>
    </row>
    <row r="2640" spans="1:10" hidden="1" outlineLevel="1">
      <c r="A2640" s="8"/>
      <c r="B2640" s="1"/>
      <c r="C2640" s="1" t="s">
        <v>1650</v>
      </c>
      <c r="D2640" s="5"/>
      <c r="E2640" s="12"/>
      <c r="F2640" s="6">
        <v>5.88</v>
      </c>
      <c r="G2640">
        <f>F2640*10000*1.1</f>
        <v>64680.000000000007</v>
      </c>
      <c r="J2640">
        <v>1441</v>
      </c>
    </row>
    <row r="2641" spans="1:8" hidden="1" outlineLevel="1">
      <c r="A2641" s="8"/>
      <c r="B2641" s="1"/>
      <c r="C2641" s="1" t="s">
        <v>1651</v>
      </c>
      <c r="D2641" s="5"/>
      <c r="E2641" s="12"/>
      <c r="F2641" s="6">
        <v>5.88</v>
      </c>
    </row>
    <row r="2642" spans="1:8" hidden="1" outlineLevel="1">
      <c r="A2642" s="8"/>
      <c r="B2642" s="1"/>
      <c r="C2642" s="1" t="s">
        <v>1652</v>
      </c>
      <c r="D2642" s="5"/>
      <c r="E2642" s="12"/>
      <c r="F2642" s="6">
        <v>5.88</v>
      </c>
    </row>
    <row r="2643" spans="1:8" hidden="1" outlineLevel="1">
      <c r="A2643" s="8"/>
      <c r="B2643" s="1"/>
      <c r="C2643" s="31"/>
      <c r="D2643" s="5"/>
      <c r="E2643" s="12"/>
      <c r="F2643" s="6"/>
    </row>
    <row r="2644" spans="1:8" hidden="1" outlineLevel="1">
      <c r="A2644" s="8"/>
      <c r="B2644" s="1"/>
      <c r="C2644" s="31"/>
      <c r="D2644" s="5"/>
      <c r="E2644" s="12"/>
      <c r="F2644" s="6"/>
    </row>
    <row r="2645" spans="1:8" hidden="1" outlineLevel="1">
      <c r="A2645" s="8"/>
      <c r="B2645" s="1"/>
      <c r="C2645" s="31"/>
      <c r="D2645" s="5"/>
      <c r="E2645" s="12"/>
      <c r="F2645" s="6"/>
    </row>
    <row r="2646" spans="1:8" hidden="1" outlineLevel="1">
      <c r="A2646" s="8"/>
      <c r="B2646" s="1"/>
      <c r="C2646" s="31"/>
      <c r="D2646" s="1"/>
      <c r="E2646" s="12"/>
      <c r="F2646" s="6"/>
    </row>
    <row r="2647" spans="1:8" hidden="1" outlineLevel="1">
      <c r="A2647" s="8"/>
      <c r="B2647" s="1"/>
      <c r="C2647" s="31"/>
      <c r="D2647" s="1"/>
      <c r="E2647" s="12"/>
      <c r="F2647" s="6"/>
    </row>
    <row r="2648" spans="1:8" hidden="1" outlineLevel="1">
      <c r="A2648" s="8"/>
      <c r="B2648" s="1"/>
      <c r="C2648" s="1"/>
      <c r="D2648" s="1"/>
      <c r="E2648" s="12"/>
      <c r="F2648" s="2"/>
    </row>
    <row r="2649" spans="1:8" hidden="1" outlineLevel="1">
      <c r="A2649" s="8"/>
      <c r="B2649" s="1"/>
      <c r="C2649" s="1"/>
      <c r="D2649" s="1"/>
      <c r="E2649" s="12"/>
      <c r="F2649" s="2"/>
    </row>
    <row r="2650" spans="1:8" ht="15.75" hidden="1" outlineLevel="1" thickBot="1">
      <c r="A2650" s="9"/>
      <c r="B2650" s="3"/>
      <c r="C2650" s="3"/>
      <c r="D2650" s="3"/>
      <c r="E2650" s="3"/>
      <c r="F2650" s="4"/>
    </row>
    <row r="2651" spans="1:8" ht="16.5" hidden="1" outlineLevel="1" thickTop="1" thickBot="1"/>
    <row r="2652" spans="1:8" ht="15.75" hidden="1" outlineLevel="1" thickTop="1">
      <c r="A2652" s="3782"/>
      <c r="B2652" s="3781"/>
      <c r="C2652" s="3781"/>
      <c r="D2652" s="3781"/>
      <c r="E2652" s="3781"/>
      <c r="F2652" s="3765"/>
    </row>
    <row r="2653" spans="1:8" ht="15.75" hidden="1" outlineLevel="1" thickBot="1">
      <c r="A2653" s="3783"/>
      <c r="B2653" s="3767"/>
      <c r="C2653" s="3767"/>
      <c r="D2653" s="3767"/>
      <c r="E2653" s="3767"/>
      <c r="F2653" s="3766"/>
    </row>
    <row r="2654" spans="1:8" ht="15.75" hidden="1" outlineLevel="1" thickTop="1">
      <c r="A2654" s="7" t="s">
        <v>1718</v>
      </c>
      <c r="B2654" s="5" t="s">
        <v>1171</v>
      </c>
      <c r="C2654" s="1" t="s">
        <v>554</v>
      </c>
      <c r="D2654" s="5"/>
      <c r="E2654" s="12">
        <v>0.2</v>
      </c>
      <c r="F2654" s="6">
        <v>0.88</v>
      </c>
      <c r="G2654">
        <v>1.1000000000000001</v>
      </c>
      <c r="H2654" s="387"/>
    </row>
    <row r="2655" spans="1:8" hidden="1" outlineLevel="1">
      <c r="A2655" s="8"/>
      <c r="B2655" s="1"/>
      <c r="C2655" s="1" t="s">
        <v>730</v>
      </c>
      <c r="D2655" s="5"/>
      <c r="E2655" s="12">
        <v>0.2</v>
      </c>
      <c r="F2655" s="6">
        <v>0.62</v>
      </c>
      <c r="G2655">
        <v>0.77</v>
      </c>
    </row>
    <row r="2656" spans="1:8" hidden="1" outlineLevel="1">
      <c r="A2656" s="8"/>
      <c r="B2656" s="1"/>
      <c r="C2656" s="1" t="s">
        <v>186</v>
      </c>
      <c r="D2656" s="5"/>
      <c r="E2656" s="12">
        <v>0.15</v>
      </c>
      <c r="F2656" s="6">
        <v>0.68</v>
      </c>
      <c r="G2656">
        <v>0.8</v>
      </c>
    </row>
    <row r="2657" spans="1:6" hidden="1" outlineLevel="1">
      <c r="A2657" s="8"/>
      <c r="B2657" s="1"/>
      <c r="C2657" s="1" t="s">
        <v>187</v>
      </c>
      <c r="D2657" s="5"/>
      <c r="E2657" s="12">
        <v>0.15</v>
      </c>
      <c r="F2657" s="6">
        <v>0.68</v>
      </c>
    </row>
    <row r="2658" spans="1:6" hidden="1" outlineLevel="1">
      <c r="A2658" s="8"/>
      <c r="B2658" s="1"/>
      <c r="C2658" s="31" t="s">
        <v>188</v>
      </c>
      <c r="D2658" s="5"/>
      <c r="E2658" s="12">
        <v>0.15</v>
      </c>
      <c r="F2658" s="6">
        <v>0.68</v>
      </c>
    </row>
    <row r="2659" spans="1:6" hidden="1" outlineLevel="1">
      <c r="A2659" s="8"/>
      <c r="B2659" s="1"/>
      <c r="C2659" s="31"/>
      <c r="D2659" s="5"/>
      <c r="E2659" s="12"/>
      <c r="F2659" s="6"/>
    </row>
    <row r="2660" spans="1:6" hidden="1" outlineLevel="1">
      <c r="A2660" s="8"/>
      <c r="B2660" s="1"/>
      <c r="C2660" s="31"/>
      <c r="D2660" s="5"/>
      <c r="E2660" s="12"/>
      <c r="F2660" s="6"/>
    </row>
    <row r="2661" spans="1:6" hidden="1" outlineLevel="1">
      <c r="A2661" s="8"/>
      <c r="B2661" s="1"/>
      <c r="C2661" s="31"/>
      <c r="D2661" s="1"/>
      <c r="E2661" s="12"/>
      <c r="F2661" s="6"/>
    </row>
    <row r="2662" spans="1:6" hidden="1" outlineLevel="1">
      <c r="A2662" s="8"/>
      <c r="B2662" s="1"/>
      <c r="C2662" s="31"/>
      <c r="D2662" s="1"/>
      <c r="E2662" s="12"/>
      <c r="F2662" s="6"/>
    </row>
    <row r="2663" spans="1:6" hidden="1" outlineLevel="1">
      <c r="A2663" s="8"/>
      <c r="B2663" s="1"/>
      <c r="C2663" s="1"/>
      <c r="D2663" s="1"/>
      <c r="E2663" s="12"/>
      <c r="F2663" s="2"/>
    </row>
    <row r="2664" spans="1:6" hidden="1" outlineLevel="1">
      <c r="A2664" s="8"/>
      <c r="B2664" s="1"/>
      <c r="C2664" s="1"/>
      <c r="D2664" s="1"/>
      <c r="E2664" s="12"/>
      <c r="F2664" s="2"/>
    </row>
    <row r="2665" spans="1:6" ht="15.75" hidden="1" outlineLevel="1" thickBot="1">
      <c r="A2665" s="9"/>
      <c r="B2665" s="3"/>
      <c r="C2665" s="3"/>
      <c r="D2665" s="3"/>
      <c r="E2665" s="3"/>
      <c r="F2665" s="4"/>
    </row>
    <row r="2666" spans="1:6" ht="16.5" hidden="1" outlineLevel="1" thickTop="1" thickBot="1"/>
    <row r="2667" spans="1:6" ht="16.5" hidden="1" customHeight="1" outlineLevel="1" thickTop="1">
      <c r="A2667" s="3782"/>
      <c r="B2667" s="3781"/>
      <c r="C2667" s="3781"/>
      <c r="D2667" s="3781"/>
      <c r="E2667" s="3781"/>
      <c r="F2667" s="3765"/>
    </row>
    <row r="2668" spans="1:6" ht="15.75" hidden="1" outlineLevel="1" thickBot="1">
      <c r="A2668" s="3783"/>
      <c r="B2668" s="3767"/>
      <c r="C2668" s="3767"/>
      <c r="D2668" s="3767"/>
      <c r="E2668" s="3767"/>
      <c r="F2668" s="3766"/>
    </row>
    <row r="2669" spans="1:6" ht="15.75" hidden="1" outlineLevel="1" thickTop="1">
      <c r="A2669" s="7" t="s">
        <v>1721</v>
      </c>
      <c r="B2669" s="5" t="s">
        <v>106</v>
      </c>
      <c r="C2669" s="31" t="s">
        <v>1499</v>
      </c>
      <c r="D2669" s="5"/>
      <c r="E2669" s="12"/>
      <c r="F2669" s="6">
        <v>7.86</v>
      </c>
    </row>
    <row r="2670" spans="1:6" hidden="1" outlineLevel="1">
      <c r="A2670" s="8"/>
      <c r="B2670" s="1"/>
      <c r="C2670" s="31" t="s">
        <v>1485</v>
      </c>
      <c r="D2670" s="5"/>
      <c r="E2670" s="12"/>
      <c r="F2670" s="6">
        <v>19.149999999999999</v>
      </c>
    </row>
    <row r="2671" spans="1:6" hidden="1" outlineLevel="1">
      <c r="A2671" s="8"/>
      <c r="B2671" s="1"/>
      <c r="C2671" s="31" t="s">
        <v>868</v>
      </c>
      <c r="D2671" s="5"/>
      <c r="E2671" s="12"/>
      <c r="F2671" s="6">
        <v>7.55</v>
      </c>
    </row>
    <row r="2672" spans="1:6" hidden="1" outlineLevel="1">
      <c r="A2672" s="8"/>
      <c r="B2672" s="1"/>
      <c r="C2672" s="31" t="s">
        <v>1722</v>
      </c>
      <c r="D2672" s="5"/>
      <c r="E2672" s="12"/>
      <c r="F2672" s="6">
        <v>3.38</v>
      </c>
    </row>
    <row r="2673" spans="1:8" hidden="1" outlineLevel="1">
      <c r="A2673" s="8"/>
      <c r="B2673" s="1"/>
      <c r="C2673" s="31" t="s">
        <v>239</v>
      </c>
      <c r="D2673" s="5"/>
      <c r="E2673" s="12"/>
      <c r="F2673" s="6">
        <v>7.55</v>
      </c>
    </row>
    <row r="2674" spans="1:8" hidden="1" outlineLevel="1">
      <c r="A2674" s="8"/>
      <c r="B2674" s="1"/>
      <c r="C2674" s="31" t="s">
        <v>74</v>
      </c>
      <c r="D2674" s="5"/>
      <c r="E2674" s="12"/>
      <c r="F2674" s="6">
        <v>19.149999999999999</v>
      </c>
    </row>
    <row r="2675" spans="1:8" hidden="1" outlineLevel="1">
      <c r="A2675" s="8"/>
      <c r="B2675" s="1"/>
      <c r="C2675" s="31" t="s">
        <v>1497</v>
      </c>
      <c r="D2675" s="5"/>
      <c r="E2675" s="12"/>
      <c r="F2675" s="6">
        <v>3.38</v>
      </c>
    </row>
    <row r="2676" spans="1:8" hidden="1" outlineLevel="1">
      <c r="A2676" s="8"/>
      <c r="B2676" s="1"/>
      <c r="C2676" s="31" t="s">
        <v>1496</v>
      </c>
      <c r="D2676" s="5"/>
      <c r="E2676" s="12"/>
      <c r="F2676" s="6">
        <v>3.38</v>
      </c>
    </row>
    <row r="2677" spans="1:8" hidden="1" outlineLevel="1">
      <c r="A2677" s="8"/>
      <c r="B2677" s="1"/>
      <c r="C2677" s="31" t="s">
        <v>238</v>
      </c>
      <c r="D2677" s="5"/>
      <c r="E2677" s="12"/>
      <c r="F2677" s="6">
        <v>7.57</v>
      </c>
    </row>
    <row r="2678" spans="1:8" hidden="1" outlineLevel="1">
      <c r="A2678" s="8"/>
      <c r="B2678" s="1"/>
      <c r="C2678" s="31" t="s">
        <v>1485</v>
      </c>
      <c r="D2678" s="1"/>
      <c r="E2678" s="12"/>
      <c r="F2678" s="2">
        <v>19.149999999999999</v>
      </c>
    </row>
    <row r="2679" spans="1:8" hidden="1" outlineLevel="1">
      <c r="A2679" s="8"/>
      <c r="B2679" s="1"/>
      <c r="C2679" s="31" t="s">
        <v>940</v>
      </c>
      <c r="D2679" s="1"/>
      <c r="E2679" s="12"/>
      <c r="F2679" s="2">
        <v>5.38</v>
      </c>
      <c r="H2679">
        <f>F2679*1.2*10000</f>
        <v>64559.999999999993</v>
      </c>
    </row>
    <row r="2680" spans="1:8" hidden="1" outlineLevel="1">
      <c r="A2680" s="8"/>
      <c r="B2680" s="1"/>
      <c r="C2680" s="31" t="s">
        <v>869</v>
      </c>
      <c r="D2680" s="1"/>
      <c r="E2680" s="12"/>
      <c r="F2680" s="2">
        <v>1.01</v>
      </c>
      <c r="H2680">
        <f>F2680*1.2*10000</f>
        <v>12120</v>
      </c>
    </row>
    <row r="2681" spans="1:8" hidden="1" outlineLevel="1">
      <c r="A2681" s="8"/>
      <c r="B2681" s="1"/>
      <c r="C2681" s="31" t="s">
        <v>786</v>
      </c>
      <c r="D2681" s="1"/>
      <c r="E2681" s="12"/>
      <c r="F2681" s="2">
        <v>5.38</v>
      </c>
    </row>
    <row r="2682" spans="1:8" ht="15.75" hidden="1" outlineLevel="1" thickBot="1">
      <c r="A2682" s="9"/>
      <c r="B2682" s="3"/>
      <c r="C2682" s="283" t="s">
        <v>870</v>
      </c>
      <c r="D2682" s="3"/>
      <c r="E2682" s="3"/>
      <c r="F2682" s="4">
        <v>1.01</v>
      </c>
    </row>
    <row r="2683" spans="1:8" ht="15.75" hidden="1" outlineLevel="1" thickTop="1"/>
    <row r="2684" spans="1:8" ht="15.75" hidden="1" outlineLevel="1" thickBot="1"/>
    <row r="2685" spans="1:8" ht="15.75" hidden="1" outlineLevel="1" thickTop="1">
      <c r="A2685" s="3782"/>
      <c r="B2685" s="3781"/>
      <c r="C2685" s="3781"/>
      <c r="D2685" s="3781"/>
      <c r="E2685" s="3781"/>
      <c r="F2685" s="3765"/>
    </row>
    <row r="2686" spans="1:8" ht="15.75" hidden="1" outlineLevel="1" thickBot="1">
      <c r="A2686" s="3783"/>
      <c r="B2686" s="3767"/>
      <c r="C2686" s="3767"/>
      <c r="D2686" s="3767"/>
      <c r="E2686" s="3767"/>
      <c r="F2686" s="3766"/>
    </row>
    <row r="2687" spans="1:8" ht="15.75" hidden="1" outlineLevel="1" thickTop="1">
      <c r="A2687" s="7" t="s">
        <v>1723</v>
      </c>
      <c r="B2687" s="5" t="s">
        <v>1171</v>
      </c>
      <c r="C2687" s="1" t="s">
        <v>1724</v>
      </c>
      <c r="D2687" s="5"/>
      <c r="E2687" s="12"/>
      <c r="F2687" s="6">
        <v>22.33</v>
      </c>
      <c r="H2687" s="387"/>
    </row>
    <row r="2688" spans="1:8" hidden="1" outlineLevel="1">
      <c r="A2688" s="8"/>
      <c r="B2688" s="1"/>
      <c r="C2688" s="1" t="s">
        <v>1725</v>
      </c>
      <c r="D2688" s="5"/>
      <c r="E2688" s="12"/>
      <c r="F2688" s="6">
        <v>22.33</v>
      </c>
    </row>
    <row r="2689" spans="1:8" hidden="1" outlineLevel="1">
      <c r="A2689" s="8"/>
      <c r="B2689" s="1"/>
      <c r="C2689" s="1" t="s">
        <v>1726</v>
      </c>
      <c r="D2689" s="5"/>
      <c r="E2689" s="12"/>
      <c r="F2689" s="6">
        <v>22.33</v>
      </c>
    </row>
    <row r="2690" spans="1:8" hidden="1" outlineLevel="1">
      <c r="A2690" s="8"/>
      <c r="B2690" s="1"/>
      <c r="C2690" s="1"/>
      <c r="D2690" s="5"/>
      <c r="E2690" s="12"/>
      <c r="F2690" s="6"/>
    </row>
    <row r="2691" spans="1:8" hidden="1" outlineLevel="1">
      <c r="A2691" s="8"/>
      <c r="B2691" s="1"/>
      <c r="C2691" s="31"/>
      <c r="D2691" s="5"/>
      <c r="E2691" s="12"/>
      <c r="F2691" s="6"/>
    </row>
    <row r="2692" spans="1:8" hidden="1" outlineLevel="1">
      <c r="A2692" s="8"/>
      <c r="B2692" s="1"/>
      <c r="C2692" s="31"/>
      <c r="D2692" s="5"/>
      <c r="E2692" s="12"/>
      <c r="F2692" s="6"/>
    </row>
    <row r="2693" spans="1:8" hidden="1" outlineLevel="1">
      <c r="A2693" s="8"/>
      <c r="B2693" s="1"/>
      <c r="C2693" s="31"/>
      <c r="D2693" s="5"/>
      <c r="E2693" s="12"/>
      <c r="F2693" s="6"/>
    </row>
    <row r="2694" spans="1:8" hidden="1" outlineLevel="1">
      <c r="A2694" s="8"/>
      <c r="B2694" s="1"/>
      <c r="C2694" s="31"/>
      <c r="D2694" s="1"/>
      <c r="E2694" s="12"/>
      <c r="F2694" s="6"/>
    </row>
    <row r="2695" spans="1:8" hidden="1" outlineLevel="1">
      <c r="A2695" s="8"/>
      <c r="B2695" s="1"/>
      <c r="C2695" s="31"/>
      <c r="D2695" s="1"/>
      <c r="E2695" s="12"/>
      <c r="F2695" s="6"/>
    </row>
    <row r="2696" spans="1:8" hidden="1" outlineLevel="1">
      <c r="A2696" s="8"/>
      <c r="B2696" s="1"/>
      <c r="C2696" s="1"/>
      <c r="D2696" s="1"/>
      <c r="E2696" s="12"/>
      <c r="F2696" s="2"/>
    </row>
    <row r="2697" spans="1:8" hidden="1" outlineLevel="1">
      <c r="A2697" s="8"/>
      <c r="B2697" s="1"/>
      <c r="C2697" s="1"/>
      <c r="D2697" s="1"/>
      <c r="E2697" s="12"/>
      <c r="F2697" s="2"/>
    </row>
    <row r="2698" spans="1:8" ht="15.75" hidden="1" outlineLevel="1" thickBot="1">
      <c r="A2698" s="9"/>
      <c r="B2698" s="3"/>
      <c r="C2698" s="3"/>
      <c r="D2698" s="3"/>
      <c r="E2698" s="3"/>
      <c r="F2698" s="4"/>
    </row>
    <row r="2699" spans="1:8" ht="16.5" hidden="1" outlineLevel="1" thickTop="1" thickBot="1"/>
    <row r="2700" spans="1:8" ht="15.75" hidden="1" outlineLevel="1" thickTop="1">
      <c r="A2700" s="3782"/>
      <c r="B2700" s="3781"/>
      <c r="C2700" s="3781"/>
      <c r="D2700" s="3781"/>
      <c r="E2700" s="3781"/>
      <c r="F2700" s="3765"/>
    </row>
    <row r="2701" spans="1:8" ht="15.75" hidden="1" outlineLevel="1" thickBot="1">
      <c r="A2701" s="3783"/>
      <c r="B2701" s="3767"/>
      <c r="C2701" s="3767"/>
      <c r="D2701" s="3767"/>
      <c r="E2701" s="3767"/>
      <c r="F2701" s="3766"/>
    </row>
    <row r="2702" spans="1:8" ht="15.75" hidden="1" outlineLevel="1" thickTop="1">
      <c r="A2702" s="7" t="s">
        <v>1730</v>
      </c>
      <c r="B2702" s="5" t="s">
        <v>106</v>
      </c>
      <c r="C2702" s="1" t="s">
        <v>684</v>
      </c>
      <c r="D2702" s="5"/>
      <c r="E2702" s="12">
        <v>0.15</v>
      </c>
      <c r="F2702" s="6">
        <v>0.82</v>
      </c>
      <c r="G2702">
        <v>0.96</v>
      </c>
      <c r="H2702" s="387"/>
    </row>
    <row r="2703" spans="1:8" hidden="1" outlineLevel="1">
      <c r="A2703" s="8"/>
      <c r="B2703" s="1"/>
      <c r="C2703" s="1" t="s">
        <v>1002</v>
      </c>
      <c r="D2703" s="5"/>
      <c r="E2703" s="12">
        <v>0.15</v>
      </c>
      <c r="F2703" s="6">
        <v>0.89</v>
      </c>
      <c r="G2703">
        <v>1.05</v>
      </c>
    </row>
    <row r="2704" spans="1:8" hidden="1" outlineLevel="1">
      <c r="A2704" s="8"/>
      <c r="B2704" s="1"/>
      <c r="C2704" s="1"/>
      <c r="D2704" s="5"/>
      <c r="E2704" s="12"/>
      <c r="F2704" s="6"/>
    </row>
    <row r="2705" spans="1:8" hidden="1" outlineLevel="1">
      <c r="A2705" s="8"/>
      <c r="B2705" s="1"/>
      <c r="C2705" s="1"/>
      <c r="D2705" s="5"/>
      <c r="E2705" s="12"/>
      <c r="F2705" s="6"/>
    </row>
    <row r="2706" spans="1:8" hidden="1" outlineLevel="1">
      <c r="A2706" s="8"/>
      <c r="B2706" s="1"/>
      <c r="C2706" s="31"/>
      <c r="D2706" s="5"/>
      <c r="E2706" s="12"/>
      <c r="F2706" s="6"/>
    </row>
    <row r="2707" spans="1:8" hidden="1" outlineLevel="1">
      <c r="A2707" s="8"/>
      <c r="B2707" s="1"/>
      <c r="C2707" s="31"/>
      <c r="D2707" s="5"/>
      <c r="E2707" s="12"/>
      <c r="F2707" s="6"/>
    </row>
    <row r="2708" spans="1:8" hidden="1" outlineLevel="1">
      <c r="A2708" s="8"/>
      <c r="B2708" s="1"/>
      <c r="C2708" s="31"/>
      <c r="D2708" s="5"/>
      <c r="E2708" s="12"/>
      <c r="F2708" s="6"/>
    </row>
    <row r="2709" spans="1:8" hidden="1" outlineLevel="1">
      <c r="A2709" s="8"/>
      <c r="B2709" s="1"/>
      <c r="C2709" s="31"/>
      <c r="D2709" s="1"/>
      <c r="E2709" s="12"/>
      <c r="F2709" s="6"/>
    </row>
    <row r="2710" spans="1:8" hidden="1" outlineLevel="1">
      <c r="A2710" s="8"/>
      <c r="B2710" s="1"/>
      <c r="C2710" s="31"/>
      <c r="D2710" s="1"/>
      <c r="E2710" s="12"/>
      <c r="F2710" s="6"/>
    </row>
    <row r="2711" spans="1:8" hidden="1" outlineLevel="1">
      <c r="A2711" s="8"/>
      <c r="B2711" s="1"/>
      <c r="C2711" s="1"/>
      <c r="D2711" s="1"/>
      <c r="E2711" s="12"/>
      <c r="F2711" s="2"/>
    </row>
    <row r="2712" spans="1:8" hidden="1" outlineLevel="1">
      <c r="A2712" s="8"/>
      <c r="B2712" s="1"/>
      <c r="C2712" s="1"/>
      <c r="D2712" s="1"/>
      <c r="E2712" s="12"/>
      <c r="F2712" s="2"/>
    </row>
    <row r="2713" spans="1:8" ht="15.75" hidden="1" outlineLevel="1" thickBot="1">
      <c r="A2713" s="9"/>
      <c r="B2713" s="3"/>
      <c r="C2713" s="3"/>
      <c r="D2713" s="3"/>
      <c r="E2713" s="3"/>
      <c r="F2713" s="4"/>
    </row>
    <row r="2714" spans="1:8" ht="16.5" hidden="1" outlineLevel="1" thickTop="1" thickBot="1"/>
    <row r="2715" spans="1:8" ht="15.75" hidden="1" outlineLevel="1" thickTop="1">
      <c r="A2715" s="3782"/>
      <c r="B2715" s="3781"/>
      <c r="C2715" s="3781"/>
      <c r="D2715" s="3781"/>
      <c r="E2715" s="3781"/>
      <c r="F2715" s="3765"/>
    </row>
    <row r="2716" spans="1:8" ht="15.75" hidden="1" outlineLevel="1" thickBot="1">
      <c r="A2716" s="3783"/>
      <c r="B2716" s="3767"/>
      <c r="C2716" s="3767"/>
      <c r="D2716" s="3767"/>
      <c r="E2716" s="3767"/>
      <c r="F2716" s="3766"/>
    </row>
    <row r="2717" spans="1:8" ht="15.75" hidden="1" outlineLevel="1" thickTop="1">
      <c r="A2717" s="7" t="s">
        <v>1735</v>
      </c>
      <c r="B2717" s="5" t="s">
        <v>1171</v>
      </c>
      <c r="C2717" s="1" t="s">
        <v>905</v>
      </c>
      <c r="D2717" s="5"/>
      <c r="E2717" s="12">
        <v>0.2</v>
      </c>
      <c r="F2717" s="6">
        <v>0.57999999999999996</v>
      </c>
      <c r="G2717">
        <v>0.73</v>
      </c>
      <c r="H2717" s="387"/>
    </row>
    <row r="2718" spans="1:8" hidden="1" outlineLevel="1">
      <c r="A2718" s="8"/>
      <c r="B2718" s="1"/>
      <c r="C2718" s="1" t="s">
        <v>1379</v>
      </c>
      <c r="D2718" s="5"/>
      <c r="E2718" s="12">
        <v>0.2</v>
      </c>
      <c r="F2718" s="6">
        <v>0.84</v>
      </c>
      <c r="G2718">
        <v>1.05</v>
      </c>
    </row>
    <row r="2719" spans="1:8" hidden="1" outlineLevel="1">
      <c r="A2719" s="8"/>
      <c r="B2719" s="1"/>
      <c r="C2719" s="1" t="s">
        <v>685</v>
      </c>
      <c r="D2719" s="5"/>
      <c r="E2719" s="12">
        <v>0.2</v>
      </c>
      <c r="F2719" s="6">
        <v>0.77</v>
      </c>
      <c r="G2719">
        <v>0.96</v>
      </c>
    </row>
    <row r="2720" spans="1:8" hidden="1" outlineLevel="1">
      <c r="A2720" s="8"/>
      <c r="B2720" s="1"/>
      <c r="C2720" s="1" t="s">
        <v>1362</v>
      </c>
      <c r="D2720" s="5"/>
      <c r="E2720" s="12">
        <v>0.2</v>
      </c>
      <c r="F2720" s="6">
        <v>4.68</v>
      </c>
      <c r="G2720">
        <v>5.51</v>
      </c>
      <c r="H2720">
        <f>F2720*1.2*10000</f>
        <v>56160</v>
      </c>
    </row>
    <row r="2721" spans="1:8" hidden="1" outlineLevel="1">
      <c r="A2721" s="8"/>
      <c r="B2721" s="1"/>
      <c r="C2721" s="31" t="s">
        <v>1376</v>
      </c>
      <c r="D2721" s="5"/>
      <c r="E2721" s="12"/>
      <c r="F2721" s="6">
        <v>4.68</v>
      </c>
    </row>
    <row r="2722" spans="1:8" hidden="1" outlineLevel="1">
      <c r="A2722" s="8"/>
      <c r="B2722" s="1"/>
      <c r="C2722" s="31" t="s">
        <v>510</v>
      </c>
      <c r="D2722" s="5"/>
      <c r="E2722" s="12"/>
      <c r="F2722" s="6">
        <v>4.68</v>
      </c>
    </row>
    <row r="2723" spans="1:8" hidden="1" outlineLevel="1">
      <c r="A2723" s="8"/>
      <c r="B2723" s="1"/>
      <c r="C2723" s="31" t="s">
        <v>1363</v>
      </c>
      <c r="D2723" s="5"/>
      <c r="E2723" s="12"/>
      <c r="F2723" s="6">
        <v>4.68</v>
      </c>
    </row>
    <row r="2724" spans="1:8" hidden="1" outlineLevel="1">
      <c r="A2724" s="8"/>
      <c r="B2724" s="1"/>
      <c r="C2724" s="31"/>
      <c r="D2724" s="1"/>
      <c r="E2724" s="12"/>
      <c r="F2724" s="6"/>
    </row>
    <row r="2725" spans="1:8" hidden="1" outlineLevel="1">
      <c r="A2725" s="8"/>
      <c r="B2725" s="1"/>
      <c r="C2725" s="31"/>
      <c r="D2725" s="1"/>
      <c r="E2725" s="12"/>
      <c r="F2725" s="6"/>
    </row>
    <row r="2726" spans="1:8" hidden="1" outlineLevel="1">
      <c r="A2726" s="8"/>
      <c r="B2726" s="1"/>
      <c r="C2726" s="1"/>
      <c r="D2726" s="1"/>
      <c r="E2726" s="12"/>
      <c r="F2726" s="2"/>
    </row>
    <row r="2727" spans="1:8" hidden="1" outlineLevel="1">
      <c r="A2727" s="8"/>
      <c r="B2727" s="1"/>
      <c r="C2727" s="1"/>
      <c r="D2727" s="1"/>
      <c r="E2727" s="12"/>
      <c r="F2727" s="2"/>
    </row>
    <row r="2728" spans="1:8" ht="15.75" hidden="1" outlineLevel="1" thickBot="1">
      <c r="A2728" s="9"/>
      <c r="B2728" s="3"/>
      <c r="C2728" s="3"/>
      <c r="D2728" s="3"/>
      <c r="E2728" s="3"/>
      <c r="F2728" s="4"/>
    </row>
    <row r="2729" spans="1:8" ht="16.5" hidden="1" outlineLevel="1" thickTop="1" thickBot="1"/>
    <row r="2730" spans="1:8" ht="15.75" hidden="1" outlineLevel="1" thickTop="1">
      <c r="A2730" s="3782"/>
      <c r="B2730" s="3781"/>
      <c r="C2730" s="3781"/>
      <c r="D2730" s="3781"/>
      <c r="E2730" s="3781"/>
      <c r="F2730" s="3765"/>
    </row>
    <row r="2731" spans="1:8" ht="15.75" hidden="1" outlineLevel="1" thickBot="1">
      <c r="A2731" s="3783"/>
      <c r="B2731" s="3767"/>
      <c r="C2731" s="3767"/>
      <c r="D2731" s="3767"/>
      <c r="E2731" s="3767"/>
      <c r="F2731" s="3766"/>
    </row>
    <row r="2732" spans="1:8" ht="15.75" hidden="1" outlineLevel="1" thickTop="1">
      <c r="A2732" s="7" t="s">
        <v>1736</v>
      </c>
      <c r="B2732" s="5" t="s">
        <v>114</v>
      </c>
      <c r="C2732" s="1" t="s">
        <v>149</v>
      </c>
      <c r="D2732" s="5"/>
      <c r="E2732" s="12">
        <v>0.15</v>
      </c>
      <c r="F2732" s="6">
        <v>0.64</v>
      </c>
      <c r="G2732">
        <v>0.75</v>
      </c>
      <c r="H2732" s="387"/>
    </row>
    <row r="2733" spans="1:8" hidden="1" outlineLevel="1">
      <c r="A2733" s="8"/>
      <c r="B2733" s="1"/>
      <c r="C2733" s="1" t="s">
        <v>487</v>
      </c>
      <c r="D2733" s="5"/>
      <c r="E2733" s="12">
        <v>0.15</v>
      </c>
      <c r="F2733" s="6">
        <v>0.45</v>
      </c>
      <c r="G2733">
        <v>0.53</v>
      </c>
    </row>
    <row r="2734" spans="1:8" hidden="1" outlineLevel="1">
      <c r="A2734" s="8"/>
      <c r="B2734" s="1"/>
      <c r="C2734" s="1" t="s">
        <v>183</v>
      </c>
      <c r="D2734" s="5"/>
      <c r="E2734" s="12">
        <v>0.15</v>
      </c>
      <c r="F2734" s="6">
        <v>1.46</v>
      </c>
      <c r="G2734">
        <v>1.72</v>
      </c>
    </row>
    <row r="2735" spans="1:8" hidden="1" outlineLevel="1">
      <c r="A2735" s="8"/>
      <c r="B2735" s="1"/>
      <c r="C2735" s="1" t="s">
        <v>1250</v>
      </c>
      <c r="D2735" s="5"/>
      <c r="E2735" s="12">
        <v>0.15</v>
      </c>
      <c r="F2735" s="6">
        <v>0.26</v>
      </c>
      <c r="G2735">
        <v>0.3</v>
      </c>
    </row>
    <row r="2736" spans="1:8" hidden="1" outlineLevel="1">
      <c r="A2736" s="8"/>
      <c r="B2736" s="1"/>
      <c r="C2736" s="31" t="s">
        <v>1346</v>
      </c>
      <c r="D2736" s="5"/>
      <c r="E2736" s="12"/>
      <c r="F2736" s="6">
        <v>0.26</v>
      </c>
    </row>
    <row r="2737" spans="1:8" hidden="1" outlineLevel="1">
      <c r="A2737" s="8"/>
      <c r="B2737" s="1"/>
      <c r="C2737" s="31" t="s">
        <v>1347</v>
      </c>
      <c r="D2737" s="5"/>
      <c r="E2737" s="12"/>
      <c r="F2737" s="6">
        <v>0.26</v>
      </c>
    </row>
    <row r="2738" spans="1:8" hidden="1" outlineLevel="1">
      <c r="A2738" s="8"/>
      <c r="B2738" s="1"/>
      <c r="C2738" s="31" t="s">
        <v>1326</v>
      </c>
      <c r="D2738" s="5"/>
      <c r="E2738" s="12"/>
      <c r="F2738" s="6">
        <v>0.26</v>
      </c>
    </row>
    <row r="2739" spans="1:8" hidden="1" outlineLevel="1">
      <c r="A2739" s="8"/>
      <c r="B2739" s="1"/>
      <c r="C2739" s="31" t="s">
        <v>1327</v>
      </c>
      <c r="D2739" s="1"/>
      <c r="E2739" s="12"/>
      <c r="F2739" s="6">
        <v>0.26</v>
      </c>
    </row>
    <row r="2740" spans="1:8" hidden="1" outlineLevel="1">
      <c r="A2740" s="8"/>
      <c r="B2740" s="1"/>
      <c r="C2740" s="31" t="s">
        <v>1325</v>
      </c>
      <c r="D2740" s="1"/>
      <c r="E2740" s="12"/>
      <c r="F2740" s="6">
        <v>0.26</v>
      </c>
    </row>
    <row r="2741" spans="1:8" hidden="1" outlineLevel="1">
      <c r="A2741" s="8"/>
      <c r="B2741" s="1"/>
      <c r="C2741" s="1"/>
      <c r="D2741" s="1"/>
      <c r="E2741" s="12"/>
      <c r="F2741" s="2"/>
    </row>
    <row r="2742" spans="1:8" hidden="1" outlineLevel="1">
      <c r="A2742" s="8"/>
      <c r="B2742" s="1"/>
      <c r="C2742" s="1"/>
      <c r="D2742" s="1"/>
      <c r="E2742" s="12"/>
      <c r="F2742" s="2"/>
    </row>
    <row r="2743" spans="1:8" ht="15.75" hidden="1" outlineLevel="1" thickBot="1">
      <c r="A2743" s="9"/>
      <c r="B2743" s="3"/>
      <c r="C2743" s="3"/>
      <c r="D2743" s="3"/>
      <c r="E2743" s="3"/>
      <c r="F2743" s="4"/>
    </row>
    <row r="2744" spans="1:8" ht="16.5" hidden="1" outlineLevel="1" thickTop="1" thickBot="1"/>
    <row r="2745" spans="1:8" ht="15.75" hidden="1" outlineLevel="1" thickTop="1">
      <c r="A2745" s="3782"/>
      <c r="B2745" s="3781"/>
      <c r="C2745" s="3781"/>
      <c r="D2745" s="3781"/>
      <c r="E2745" s="3781"/>
      <c r="F2745" s="3765"/>
    </row>
    <row r="2746" spans="1:8" ht="15.75" hidden="1" outlineLevel="1" thickBot="1">
      <c r="A2746" s="3783"/>
      <c r="B2746" s="3767"/>
      <c r="C2746" s="3767"/>
      <c r="D2746" s="3767"/>
      <c r="E2746" s="3767"/>
      <c r="F2746" s="3766"/>
    </row>
    <row r="2747" spans="1:8" ht="15.75" hidden="1" outlineLevel="1" thickTop="1">
      <c r="A2747" s="7" t="s">
        <v>1740</v>
      </c>
      <c r="B2747" s="5" t="s">
        <v>1171</v>
      </c>
      <c r="C2747" s="1" t="s">
        <v>623</v>
      </c>
      <c r="D2747" s="5"/>
      <c r="E2747" s="12">
        <v>0.15</v>
      </c>
      <c r="F2747" s="6">
        <v>2.15</v>
      </c>
      <c r="G2747">
        <v>2.5299999999999998</v>
      </c>
      <c r="H2747" s="387"/>
    </row>
    <row r="2748" spans="1:8" hidden="1" outlineLevel="1">
      <c r="A2748" s="8"/>
      <c r="B2748" s="1"/>
      <c r="C2748" s="81" t="s">
        <v>1374</v>
      </c>
      <c r="D2748" s="5"/>
      <c r="E2748" s="12">
        <v>0.15</v>
      </c>
      <c r="F2748" s="6">
        <v>0.77</v>
      </c>
      <c r="G2748">
        <v>0.91</v>
      </c>
      <c r="H2748">
        <f>F2748+F2748*0.2</f>
        <v>0.92400000000000004</v>
      </c>
    </row>
    <row r="2749" spans="1:8" hidden="1" outlineLevel="1">
      <c r="A2749" s="8"/>
      <c r="B2749" s="1"/>
      <c r="C2749" s="81" t="s">
        <v>1301</v>
      </c>
      <c r="D2749" s="5"/>
      <c r="E2749" s="12">
        <v>0.15</v>
      </c>
      <c r="F2749" s="6">
        <v>0.77</v>
      </c>
    </row>
    <row r="2750" spans="1:8" hidden="1" outlineLevel="1">
      <c r="A2750" s="8"/>
      <c r="B2750" s="1"/>
      <c r="C2750" s="81" t="s">
        <v>1440</v>
      </c>
      <c r="D2750" s="5"/>
      <c r="E2750" s="12">
        <v>0.15</v>
      </c>
      <c r="F2750" s="6">
        <v>0.77</v>
      </c>
    </row>
    <row r="2751" spans="1:8" hidden="1" outlineLevel="1">
      <c r="A2751" s="8"/>
      <c r="B2751" s="1"/>
      <c r="C2751" s="81" t="s">
        <v>522</v>
      </c>
      <c r="D2751" s="5"/>
      <c r="E2751" s="12">
        <v>0.15</v>
      </c>
      <c r="F2751" s="6">
        <v>0.77</v>
      </c>
    </row>
    <row r="2752" spans="1:8" hidden="1" outlineLevel="1">
      <c r="A2752" s="8"/>
      <c r="B2752" s="1"/>
      <c r="C2752" s="81" t="s">
        <v>940</v>
      </c>
      <c r="D2752" s="5"/>
      <c r="E2752" s="12">
        <v>0.15</v>
      </c>
      <c r="F2752" s="6">
        <v>5.13</v>
      </c>
      <c r="G2752">
        <v>6.04</v>
      </c>
    </row>
    <row r="2753" spans="1:8" hidden="1" outlineLevel="1">
      <c r="A2753" s="8"/>
      <c r="B2753" s="1"/>
      <c r="C2753" s="81" t="s">
        <v>786</v>
      </c>
      <c r="D2753" s="5"/>
      <c r="E2753" s="12">
        <v>0.15</v>
      </c>
      <c r="F2753" s="6">
        <v>5.13</v>
      </c>
    </row>
    <row r="2754" spans="1:8" hidden="1" outlineLevel="1">
      <c r="A2754" s="8"/>
      <c r="B2754" s="1"/>
      <c r="C2754" s="1" t="s">
        <v>554</v>
      </c>
      <c r="D2754" s="1"/>
      <c r="E2754" s="12">
        <v>0.15</v>
      </c>
      <c r="F2754" s="6">
        <v>0.94</v>
      </c>
      <c r="G2754">
        <v>1.1000000000000001</v>
      </c>
    </row>
    <row r="2755" spans="1:8" hidden="1" outlineLevel="1">
      <c r="A2755" s="8"/>
      <c r="B2755" s="1"/>
      <c r="C2755" s="1" t="s">
        <v>730</v>
      </c>
      <c r="D2755" s="1"/>
      <c r="E2755" s="12">
        <v>0.15</v>
      </c>
      <c r="F2755" s="6">
        <v>0.65</v>
      </c>
      <c r="G2755">
        <v>0.77</v>
      </c>
    </row>
    <row r="2756" spans="1:8" hidden="1" outlineLevel="1">
      <c r="A2756" s="8"/>
      <c r="B2756" s="1"/>
      <c r="C2756" s="81"/>
      <c r="D2756" s="1"/>
      <c r="E2756" s="12"/>
      <c r="F2756" s="2"/>
    </row>
    <row r="2757" spans="1:8" hidden="1" outlineLevel="1">
      <c r="A2757" s="8"/>
      <c r="B2757" s="1"/>
      <c r="C2757" s="1"/>
      <c r="D2757" s="1"/>
      <c r="E2757" s="12"/>
      <c r="F2757" s="2"/>
    </row>
    <row r="2758" spans="1:8" ht="15.75" hidden="1" outlineLevel="1" thickBot="1">
      <c r="A2758" s="9"/>
      <c r="B2758" s="3"/>
      <c r="C2758" s="3"/>
      <c r="D2758" s="3"/>
      <c r="E2758" s="3"/>
      <c r="F2758" s="4"/>
    </row>
    <row r="2759" spans="1:8" ht="15.75" hidden="1" outlineLevel="1" thickTop="1"/>
    <row r="2760" spans="1:8" ht="15.75" hidden="1" outlineLevel="1" thickBot="1"/>
    <row r="2761" spans="1:8" ht="15.75" hidden="1" outlineLevel="1" thickTop="1">
      <c r="A2761" s="3782"/>
      <c r="B2761" s="3781"/>
      <c r="C2761" s="3781"/>
      <c r="D2761" s="3781"/>
      <c r="E2761" s="3781"/>
      <c r="F2761" s="3765"/>
    </row>
    <row r="2762" spans="1:8" ht="15.75" hidden="1" outlineLevel="1" thickBot="1">
      <c r="A2762" s="3783"/>
      <c r="B2762" s="3767"/>
      <c r="C2762" s="3767"/>
      <c r="D2762" s="3767"/>
      <c r="E2762" s="3767"/>
      <c r="F2762" s="3766"/>
    </row>
    <row r="2763" spans="1:8" ht="15.75" hidden="1" outlineLevel="1" thickTop="1">
      <c r="A2763" s="7" t="s">
        <v>1750</v>
      </c>
      <c r="B2763" s="5" t="s">
        <v>106</v>
      </c>
      <c r="C2763" s="1" t="s">
        <v>858</v>
      </c>
      <c r="D2763" s="5"/>
      <c r="E2763" s="12">
        <v>0.15</v>
      </c>
      <c r="F2763" s="6">
        <v>0.76</v>
      </c>
      <c r="G2763">
        <v>0.89</v>
      </c>
      <c r="H2763" s="387"/>
    </row>
    <row r="2764" spans="1:8" hidden="1" outlineLevel="1">
      <c r="A2764" s="8"/>
      <c r="B2764" s="1"/>
      <c r="C2764" s="1" t="s">
        <v>1058</v>
      </c>
      <c r="D2764" s="5"/>
      <c r="E2764" s="12">
        <v>0.15</v>
      </c>
      <c r="F2764" s="6">
        <v>1.62</v>
      </c>
      <c r="G2764">
        <v>1.91</v>
      </c>
    </row>
    <row r="2765" spans="1:8" hidden="1" outlineLevel="1">
      <c r="A2765" s="8"/>
      <c r="B2765" s="1"/>
      <c r="C2765" s="1" t="s">
        <v>53</v>
      </c>
      <c r="D2765" s="5"/>
      <c r="E2765" s="12">
        <v>0.15</v>
      </c>
      <c r="F2765" s="6">
        <v>0.76</v>
      </c>
      <c r="G2765">
        <v>0.89</v>
      </c>
    </row>
    <row r="2766" spans="1:8" hidden="1" outlineLevel="1">
      <c r="A2766" s="8"/>
      <c r="B2766" s="1"/>
      <c r="C2766" s="1"/>
      <c r="D2766" s="5"/>
      <c r="E2766" s="12"/>
      <c r="F2766" s="6"/>
    </row>
    <row r="2767" spans="1:8" hidden="1" outlineLevel="1">
      <c r="A2767" s="8"/>
      <c r="B2767" s="1"/>
      <c r="C2767" s="31"/>
      <c r="D2767" s="5"/>
      <c r="E2767" s="12"/>
      <c r="F2767" s="6"/>
    </row>
    <row r="2768" spans="1:8" hidden="1" outlineLevel="1">
      <c r="A2768" s="8"/>
      <c r="B2768" s="1"/>
      <c r="C2768" s="31"/>
      <c r="D2768" s="5"/>
      <c r="E2768" s="12"/>
      <c r="F2768" s="6"/>
    </row>
    <row r="2769" spans="1:8" hidden="1" outlineLevel="1">
      <c r="A2769" s="8"/>
      <c r="B2769" s="1"/>
      <c r="C2769" s="31"/>
      <c r="D2769" s="5"/>
      <c r="E2769" s="12"/>
      <c r="F2769" s="6"/>
    </row>
    <row r="2770" spans="1:8" hidden="1" outlineLevel="1">
      <c r="A2770" s="8"/>
      <c r="B2770" s="1"/>
      <c r="C2770" s="31"/>
      <c r="D2770" s="1"/>
      <c r="E2770" s="12"/>
      <c r="F2770" s="6"/>
    </row>
    <row r="2771" spans="1:8" hidden="1" outlineLevel="1">
      <c r="A2771" s="8"/>
      <c r="B2771" s="1"/>
      <c r="C2771" s="31"/>
      <c r="D2771" s="1"/>
      <c r="E2771" s="12"/>
      <c r="F2771" s="6"/>
    </row>
    <row r="2772" spans="1:8" hidden="1" outlineLevel="1">
      <c r="A2772" s="8"/>
      <c r="B2772" s="1"/>
      <c r="C2772" s="1"/>
      <c r="D2772" s="1"/>
      <c r="E2772" s="12"/>
      <c r="F2772" s="2"/>
    </row>
    <row r="2773" spans="1:8" hidden="1" outlineLevel="1">
      <c r="A2773" s="8"/>
      <c r="B2773" s="1"/>
      <c r="C2773" s="1"/>
      <c r="D2773" s="1"/>
      <c r="E2773" s="12"/>
      <c r="F2773" s="2"/>
    </row>
    <row r="2774" spans="1:8" ht="15.75" hidden="1" outlineLevel="1" thickBot="1">
      <c r="A2774" s="9"/>
      <c r="B2774" s="3"/>
      <c r="C2774" s="3"/>
      <c r="D2774" s="3"/>
      <c r="E2774" s="3"/>
      <c r="F2774" s="4"/>
    </row>
    <row r="2775" spans="1:8" ht="16.5" hidden="1" outlineLevel="1" thickTop="1" thickBot="1"/>
    <row r="2776" spans="1:8" ht="15.75" hidden="1" outlineLevel="1" thickTop="1">
      <c r="A2776" s="3782"/>
      <c r="B2776" s="3781"/>
      <c r="C2776" s="3781"/>
      <c r="D2776" s="3781"/>
      <c r="E2776" s="3781"/>
      <c r="F2776" s="3765"/>
    </row>
    <row r="2777" spans="1:8" ht="15.75" hidden="1" outlineLevel="1" thickBot="1">
      <c r="A2777" s="3783"/>
      <c r="B2777" s="3767"/>
      <c r="C2777" s="3767"/>
      <c r="D2777" s="3767"/>
      <c r="E2777" s="3767"/>
      <c r="F2777" s="3766"/>
    </row>
    <row r="2778" spans="1:8" ht="15.75" hidden="1" outlineLevel="1" thickTop="1">
      <c r="A2778" s="7" t="s">
        <v>1754</v>
      </c>
      <c r="B2778" s="5" t="s">
        <v>1171</v>
      </c>
      <c r="C2778" s="1" t="s">
        <v>1315</v>
      </c>
      <c r="D2778" s="5"/>
      <c r="E2778" s="12">
        <v>0.15</v>
      </c>
      <c r="F2778" s="6">
        <v>1.21</v>
      </c>
      <c r="G2778">
        <v>1.42</v>
      </c>
      <c r="H2778" s="387"/>
    </row>
    <row r="2779" spans="1:8" hidden="1" outlineLevel="1">
      <c r="A2779" s="8"/>
      <c r="B2779" s="1"/>
      <c r="C2779" s="81" t="s">
        <v>1316</v>
      </c>
      <c r="D2779" s="5"/>
      <c r="E2779" s="12">
        <v>0.15</v>
      </c>
      <c r="F2779" s="6">
        <v>1.21</v>
      </c>
    </row>
    <row r="2780" spans="1:8" hidden="1" outlineLevel="1">
      <c r="A2780" s="8"/>
      <c r="B2780" s="1"/>
      <c r="C2780" s="81" t="s">
        <v>1317</v>
      </c>
      <c r="D2780" s="5"/>
      <c r="E2780" s="12">
        <v>0.15</v>
      </c>
      <c r="F2780" s="6">
        <v>1.21</v>
      </c>
    </row>
    <row r="2781" spans="1:8" hidden="1" outlineLevel="1">
      <c r="A2781" s="8"/>
      <c r="B2781" s="1"/>
      <c r="C2781" s="81"/>
      <c r="D2781" s="5"/>
      <c r="E2781" s="12"/>
      <c r="F2781" s="6"/>
    </row>
    <row r="2782" spans="1:8" hidden="1" outlineLevel="1">
      <c r="A2782" s="8"/>
      <c r="B2782" s="1"/>
      <c r="C2782" s="81"/>
      <c r="D2782" s="5"/>
      <c r="E2782" s="12"/>
      <c r="F2782" s="6"/>
    </row>
    <row r="2783" spans="1:8" hidden="1" outlineLevel="1">
      <c r="A2783" s="8"/>
      <c r="B2783" s="1"/>
      <c r="C2783" s="81"/>
      <c r="D2783" s="5"/>
      <c r="E2783" s="12"/>
      <c r="F2783" s="6"/>
    </row>
    <row r="2784" spans="1:8" hidden="1" outlineLevel="1">
      <c r="A2784" s="8"/>
      <c r="B2784" s="1"/>
      <c r="C2784" s="81"/>
      <c r="D2784" s="5"/>
      <c r="E2784" s="12"/>
      <c r="F2784" s="6"/>
    </row>
    <row r="2785" spans="1:8" hidden="1" outlineLevel="1">
      <c r="A2785" s="8"/>
      <c r="B2785" s="1"/>
      <c r="C2785" s="1"/>
      <c r="D2785" s="1"/>
      <c r="E2785" s="12"/>
      <c r="F2785" s="6"/>
    </row>
    <row r="2786" spans="1:8" hidden="1" outlineLevel="1">
      <c r="A2786" s="8"/>
      <c r="B2786" s="1"/>
      <c r="C2786" s="1"/>
      <c r="D2786" s="1"/>
      <c r="E2786" s="12"/>
      <c r="F2786" s="6"/>
    </row>
    <row r="2787" spans="1:8" hidden="1" outlineLevel="1">
      <c r="A2787" s="8"/>
      <c r="B2787" s="1"/>
      <c r="C2787" s="81"/>
      <c r="D2787" s="1"/>
      <c r="E2787" s="12"/>
      <c r="F2787" s="2"/>
    </row>
    <row r="2788" spans="1:8" hidden="1" outlineLevel="1">
      <c r="A2788" s="8"/>
      <c r="B2788" s="1"/>
      <c r="C2788" s="1"/>
      <c r="D2788" s="1"/>
      <c r="E2788" s="12"/>
      <c r="F2788" s="2"/>
    </row>
    <row r="2789" spans="1:8" ht="15.75" hidden="1" outlineLevel="1" thickBot="1">
      <c r="A2789" s="9"/>
      <c r="B2789" s="3"/>
      <c r="C2789" s="3"/>
      <c r="D2789" s="3"/>
      <c r="E2789" s="3"/>
      <c r="F2789" s="4"/>
    </row>
    <row r="2790" spans="1:8" ht="16.5" hidden="1" outlineLevel="1" thickTop="1" thickBot="1"/>
    <row r="2791" spans="1:8" ht="15.75" hidden="1" outlineLevel="1" thickTop="1">
      <c r="A2791" s="3782"/>
      <c r="B2791" s="3781"/>
      <c r="C2791" s="3781"/>
      <c r="D2791" s="3781"/>
      <c r="E2791" s="3781"/>
      <c r="F2791" s="3765"/>
    </row>
    <row r="2792" spans="1:8" ht="15.75" hidden="1" outlineLevel="1" thickBot="1">
      <c r="A2792" s="3783"/>
      <c r="B2792" s="3767"/>
      <c r="C2792" s="3767"/>
      <c r="D2792" s="3767"/>
      <c r="E2792" s="3767"/>
      <c r="F2792" s="3766"/>
    </row>
    <row r="2793" spans="1:8" ht="15.75" hidden="1" outlineLevel="1" thickTop="1">
      <c r="A2793" s="7" t="s">
        <v>1755</v>
      </c>
      <c r="B2793" s="5" t="s">
        <v>114</v>
      </c>
      <c r="C2793" s="1" t="s">
        <v>155</v>
      </c>
      <c r="D2793" s="5"/>
      <c r="E2793" s="12">
        <v>0.15</v>
      </c>
      <c r="F2793" s="6">
        <v>1.27</v>
      </c>
      <c r="G2793">
        <v>1.49</v>
      </c>
      <c r="H2793" s="387"/>
    </row>
    <row r="2794" spans="1:8" hidden="1" outlineLevel="1">
      <c r="A2794" s="8"/>
      <c r="B2794" s="1"/>
      <c r="C2794" s="81" t="s">
        <v>154</v>
      </c>
      <c r="D2794" s="5"/>
      <c r="E2794" s="12">
        <v>0.15</v>
      </c>
      <c r="F2794" s="6">
        <v>0.89</v>
      </c>
      <c r="G2794">
        <v>1.05</v>
      </c>
    </row>
    <row r="2795" spans="1:8" hidden="1" outlineLevel="1">
      <c r="A2795" s="8"/>
      <c r="B2795" s="1"/>
      <c r="C2795" s="81"/>
      <c r="D2795" s="5"/>
      <c r="E2795" s="12"/>
      <c r="F2795" s="6"/>
    </row>
    <row r="2796" spans="1:8" hidden="1" outlineLevel="1">
      <c r="A2796" s="8"/>
      <c r="B2796" s="1"/>
      <c r="C2796" s="81"/>
      <c r="D2796" s="5"/>
      <c r="E2796" s="12"/>
      <c r="F2796" s="6"/>
    </row>
    <row r="2797" spans="1:8" hidden="1" outlineLevel="1">
      <c r="A2797" s="8"/>
      <c r="B2797" s="1"/>
      <c r="C2797" s="81"/>
      <c r="D2797" s="5"/>
      <c r="E2797" s="12"/>
      <c r="F2797" s="6"/>
    </row>
    <row r="2798" spans="1:8" hidden="1" outlineLevel="1">
      <c r="A2798" s="8"/>
      <c r="B2798" s="1"/>
      <c r="C2798" s="81"/>
      <c r="D2798" s="5"/>
      <c r="E2798" s="12"/>
      <c r="F2798" s="6"/>
    </row>
    <row r="2799" spans="1:8" hidden="1" outlineLevel="1">
      <c r="A2799" s="8"/>
      <c r="B2799" s="1"/>
      <c r="C2799" s="81"/>
      <c r="D2799" s="5"/>
      <c r="E2799" s="12"/>
      <c r="F2799" s="6"/>
    </row>
    <row r="2800" spans="1:8" hidden="1" outlineLevel="1">
      <c r="A2800" s="8"/>
      <c r="B2800" s="1"/>
      <c r="C2800" s="1"/>
      <c r="D2800" s="1"/>
      <c r="E2800" s="12"/>
      <c r="F2800" s="6"/>
    </row>
    <row r="2801" spans="1:8" hidden="1" outlineLevel="1">
      <c r="A2801" s="8"/>
      <c r="B2801" s="1"/>
      <c r="C2801" s="1"/>
      <c r="D2801" s="1"/>
      <c r="E2801" s="12"/>
      <c r="F2801" s="6"/>
    </row>
    <row r="2802" spans="1:8" hidden="1" outlineLevel="1">
      <c r="A2802" s="8"/>
      <c r="B2802" s="1"/>
      <c r="C2802" s="81"/>
      <c r="D2802" s="1"/>
      <c r="E2802" s="12"/>
      <c r="F2802" s="2"/>
    </row>
    <row r="2803" spans="1:8" hidden="1" outlineLevel="1">
      <c r="A2803" s="8"/>
      <c r="B2803" s="1"/>
      <c r="C2803" s="1"/>
      <c r="D2803" s="1"/>
      <c r="E2803" s="12"/>
      <c r="F2803" s="2"/>
    </row>
    <row r="2804" spans="1:8" ht="15.75" hidden="1" outlineLevel="1" thickBot="1">
      <c r="A2804" s="9"/>
      <c r="B2804" s="3"/>
      <c r="C2804" s="3"/>
      <c r="D2804" s="3"/>
      <c r="E2804" s="3"/>
      <c r="F2804" s="4"/>
    </row>
    <row r="2805" spans="1:8" ht="16.5" hidden="1" outlineLevel="1" thickTop="1" thickBot="1"/>
    <row r="2806" spans="1:8" ht="15.75" hidden="1" outlineLevel="1" thickTop="1">
      <c r="A2806" s="3782"/>
      <c r="B2806" s="3781"/>
      <c r="C2806" s="3781"/>
      <c r="D2806" s="3781"/>
      <c r="E2806" s="3781"/>
      <c r="F2806" s="3765"/>
    </row>
    <row r="2807" spans="1:8" ht="15.75" hidden="1" outlineLevel="1" thickBot="1">
      <c r="A2807" s="3783"/>
      <c r="B2807" s="3767"/>
      <c r="C2807" s="3767"/>
      <c r="D2807" s="3767"/>
      <c r="E2807" s="3767"/>
      <c r="F2807" s="3766"/>
    </row>
    <row r="2808" spans="1:8" ht="15.75" hidden="1" outlineLevel="1" thickTop="1">
      <c r="A2808" s="7" t="s">
        <v>1757</v>
      </c>
      <c r="B2808" s="5" t="s">
        <v>106</v>
      </c>
      <c r="C2808" s="81" t="s">
        <v>1315</v>
      </c>
      <c r="D2808" s="288"/>
      <c r="E2808" s="343">
        <v>0.15</v>
      </c>
      <c r="F2808" s="291">
        <v>1.21</v>
      </c>
      <c r="G2808">
        <v>1.42</v>
      </c>
      <c r="H2808" s="387"/>
    </row>
    <row r="2809" spans="1:8" hidden="1" outlineLevel="1">
      <c r="A2809" s="8"/>
      <c r="B2809" s="1"/>
      <c r="C2809" s="81" t="s">
        <v>1316</v>
      </c>
      <c r="D2809" s="288"/>
      <c r="E2809" s="343">
        <v>0.15</v>
      </c>
      <c r="F2809" s="291">
        <v>1.21</v>
      </c>
    </row>
    <row r="2810" spans="1:8" hidden="1" outlineLevel="1">
      <c r="A2810" s="8"/>
      <c r="B2810" s="1"/>
      <c r="C2810" s="81" t="s">
        <v>1317</v>
      </c>
      <c r="D2810" s="288"/>
      <c r="E2810" s="343">
        <v>0.15</v>
      </c>
      <c r="F2810" s="291">
        <v>1.21</v>
      </c>
    </row>
    <row r="2811" spans="1:8" hidden="1" outlineLevel="1">
      <c r="A2811" s="8"/>
      <c r="B2811" s="1"/>
      <c r="C2811" s="81" t="s">
        <v>1258</v>
      </c>
      <c r="D2811" s="288"/>
      <c r="E2811" s="343">
        <v>0.15</v>
      </c>
      <c r="F2811" s="291">
        <v>25.72</v>
      </c>
      <c r="G2811">
        <v>30.26</v>
      </c>
    </row>
    <row r="2812" spans="1:8" hidden="1" outlineLevel="1">
      <c r="A2812" s="8"/>
      <c r="B2812" s="1"/>
      <c r="C2812" s="81" t="s">
        <v>1271</v>
      </c>
      <c r="D2812" s="288"/>
      <c r="E2812" s="343">
        <v>0.15</v>
      </c>
      <c r="F2812" s="291">
        <v>27.48</v>
      </c>
      <c r="G2812">
        <v>32.33</v>
      </c>
    </row>
    <row r="2813" spans="1:8" hidden="1" outlineLevel="1">
      <c r="A2813" s="8"/>
      <c r="B2813" s="1"/>
      <c r="C2813" s="81" t="s">
        <v>1259</v>
      </c>
      <c r="D2813" s="288"/>
      <c r="E2813" s="343">
        <v>0.15</v>
      </c>
      <c r="F2813" s="291">
        <v>22.01</v>
      </c>
      <c r="G2813">
        <v>25.89</v>
      </c>
    </row>
    <row r="2814" spans="1:8" hidden="1" outlineLevel="1">
      <c r="A2814" s="8"/>
      <c r="B2814" s="1"/>
      <c r="C2814" s="81"/>
      <c r="D2814" s="288"/>
      <c r="E2814" s="343"/>
      <c r="F2814" s="291"/>
    </row>
    <row r="2815" spans="1:8" hidden="1" outlineLevel="1">
      <c r="A2815" s="8"/>
      <c r="B2815" s="1"/>
      <c r="C2815" s="81"/>
      <c r="D2815" s="81"/>
      <c r="E2815" s="343"/>
      <c r="F2815" s="291"/>
    </row>
    <row r="2816" spans="1:8" hidden="1" outlineLevel="1">
      <c r="A2816" s="8"/>
      <c r="B2816" s="1"/>
      <c r="C2816" s="81"/>
      <c r="D2816" s="81"/>
      <c r="E2816" s="343"/>
      <c r="F2816" s="291"/>
    </row>
    <row r="2817" spans="1:8" hidden="1" outlineLevel="1">
      <c r="A2817" s="8"/>
      <c r="B2817" s="1"/>
      <c r="C2817" s="81"/>
      <c r="D2817" s="81"/>
      <c r="E2817" s="343"/>
      <c r="F2817" s="293"/>
    </row>
    <row r="2818" spans="1:8" hidden="1" outlineLevel="1">
      <c r="A2818" s="8"/>
      <c r="B2818" s="1"/>
      <c r="C2818" s="1"/>
      <c r="D2818" s="1"/>
      <c r="E2818" s="12"/>
      <c r="F2818" s="2"/>
    </row>
    <row r="2819" spans="1:8" ht="15.75" hidden="1" outlineLevel="1" thickBot="1">
      <c r="A2819" s="9"/>
      <c r="B2819" s="3"/>
      <c r="C2819" s="3"/>
      <c r="D2819" s="3"/>
      <c r="E2819" s="3"/>
      <c r="F2819" s="4"/>
    </row>
    <row r="2820" spans="1:8" ht="15.75" hidden="1" outlineLevel="1" thickTop="1"/>
    <row r="2821" spans="1:8" ht="15.75" hidden="1" outlineLevel="1" thickBot="1"/>
    <row r="2822" spans="1:8" ht="15.75" hidden="1" outlineLevel="1" thickTop="1">
      <c r="A2822" s="3782"/>
      <c r="B2822" s="3781"/>
      <c r="C2822" s="3781"/>
      <c r="D2822" s="3781"/>
      <c r="E2822" s="3781"/>
      <c r="F2822" s="3765"/>
    </row>
    <row r="2823" spans="1:8" ht="15.75" hidden="1" outlineLevel="1" thickBot="1">
      <c r="A2823" s="3783"/>
      <c r="B2823" s="3767"/>
      <c r="C2823" s="3767"/>
      <c r="D2823" s="3767"/>
      <c r="E2823" s="3767"/>
      <c r="F2823" s="3766"/>
    </row>
    <row r="2824" spans="1:8" ht="15.75" hidden="1" outlineLevel="1" thickTop="1">
      <c r="A2824" s="7" t="s">
        <v>1766</v>
      </c>
      <c r="B2824" s="5" t="s">
        <v>1171</v>
      </c>
      <c r="C2824" s="1" t="s">
        <v>1271</v>
      </c>
      <c r="D2824" s="5"/>
      <c r="E2824" s="12">
        <v>0.15</v>
      </c>
      <c r="F2824" s="6">
        <v>27.41</v>
      </c>
      <c r="G2824">
        <v>32.25</v>
      </c>
      <c r="H2824" s="387"/>
    </row>
    <row r="2825" spans="1:8" hidden="1" outlineLevel="1">
      <c r="A2825" s="8"/>
      <c r="B2825" s="1"/>
      <c r="C2825" s="81" t="s">
        <v>1258</v>
      </c>
      <c r="D2825" s="5"/>
      <c r="E2825" s="12">
        <v>0.15</v>
      </c>
      <c r="F2825" s="6">
        <v>25.72</v>
      </c>
      <c r="G2825">
        <v>30.26</v>
      </c>
    </row>
    <row r="2826" spans="1:8" hidden="1" outlineLevel="1">
      <c r="A2826" s="8"/>
      <c r="B2826" s="1"/>
      <c r="C2826" s="81" t="s">
        <v>1259</v>
      </c>
      <c r="D2826" s="5"/>
      <c r="E2826" s="12">
        <v>0.15</v>
      </c>
      <c r="F2826" s="6">
        <v>22.01</v>
      </c>
      <c r="G2826">
        <v>25.89</v>
      </c>
    </row>
    <row r="2827" spans="1:8" hidden="1" outlineLevel="1">
      <c r="A2827" s="8"/>
      <c r="B2827" s="1"/>
      <c r="C2827" s="81" t="s">
        <v>623</v>
      </c>
      <c r="D2827" s="5"/>
      <c r="E2827" s="12">
        <v>0.2</v>
      </c>
      <c r="F2827" s="6">
        <v>2.0299999999999998</v>
      </c>
      <c r="G2827">
        <v>2.5299999999999998</v>
      </c>
    </row>
    <row r="2828" spans="1:8" hidden="1" outlineLevel="1">
      <c r="A2828" s="8"/>
      <c r="B2828" s="1"/>
      <c r="C2828" s="81"/>
      <c r="D2828" s="5"/>
      <c r="E2828" s="12"/>
      <c r="F2828" s="6"/>
    </row>
    <row r="2829" spans="1:8" hidden="1" outlineLevel="1">
      <c r="A2829" s="8"/>
      <c r="B2829" s="1"/>
      <c r="C2829" s="81"/>
      <c r="D2829" s="5"/>
      <c r="E2829" s="12"/>
      <c r="F2829" s="6"/>
    </row>
    <row r="2830" spans="1:8" hidden="1" outlineLevel="1">
      <c r="A2830" s="8"/>
      <c r="B2830" s="1"/>
      <c r="C2830" s="81"/>
      <c r="D2830" s="5"/>
      <c r="E2830" s="12"/>
      <c r="F2830" s="6"/>
    </row>
    <row r="2831" spans="1:8" hidden="1" outlineLevel="1">
      <c r="A2831" s="8"/>
      <c r="B2831" s="1"/>
      <c r="C2831" s="1"/>
      <c r="D2831" s="1"/>
      <c r="E2831" s="12"/>
      <c r="F2831" s="6"/>
    </row>
    <row r="2832" spans="1:8" hidden="1" outlineLevel="1">
      <c r="A2832" s="8"/>
      <c r="B2832" s="1"/>
      <c r="C2832" s="1"/>
      <c r="D2832" s="1"/>
      <c r="E2832" s="12"/>
      <c r="F2832" s="6"/>
    </row>
    <row r="2833" spans="1:8" hidden="1" outlineLevel="1">
      <c r="A2833" s="8"/>
      <c r="B2833" s="1"/>
      <c r="C2833" s="81"/>
      <c r="D2833" s="1"/>
      <c r="E2833" s="12"/>
      <c r="F2833" s="2"/>
    </row>
    <row r="2834" spans="1:8" hidden="1" outlineLevel="1">
      <c r="A2834" s="8"/>
      <c r="B2834" s="1"/>
      <c r="C2834" s="1"/>
      <c r="D2834" s="1"/>
      <c r="E2834" s="12"/>
      <c r="F2834" s="2"/>
    </row>
    <row r="2835" spans="1:8" ht="15.75" hidden="1" outlineLevel="1" thickBot="1">
      <c r="A2835" s="9"/>
      <c r="B2835" s="3"/>
      <c r="C2835" s="3"/>
      <c r="D2835" s="3"/>
      <c r="E2835" s="3"/>
      <c r="F2835" s="4"/>
    </row>
    <row r="2836" spans="1:8" ht="16.5" hidden="1" outlineLevel="1" thickTop="1" thickBot="1"/>
    <row r="2837" spans="1:8" ht="15.75" hidden="1" outlineLevel="1" thickTop="1">
      <c r="A2837" s="3782"/>
      <c r="B2837" s="3781"/>
      <c r="C2837" s="3781"/>
      <c r="D2837" s="3781"/>
      <c r="E2837" s="3781"/>
      <c r="F2837" s="3765"/>
    </row>
    <row r="2838" spans="1:8" ht="15.75" hidden="1" outlineLevel="1" thickBot="1">
      <c r="A2838" s="3783"/>
      <c r="B2838" s="3767"/>
      <c r="C2838" s="3767"/>
      <c r="D2838" s="3767"/>
      <c r="E2838" s="3767"/>
      <c r="F2838" s="3766"/>
    </row>
    <row r="2839" spans="1:8" ht="15.75" hidden="1" outlineLevel="1" thickTop="1">
      <c r="A2839" s="7" t="s">
        <v>1767</v>
      </c>
      <c r="B2839" s="5" t="s">
        <v>1171</v>
      </c>
      <c r="C2839" s="1" t="s">
        <v>465</v>
      </c>
      <c r="D2839" s="5"/>
      <c r="E2839" s="12">
        <v>0.2</v>
      </c>
      <c r="F2839" s="6">
        <v>1.25</v>
      </c>
      <c r="G2839">
        <v>1.57</v>
      </c>
      <c r="H2839" s="387"/>
    </row>
    <row r="2840" spans="1:8" hidden="1" outlineLevel="1">
      <c r="A2840" s="8"/>
      <c r="B2840" s="1"/>
      <c r="C2840" s="81" t="s">
        <v>554</v>
      </c>
      <c r="D2840" s="5"/>
      <c r="E2840" s="12">
        <v>0.2</v>
      </c>
      <c r="F2840" s="6">
        <v>0.88</v>
      </c>
      <c r="G2840">
        <v>1.1000000000000001</v>
      </c>
    </row>
    <row r="2841" spans="1:8" hidden="1" outlineLevel="1">
      <c r="A2841" s="8"/>
      <c r="B2841" s="1"/>
      <c r="C2841" s="81" t="s">
        <v>730</v>
      </c>
      <c r="D2841" s="5"/>
      <c r="E2841" s="12">
        <v>0.2</v>
      </c>
      <c r="F2841" s="6">
        <v>0.61</v>
      </c>
      <c r="G2841">
        <v>0.77</v>
      </c>
    </row>
    <row r="2842" spans="1:8" hidden="1" outlineLevel="1">
      <c r="A2842" s="8"/>
      <c r="B2842" s="1"/>
      <c r="C2842" s="81" t="s">
        <v>1058</v>
      </c>
      <c r="D2842" s="5"/>
      <c r="E2842" s="12">
        <v>0.2</v>
      </c>
      <c r="F2842" s="6">
        <v>1.53</v>
      </c>
      <c r="G2842">
        <v>1.91</v>
      </c>
    </row>
    <row r="2843" spans="1:8" hidden="1" outlineLevel="1">
      <c r="A2843" s="8"/>
      <c r="B2843" s="1"/>
      <c r="C2843" s="81"/>
      <c r="D2843" s="5"/>
      <c r="E2843" s="12"/>
      <c r="F2843" s="6"/>
    </row>
    <row r="2844" spans="1:8" hidden="1" outlineLevel="1">
      <c r="A2844" s="8"/>
      <c r="B2844" s="1"/>
      <c r="C2844" s="81"/>
      <c r="D2844" s="5"/>
      <c r="E2844" s="12"/>
      <c r="F2844" s="6"/>
    </row>
    <row r="2845" spans="1:8" hidden="1" outlineLevel="1">
      <c r="A2845" s="8"/>
      <c r="B2845" s="1"/>
      <c r="C2845" s="81"/>
      <c r="D2845" s="5"/>
      <c r="E2845" s="12"/>
      <c r="F2845" s="6"/>
    </row>
    <row r="2846" spans="1:8" hidden="1" outlineLevel="1">
      <c r="A2846" s="8"/>
      <c r="B2846" s="1"/>
      <c r="C2846" s="1"/>
      <c r="D2846" s="1"/>
      <c r="E2846" s="12"/>
      <c r="F2846" s="6"/>
    </row>
    <row r="2847" spans="1:8" hidden="1" outlineLevel="1">
      <c r="A2847" s="8"/>
      <c r="B2847" s="1"/>
      <c r="C2847" s="1"/>
      <c r="D2847" s="1"/>
      <c r="E2847" s="12"/>
      <c r="F2847" s="6"/>
    </row>
    <row r="2848" spans="1:8" hidden="1" outlineLevel="1">
      <c r="A2848" s="8"/>
      <c r="B2848" s="1"/>
      <c r="C2848" s="81"/>
      <c r="D2848" s="1"/>
      <c r="E2848" s="12"/>
      <c r="F2848" s="2"/>
    </row>
    <row r="2849" spans="1:10" hidden="1" outlineLevel="1">
      <c r="A2849" s="8"/>
      <c r="B2849" s="1"/>
      <c r="C2849" s="1"/>
      <c r="D2849" s="1"/>
      <c r="E2849" s="12"/>
      <c r="F2849" s="2"/>
    </row>
    <row r="2850" spans="1:10" ht="15.75" hidden="1" outlineLevel="1" thickBot="1">
      <c r="A2850" s="9"/>
      <c r="B2850" s="3"/>
      <c r="C2850" s="3"/>
      <c r="D2850" s="3"/>
      <c r="E2850" s="3"/>
      <c r="F2850" s="4"/>
    </row>
    <row r="2851" spans="1:10" ht="16.5" hidden="1" outlineLevel="1" thickTop="1" thickBot="1"/>
    <row r="2852" spans="1:10" ht="15.75" hidden="1" outlineLevel="1" thickTop="1">
      <c r="A2852" s="3808"/>
      <c r="B2852" s="3804"/>
      <c r="C2852" s="3804"/>
      <c r="D2852" s="3804"/>
      <c r="E2852" s="3804"/>
      <c r="F2852" s="3806"/>
    </row>
    <row r="2853" spans="1:10" ht="15.75" hidden="1" outlineLevel="1" thickBot="1">
      <c r="A2853" s="3809"/>
      <c r="B2853" s="3805"/>
      <c r="C2853" s="3805"/>
      <c r="D2853" s="3805"/>
      <c r="E2853" s="3805"/>
      <c r="F2853" s="3807"/>
    </row>
    <row r="2854" spans="1:10" ht="15.75" hidden="1" outlineLevel="1" thickTop="1">
      <c r="A2854" s="277" t="s">
        <v>1771</v>
      </c>
      <c r="B2854" s="191" t="s">
        <v>1171</v>
      </c>
      <c r="C2854" s="31" t="s">
        <v>1439</v>
      </c>
      <c r="D2854" s="191"/>
      <c r="E2854" s="285">
        <v>0.15</v>
      </c>
      <c r="F2854" s="281">
        <v>9.15</v>
      </c>
      <c r="G2854">
        <v>10.77</v>
      </c>
      <c r="H2854" s="387"/>
      <c r="I2854">
        <v>236</v>
      </c>
    </row>
    <row r="2855" spans="1:10" hidden="1" outlineLevel="1">
      <c r="A2855" s="280"/>
      <c r="B2855" s="31"/>
      <c r="C2855" s="31" t="s">
        <v>1773</v>
      </c>
      <c r="D2855" s="191"/>
      <c r="E2855" s="285">
        <v>0.15</v>
      </c>
      <c r="F2855" s="281">
        <v>9.15</v>
      </c>
      <c r="G2855">
        <v>10.77</v>
      </c>
      <c r="I2855">
        <v>210</v>
      </c>
    </row>
    <row r="2856" spans="1:10" hidden="1" outlineLevel="1">
      <c r="A2856" s="280"/>
      <c r="B2856" s="31"/>
      <c r="C2856" s="31" t="s">
        <v>1608</v>
      </c>
      <c r="D2856" s="191"/>
      <c r="E2856" s="285">
        <v>0.25</v>
      </c>
      <c r="F2856" s="281">
        <v>1</v>
      </c>
      <c r="G2856">
        <v>1.33</v>
      </c>
    </row>
    <row r="2857" spans="1:10" hidden="1" outlineLevel="1">
      <c r="A2857" s="280"/>
      <c r="B2857" s="31"/>
      <c r="C2857" s="31" t="s">
        <v>1090</v>
      </c>
      <c r="D2857" s="191"/>
      <c r="E2857" s="285">
        <v>0.25</v>
      </c>
      <c r="F2857" s="281">
        <v>1</v>
      </c>
      <c r="G2857">
        <v>1.33</v>
      </c>
    </row>
    <row r="2858" spans="1:10" hidden="1" outlineLevel="1">
      <c r="A2858" s="280"/>
      <c r="B2858" s="31"/>
      <c r="C2858" s="31" t="s">
        <v>1091</v>
      </c>
      <c r="D2858" s="191"/>
      <c r="E2858" s="285">
        <v>0.25</v>
      </c>
      <c r="F2858" s="281">
        <v>1</v>
      </c>
      <c r="G2858">
        <v>1.33</v>
      </c>
    </row>
    <row r="2859" spans="1:10" hidden="1" outlineLevel="1">
      <c r="A2859" s="280"/>
      <c r="B2859" s="31"/>
      <c r="C2859" s="31" t="s">
        <v>1092</v>
      </c>
      <c r="D2859" s="191"/>
      <c r="E2859" s="285">
        <v>0.25</v>
      </c>
      <c r="F2859" s="281">
        <v>1</v>
      </c>
      <c r="G2859">
        <v>1.33</v>
      </c>
    </row>
    <row r="2860" spans="1:10" hidden="1" outlineLevel="1">
      <c r="A2860" s="280"/>
      <c r="B2860" s="31"/>
      <c r="C2860" s="31" t="s">
        <v>1002</v>
      </c>
      <c r="D2860" s="191"/>
      <c r="E2860" s="285">
        <v>0.25</v>
      </c>
      <c r="F2860" s="281">
        <v>0.79</v>
      </c>
      <c r="G2860">
        <v>1.05</v>
      </c>
    </row>
    <row r="2861" spans="1:10" hidden="1" outlineLevel="1">
      <c r="A2861" s="280"/>
      <c r="B2861" s="31"/>
      <c r="C2861" s="31" t="s">
        <v>684</v>
      </c>
      <c r="D2861" s="191"/>
      <c r="E2861" s="285">
        <v>0.25</v>
      </c>
      <c r="F2861" s="281">
        <v>0.72</v>
      </c>
      <c r="G2861">
        <v>0.96</v>
      </c>
    </row>
    <row r="2862" spans="1:10" hidden="1" outlineLevel="1">
      <c r="A2862" s="280"/>
      <c r="B2862" s="31"/>
      <c r="C2862" s="31" t="s">
        <v>940</v>
      </c>
      <c r="D2862" s="191"/>
      <c r="E2862" s="285">
        <v>0.3</v>
      </c>
      <c r="F2862" s="281">
        <v>4.2300000000000004</v>
      </c>
      <c r="G2862">
        <v>6.04</v>
      </c>
      <c r="I2862">
        <v>364</v>
      </c>
      <c r="J2862">
        <v>362</v>
      </c>
    </row>
    <row r="2863" spans="1:10" hidden="1" outlineLevel="1">
      <c r="A2863" s="280"/>
      <c r="B2863" s="31"/>
      <c r="C2863" s="31" t="s">
        <v>786</v>
      </c>
      <c r="D2863" s="191"/>
      <c r="E2863" s="285">
        <v>0.3</v>
      </c>
      <c r="F2863" s="281">
        <v>4.2300000000000004</v>
      </c>
      <c r="G2863">
        <v>6.04</v>
      </c>
      <c r="I2863">
        <v>328</v>
      </c>
      <c r="J2863">
        <v>320</v>
      </c>
    </row>
    <row r="2864" spans="1:10" hidden="1" outlineLevel="1">
      <c r="A2864" s="280"/>
      <c r="B2864" s="31"/>
      <c r="C2864" s="31" t="s">
        <v>1772</v>
      </c>
      <c r="D2864" s="191"/>
      <c r="E2864" s="285">
        <v>0.25</v>
      </c>
      <c r="F2864" s="281">
        <v>1.9</v>
      </c>
      <c r="G2864">
        <v>2.5299999999999998</v>
      </c>
    </row>
    <row r="2865" spans="1:8" hidden="1" outlineLevel="1">
      <c r="A2865" s="280"/>
      <c r="B2865" s="31"/>
      <c r="C2865" s="31"/>
      <c r="D2865" s="31"/>
      <c r="E2865" s="285"/>
      <c r="F2865" s="281"/>
    </row>
    <row r="2866" spans="1:8" ht="15.75" hidden="1" outlineLevel="1" thickBot="1">
      <c r="A2866" s="282"/>
      <c r="B2866" s="283"/>
      <c r="C2866" s="283"/>
      <c r="D2866" s="283"/>
      <c r="E2866" s="283"/>
      <c r="F2866" s="284"/>
    </row>
    <row r="2867" spans="1:8" ht="16.5" hidden="1" outlineLevel="1" thickTop="1" thickBot="1"/>
    <row r="2868" spans="1:8" ht="15.75" hidden="1" outlineLevel="1" thickTop="1">
      <c r="A2868" s="3782"/>
      <c r="B2868" s="3781"/>
      <c r="C2868" s="3781"/>
      <c r="D2868" s="3781"/>
      <c r="E2868" s="3781"/>
      <c r="F2868" s="3765"/>
    </row>
    <row r="2869" spans="1:8" ht="15.75" hidden="1" outlineLevel="1" thickBot="1">
      <c r="A2869" s="3783"/>
      <c r="B2869" s="3767"/>
      <c r="C2869" s="3767"/>
      <c r="D2869" s="3767"/>
      <c r="E2869" s="3767"/>
      <c r="F2869" s="3766"/>
    </row>
    <row r="2870" spans="1:8" ht="15.75" hidden="1" outlineLevel="1" thickTop="1">
      <c r="A2870" s="7" t="s">
        <v>1774</v>
      </c>
      <c r="B2870" s="5" t="s">
        <v>114</v>
      </c>
      <c r="C2870" s="1" t="s">
        <v>1660</v>
      </c>
      <c r="D2870" s="5"/>
      <c r="E2870" s="12">
        <v>0.04</v>
      </c>
      <c r="F2870" s="6">
        <v>4.5</v>
      </c>
      <c r="G2870">
        <v>4.67</v>
      </c>
      <c r="H2870" s="387"/>
    </row>
    <row r="2871" spans="1:8" hidden="1" outlineLevel="1">
      <c r="A2871" s="8"/>
      <c r="B2871" s="1"/>
      <c r="C2871" s="81" t="s">
        <v>1661</v>
      </c>
      <c r="D2871" s="5"/>
      <c r="E2871" s="12">
        <v>0.04</v>
      </c>
      <c r="F2871" s="6">
        <v>4.5</v>
      </c>
    </row>
    <row r="2872" spans="1:8" hidden="1" outlineLevel="1">
      <c r="A2872" s="8"/>
      <c r="B2872" s="1"/>
      <c r="C2872" s="81" t="s">
        <v>1775</v>
      </c>
      <c r="D2872" s="5"/>
      <c r="E2872" s="12">
        <v>0.04</v>
      </c>
      <c r="F2872" s="6">
        <v>4.5</v>
      </c>
    </row>
    <row r="2873" spans="1:8" hidden="1" outlineLevel="1">
      <c r="A2873" s="8"/>
      <c r="B2873" s="1"/>
      <c r="C2873" s="81"/>
      <c r="D2873" s="5"/>
      <c r="E2873" s="12"/>
      <c r="F2873" s="6"/>
    </row>
    <row r="2874" spans="1:8" hidden="1" outlineLevel="1">
      <c r="A2874" s="8"/>
      <c r="B2874" s="1"/>
      <c r="C2874" s="81"/>
      <c r="D2874" s="5"/>
      <c r="E2874" s="12"/>
      <c r="F2874" s="6"/>
    </row>
    <row r="2875" spans="1:8" hidden="1" outlineLevel="1">
      <c r="A2875" s="8"/>
      <c r="B2875" s="1"/>
      <c r="C2875" s="81"/>
      <c r="D2875" s="5"/>
      <c r="E2875" s="12"/>
      <c r="F2875" s="6"/>
    </row>
    <row r="2876" spans="1:8" hidden="1" outlineLevel="1">
      <c r="A2876" s="8"/>
      <c r="B2876" s="1"/>
      <c r="C2876" s="81"/>
      <c r="D2876" s="5"/>
      <c r="E2876" s="12"/>
      <c r="F2876" s="6"/>
    </row>
    <row r="2877" spans="1:8" hidden="1" outlineLevel="1">
      <c r="A2877" s="8"/>
      <c r="B2877" s="1"/>
      <c r="C2877" s="1"/>
      <c r="D2877" s="1"/>
      <c r="E2877" s="12"/>
      <c r="F2877" s="6"/>
    </row>
    <row r="2878" spans="1:8" hidden="1" outlineLevel="1">
      <c r="A2878" s="8"/>
      <c r="B2878" s="1"/>
      <c r="C2878" s="1"/>
      <c r="D2878" s="1"/>
      <c r="E2878" s="12"/>
      <c r="F2878" s="6"/>
    </row>
    <row r="2879" spans="1:8" hidden="1" outlineLevel="1">
      <c r="A2879" s="8"/>
      <c r="B2879" s="1"/>
      <c r="C2879" s="81"/>
      <c r="D2879" s="1"/>
      <c r="E2879" s="12"/>
      <c r="F2879" s="2"/>
    </row>
    <row r="2880" spans="1:8" hidden="1" outlineLevel="1">
      <c r="A2880" s="8"/>
      <c r="B2880" s="1"/>
      <c r="C2880" s="1"/>
      <c r="D2880" s="1"/>
      <c r="E2880" s="12"/>
      <c r="F2880" s="2"/>
    </row>
    <row r="2881" spans="1:8" ht="15.75" hidden="1" outlineLevel="1" thickBot="1">
      <c r="A2881" s="9"/>
      <c r="B2881" s="3"/>
      <c r="C2881" s="3"/>
      <c r="D2881" s="3"/>
      <c r="E2881" s="3"/>
      <c r="F2881" s="4"/>
    </row>
    <row r="2882" spans="1:8" ht="16.5" hidden="1" outlineLevel="1" thickTop="1" thickBot="1"/>
    <row r="2883" spans="1:8" ht="15.75" hidden="1" outlineLevel="1" thickTop="1">
      <c r="A2883" s="3782"/>
      <c r="B2883" s="3781"/>
      <c r="C2883" s="3781"/>
      <c r="D2883" s="3781"/>
      <c r="E2883" s="3781"/>
      <c r="F2883" s="3765"/>
    </row>
    <row r="2884" spans="1:8" ht="15.75" hidden="1" outlineLevel="1" thickBot="1">
      <c r="A2884" s="3783"/>
      <c r="B2884" s="3767"/>
      <c r="C2884" s="3767"/>
      <c r="D2884" s="3767"/>
      <c r="E2884" s="3767"/>
      <c r="F2884" s="3766"/>
    </row>
    <row r="2885" spans="1:8" ht="15.75" hidden="1" outlineLevel="1" thickTop="1">
      <c r="A2885" s="7" t="s">
        <v>1776</v>
      </c>
      <c r="B2885" s="5" t="s">
        <v>106</v>
      </c>
      <c r="C2885" s="81" t="s">
        <v>554</v>
      </c>
      <c r="D2885" s="288"/>
      <c r="E2885" s="343">
        <v>0.15</v>
      </c>
      <c r="F2885" s="291">
        <v>0.94</v>
      </c>
      <c r="G2885">
        <v>1.1000000000000001</v>
      </c>
      <c r="H2885" s="387"/>
    </row>
    <row r="2886" spans="1:8" hidden="1" outlineLevel="1">
      <c r="A2886" s="8"/>
      <c r="B2886" s="1"/>
      <c r="C2886" s="81"/>
      <c r="D2886" s="288"/>
      <c r="E2886" s="343"/>
      <c r="F2886" s="291"/>
    </row>
    <row r="2887" spans="1:8" hidden="1" outlineLevel="1">
      <c r="A2887" s="8"/>
      <c r="B2887" s="1"/>
      <c r="C2887" s="81"/>
      <c r="D2887" s="288"/>
      <c r="E2887" s="343"/>
      <c r="F2887" s="291"/>
    </row>
    <row r="2888" spans="1:8" hidden="1" outlineLevel="1">
      <c r="A2888" s="8"/>
      <c r="B2888" s="1"/>
      <c r="C2888" s="81"/>
      <c r="D2888" s="288"/>
      <c r="E2888" s="343"/>
      <c r="F2888" s="291"/>
    </row>
    <row r="2889" spans="1:8" hidden="1" outlineLevel="1">
      <c r="A2889" s="8"/>
      <c r="B2889" s="1"/>
      <c r="C2889" s="81"/>
      <c r="D2889" s="288"/>
      <c r="E2889" s="343"/>
      <c r="F2889" s="291"/>
    </row>
    <row r="2890" spans="1:8" hidden="1" outlineLevel="1">
      <c r="A2890" s="8"/>
      <c r="B2890" s="1"/>
      <c r="C2890" s="81"/>
      <c r="D2890" s="288"/>
      <c r="E2890" s="343"/>
      <c r="F2890" s="291"/>
    </row>
    <row r="2891" spans="1:8" hidden="1" outlineLevel="1">
      <c r="A2891" s="8"/>
      <c r="B2891" s="1"/>
      <c r="C2891" s="81"/>
      <c r="D2891" s="288"/>
      <c r="E2891" s="343"/>
      <c r="F2891" s="291"/>
    </row>
    <row r="2892" spans="1:8" hidden="1" outlineLevel="1">
      <c r="A2892" s="8"/>
      <c r="B2892" s="1"/>
      <c r="C2892" s="81"/>
      <c r="D2892" s="81"/>
      <c r="E2892" s="343"/>
      <c r="F2892" s="291"/>
    </row>
    <row r="2893" spans="1:8" hidden="1" outlineLevel="1">
      <c r="A2893" s="8"/>
      <c r="B2893" s="1"/>
      <c r="C2893" s="81"/>
      <c r="D2893" s="81"/>
      <c r="E2893" s="343"/>
      <c r="F2893" s="291"/>
    </row>
    <row r="2894" spans="1:8" hidden="1" outlineLevel="1">
      <c r="A2894" s="8"/>
      <c r="B2894" s="1"/>
      <c r="C2894" s="81"/>
      <c r="D2894" s="81"/>
      <c r="E2894" s="343"/>
      <c r="F2894" s="293"/>
    </row>
    <row r="2895" spans="1:8" hidden="1" outlineLevel="1">
      <c r="A2895" s="8"/>
      <c r="B2895" s="1"/>
      <c r="C2895" s="1"/>
      <c r="D2895" s="1"/>
      <c r="E2895" s="12"/>
      <c r="F2895" s="2"/>
    </row>
    <row r="2896" spans="1:8" ht="15.75" hidden="1" outlineLevel="1" thickBot="1">
      <c r="A2896" s="9"/>
      <c r="B2896" s="3"/>
      <c r="C2896" s="3"/>
      <c r="D2896" s="3"/>
      <c r="E2896" s="3"/>
      <c r="F2896" s="4"/>
    </row>
    <row r="2897" spans="1:9" ht="16.5" hidden="1" outlineLevel="1" thickTop="1" thickBot="1"/>
    <row r="2898" spans="1:9" ht="15.75" hidden="1" outlineLevel="1" thickTop="1">
      <c r="A2898" s="3802"/>
      <c r="B2898" s="3799"/>
      <c r="C2898" s="3799"/>
      <c r="D2898" s="3799"/>
      <c r="E2898" s="3799"/>
      <c r="F2898" s="3800"/>
    </row>
    <row r="2899" spans="1:9" ht="15.75" hidden="1" outlineLevel="1" thickBot="1">
      <c r="A2899" s="3803"/>
      <c r="B2899" s="3780"/>
      <c r="C2899" s="3780"/>
      <c r="D2899" s="3780"/>
      <c r="E2899" s="3780"/>
      <c r="F2899" s="3801"/>
    </row>
    <row r="2900" spans="1:9" ht="15.75" hidden="1" outlineLevel="1" thickTop="1">
      <c r="A2900" s="289" t="s">
        <v>1777</v>
      </c>
      <c r="B2900" s="288" t="s">
        <v>106</v>
      </c>
      <c r="C2900" s="81" t="s">
        <v>940</v>
      </c>
      <c r="D2900" s="288"/>
      <c r="E2900" s="343">
        <v>0.15</v>
      </c>
      <c r="F2900" s="291">
        <v>5.08</v>
      </c>
      <c r="G2900">
        <v>5.98</v>
      </c>
      <c r="H2900" s="387"/>
      <c r="I2900">
        <v>25</v>
      </c>
    </row>
    <row r="2901" spans="1:9" hidden="1" outlineLevel="1">
      <c r="A2901" s="292"/>
      <c r="B2901" s="81"/>
      <c r="C2901" s="81" t="s">
        <v>869</v>
      </c>
      <c r="D2901" s="288"/>
      <c r="E2901" s="343">
        <v>0.15</v>
      </c>
      <c r="F2901" s="291">
        <v>0.95</v>
      </c>
      <c r="G2901">
        <v>1.1200000000000001</v>
      </c>
      <c r="I2901">
        <v>64</v>
      </c>
    </row>
    <row r="2902" spans="1:9" hidden="1" outlineLevel="1">
      <c r="A2902" s="292"/>
      <c r="B2902" s="81"/>
      <c r="C2902" s="81" t="s">
        <v>786</v>
      </c>
      <c r="D2902" s="288"/>
      <c r="E2902" s="343">
        <v>0.15</v>
      </c>
      <c r="F2902" s="291">
        <v>5.08</v>
      </c>
      <c r="I2902">
        <v>39</v>
      </c>
    </row>
    <row r="2903" spans="1:9" hidden="1" outlineLevel="1">
      <c r="A2903" s="292"/>
      <c r="B2903" s="81"/>
      <c r="C2903" s="81" t="s">
        <v>870</v>
      </c>
      <c r="D2903" s="288"/>
      <c r="E2903" s="343">
        <v>0.15</v>
      </c>
      <c r="F2903" s="291">
        <v>0.95</v>
      </c>
      <c r="I2903">
        <v>86</v>
      </c>
    </row>
    <row r="2904" spans="1:9" hidden="1" outlineLevel="1">
      <c r="A2904" s="292"/>
      <c r="B2904" s="81"/>
      <c r="C2904" s="81" t="s">
        <v>1496</v>
      </c>
      <c r="D2904" s="288"/>
      <c r="E2904" s="343">
        <v>0.1</v>
      </c>
      <c r="F2904" s="291">
        <v>3.38</v>
      </c>
      <c r="G2904">
        <v>3.76</v>
      </c>
    </row>
    <row r="2905" spans="1:9" hidden="1" outlineLevel="1">
      <c r="A2905" s="292"/>
      <c r="B2905" s="81"/>
      <c r="C2905" s="81" t="s">
        <v>238</v>
      </c>
      <c r="D2905" s="288"/>
      <c r="E2905" s="343">
        <v>0.1</v>
      </c>
      <c r="F2905" s="291">
        <v>7.57</v>
      </c>
      <c r="G2905">
        <v>8.41</v>
      </c>
    </row>
    <row r="2906" spans="1:9" hidden="1" outlineLevel="1">
      <c r="A2906" s="292"/>
      <c r="B2906" s="81"/>
      <c r="C2906" s="81" t="s">
        <v>71</v>
      </c>
      <c r="D2906" s="288"/>
      <c r="E2906" s="343">
        <v>0.1</v>
      </c>
      <c r="F2906" s="291">
        <v>19.149999999999999</v>
      </c>
      <c r="G2906">
        <v>21.28</v>
      </c>
    </row>
    <row r="2907" spans="1:9" hidden="1" outlineLevel="1">
      <c r="A2907" s="292"/>
      <c r="B2907" s="81"/>
      <c r="C2907" s="81" t="s">
        <v>1497</v>
      </c>
      <c r="D2907" s="288"/>
      <c r="E2907" s="343">
        <v>0.1</v>
      </c>
      <c r="F2907" s="291">
        <v>3.38</v>
      </c>
      <c r="G2907">
        <v>3.76</v>
      </c>
    </row>
    <row r="2908" spans="1:9" hidden="1" outlineLevel="1">
      <c r="A2908" s="292"/>
      <c r="B2908" s="81"/>
      <c r="C2908" s="81" t="s">
        <v>239</v>
      </c>
      <c r="D2908" s="288"/>
      <c r="E2908" s="343">
        <v>0.1</v>
      </c>
      <c r="F2908" s="291">
        <v>7.55</v>
      </c>
      <c r="G2908">
        <v>8.39</v>
      </c>
    </row>
    <row r="2909" spans="1:9" hidden="1" outlineLevel="1">
      <c r="A2909" s="292"/>
      <c r="B2909" s="81"/>
      <c r="C2909" s="81" t="s">
        <v>74</v>
      </c>
      <c r="D2909" s="81"/>
      <c r="E2909" s="343">
        <v>0.1</v>
      </c>
      <c r="F2909" s="291">
        <v>19.149999999999999</v>
      </c>
      <c r="G2909">
        <v>21.28</v>
      </c>
    </row>
    <row r="2910" spans="1:9" hidden="1" outlineLevel="1">
      <c r="A2910" s="292"/>
      <c r="B2910" s="81"/>
      <c r="C2910" s="81" t="s">
        <v>1722</v>
      </c>
      <c r="D2910" s="81"/>
      <c r="E2910" s="343">
        <v>0.1</v>
      </c>
      <c r="F2910" s="291">
        <v>3.38</v>
      </c>
      <c r="G2910">
        <v>3.76</v>
      </c>
    </row>
    <row r="2911" spans="1:9" hidden="1" outlineLevel="1">
      <c r="A2911" s="292"/>
      <c r="B2911" s="81"/>
      <c r="C2911" s="81" t="s">
        <v>868</v>
      </c>
      <c r="D2911" s="81"/>
      <c r="E2911" s="343">
        <v>0.1</v>
      </c>
      <c r="F2911" s="293">
        <v>7.55</v>
      </c>
      <c r="G2911">
        <v>8.39</v>
      </c>
    </row>
    <row r="2912" spans="1:9" hidden="1" outlineLevel="1">
      <c r="A2912" s="292"/>
      <c r="B2912" s="81"/>
      <c r="C2912" s="81" t="s">
        <v>1485</v>
      </c>
      <c r="D2912" s="81"/>
      <c r="E2912" s="343">
        <v>0.1</v>
      </c>
      <c r="F2912" s="293">
        <v>19.149999999999999</v>
      </c>
      <c r="G2912">
        <v>21.28</v>
      </c>
    </row>
    <row r="2913" spans="1:15" ht="15.75" hidden="1" outlineLevel="1" thickBot="1">
      <c r="A2913" s="382"/>
      <c r="B2913" s="383"/>
      <c r="C2913" s="383" t="s">
        <v>1499</v>
      </c>
      <c r="D2913" s="383"/>
      <c r="E2913" s="343">
        <v>0.1</v>
      </c>
      <c r="F2913" s="384">
        <v>7.86</v>
      </c>
      <c r="G2913">
        <v>8.73</v>
      </c>
    </row>
    <row r="2914" spans="1:15" ht="16.5" hidden="1" outlineLevel="1" thickTop="1" thickBot="1"/>
    <row r="2915" spans="1:15" s="32" customFormat="1" ht="15.75" hidden="1" outlineLevel="1" thickTop="1">
      <c r="A2915" s="3802"/>
      <c r="B2915" s="3799"/>
      <c r="C2915" s="3799"/>
      <c r="D2915" s="3799"/>
      <c r="E2915" s="3799"/>
      <c r="F2915" s="3800"/>
      <c r="O2915" s="176"/>
    </row>
    <row r="2916" spans="1:15" s="32" customFormat="1" ht="15.75" hidden="1" outlineLevel="1" thickBot="1">
      <c r="A2916" s="3803"/>
      <c r="B2916" s="3780"/>
      <c r="C2916" s="3780"/>
      <c r="D2916" s="3780"/>
      <c r="E2916" s="3780"/>
      <c r="F2916" s="3801"/>
      <c r="O2916" s="176"/>
    </row>
    <row r="2917" spans="1:15" s="32" customFormat="1" ht="15.75" hidden="1" outlineLevel="1" thickTop="1">
      <c r="A2917" s="289" t="s">
        <v>1804</v>
      </c>
      <c r="B2917" s="288" t="s">
        <v>106</v>
      </c>
      <c r="C2917" s="81" t="s">
        <v>1376</v>
      </c>
      <c r="D2917" s="288"/>
      <c r="E2917" s="343">
        <f t="shared" ref="E2917:E2925" si="6">(G2917-F2917)/G2917</f>
        <v>0.19962335216572499</v>
      </c>
      <c r="F2917" s="291">
        <v>4.25</v>
      </c>
      <c r="G2917" s="32">
        <v>5.31</v>
      </c>
      <c r="I2917" s="32">
        <v>232</v>
      </c>
      <c r="J2917" s="33">
        <v>12</v>
      </c>
      <c r="K2917" s="32">
        <f>I2917-J2917</f>
        <v>220</v>
      </c>
      <c r="O2917" s="176"/>
    </row>
    <row r="2918" spans="1:15" s="32" customFormat="1" hidden="1" outlineLevel="1">
      <c r="A2918" s="292"/>
      <c r="B2918" s="81"/>
      <c r="C2918" s="81" t="s">
        <v>1362</v>
      </c>
      <c r="D2918" s="288"/>
      <c r="E2918" s="343">
        <f t="shared" si="6"/>
        <v>0.19962335216572499</v>
      </c>
      <c r="F2918" s="291">
        <v>4.25</v>
      </c>
      <c r="G2918" s="32">
        <v>5.31</v>
      </c>
      <c r="I2918" s="32">
        <v>240</v>
      </c>
      <c r="J2918" s="33">
        <v>46</v>
      </c>
      <c r="K2918" s="32">
        <f>I2918-J2918</f>
        <v>194</v>
      </c>
      <c r="O2918" s="176"/>
    </row>
    <row r="2919" spans="1:15" s="32" customFormat="1" hidden="1" outlineLevel="1">
      <c r="A2919" s="292"/>
      <c r="B2919" s="81"/>
      <c r="C2919" s="81" t="s">
        <v>1363</v>
      </c>
      <c r="D2919" s="288"/>
      <c r="E2919" s="343">
        <f t="shared" si="6"/>
        <v>0.19962335216572499</v>
      </c>
      <c r="F2919" s="291">
        <v>4.25</v>
      </c>
      <c r="G2919" s="32">
        <v>5.31</v>
      </c>
      <c r="I2919" s="32">
        <v>198</v>
      </c>
      <c r="J2919" s="33">
        <v>46</v>
      </c>
      <c r="K2919" s="32">
        <f>I2919-J2919</f>
        <v>152</v>
      </c>
      <c r="O2919" s="176"/>
    </row>
    <row r="2920" spans="1:15" s="32" customFormat="1" hidden="1" outlineLevel="1">
      <c r="A2920" s="292"/>
      <c r="B2920" s="81"/>
      <c r="C2920" s="81" t="s">
        <v>510</v>
      </c>
      <c r="D2920" s="288"/>
      <c r="E2920" s="343">
        <f t="shared" si="6"/>
        <v>0.19962335216572499</v>
      </c>
      <c r="F2920" s="291">
        <v>4.25</v>
      </c>
      <c r="G2920" s="32">
        <v>5.31</v>
      </c>
      <c r="I2920" s="32">
        <v>246</v>
      </c>
      <c r="J2920" s="33">
        <v>58</v>
      </c>
      <c r="K2920" s="32">
        <f>I2920-J2920</f>
        <v>188</v>
      </c>
      <c r="O2920" s="176"/>
    </row>
    <row r="2921" spans="1:15" s="32" customFormat="1" hidden="1" outlineLevel="1">
      <c r="A2921" s="292"/>
      <c r="B2921" s="81"/>
      <c r="C2921" s="81" t="s">
        <v>1375</v>
      </c>
      <c r="D2921" s="288"/>
      <c r="E2921" s="343">
        <f t="shared" si="6"/>
        <v>0.19962335216572499</v>
      </c>
      <c r="F2921" s="291">
        <v>4.25</v>
      </c>
      <c r="G2921" s="32">
        <v>5.31</v>
      </c>
      <c r="O2921" s="176"/>
    </row>
    <row r="2922" spans="1:15" s="32" customFormat="1" hidden="1" outlineLevel="1">
      <c r="A2922" s="292"/>
      <c r="B2922" s="81"/>
      <c r="C2922" s="81" t="s">
        <v>1058</v>
      </c>
      <c r="D2922" s="288"/>
      <c r="E2922" s="343">
        <f t="shared" si="6"/>
        <v>0.1518324607329842</v>
      </c>
      <c r="F2922" s="291">
        <v>1.62</v>
      </c>
      <c r="G2922" s="32">
        <v>1.91</v>
      </c>
      <c r="O2922" s="176"/>
    </row>
    <row r="2923" spans="1:15" s="32" customFormat="1" hidden="1" outlineLevel="1">
      <c r="A2923" s="292"/>
      <c r="B2923" s="81"/>
      <c r="C2923" s="81" t="s">
        <v>1317</v>
      </c>
      <c r="D2923" s="288"/>
      <c r="E2923" s="343">
        <f t="shared" si="6"/>
        <v>0.14788732394366194</v>
      </c>
      <c r="F2923" s="291">
        <v>1.21</v>
      </c>
      <c r="G2923" s="32">
        <v>1.42</v>
      </c>
      <c r="O2923" s="176"/>
    </row>
    <row r="2924" spans="1:15" s="32" customFormat="1" hidden="1" outlineLevel="1">
      <c r="A2924" s="292"/>
      <c r="B2924" s="81"/>
      <c r="C2924" s="81" t="s">
        <v>1316</v>
      </c>
      <c r="D2924" s="288"/>
      <c r="E2924" s="343">
        <f t="shared" si="6"/>
        <v>0.14788732394366194</v>
      </c>
      <c r="F2924" s="291">
        <v>1.21</v>
      </c>
      <c r="G2924" s="32">
        <v>1.42</v>
      </c>
      <c r="O2924" s="176"/>
    </row>
    <row r="2925" spans="1:15" s="32" customFormat="1" hidden="1" outlineLevel="1">
      <c r="A2925" s="292"/>
      <c r="B2925" s="81"/>
      <c r="C2925" s="81" t="s">
        <v>1315</v>
      </c>
      <c r="D2925" s="288"/>
      <c r="E2925" s="343">
        <f t="shared" si="6"/>
        <v>0.14788732394366194</v>
      </c>
      <c r="F2925" s="291">
        <v>1.21</v>
      </c>
      <c r="G2925" s="32">
        <v>1.42</v>
      </c>
      <c r="O2925" s="176"/>
    </row>
    <row r="2926" spans="1:15" s="32" customFormat="1" hidden="1" outlineLevel="1">
      <c r="A2926" s="292"/>
      <c r="B2926" s="81"/>
      <c r="C2926" s="81"/>
      <c r="D2926" s="81"/>
      <c r="E2926" s="343"/>
      <c r="F2926" s="291"/>
      <c r="O2926" s="176"/>
    </row>
    <row r="2927" spans="1:15" s="32" customFormat="1" hidden="1" outlineLevel="1">
      <c r="A2927" s="292"/>
      <c r="B2927" s="81"/>
      <c r="C2927" s="81"/>
      <c r="D2927" s="81"/>
      <c r="E2927" s="343"/>
      <c r="F2927" s="291"/>
      <c r="O2927" s="176"/>
    </row>
    <row r="2928" spans="1:15" s="32" customFormat="1" hidden="1" outlineLevel="1">
      <c r="A2928" s="292"/>
      <c r="B2928" s="81"/>
      <c r="C2928" s="81"/>
      <c r="D2928" s="81"/>
      <c r="E2928" s="343"/>
      <c r="F2928" s="293"/>
      <c r="O2928" s="176"/>
    </row>
    <row r="2929" spans="1:15" s="32" customFormat="1" hidden="1" outlineLevel="1">
      <c r="A2929" s="292"/>
      <c r="B2929" s="81"/>
      <c r="C2929" s="81"/>
      <c r="D2929" s="81"/>
      <c r="E2929" s="343"/>
      <c r="F2929" s="293"/>
      <c r="O2929" s="176"/>
    </row>
    <row r="2930" spans="1:15" s="32" customFormat="1" ht="15.75" hidden="1" outlineLevel="1" thickBot="1">
      <c r="A2930" s="382"/>
      <c r="B2930" s="383"/>
      <c r="C2930" s="383"/>
      <c r="D2930" s="383"/>
      <c r="E2930" s="343"/>
      <c r="F2930" s="384"/>
      <c r="O2930" s="176"/>
    </row>
    <row r="2931" spans="1:15" s="32" customFormat="1" ht="15.75" hidden="1" outlineLevel="1" thickTop="1">
      <c r="O2931" s="176"/>
    </row>
    <row r="2932" spans="1:15" s="32" customFormat="1" ht="15.75" hidden="1" outlineLevel="1" thickBot="1">
      <c r="O2932" s="176"/>
    </row>
    <row r="2933" spans="1:15" s="32" customFormat="1" ht="15.75" hidden="1" outlineLevel="1" thickTop="1">
      <c r="A2933" s="3802"/>
      <c r="B2933" s="3799"/>
      <c r="C2933" s="3799"/>
      <c r="D2933" s="3799"/>
      <c r="E2933" s="3799"/>
      <c r="F2933" s="3800"/>
      <c r="O2933" s="176"/>
    </row>
    <row r="2934" spans="1:15" s="32" customFormat="1" ht="15.75" hidden="1" outlineLevel="1" thickBot="1">
      <c r="A2934" s="3803"/>
      <c r="B2934" s="3780"/>
      <c r="C2934" s="3780"/>
      <c r="D2934" s="3780"/>
      <c r="E2934" s="3780"/>
      <c r="F2934" s="3801"/>
      <c r="O2934" s="176"/>
    </row>
    <row r="2935" spans="1:15" s="32" customFormat="1" ht="15.75" hidden="1" outlineLevel="1" thickTop="1">
      <c r="A2935" s="573" t="s">
        <v>1805</v>
      </c>
      <c r="B2935" s="574" t="s">
        <v>1171</v>
      </c>
      <c r="C2935" s="575" t="s">
        <v>940</v>
      </c>
      <c r="D2935" s="574"/>
      <c r="E2935" s="576">
        <v>0.27600000000000002</v>
      </c>
      <c r="F2935" s="577">
        <v>4.2300000000000004</v>
      </c>
      <c r="G2935" s="578">
        <v>5.85</v>
      </c>
      <c r="H2935" s="578"/>
      <c r="O2935" s="176"/>
    </row>
    <row r="2936" spans="1:15" s="32" customFormat="1" hidden="1" outlineLevel="1">
      <c r="A2936" s="573"/>
      <c r="B2936" s="575"/>
      <c r="C2936" s="575" t="s">
        <v>786</v>
      </c>
      <c r="D2936" s="574"/>
      <c r="E2936" s="576">
        <v>0.27600000000000002</v>
      </c>
      <c r="F2936" s="577">
        <v>4.2300000000000004</v>
      </c>
      <c r="G2936" s="578">
        <v>5.85</v>
      </c>
      <c r="H2936" s="578"/>
      <c r="O2936" s="176"/>
    </row>
    <row r="2937" spans="1:15" s="32" customFormat="1" hidden="1" outlineLevel="1">
      <c r="A2937" s="292"/>
      <c r="B2937" s="81"/>
      <c r="C2937" s="81"/>
      <c r="D2937" s="81"/>
      <c r="E2937" s="343"/>
      <c r="F2937" s="293"/>
      <c r="O2937" s="176"/>
    </row>
    <row r="2938" spans="1:15" s="32" customFormat="1" ht="15.75" hidden="1" outlineLevel="1" thickBot="1">
      <c r="A2938" s="382"/>
      <c r="B2938" s="383"/>
      <c r="C2938" s="383"/>
      <c r="D2938" s="383"/>
      <c r="E2938" s="383"/>
      <c r="F2938" s="384"/>
      <c r="O2938" s="176"/>
    </row>
    <row r="2939" spans="1:15" s="32" customFormat="1" ht="15.75" hidden="1" outlineLevel="1" thickTop="1">
      <c r="O2939" s="176"/>
    </row>
    <row r="2940" spans="1:15" s="32" customFormat="1" ht="15.75" hidden="1" outlineLevel="1" thickBot="1">
      <c r="O2940" s="176"/>
    </row>
    <row r="2941" spans="1:15" s="32" customFormat="1" ht="15.75" hidden="1" outlineLevel="1" thickTop="1">
      <c r="A2941" s="3802"/>
      <c r="B2941" s="3799"/>
      <c r="C2941" s="3799"/>
      <c r="D2941" s="3799"/>
      <c r="E2941" s="3799"/>
      <c r="F2941" s="3800"/>
      <c r="O2941" s="176"/>
    </row>
    <row r="2942" spans="1:15" s="32" customFormat="1" ht="15.75" hidden="1" outlineLevel="1" thickBot="1">
      <c r="A2942" s="3803"/>
      <c r="B2942" s="3780"/>
      <c r="C2942" s="3780"/>
      <c r="D2942" s="3780"/>
      <c r="E2942" s="3780"/>
      <c r="F2942" s="3801"/>
      <c r="O2942" s="176"/>
    </row>
    <row r="2943" spans="1:15" s="32" customFormat="1" ht="16.5" hidden="1" outlineLevel="1" thickTop="1" thickBot="1">
      <c r="A2943" s="292" t="s">
        <v>1806</v>
      </c>
      <c r="B2943" s="288" t="s">
        <v>1171</v>
      </c>
      <c r="C2943" s="407" t="s">
        <v>730</v>
      </c>
      <c r="D2943" s="288"/>
      <c r="E2943" s="398">
        <f t="shared" ref="E2943:E2954" si="7">(G2943-F2943)/G2943</f>
        <v>0.16883116883116883</v>
      </c>
      <c r="F2943" s="408">
        <v>0.64</v>
      </c>
      <c r="G2943" s="409">
        <v>0.77</v>
      </c>
      <c r="H2943" s="409" t="s">
        <v>1807</v>
      </c>
      <c r="O2943" s="176"/>
    </row>
    <row r="2944" spans="1:15" s="32" customFormat="1" ht="15.75" hidden="1" outlineLevel="1" thickBot="1">
      <c r="A2944" s="292"/>
      <c r="B2944" s="81"/>
      <c r="C2944" s="407" t="s">
        <v>554</v>
      </c>
      <c r="D2944" s="288"/>
      <c r="E2944" s="398">
        <f t="shared" si="7"/>
        <v>0.17272727272727276</v>
      </c>
      <c r="F2944" s="408">
        <v>0.91</v>
      </c>
      <c r="G2944" s="32">
        <v>1.1000000000000001</v>
      </c>
      <c r="H2944" s="32" t="s">
        <v>1808</v>
      </c>
      <c r="O2944" s="176"/>
    </row>
    <row r="2945" spans="1:15" s="32" customFormat="1" ht="15.75" hidden="1" outlineLevel="1" thickBot="1">
      <c r="A2945" s="292"/>
      <c r="B2945" s="81"/>
      <c r="C2945" s="407" t="s">
        <v>895</v>
      </c>
      <c r="D2945" s="81"/>
      <c r="E2945" s="398">
        <f t="shared" si="7"/>
        <v>0.14685314685314682</v>
      </c>
      <c r="F2945" s="408">
        <v>1.22</v>
      </c>
      <c r="G2945" s="32">
        <v>1.43</v>
      </c>
      <c r="O2945" s="176"/>
    </row>
    <row r="2946" spans="1:15" s="32" customFormat="1" ht="15.75" hidden="1" outlineLevel="1" thickBot="1">
      <c r="A2946" s="292"/>
      <c r="B2946" s="107"/>
      <c r="C2946" s="570" t="s">
        <v>1376</v>
      </c>
      <c r="D2946" s="107"/>
      <c r="E2946" s="571">
        <f t="shared" si="7"/>
        <v>0.15000000000000005</v>
      </c>
      <c r="F2946" s="572">
        <v>4.42</v>
      </c>
      <c r="G2946" s="176">
        <v>5.2</v>
      </c>
      <c r="O2946" s="176"/>
    </row>
    <row r="2947" spans="1:15" s="32" customFormat="1" ht="15.75" hidden="1" outlineLevel="1" thickBot="1">
      <c r="A2947" s="292"/>
      <c r="B2947" s="107"/>
      <c r="C2947" s="570" t="s">
        <v>1362</v>
      </c>
      <c r="D2947" s="107"/>
      <c r="E2947" s="571">
        <f t="shared" si="7"/>
        <v>0.15000000000000005</v>
      </c>
      <c r="F2947" s="572">
        <v>4.42</v>
      </c>
      <c r="G2947" s="176">
        <v>5.2</v>
      </c>
      <c r="O2947" s="176"/>
    </row>
    <row r="2948" spans="1:15" s="32" customFormat="1" ht="15.75" hidden="1" outlineLevel="1" thickBot="1">
      <c r="A2948" s="292"/>
      <c r="B2948" s="107"/>
      <c r="C2948" s="570" t="s">
        <v>510</v>
      </c>
      <c r="D2948" s="107"/>
      <c r="E2948" s="571">
        <f t="shared" si="7"/>
        <v>0.15000000000000005</v>
      </c>
      <c r="F2948" s="572">
        <v>4.42</v>
      </c>
      <c r="G2948" s="176">
        <v>5.2</v>
      </c>
      <c r="O2948" s="176"/>
    </row>
    <row r="2949" spans="1:15" s="32" customFormat="1" ht="15.75" hidden="1" outlineLevel="1" thickBot="1">
      <c r="A2949" s="292"/>
      <c r="B2949" s="107"/>
      <c r="C2949" s="570" t="s">
        <v>1363</v>
      </c>
      <c r="D2949" s="107"/>
      <c r="E2949" s="571">
        <f t="shared" si="7"/>
        <v>0.15000000000000005</v>
      </c>
      <c r="F2949" s="572">
        <v>4.42</v>
      </c>
      <c r="G2949" s="176">
        <v>5.2</v>
      </c>
      <c r="O2949" s="176"/>
    </row>
    <row r="2950" spans="1:15" s="32" customFormat="1" ht="15.75" hidden="1" outlineLevel="1" thickBot="1">
      <c r="A2950" s="292"/>
      <c r="B2950" s="94"/>
      <c r="C2950" s="407" t="s">
        <v>1178</v>
      </c>
      <c r="D2950" s="94"/>
      <c r="E2950" s="398">
        <f t="shared" si="7"/>
        <v>9.9999999999999978E-2</v>
      </c>
      <c r="F2950" s="408">
        <v>15.93</v>
      </c>
      <c r="G2950" s="32">
        <v>17.7</v>
      </c>
      <c r="O2950" s="176"/>
    </row>
    <row r="2951" spans="1:15" s="32" customFormat="1" ht="15.75" hidden="1" outlineLevel="1" thickBot="1">
      <c r="A2951" s="292"/>
      <c r="B2951" s="107"/>
      <c r="C2951" s="570" t="s">
        <v>1556</v>
      </c>
      <c r="D2951" s="107"/>
      <c r="E2951" s="571">
        <f t="shared" si="7"/>
        <v>0.1001881467544686</v>
      </c>
      <c r="F2951" s="572">
        <v>19.13</v>
      </c>
      <c r="G2951" s="176">
        <v>21.26</v>
      </c>
      <c r="O2951" s="176"/>
    </row>
    <row r="2952" spans="1:15" s="32" customFormat="1" ht="15.75" hidden="1" outlineLevel="1" thickBot="1">
      <c r="A2952" s="292"/>
      <c r="B2952" s="107"/>
      <c r="C2952" s="570" t="s">
        <v>1557</v>
      </c>
      <c r="D2952" s="107"/>
      <c r="E2952" s="571">
        <f t="shared" si="7"/>
        <v>0.1001881467544686</v>
      </c>
      <c r="F2952" s="572">
        <v>19.13</v>
      </c>
      <c r="G2952" s="176">
        <v>21.26</v>
      </c>
      <c r="O2952" s="176"/>
    </row>
    <row r="2953" spans="1:15" s="32" customFormat="1" ht="15.75" hidden="1" outlineLevel="1" thickBot="1">
      <c r="A2953" s="292"/>
      <c r="B2953" s="107"/>
      <c r="C2953" s="570" t="s">
        <v>1555</v>
      </c>
      <c r="D2953" s="107"/>
      <c r="E2953" s="571">
        <f t="shared" si="7"/>
        <v>0.1001881467544686</v>
      </c>
      <c r="F2953" s="572">
        <v>19.13</v>
      </c>
      <c r="G2953" s="176">
        <v>21.26</v>
      </c>
      <c r="O2953" s="176"/>
    </row>
    <row r="2954" spans="1:15" s="32" customFormat="1" ht="15.75" hidden="1" outlineLevel="1" thickBot="1">
      <c r="A2954" s="292"/>
      <c r="B2954" s="107"/>
      <c r="C2954" s="570" t="s">
        <v>1763</v>
      </c>
      <c r="D2954" s="107"/>
      <c r="E2954" s="571">
        <f t="shared" si="7"/>
        <v>0.1001881467544686</v>
      </c>
      <c r="F2954" s="572">
        <v>19.13</v>
      </c>
      <c r="G2954" s="176">
        <v>21.26</v>
      </c>
      <c r="O2954" s="176"/>
    </row>
    <row r="2955" spans="1:15" s="32" customFormat="1" ht="15.75" hidden="1" outlineLevel="1" thickBot="1">
      <c r="A2955" s="382"/>
      <c r="B2955" s="383"/>
      <c r="C2955" s="383"/>
      <c r="D2955" s="383"/>
      <c r="E2955" s="383"/>
      <c r="F2955" s="384"/>
      <c r="O2955" s="176"/>
    </row>
    <row r="2956" spans="1:15" s="32" customFormat="1" ht="16.5" hidden="1" outlineLevel="1" thickTop="1" thickBot="1">
      <c r="O2956" s="176"/>
    </row>
    <row r="2957" spans="1:15" s="32" customFormat="1" ht="15.75" hidden="1" outlineLevel="1" thickTop="1">
      <c r="A2957" s="3802"/>
      <c r="B2957" s="3799"/>
      <c r="C2957" s="3799"/>
      <c r="D2957" s="3799"/>
      <c r="E2957" s="3799"/>
      <c r="F2957" s="3800"/>
      <c r="O2957" s="176"/>
    </row>
    <row r="2958" spans="1:15" s="32" customFormat="1" ht="15.75" hidden="1" outlineLevel="1" thickBot="1">
      <c r="A2958" s="3803"/>
      <c r="B2958" s="3780"/>
      <c r="C2958" s="3780"/>
      <c r="D2958" s="3780"/>
      <c r="E2958" s="3780"/>
      <c r="F2958" s="3801"/>
      <c r="O2958" s="176"/>
    </row>
    <row r="2959" spans="1:15" s="32" customFormat="1" ht="16.5" hidden="1" outlineLevel="1" thickTop="1" thickBot="1">
      <c r="A2959" s="277" t="s">
        <v>1809</v>
      </c>
      <c r="B2959" s="191" t="s">
        <v>114</v>
      </c>
      <c r="C2959" s="567" t="s">
        <v>1763</v>
      </c>
      <c r="D2959" s="191"/>
      <c r="E2959" s="285">
        <v>0.2</v>
      </c>
      <c r="F2959" s="568">
        <v>17.88</v>
      </c>
      <c r="G2959" s="176">
        <v>22.35</v>
      </c>
      <c r="O2959" s="176"/>
    </row>
    <row r="2960" spans="1:15" s="32" customFormat="1" ht="15.75" hidden="1" outlineLevel="1" thickBot="1">
      <c r="A2960" s="280"/>
      <c r="B2960" s="31"/>
      <c r="C2960" s="567" t="s">
        <v>1556</v>
      </c>
      <c r="D2960" s="191"/>
      <c r="E2960" s="285">
        <v>0.2</v>
      </c>
      <c r="F2960" s="569">
        <v>17.88</v>
      </c>
      <c r="G2960" s="176"/>
      <c r="O2960" s="176"/>
    </row>
    <row r="2961" spans="1:15" s="32" customFormat="1" ht="15.75" hidden="1" outlineLevel="1" thickBot="1">
      <c r="A2961" s="280"/>
      <c r="B2961" s="31"/>
      <c r="C2961" s="567" t="s">
        <v>1555</v>
      </c>
      <c r="D2961" s="191"/>
      <c r="E2961" s="285">
        <v>0.2</v>
      </c>
      <c r="F2961" s="569">
        <v>17.88</v>
      </c>
      <c r="G2961" s="176"/>
      <c r="O2961" s="176"/>
    </row>
    <row r="2962" spans="1:15" s="32" customFormat="1" ht="15.75" hidden="1" outlineLevel="1" thickBot="1">
      <c r="A2962" s="280"/>
      <c r="B2962" s="31"/>
      <c r="C2962" s="567" t="s">
        <v>1810</v>
      </c>
      <c r="D2962" s="191"/>
      <c r="E2962" s="285">
        <v>0.2</v>
      </c>
      <c r="F2962" s="569">
        <v>17.88</v>
      </c>
      <c r="G2962" s="176"/>
      <c r="O2962" s="176"/>
    </row>
    <row r="2963" spans="1:15" s="32" customFormat="1" hidden="1" outlineLevel="1">
      <c r="A2963" s="292"/>
      <c r="B2963" s="81"/>
      <c r="C2963" s="81"/>
      <c r="D2963" s="288"/>
      <c r="E2963" s="343"/>
      <c r="F2963" s="291"/>
      <c r="O2963" s="176"/>
    </row>
    <row r="2964" spans="1:15" s="32" customFormat="1" hidden="1" outlineLevel="1">
      <c r="A2964" s="292"/>
      <c r="B2964" s="81"/>
      <c r="C2964" s="81"/>
      <c r="D2964" s="288"/>
      <c r="E2964" s="343"/>
      <c r="F2964" s="291"/>
      <c r="O2964" s="176"/>
    </row>
    <row r="2965" spans="1:15" s="32" customFormat="1" hidden="1" outlineLevel="1">
      <c r="A2965" s="292"/>
      <c r="B2965" s="81"/>
      <c r="C2965" s="81"/>
      <c r="D2965" s="288"/>
      <c r="E2965" s="343"/>
      <c r="F2965" s="291"/>
      <c r="O2965" s="176"/>
    </row>
    <row r="2966" spans="1:15" s="32" customFormat="1" hidden="1" outlineLevel="1">
      <c r="A2966" s="292"/>
      <c r="B2966" s="81"/>
      <c r="C2966" s="81"/>
      <c r="D2966" s="81"/>
      <c r="E2966" s="343"/>
      <c r="F2966" s="291"/>
      <c r="O2966" s="176"/>
    </row>
    <row r="2967" spans="1:15" s="32" customFormat="1" hidden="1" outlineLevel="1">
      <c r="A2967" s="292"/>
      <c r="B2967" s="81"/>
      <c r="C2967" s="81"/>
      <c r="D2967" s="81"/>
      <c r="E2967" s="343"/>
      <c r="F2967" s="291"/>
      <c r="O2967" s="176"/>
    </row>
    <row r="2968" spans="1:15" s="32" customFormat="1" hidden="1" outlineLevel="1">
      <c r="A2968" s="292"/>
      <c r="B2968" s="81"/>
      <c r="C2968" s="81"/>
      <c r="D2968" s="81"/>
      <c r="E2968" s="343"/>
      <c r="F2968" s="293"/>
      <c r="O2968" s="176"/>
    </row>
    <row r="2969" spans="1:15" s="32" customFormat="1" hidden="1" outlineLevel="1">
      <c r="A2969" s="292"/>
      <c r="B2969" s="81"/>
      <c r="C2969" s="81"/>
      <c r="D2969" s="81"/>
      <c r="E2969" s="343"/>
      <c r="F2969" s="293"/>
      <c r="O2969" s="176"/>
    </row>
    <row r="2970" spans="1:15" s="32" customFormat="1" ht="15.75" hidden="1" outlineLevel="1" thickBot="1">
      <c r="A2970" s="382"/>
      <c r="B2970" s="383"/>
      <c r="C2970" s="383"/>
      <c r="D2970" s="383"/>
      <c r="E2970" s="383"/>
      <c r="F2970" s="384"/>
      <c r="O2970" s="176"/>
    </row>
    <row r="2971" spans="1:15" s="32" customFormat="1" ht="16.5" hidden="1" outlineLevel="1" thickTop="1" thickBot="1">
      <c r="O2971" s="176"/>
    </row>
    <row r="2972" spans="1:15" s="32" customFormat="1" hidden="1" outlineLevel="1">
      <c r="A2972" s="3797"/>
      <c r="B2972" s="3779"/>
      <c r="C2972" s="3779"/>
      <c r="D2972" s="3779"/>
      <c r="E2972" s="3779"/>
      <c r="F2972" s="3784"/>
      <c r="O2972" s="176"/>
    </row>
    <row r="2973" spans="1:15" s="32" customFormat="1" ht="15.75" hidden="1" outlineLevel="1" thickBot="1">
      <c r="A2973" s="3987"/>
      <c r="B2973" s="3780"/>
      <c r="C2973" s="3780"/>
      <c r="D2973" s="3780"/>
      <c r="E2973" s="3780"/>
      <c r="F2973" s="3785"/>
      <c r="O2973" s="176"/>
    </row>
    <row r="2974" spans="1:15" s="32" customFormat="1" ht="15.75" hidden="1" outlineLevel="1" thickTop="1">
      <c r="A2974" s="412" t="s">
        <v>1861</v>
      </c>
      <c r="B2974" s="288" t="s">
        <v>106</v>
      </c>
      <c r="C2974" s="81" t="s">
        <v>1496</v>
      </c>
      <c r="D2974" s="288"/>
      <c r="E2974" s="343">
        <v>0.1</v>
      </c>
      <c r="F2974" s="399">
        <v>3.38</v>
      </c>
      <c r="G2974" s="32">
        <v>3.76</v>
      </c>
      <c r="O2974" s="176"/>
    </row>
    <row r="2975" spans="1:15" s="32" customFormat="1" hidden="1" outlineLevel="1">
      <c r="A2975" s="413"/>
      <c r="B2975" s="81"/>
      <c r="C2975" s="81" t="s">
        <v>238</v>
      </c>
      <c r="D2975" s="288"/>
      <c r="E2975" s="343">
        <v>0.1</v>
      </c>
      <c r="F2975" s="399">
        <v>7.57</v>
      </c>
      <c r="G2975" s="32">
        <v>8.41</v>
      </c>
      <c r="O2975" s="176"/>
    </row>
    <row r="2976" spans="1:15" s="32" customFormat="1" hidden="1" outlineLevel="1">
      <c r="A2976" s="413"/>
      <c r="B2976" s="81"/>
      <c r="C2976" s="81" t="s">
        <v>71</v>
      </c>
      <c r="D2976" s="288"/>
      <c r="E2976" s="343">
        <v>0.1</v>
      </c>
      <c r="F2976" s="399">
        <v>19.149999999999999</v>
      </c>
      <c r="G2976" s="32">
        <v>21.28</v>
      </c>
      <c r="O2976" s="176"/>
    </row>
    <row r="2977" spans="1:15" s="32" customFormat="1" hidden="1" outlineLevel="1">
      <c r="A2977" s="413"/>
      <c r="B2977" s="81"/>
      <c r="C2977" s="81" t="s">
        <v>1497</v>
      </c>
      <c r="D2977" s="288"/>
      <c r="E2977" s="343">
        <v>0.1</v>
      </c>
      <c r="F2977" s="399">
        <v>3.38</v>
      </c>
      <c r="G2977" s="32">
        <v>3.76</v>
      </c>
      <c r="O2977" s="176"/>
    </row>
    <row r="2978" spans="1:15" s="32" customFormat="1" hidden="1" outlineLevel="1">
      <c r="A2978" s="413"/>
      <c r="B2978" s="81"/>
      <c r="C2978" s="81" t="s">
        <v>239</v>
      </c>
      <c r="D2978" s="288"/>
      <c r="E2978" s="343">
        <v>0.1</v>
      </c>
      <c r="F2978" s="399">
        <v>7.55</v>
      </c>
      <c r="G2978" s="32">
        <v>8.39</v>
      </c>
      <c r="O2978" s="176"/>
    </row>
    <row r="2979" spans="1:15" s="32" customFormat="1" hidden="1" outlineLevel="1">
      <c r="A2979" s="413"/>
      <c r="B2979" s="81"/>
      <c r="C2979" s="81" t="s">
        <v>74</v>
      </c>
      <c r="D2979" s="81"/>
      <c r="E2979" s="343">
        <v>0.1</v>
      </c>
      <c r="F2979" s="399">
        <v>19.149999999999999</v>
      </c>
      <c r="G2979" s="32">
        <v>21.28</v>
      </c>
      <c r="O2979" s="176"/>
    </row>
    <row r="2980" spans="1:15" s="32" customFormat="1" hidden="1" outlineLevel="1">
      <c r="A2980" s="413"/>
      <c r="B2980" s="81"/>
      <c r="C2980" s="81" t="s">
        <v>1722</v>
      </c>
      <c r="D2980" s="81"/>
      <c r="E2980" s="343">
        <v>0.1</v>
      </c>
      <c r="F2980" s="399">
        <v>3.38</v>
      </c>
      <c r="G2980" s="32">
        <v>3.76</v>
      </c>
      <c r="O2980" s="176"/>
    </row>
    <row r="2981" spans="1:15" s="32" customFormat="1" hidden="1" outlineLevel="1">
      <c r="A2981" s="413"/>
      <c r="B2981" s="81"/>
      <c r="C2981" s="81" t="s">
        <v>868</v>
      </c>
      <c r="D2981" s="81"/>
      <c r="E2981" s="343">
        <v>0.1</v>
      </c>
      <c r="F2981" s="400">
        <v>7.55</v>
      </c>
      <c r="G2981" s="32">
        <v>8.39</v>
      </c>
      <c r="O2981" s="176"/>
    </row>
    <row r="2982" spans="1:15" s="32" customFormat="1" hidden="1" outlineLevel="1">
      <c r="A2982" s="413"/>
      <c r="B2982" s="81"/>
      <c r="C2982" s="81" t="s">
        <v>1485</v>
      </c>
      <c r="D2982" s="81"/>
      <c r="E2982" s="343">
        <v>0.1</v>
      </c>
      <c r="F2982" s="400">
        <v>19.149999999999999</v>
      </c>
      <c r="G2982" s="32">
        <v>21.28</v>
      </c>
      <c r="O2982" s="176"/>
    </row>
    <row r="2983" spans="1:15" s="32" customFormat="1" hidden="1" outlineLevel="1">
      <c r="A2983" s="413"/>
      <c r="B2983" s="81"/>
      <c r="C2983" s="94" t="s">
        <v>1499</v>
      </c>
      <c r="D2983" s="94"/>
      <c r="E2983" s="401">
        <v>0.1</v>
      </c>
      <c r="F2983" s="414">
        <v>7.86</v>
      </c>
      <c r="G2983" s="32">
        <v>8.73</v>
      </c>
      <c r="O2983" s="176"/>
    </row>
    <row r="2984" spans="1:15" s="32" customFormat="1" hidden="1" outlineLevel="1">
      <c r="A2984" s="413"/>
      <c r="B2984" s="81"/>
      <c r="C2984" s="81"/>
      <c r="D2984" s="81"/>
      <c r="E2984" s="81"/>
      <c r="F2984" s="400"/>
      <c r="G2984" s="395"/>
      <c r="O2984" s="176"/>
    </row>
    <row r="2985" spans="1:15" s="32" customFormat="1" hidden="1" outlineLevel="1">
      <c r="A2985" s="413"/>
      <c r="B2985" s="81"/>
      <c r="C2985" s="81"/>
      <c r="D2985" s="81"/>
      <c r="E2985" s="81"/>
      <c r="F2985" s="400"/>
      <c r="G2985" s="395"/>
      <c r="O2985" s="176"/>
    </row>
    <row r="2986" spans="1:15" s="32" customFormat="1" hidden="1" outlineLevel="1">
      <c r="A2986" s="413"/>
      <c r="B2986" s="81"/>
      <c r="C2986" s="81"/>
      <c r="D2986" s="81"/>
      <c r="E2986" s="81"/>
      <c r="F2986" s="400"/>
      <c r="G2986" s="395"/>
      <c r="O2986" s="176"/>
    </row>
    <row r="2987" spans="1:15" s="32" customFormat="1" ht="15.75" hidden="1" outlineLevel="1" thickBot="1">
      <c r="A2987" s="415"/>
      <c r="B2987" s="404"/>
      <c r="C2987" s="404"/>
      <c r="D2987" s="404"/>
      <c r="E2987" s="404"/>
      <c r="F2987" s="406"/>
      <c r="G2987" s="395"/>
      <c r="O2987" s="176"/>
    </row>
    <row r="2988" spans="1:15" s="32" customFormat="1" ht="15.75" hidden="1" outlineLevel="1" thickBot="1">
      <c r="O2988" s="176"/>
    </row>
    <row r="2989" spans="1:15" s="32" customFormat="1" ht="15.75" hidden="1" outlineLevel="1" thickTop="1">
      <c r="A2989" s="3802"/>
      <c r="B2989" s="3799"/>
      <c r="C2989" s="3799"/>
      <c r="D2989" s="3799"/>
      <c r="E2989" s="3799"/>
      <c r="F2989" s="3800"/>
      <c r="O2989" s="176"/>
    </row>
    <row r="2990" spans="1:15" s="32" customFormat="1" ht="15.75" hidden="1" outlineLevel="1" thickBot="1">
      <c r="A2990" s="3803"/>
      <c r="B2990" s="3780"/>
      <c r="C2990" s="3780"/>
      <c r="D2990" s="3780"/>
      <c r="E2990" s="3780"/>
      <c r="F2990" s="3801"/>
      <c r="O2990" s="176"/>
    </row>
    <row r="2991" spans="1:15" s="32" customFormat="1" ht="16.5" hidden="1" outlineLevel="1" thickTop="1" thickBot="1">
      <c r="A2991" s="289" t="s">
        <v>1811</v>
      </c>
      <c r="B2991" s="288" t="s">
        <v>114</v>
      </c>
      <c r="C2991" s="564" t="s">
        <v>940</v>
      </c>
      <c r="D2991" s="565"/>
      <c r="E2991" s="285">
        <f>(G2991-F2991)/G2991</f>
        <v>0.15</v>
      </c>
      <c r="F2991" s="565">
        <v>5.44</v>
      </c>
      <c r="G2991" s="176">
        <v>6.4</v>
      </c>
      <c r="O2991" s="176"/>
    </row>
    <row r="2992" spans="1:15" s="32" customFormat="1" ht="15.75" hidden="1" outlineLevel="1" thickBot="1">
      <c r="A2992" s="292"/>
      <c r="B2992" s="81"/>
      <c r="C2992" s="566" t="s">
        <v>786</v>
      </c>
      <c r="D2992" s="565"/>
      <c r="E2992" s="285">
        <f>(G2992-F2992)/G2992</f>
        <v>0.15</v>
      </c>
      <c r="F2992" s="565">
        <v>5.44</v>
      </c>
      <c r="G2992" s="176">
        <v>6.4</v>
      </c>
      <c r="O2992" s="176"/>
    </row>
    <row r="2993" spans="1:15" s="32" customFormat="1" ht="15.75" hidden="1" outlineLevel="1" thickBot="1">
      <c r="A2993" s="292"/>
      <c r="B2993" s="81"/>
      <c r="C2993" s="410"/>
      <c r="D2993" s="288"/>
      <c r="E2993" s="343"/>
      <c r="F2993" s="411"/>
      <c r="O2993" s="176"/>
    </row>
    <row r="2994" spans="1:15" s="32" customFormat="1" ht="15.75" hidden="1" outlineLevel="1" thickBot="1">
      <c r="A2994" s="292"/>
      <c r="B2994" s="81"/>
      <c r="C2994" s="410"/>
      <c r="D2994" s="288"/>
      <c r="E2994" s="343"/>
      <c r="F2994" s="411"/>
      <c r="O2994" s="176"/>
    </row>
    <row r="2995" spans="1:15" s="32" customFormat="1" hidden="1" outlineLevel="1">
      <c r="A2995" s="292"/>
      <c r="B2995" s="81"/>
      <c r="C2995" s="81"/>
      <c r="D2995" s="288"/>
      <c r="E2995" s="343"/>
      <c r="F2995" s="291"/>
      <c r="O2995" s="176"/>
    </row>
    <row r="2996" spans="1:15" s="32" customFormat="1" hidden="1" outlineLevel="1">
      <c r="A2996" s="292"/>
      <c r="B2996" s="81"/>
      <c r="C2996" s="81"/>
      <c r="D2996" s="288"/>
      <c r="E2996" s="343"/>
      <c r="F2996" s="291"/>
      <c r="O2996" s="176"/>
    </row>
    <row r="2997" spans="1:15" s="32" customFormat="1" hidden="1" outlineLevel="1">
      <c r="A2997" s="292"/>
      <c r="B2997" s="81"/>
      <c r="C2997" s="81"/>
      <c r="D2997" s="288"/>
      <c r="E2997" s="343"/>
      <c r="F2997" s="291"/>
      <c r="O2997" s="176"/>
    </row>
    <row r="2998" spans="1:15" s="32" customFormat="1" hidden="1" outlineLevel="1">
      <c r="A2998" s="292"/>
      <c r="B2998" s="81"/>
      <c r="C2998" s="81"/>
      <c r="D2998" s="81"/>
      <c r="E2998" s="343"/>
      <c r="F2998" s="291"/>
      <c r="O2998" s="176"/>
    </row>
    <row r="2999" spans="1:15" s="32" customFormat="1" hidden="1" outlineLevel="1">
      <c r="A2999" s="292"/>
      <c r="B2999" s="81"/>
      <c r="C2999" s="81"/>
      <c r="D2999" s="81"/>
      <c r="E2999" s="343"/>
      <c r="F2999" s="291"/>
      <c r="O2999" s="176"/>
    </row>
    <row r="3000" spans="1:15" s="32" customFormat="1" hidden="1" outlineLevel="1">
      <c r="A3000" s="292"/>
      <c r="B3000" s="81"/>
      <c r="C3000" s="81"/>
      <c r="D3000" s="81"/>
      <c r="E3000" s="343"/>
      <c r="F3000" s="293"/>
      <c r="O3000" s="176"/>
    </row>
    <row r="3001" spans="1:15" s="32" customFormat="1" hidden="1" outlineLevel="1">
      <c r="A3001" s="292"/>
      <c r="B3001" s="81"/>
      <c r="C3001" s="81"/>
      <c r="D3001" s="81"/>
      <c r="E3001" s="343"/>
      <c r="F3001" s="293"/>
      <c r="O3001" s="176"/>
    </row>
    <row r="3002" spans="1:15" s="32" customFormat="1" ht="15.75" hidden="1" outlineLevel="1" thickBot="1">
      <c r="A3002" s="382"/>
      <c r="B3002" s="383"/>
      <c r="C3002" s="383"/>
      <c r="D3002" s="383"/>
      <c r="E3002" s="383"/>
      <c r="F3002" s="384"/>
      <c r="O3002" s="176"/>
    </row>
    <row r="3003" spans="1:15" s="32" customFormat="1" ht="15.75" hidden="1" outlineLevel="1" thickTop="1">
      <c r="O3003" s="176"/>
    </row>
    <row r="3004" spans="1:15" s="32" customFormat="1" ht="15.75" hidden="1" outlineLevel="1" thickBot="1">
      <c r="O3004" s="176"/>
    </row>
    <row r="3005" spans="1:15" s="32" customFormat="1" hidden="1" outlineLevel="1">
      <c r="A3005" s="3797"/>
      <c r="B3005" s="3779"/>
      <c r="C3005" s="3779"/>
      <c r="D3005" s="3779"/>
      <c r="E3005" s="3779"/>
      <c r="F3005" s="3784"/>
      <c r="O3005" s="176"/>
    </row>
    <row r="3006" spans="1:15" s="32" customFormat="1" hidden="1" outlineLevel="1">
      <c r="A3006" s="3981"/>
      <c r="B3006" s="3982"/>
      <c r="C3006" s="3982"/>
      <c r="D3006" s="3982"/>
      <c r="E3006" s="3982"/>
      <c r="F3006" s="3983"/>
      <c r="O3006" s="176"/>
    </row>
    <row r="3007" spans="1:15" s="32" customFormat="1" hidden="1" outlineLevel="1">
      <c r="A3007" s="416" t="s">
        <v>1812</v>
      </c>
      <c r="B3007" s="81" t="s">
        <v>1171</v>
      </c>
      <c r="C3007" s="417" t="s">
        <v>72</v>
      </c>
      <c r="D3007" s="81"/>
      <c r="E3007" s="402">
        <f t="shared" ref="E3007:E3021" si="8">(G3007-F3007)/G3007</f>
        <v>9.9999999999999936E-2</v>
      </c>
      <c r="F3007" s="418">
        <v>20.16</v>
      </c>
      <c r="G3007" s="409">
        <v>22.4</v>
      </c>
      <c r="O3007" s="176"/>
    </row>
    <row r="3008" spans="1:15" s="32" customFormat="1" hidden="1" outlineLevel="1">
      <c r="A3008" s="416"/>
      <c r="B3008" s="81"/>
      <c r="C3008" s="417" t="s">
        <v>1499</v>
      </c>
      <c r="D3008" s="81"/>
      <c r="E3008" s="402">
        <f t="shared" si="8"/>
        <v>0.10010319917440649</v>
      </c>
      <c r="F3008" s="418">
        <v>8.7200000000000006</v>
      </c>
      <c r="G3008" s="32">
        <v>9.69</v>
      </c>
      <c r="O3008" s="176"/>
    </row>
    <row r="3009" spans="1:15" s="32" customFormat="1" hidden="1" outlineLevel="1">
      <c r="A3009" s="416"/>
      <c r="B3009" s="81"/>
      <c r="C3009" s="417" t="s">
        <v>930</v>
      </c>
      <c r="D3009" s="81"/>
      <c r="E3009" s="402">
        <f t="shared" si="8"/>
        <v>0.10009718172983474</v>
      </c>
      <c r="F3009" s="418">
        <v>9.26</v>
      </c>
      <c r="G3009" s="32">
        <v>10.29</v>
      </c>
      <c r="O3009" s="176"/>
    </row>
    <row r="3010" spans="1:15" s="32" customFormat="1" hidden="1" outlineLevel="1">
      <c r="A3010" s="416"/>
      <c r="B3010" s="81"/>
      <c r="C3010" s="417" t="s">
        <v>1496</v>
      </c>
      <c r="D3010" s="81"/>
      <c r="E3010" s="402">
        <f t="shared" si="8"/>
        <v>9.8484848484848522E-2</v>
      </c>
      <c r="F3010" s="418">
        <v>3.57</v>
      </c>
      <c r="G3010" s="32">
        <v>3.96</v>
      </c>
      <c r="O3010" s="176"/>
    </row>
    <row r="3011" spans="1:15" s="32" customFormat="1" hidden="1" outlineLevel="1">
      <c r="A3011" s="416"/>
      <c r="B3011" s="81"/>
      <c r="C3011" s="417" t="s">
        <v>868</v>
      </c>
      <c r="D3011" s="81"/>
      <c r="E3011" s="402">
        <f t="shared" si="8"/>
        <v>9.9660249150622868E-2</v>
      </c>
      <c r="F3011" s="418">
        <v>7.95</v>
      </c>
      <c r="G3011" s="32">
        <v>8.83</v>
      </c>
      <c r="O3011" s="176"/>
    </row>
    <row r="3012" spans="1:15" s="32" customFormat="1" hidden="1" outlineLevel="1">
      <c r="A3012" s="416"/>
      <c r="B3012" s="81"/>
      <c r="C3012" s="417" t="s">
        <v>239</v>
      </c>
      <c r="D3012" s="81"/>
      <c r="E3012" s="402">
        <f t="shared" si="8"/>
        <v>9.9660249150622868E-2</v>
      </c>
      <c r="F3012" s="418">
        <v>7.95</v>
      </c>
      <c r="G3012" s="32">
        <v>8.83</v>
      </c>
      <c r="O3012" s="176"/>
    </row>
    <row r="3013" spans="1:15" s="32" customFormat="1" hidden="1" outlineLevel="1">
      <c r="A3013" s="416"/>
      <c r="B3013" s="81"/>
      <c r="C3013" s="417" t="s">
        <v>238</v>
      </c>
      <c r="D3013" s="81"/>
      <c r="E3013" s="402">
        <f t="shared" si="8"/>
        <v>9.9660249150622868E-2</v>
      </c>
      <c r="F3013" s="418">
        <v>7.95</v>
      </c>
      <c r="G3013" s="32">
        <v>8.83</v>
      </c>
      <c r="O3013" s="176"/>
    </row>
    <row r="3014" spans="1:15" s="32" customFormat="1" hidden="1" outlineLevel="1">
      <c r="A3014" s="416"/>
      <c r="B3014" s="81"/>
      <c r="C3014" s="417" t="s">
        <v>74</v>
      </c>
      <c r="D3014" s="81"/>
      <c r="E3014" s="402">
        <f t="shared" si="8"/>
        <v>9.9999999999999936E-2</v>
      </c>
      <c r="F3014" s="418">
        <v>20.16</v>
      </c>
      <c r="G3014" s="32">
        <v>22.4</v>
      </c>
      <c r="O3014" s="176"/>
    </row>
    <row r="3015" spans="1:15" s="32" customFormat="1" hidden="1" outlineLevel="1">
      <c r="A3015" s="416"/>
      <c r="B3015" s="81"/>
      <c r="C3015" s="417" t="s">
        <v>71</v>
      </c>
      <c r="D3015" s="81"/>
      <c r="E3015" s="402">
        <f t="shared" si="8"/>
        <v>9.9999999999999936E-2</v>
      </c>
      <c r="F3015" s="418">
        <v>20.16</v>
      </c>
      <c r="G3015" s="32">
        <v>22.4</v>
      </c>
      <c r="O3015" s="176"/>
    </row>
    <row r="3016" spans="1:15" s="32" customFormat="1" hidden="1" outlineLevel="1">
      <c r="A3016" s="416"/>
      <c r="B3016" s="81"/>
      <c r="C3016" s="417" t="s">
        <v>1485</v>
      </c>
      <c r="D3016" s="81"/>
      <c r="E3016" s="402">
        <f t="shared" si="8"/>
        <v>9.9999999999999936E-2</v>
      </c>
      <c r="F3016" s="418">
        <v>20.16</v>
      </c>
      <c r="G3016" s="32">
        <v>22.4</v>
      </c>
      <c r="O3016" s="176"/>
    </row>
    <row r="3017" spans="1:15" s="32" customFormat="1" hidden="1" outlineLevel="1">
      <c r="A3017" s="416"/>
      <c r="B3017" s="81"/>
      <c r="C3017" s="417" t="s">
        <v>931</v>
      </c>
      <c r="D3017" s="81"/>
      <c r="E3017" s="402">
        <f t="shared" si="8"/>
        <v>0.10034013605442174</v>
      </c>
      <c r="F3017" s="418">
        <v>5.29</v>
      </c>
      <c r="G3017" s="32">
        <v>5.88</v>
      </c>
      <c r="O3017" s="176"/>
    </row>
    <row r="3018" spans="1:15" s="32" customFormat="1" hidden="1" outlineLevel="1">
      <c r="A3018" s="416"/>
      <c r="B3018" s="81"/>
      <c r="C3018" s="417" t="s">
        <v>1494</v>
      </c>
      <c r="D3018" s="81"/>
      <c r="E3018" s="402">
        <f t="shared" si="8"/>
        <v>0.10052910052910058</v>
      </c>
      <c r="F3018" s="418">
        <v>5.0999999999999996</v>
      </c>
      <c r="G3018" s="32">
        <v>5.67</v>
      </c>
      <c r="O3018" s="176"/>
    </row>
    <row r="3019" spans="1:15" s="32" customFormat="1" hidden="1" outlineLevel="1">
      <c r="A3019" s="416"/>
      <c r="B3019" s="81"/>
      <c r="C3019" s="417" t="s">
        <v>1498</v>
      </c>
      <c r="D3019" s="81"/>
      <c r="E3019" s="402">
        <f t="shared" si="8"/>
        <v>9.8484848484848522E-2</v>
      </c>
      <c r="F3019" s="418">
        <v>3.57</v>
      </c>
      <c r="G3019" s="32">
        <v>3.96</v>
      </c>
      <c r="O3019" s="176"/>
    </row>
    <row r="3020" spans="1:15" s="32" customFormat="1" hidden="1" outlineLevel="1">
      <c r="A3020" s="419"/>
      <c r="B3020" s="81"/>
      <c r="C3020" s="417" t="s">
        <v>1497</v>
      </c>
      <c r="D3020" s="81"/>
      <c r="E3020" s="402">
        <f t="shared" si="8"/>
        <v>9.8484848484848522E-2</v>
      </c>
      <c r="F3020" s="418">
        <v>3.57</v>
      </c>
      <c r="G3020" s="32">
        <v>3.96</v>
      </c>
      <c r="O3020" s="176"/>
    </row>
    <row r="3021" spans="1:15" s="32" customFormat="1" ht="15.75" hidden="1" outlineLevel="1" thickBot="1">
      <c r="A3021" s="420"/>
      <c r="B3021" s="404"/>
      <c r="C3021" s="421" t="s">
        <v>1495</v>
      </c>
      <c r="D3021" s="404"/>
      <c r="E3021" s="403">
        <f t="shared" si="8"/>
        <v>0.1002004008016032</v>
      </c>
      <c r="F3021" s="422">
        <v>8.98</v>
      </c>
      <c r="G3021" s="32">
        <v>9.98</v>
      </c>
      <c r="O3021" s="176"/>
    </row>
    <row r="3022" spans="1:15" s="32" customFormat="1" hidden="1" outlineLevel="1">
      <c r="O3022" s="176"/>
    </row>
    <row r="3023" spans="1:15" s="32" customFormat="1" ht="15.75" hidden="1" outlineLevel="1" thickBot="1">
      <c r="O3023" s="176"/>
    </row>
    <row r="3024" spans="1:15" s="32" customFormat="1" hidden="1" outlineLevel="1">
      <c r="A3024" s="3797"/>
      <c r="B3024" s="3779"/>
      <c r="C3024" s="3779"/>
      <c r="D3024" s="3779"/>
      <c r="E3024" s="3779"/>
      <c r="F3024" s="3784"/>
      <c r="O3024" s="176"/>
    </row>
    <row r="3025" spans="1:15" s="32" customFormat="1" hidden="1" outlineLevel="1">
      <c r="A3025" s="3981"/>
      <c r="B3025" s="3982"/>
      <c r="C3025" s="3982"/>
      <c r="D3025" s="3982"/>
      <c r="E3025" s="3982"/>
      <c r="F3025" s="3984"/>
      <c r="O3025" s="176"/>
    </row>
    <row r="3026" spans="1:15" s="32" customFormat="1" hidden="1" outlineLevel="1">
      <c r="A3026" s="416" t="s">
        <v>1813</v>
      </c>
      <c r="B3026" s="81" t="s">
        <v>1171</v>
      </c>
      <c r="C3026" s="423" t="s">
        <v>1175</v>
      </c>
      <c r="D3026" s="81"/>
      <c r="E3026" s="398">
        <f t="shared" ref="E3026:E3034" si="9">(G3026-F3026)/G3026</f>
        <v>0.14957264957264951</v>
      </c>
      <c r="F3026" s="400">
        <v>3.98</v>
      </c>
      <c r="G3026" s="409">
        <v>4.68</v>
      </c>
      <c r="O3026" s="176"/>
    </row>
    <row r="3027" spans="1:15" s="32" customFormat="1" hidden="1" outlineLevel="1">
      <c r="A3027" s="416"/>
      <c r="B3027" s="81"/>
      <c r="C3027" s="423" t="s">
        <v>1814</v>
      </c>
      <c r="D3027" s="81"/>
      <c r="E3027" s="398">
        <f t="shared" si="9"/>
        <v>0.15022421524663676</v>
      </c>
      <c r="F3027" s="400">
        <v>3.79</v>
      </c>
      <c r="G3027" s="32">
        <v>4.46</v>
      </c>
      <c r="O3027" s="176"/>
    </row>
    <row r="3028" spans="1:15" s="32" customFormat="1" hidden="1" outlineLevel="1">
      <c r="A3028" s="416"/>
      <c r="B3028" s="81"/>
      <c r="C3028" s="423" t="s">
        <v>1266</v>
      </c>
      <c r="D3028" s="81"/>
      <c r="E3028" s="398">
        <f t="shared" si="9"/>
        <v>0.15022421524663676</v>
      </c>
      <c r="F3028" s="400">
        <v>3.79</v>
      </c>
      <c r="G3028" s="32">
        <v>4.46</v>
      </c>
      <c r="O3028" s="176"/>
    </row>
    <row r="3029" spans="1:15" s="32" customFormat="1" hidden="1" outlineLevel="1">
      <c r="A3029" s="416"/>
      <c r="B3029" s="81"/>
      <c r="C3029" s="423" t="s">
        <v>1174</v>
      </c>
      <c r="D3029" s="81"/>
      <c r="E3029" s="398">
        <f t="shared" si="9"/>
        <v>0.15120274914089343</v>
      </c>
      <c r="F3029" s="400">
        <v>2.4700000000000002</v>
      </c>
      <c r="G3029" s="32">
        <v>2.91</v>
      </c>
      <c r="O3029" s="176"/>
    </row>
    <row r="3030" spans="1:15" s="32" customFormat="1" hidden="1" outlineLevel="1">
      <c r="A3030" s="416"/>
      <c r="B3030" s="81"/>
      <c r="C3030" s="423" t="s">
        <v>1258</v>
      </c>
      <c r="D3030" s="81"/>
      <c r="E3030" s="398">
        <f t="shared" si="9"/>
        <v>0.15003304692663591</v>
      </c>
      <c r="F3030" s="400">
        <v>25.72</v>
      </c>
      <c r="G3030" s="32">
        <v>30.26</v>
      </c>
      <c r="O3030" s="176"/>
    </row>
    <row r="3031" spans="1:15" s="32" customFormat="1" hidden="1" outlineLevel="1">
      <c r="A3031" s="416"/>
      <c r="B3031" s="81"/>
      <c r="C3031" s="423" t="s">
        <v>1259</v>
      </c>
      <c r="D3031" s="81"/>
      <c r="E3031" s="398">
        <f t="shared" si="9"/>
        <v>0.14986481266898413</v>
      </c>
      <c r="F3031" s="400">
        <v>22.01</v>
      </c>
      <c r="G3031" s="32">
        <v>25.89</v>
      </c>
      <c r="O3031" s="176"/>
    </row>
    <row r="3032" spans="1:15" s="32" customFormat="1" hidden="1" outlineLevel="1">
      <c r="A3032" s="416"/>
      <c r="B3032" s="81"/>
      <c r="C3032" s="423" t="s">
        <v>1271</v>
      </c>
      <c r="D3032" s="81"/>
      <c r="E3032" s="398">
        <f t="shared" si="9"/>
        <v>0.15007751937984495</v>
      </c>
      <c r="F3032" s="400">
        <v>27.41</v>
      </c>
      <c r="G3032" s="32">
        <v>32.25</v>
      </c>
      <c r="O3032" s="176"/>
    </row>
    <row r="3033" spans="1:15" s="32" customFormat="1" hidden="1" outlineLevel="1">
      <c r="A3033" s="416"/>
      <c r="B3033" s="81"/>
      <c r="C3033" s="423" t="s">
        <v>1815</v>
      </c>
      <c r="D3033" s="81"/>
      <c r="E3033" s="398" t="e">
        <f t="shared" si="9"/>
        <v>#DIV/0!</v>
      </c>
      <c r="F3033" s="400">
        <v>0.69</v>
      </c>
      <c r="O3033" s="176"/>
    </row>
    <row r="3034" spans="1:15" s="32" customFormat="1" hidden="1" outlineLevel="1">
      <c r="A3034" s="416"/>
      <c r="B3034" s="81"/>
      <c r="C3034" s="423" t="s">
        <v>1816</v>
      </c>
      <c r="D3034" s="81"/>
      <c r="E3034" s="398" t="e">
        <f t="shared" si="9"/>
        <v>#DIV/0!</v>
      </c>
      <c r="F3034" s="400">
        <v>0.99</v>
      </c>
      <c r="O3034" s="176"/>
    </row>
    <row r="3035" spans="1:15" s="32" customFormat="1" ht="15.75" hidden="1" outlineLevel="1" thickBot="1">
      <c r="A3035" s="424"/>
      <c r="B3035" s="404"/>
      <c r="C3035" s="404"/>
      <c r="D3035" s="404"/>
      <c r="E3035" s="404"/>
      <c r="F3035" s="406"/>
      <c r="O3035" s="176"/>
    </row>
    <row r="3036" spans="1:15" s="32" customFormat="1" hidden="1" outlineLevel="1">
      <c r="O3036" s="176"/>
    </row>
    <row r="3037" spans="1:15" s="32" customFormat="1" ht="15.75" hidden="1" outlineLevel="1" thickBot="1">
      <c r="O3037" s="176"/>
    </row>
    <row r="3038" spans="1:15" s="32" customFormat="1" hidden="1" outlineLevel="1">
      <c r="A3038" s="3797"/>
      <c r="B3038" s="3779"/>
      <c r="C3038" s="3779"/>
      <c r="D3038" s="3779"/>
      <c r="E3038" s="3779"/>
      <c r="F3038" s="3784"/>
      <c r="O3038" s="176"/>
    </row>
    <row r="3039" spans="1:15" s="32" customFormat="1" hidden="1" outlineLevel="1">
      <c r="A3039" s="3981"/>
      <c r="B3039" s="3982"/>
      <c r="C3039" s="3982"/>
      <c r="D3039" s="3982"/>
      <c r="E3039" s="3982"/>
      <c r="F3039" s="3984"/>
      <c r="O3039" s="176"/>
    </row>
    <row r="3040" spans="1:15" s="32" customFormat="1" hidden="1" outlineLevel="1">
      <c r="A3040" s="416" t="s">
        <v>1817</v>
      </c>
      <c r="B3040" s="81" t="s">
        <v>106</v>
      </c>
      <c r="C3040" s="425" t="s">
        <v>465</v>
      </c>
      <c r="D3040" s="81"/>
      <c r="E3040" s="343">
        <f>(G3040-F3040)/G3040</f>
        <v>0.15286624203821655</v>
      </c>
      <c r="F3040" s="400">
        <v>1.33</v>
      </c>
      <c r="G3040" s="32">
        <v>1.57</v>
      </c>
      <c r="O3040" s="176"/>
    </row>
    <row r="3041" spans="1:15" s="32" customFormat="1" hidden="1" outlineLevel="1">
      <c r="A3041" s="416"/>
      <c r="B3041" s="81"/>
      <c r="C3041" s="81"/>
      <c r="D3041" s="81"/>
      <c r="E3041" s="343"/>
      <c r="F3041" s="400"/>
      <c r="O3041" s="176"/>
    </row>
    <row r="3042" spans="1:15" s="32" customFormat="1" ht="15.75" hidden="1" outlineLevel="1" thickBot="1">
      <c r="A3042" s="424"/>
      <c r="B3042" s="404"/>
      <c r="C3042" s="404"/>
      <c r="D3042" s="404"/>
      <c r="E3042" s="405"/>
      <c r="F3042" s="406"/>
      <c r="O3042" s="176"/>
    </row>
    <row r="3043" spans="1:15" hidden="1" outlineLevel="1"/>
    <row r="3044" spans="1:15" ht="15.75" hidden="1" outlineLevel="1" thickBot="1"/>
    <row r="3045" spans="1:15" s="429" customFormat="1" hidden="1" outlineLevel="1">
      <c r="A3045" s="3572"/>
      <c r="B3045" s="3636"/>
      <c r="C3045" s="3636"/>
      <c r="D3045" s="3636"/>
      <c r="E3045" s="3636"/>
      <c r="F3045" s="3559"/>
      <c r="O3045" s="584"/>
    </row>
    <row r="3046" spans="1:15" s="429" customFormat="1" hidden="1" outlineLevel="1">
      <c r="A3046" s="3988"/>
      <c r="B3046" s="3949"/>
      <c r="C3046" s="3949"/>
      <c r="D3046" s="3949"/>
      <c r="E3046" s="3949"/>
      <c r="F3046" s="3989"/>
      <c r="O3046" s="584"/>
    </row>
    <row r="3047" spans="1:15" s="429" customFormat="1" hidden="1" outlineLevel="1">
      <c r="A3047" s="430" t="s">
        <v>1833</v>
      </c>
      <c r="B3047" s="431" t="s">
        <v>1171</v>
      </c>
      <c r="C3047" s="432" t="s">
        <v>1628</v>
      </c>
      <c r="D3047" s="433"/>
      <c r="E3047" s="434">
        <f t="shared" ref="E3047:E3057" si="10">(G3047-F3047)/G3047</f>
        <v>9.5890410958904049E-2</v>
      </c>
      <c r="F3047" s="435">
        <v>0.66</v>
      </c>
      <c r="G3047" s="436">
        <v>0.73</v>
      </c>
      <c r="O3047" s="584"/>
    </row>
    <row r="3048" spans="1:15" s="429" customFormat="1" hidden="1" outlineLevel="1">
      <c r="A3048" s="430"/>
      <c r="B3048" s="431"/>
      <c r="C3048" s="432" t="s">
        <v>1629</v>
      </c>
      <c r="D3048" s="431"/>
      <c r="E3048" s="434">
        <f t="shared" si="10"/>
        <v>9.5890410958904049E-2</v>
      </c>
      <c r="F3048" s="435">
        <v>0.66</v>
      </c>
      <c r="G3048" s="436">
        <v>0.73</v>
      </c>
      <c r="O3048" s="584"/>
    </row>
    <row r="3049" spans="1:15" s="429" customFormat="1" hidden="1" outlineLevel="1">
      <c r="A3049" s="430"/>
      <c r="B3049" s="431"/>
      <c r="C3049" s="432" t="s">
        <v>1630</v>
      </c>
      <c r="D3049" s="431"/>
      <c r="E3049" s="434">
        <f t="shared" si="10"/>
        <v>9.5890410958904049E-2</v>
      </c>
      <c r="F3049" s="435">
        <v>0.66</v>
      </c>
      <c r="G3049" s="436">
        <v>0.73</v>
      </c>
      <c r="O3049" s="584"/>
    </row>
    <row r="3050" spans="1:15" s="429" customFormat="1" hidden="1" outlineLevel="1">
      <c r="A3050" s="430"/>
      <c r="B3050" s="431"/>
      <c r="C3050" s="432" t="s">
        <v>1635</v>
      </c>
      <c r="D3050" s="433"/>
      <c r="E3050" s="434">
        <f t="shared" si="10"/>
        <v>0.10204081632653059</v>
      </c>
      <c r="F3050" s="435">
        <v>0.44</v>
      </c>
      <c r="G3050" s="436">
        <v>0.49</v>
      </c>
      <c r="O3050" s="584"/>
    </row>
    <row r="3051" spans="1:15" s="429" customFormat="1" hidden="1" outlineLevel="1">
      <c r="A3051" s="430"/>
      <c r="B3051" s="431"/>
      <c r="C3051" s="432" t="s">
        <v>1633</v>
      </c>
      <c r="D3051" s="433"/>
      <c r="E3051" s="434">
        <f t="shared" si="10"/>
        <v>9.8684210526315735E-2</v>
      </c>
      <c r="F3051" s="435">
        <v>1.37</v>
      </c>
      <c r="G3051" s="436">
        <v>1.52</v>
      </c>
      <c r="O3051" s="584"/>
    </row>
    <row r="3052" spans="1:15" s="429" customFormat="1" hidden="1" outlineLevel="1">
      <c r="A3052" s="430"/>
      <c r="B3052" s="431"/>
      <c r="C3052" s="432" t="s">
        <v>1634</v>
      </c>
      <c r="D3052" s="433"/>
      <c r="E3052" s="434">
        <f t="shared" si="10"/>
        <v>9.8684210526315735E-2</v>
      </c>
      <c r="F3052" s="435">
        <v>1.37</v>
      </c>
      <c r="G3052" s="436">
        <v>1.52</v>
      </c>
      <c r="O3052" s="584"/>
    </row>
    <row r="3053" spans="1:15" s="429" customFormat="1" hidden="1" outlineLevel="1">
      <c r="A3053" s="430"/>
      <c r="B3053" s="431"/>
      <c r="C3053" s="432" t="s">
        <v>1576</v>
      </c>
      <c r="D3053" s="433"/>
      <c r="E3053" s="434">
        <f t="shared" si="10"/>
        <v>9.8684210526315735E-2</v>
      </c>
      <c r="F3053" s="435">
        <v>1.37</v>
      </c>
      <c r="G3053" s="436">
        <v>1.52</v>
      </c>
      <c r="O3053" s="584"/>
    </row>
    <row r="3054" spans="1:15" s="429" customFormat="1" hidden="1" outlineLevel="1">
      <c r="A3054" s="430"/>
      <c r="B3054" s="431"/>
      <c r="C3054" s="432" t="s">
        <v>1577</v>
      </c>
      <c r="D3054" s="433"/>
      <c r="E3054" s="434">
        <f t="shared" si="10"/>
        <v>9.8684210526315735E-2</v>
      </c>
      <c r="F3054" s="435">
        <v>1.37</v>
      </c>
      <c r="G3054" s="436">
        <v>1.52</v>
      </c>
      <c r="O3054" s="584"/>
    </row>
    <row r="3055" spans="1:15" s="429" customFormat="1" hidden="1" outlineLevel="1">
      <c r="A3055" s="430"/>
      <c r="B3055" s="431"/>
      <c r="C3055" s="432" t="s">
        <v>1639</v>
      </c>
      <c r="D3055" s="433"/>
      <c r="E3055" s="434">
        <f t="shared" si="10"/>
        <v>0.10000000000000009</v>
      </c>
      <c r="F3055" s="435">
        <v>1.44</v>
      </c>
      <c r="G3055" s="436">
        <v>1.6</v>
      </c>
      <c r="O3055" s="584"/>
    </row>
    <row r="3056" spans="1:15" s="429" customFormat="1" hidden="1" outlineLevel="1">
      <c r="A3056" s="430"/>
      <c r="B3056" s="431"/>
      <c r="C3056" s="432" t="s">
        <v>1640</v>
      </c>
      <c r="D3056" s="431"/>
      <c r="E3056" s="434">
        <f t="shared" si="10"/>
        <v>0.10000000000000009</v>
      </c>
      <c r="F3056" s="435">
        <v>1.44</v>
      </c>
      <c r="G3056" s="436">
        <v>1.6</v>
      </c>
      <c r="O3056" s="584"/>
    </row>
    <row r="3057" spans="1:15" s="429" customFormat="1" ht="15.75" hidden="1" outlineLevel="1" thickBot="1">
      <c r="A3057" s="437"/>
      <c r="B3057" s="438"/>
      <c r="C3057" s="439" t="s">
        <v>1581</v>
      </c>
      <c r="D3057" s="438"/>
      <c r="E3057" s="440">
        <f t="shared" si="10"/>
        <v>0.10000000000000009</v>
      </c>
      <c r="F3057" s="441">
        <v>1.44</v>
      </c>
      <c r="G3057" s="436">
        <v>1.6</v>
      </c>
      <c r="O3057" s="584"/>
    </row>
    <row r="3058" spans="1:15" s="429" customFormat="1" hidden="1" outlineLevel="1">
      <c r="O3058" s="584"/>
    </row>
    <row r="3059" spans="1:15" s="429" customFormat="1" ht="15.75" hidden="1" outlineLevel="1" thickBot="1">
      <c r="O3059" s="584"/>
    </row>
    <row r="3060" spans="1:15" s="429" customFormat="1" hidden="1" outlineLevel="1">
      <c r="A3060" s="3572"/>
      <c r="B3060" s="3636"/>
      <c r="C3060" s="3636"/>
      <c r="D3060" s="3636"/>
      <c r="E3060" s="3636"/>
      <c r="F3060" s="3559"/>
      <c r="O3060" s="584"/>
    </row>
    <row r="3061" spans="1:15" s="429" customFormat="1" hidden="1" outlineLevel="1">
      <c r="A3061" s="3988"/>
      <c r="B3061" s="3949"/>
      <c r="C3061" s="3949"/>
      <c r="D3061" s="3949"/>
      <c r="E3061" s="3949"/>
      <c r="F3061" s="3973"/>
      <c r="O3061" s="584"/>
    </row>
    <row r="3062" spans="1:15" s="429" customFormat="1" ht="15.75" hidden="1" outlineLevel="1" thickBot="1">
      <c r="A3062" s="430" t="s">
        <v>1834</v>
      </c>
      <c r="B3062" s="431" t="s">
        <v>1171</v>
      </c>
      <c r="C3062" s="579" t="s">
        <v>1440</v>
      </c>
      <c r="D3062" s="580"/>
      <c r="E3062" s="581">
        <f t="shared" ref="E3062:E3076" si="11">(G3062-F3062)/G3062</f>
        <v>9.4117647058823486E-2</v>
      </c>
      <c r="F3062" s="582">
        <v>0.77</v>
      </c>
      <c r="G3062" s="583">
        <v>0.85</v>
      </c>
      <c r="O3062" s="584"/>
    </row>
    <row r="3063" spans="1:15" s="429" customFormat="1" ht="15.75" hidden="1" outlineLevel="1" thickBot="1">
      <c r="A3063" s="430"/>
      <c r="B3063" s="431"/>
      <c r="C3063" s="579" t="s">
        <v>1374</v>
      </c>
      <c r="D3063" s="580"/>
      <c r="E3063" s="581">
        <f t="shared" si="11"/>
        <v>9.4117647058823486E-2</v>
      </c>
      <c r="F3063" s="582">
        <v>0.77</v>
      </c>
      <c r="G3063" s="583">
        <v>0.85</v>
      </c>
      <c r="O3063" s="584"/>
    </row>
    <row r="3064" spans="1:15" s="429" customFormat="1" ht="15.75" hidden="1" outlineLevel="1" thickBot="1">
      <c r="A3064" s="430"/>
      <c r="B3064" s="431"/>
      <c r="C3064" s="579" t="s">
        <v>1301</v>
      </c>
      <c r="D3064" s="580"/>
      <c r="E3064" s="581">
        <f t="shared" si="11"/>
        <v>9.4117647058823486E-2</v>
      </c>
      <c r="F3064" s="582">
        <v>0.77</v>
      </c>
      <c r="G3064" s="583">
        <v>0.85</v>
      </c>
      <c r="O3064" s="584"/>
    </row>
    <row r="3065" spans="1:15" s="429" customFormat="1" ht="15.75" hidden="1" outlineLevel="1" thickBot="1">
      <c r="A3065" s="430"/>
      <c r="B3065" s="431"/>
      <c r="C3065" s="579" t="s">
        <v>522</v>
      </c>
      <c r="D3065" s="580"/>
      <c r="E3065" s="581">
        <f t="shared" si="11"/>
        <v>9.4117647058823486E-2</v>
      </c>
      <c r="F3065" s="582">
        <v>0.77</v>
      </c>
      <c r="G3065" s="583">
        <v>0.85</v>
      </c>
      <c r="O3065" s="584"/>
    </row>
    <row r="3066" spans="1:15" s="429" customFormat="1" ht="15.75" hidden="1" outlineLevel="1" thickBot="1">
      <c r="A3066" s="430"/>
      <c r="B3066" s="431"/>
      <c r="C3066" s="582" t="s">
        <v>1376</v>
      </c>
      <c r="D3066" s="580"/>
      <c r="E3066" s="581">
        <f t="shared" si="11"/>
        <v>0.10000000000000009</v>
      </c>
      <c r="F3066" s="582">
        <v>4.68</v>
      </c>
      <c r="G3066" s="584">
        <v>5.2</v>
      </c>
      <c r="O3066" s="584"/>
    </row>
    <row r="3067" spans="1:15" s="429" customFormat="1" ht="15.75" hidden="1" outlineLevel="1" thickBot="1">
      <c r="A3067" s="430"/>
      <c r="B3067" s="431"/>
      <c r="C3067" s="582" t="s">
        <v>1362</v>
      </c>
      <c r="D3067" s="580"/>
      <c r="E3067" s="581">
        <f t="shared" si="11"/>
        <v>0.10000000000000009</v>
      </c>
      <c r="F3067" s="582">
        <v>4.68</v>
      </c>
      <c r="G3067" s="584">
        <v>5.2</v>
      </c>
      <c r="O3067" s="584"/>
    </row>
    <row r="3068" spans="1:15" s="429" customFormat="1" ht="15.75" hidden="1" outlineLevel="1" thickBot="1">
      <c r="A3068" s="430"/>
      <c r="B3068" s="431"/>
      <c r="C3068" s="582" t="s">
        <v>510</v>
      </c>
      <c r="D3068" s="580"/>
      <c r="E3068" s="581">
        <f t="shared" si="11"/>
        <v>0.10000000000000009</v>
      </c>
      <c r="F3068" s="582">
        <v>4.68</v>
      </c>
      <c r="G3068" s="584">
        <v>5.2</v>
      </c>
      <c r="O3068" s="584"/>
    </row>
    <row r="3069" spans="1:15" s="429" customFormat="1" ht="15.75" hidden="1" outlineLevel="1" thickBot="1">
      <c r="A3069" s="430"/>
      <c r="B3069" s="431"/>
      <c r="C3069" s="582" t="s">
        <v>1363</v>
      </c>
      <c r="D3069" s="580"/>
      <c r="E3069" s="581">
        <f t="shared" si="11"/>
        <v>0.10000000000000009</v>
      </c>
      <c r="F3069" s="582">
        <v>4.68</v>
      </c>
      <c r="G3069" s="584">
        <v>5.2</v>
      </c>
      <c r="O3069" s="584"/>
    </row>
    <row r="3070" spans="1:15" s="429" customFormat="1" ht="15.75" hidden="1" outlineLevel="1" thickBot="1">
      <c r="A3070" s="430"/>
      <c r="B3070" s="431"/>
      <c r="C3070" s="579" t="s">
        <v>1439</v>
      </c>
      <c r="D3070" s="580"/>
      <c r="E3070" s="581">
        <f t="shared" si="11"/>
        <v>9.9802371541501969E-2</v>
      </c>
      <c r="F3070" s="582">
        <v>9.11</v>
      </c>
      <c r="G3070" s="584">
        <v>10.119999999999999</v>
      </c>
      <c r="O3070" s="584"/>
    </row>
    <row r="3071" spans="1:15" s="429" customFormat="1" ht="15.75" hidden="1" outlineLevel="1" thickBot="1">
      <c r="A3071" s="430"/>
      <c r="B3071" s="431"/>
      <c r="C3071" s="579" t="s">
        <v>1773</v>
      </c>
      <c r="D3071" s="580"/>
      <c r="E3071" s="581">
        <f t="shared" si="11"/>
        <v>9.9802371541501969E-2</v>
      </c>
      <c r="F3071" s="582">
        <v>9.11</v>
      </c>
      <c r="G3071" s="584">
        <v>10.119999999999999</v>
      </c>
      <c r="O3071" s="584"/>
    </row>
    <row r="3072" spans="1:15" s="429" customFormat="1" ht="15.75" hidden="1" outlineLevel="1" thickBot="1">
      <c r="A3072" s="430"/>
      <c r="B3072" s="431"/>
      <c r="C3072" s="442"/>
      <c r="D3072" s="433"/>
      <c r="E3072" s="440" t="e">
        <f t="shared" si="11"/>
        <v>#DIV/0!</v>
      </c>
      <c r="F3072" s="443"/>
      <c r="O3072" s="584"/>
    </row>
    <row r="3073" spans="1:15" s="429" customFormat="1" ht="15.75" hidden="1" outlineLevel="1" thickBot="1">
      <c r="A3073" s="430"/>
      <c r="B3073" s="431"/>
      <c r="C3073" s="442"/>
      <c r="D3073" s="433"/>
      <c r="E3073" s="440" t="e">
        <f t="shared" si="11"/>
        <v>#DIV/0!</v>
      </c>
      <c r="F3073" s="443"/>
      <c r="O3073" s="584"/>
    </row>
    <row r="3074" spans="1:15" s="429" customFormat="1" ht="15.75" hidden="1" outlineLevel="1" thickBot="1">
      <c r="A3074" s="430"/>
      <c r="B3074" s="431"/>
      <c r="C3074" s="442"/>
      <c r="D3074" s="431"/>
      <c r="E3074" s="440" t="e">
        <f t="shared" si="11"/>
        <v>#DIV/0!</v>
      </c>
      <c r="F3074" s="443"/>
      <c r="O3074" s="584"/>
    </row>
    <row r="3075" spans="1:15" s="429" customFormat="1" ht="15.75" hidden="1" outlineLevel="1" thickBot="1">
      <c r="A3075" s="444"/>
      <c r="B3075" s="431"/>
      <c r="C3075" s="442"/>
      <c r="D3075" s="431"/>
      <c r="E3075" s="440" t="e">
        <f t="shared" si="11"/>
        <v>#DIV/0!</v>
      </c>
      <c r="F3075" s="443"/>
      <c r="O3075" s="584"/>
    </row>
    <row r="3076" spans="1:15" s="429" customFormat="1" ht="15.75" hidden="1" outlineLevel="1" thickBot="1">
      <c r="A3076" s="445"/>
      <c r="B3076" s="438"/>
      <c r="C3076" s="446"/>
      <c r="D3076" s="438"/>
      <c r="E3076" s="440" t="e">
        <f t="shared" si="11"/>
        <v>#DIV/0!</v>
      </c>
      <c r="F3076" s="447"/>
      <c r="O3076" s="584"/>
    </row>
    <row r="3077" spans="1:15" s="429" customFormat="1" ht="15.75" collapsed="1" thickTop="1">
      <c r="O3077" s="584"/>
    </row>
    <row r="3078" spans="1:15" s="429" customFormat="1" ht="15.75" thickBot="1">
      <c r="O3078" s="584"/>
    </row>
    <row r="3079" spans="1:15" s="429" customFormat="1">
      <c r="A3079" s="3572"/>
      <c r="B3079" s="3636"/>
      <c r="C3079" s="3636"/>
      <c r="D3079" s="3636"/>
      <c r="E3079" s="3636"/>
      <c r="F3079" s="3559"/>
      <c r="O3079" s="584"/>
    </row>
    <row r="3080" spans="1:15" s="429" customFormat="1" ht="15.75" thickBot="1">
      <c r="A3080" s="3978"/>
      <c r="B3080" s="3929"/>
      <c r="C3080" s="3929"/>
      <c r="D3080" s="3929"/>
      <c r="E3080" s="3929"/>
      <c r="F3080" s="3973"/>
      <c r="O3080" s="584"/>
    </row>
    <row r="3081" spans="1:15" s="429" customFormat="1">
      <c r="A3081" s="448" t="s">
        <v>1835</v>
      </c>
      <c r="B3081" s="449" t="s">
        <v>1171</v>
      </c>
      <c r="C3081" s="450" t="s">
        <v>1075</v>
      </c>
      <c r="D3081" s="451"/>
      <c r="E3081" s="452">
        <f t="shared" ref="E3081:E3091" si="12">(G3081-F3081)/G3081</f>
        <v>0.10638297872340424</v>
      </c>
      <c r="F3081" s="453">
        <v>0.84</v>
      </c>
      <c r="G3081" s="436">
        <v>0.94</v>
      </c>
      <c r="H3081" s="429">
        <v>-45</v>
      </c>
      <c r="O3081" s="584">
        <f>(G3081-F3081)*H3081</f>
        <v>-4.4999999999999991</v>
      </c>
    </row>
    <row r="3082" spans="1:15" s="429" customFormat="1">
      <c r="A3082" s="430"/>
      <c r="B3082" s="431"/>
      <c r="C3082" s="454" t="s">
        <v>1401</v>
      </c>
      <c r="D3082" s="431"/>
      <c r="E3082" s="434">
        <f t="shared" si="12"/>
        <v>0.10055865921787706</v>
      </c>
      <c r="F3082" s="455">
        <v>3.22</v>
      </c>
      <c r="G3082" s="436">
        <v>3.58</v>
      </c>
      <c r="H3082" s="429">
        <v>-19</v>
      </c>
      <c r="O3082" s="584">
        <f>(G3082-F3082)*H3082</f>
        <v>-6.8399999999999981</v>
      </c>
    </row>
    <row r="3083" spans="1:15" s="429" customFormat="1">
      <c r="A3083" s="430"/>
      <c r="B3083" s="431"/>
      <c r="C3083" s="454" t="s">
        <v>1168</v>
      </c>
      <c r="D3083" s="433"/>
      <c r="E3083" s="434">
        <f t="shared" si="12"/>
        <v>9.9999999999999992E-2</v>
      </c>
      <c r="F3083" s="455">
        <v>6.03</v>
      </c>
      <c r="G3083" s="436">
        <v>6.7</v>
      </c>
      <c r="H3083" s="429">
        <v>-9</v>
      </c>
      <c r="O3083" s="584">
        <f>(G3083-F3083)*H3083</f>
        <v>-6.0299999999999994</v>
      </c>
    </row>
    <row r="3084" spans="1:15" s="429" customFormat="1">
      <c r="A3084" s="430"/>
      <c r="B3084" s="431"/>
      <c r="C3084" s="454" t="s">
        <v>855</v>
      </c>
      <c r="D3084" s="433"/>
      <c r="E3084" s="434">
        <f t="shared" si="12"/>
        <v>9.9009900990098987E-2</v>
      </c>
      <c r="F3084" s="455">
        <v>1.82</v>
      </c>
      <c r="G3084" s="436">
        <v>2.02</v>
      </c>
      <c r="H3084" s="429">
        <v>-180</v>
      </c>
      <c r="O3084" s="584">
        <f>(G3084-F3084)*H3084</f>
        <v>-35.999999999999993</v>
      </c>
    </row>
    <row r="3085" spans="1:15" s="429" customFormat="1">
      <c r="A3085" s="430"/>
      <c r="B3085" s="431"/>
      <c r="C3085" s="454" t="s">
        <v>857</v>
      </c>
      <c r="D3085" s="433"/>
      <c r="E3085" s="434">
        <f t="shared" si="12"/>
        <v>9.9009900990098987E-2</v>
      </c>
      <c r="F3085" s="455">
        <v>1.82</v>
      </c>
      <c r="G3085" s="436">
        <v>2.02</v>
      </c>
      <c r="O3085" s="584"/>
    </row>
    <row r="3086" spans="1:15" s="429" customFormat="1">
      <c r="A3086" s="430"/>
      <c r="B3086" s="431"/>
      <c r="C3086" s="454" t="s">
        <v>1218</v>
      </c>
      <c r="D3086" s="433"/>
      <c r="E3086" s="434">
        <f t="shared" si="12"/>
        <v>9.9009900990098987E-2</v>
      </c>
      <c r="F3086" s="455">
        <v>1.82</v>
      </c>
      <c r="G3086" s="436">
        <v>2.02</v>
      </c>
      <c r="O3086" s="584"/>
    </row>
    <row r="3087" spans="1:15" s="429" customFormat="1">
      <c r="A3087" s="430"/>
      <c r="B3087" s="431"/>
      <c r="C3087" s="454" t="s">
        <v>856</v>
      </c>
      <c r="D3087" s="433"/>
      <c r="E3087" s="434">
        <f t="shared" si="12"/>
        <v>9.9009900990098987E-2</v>
      </c>
      <c r="F3087" s="455">
        <v>1.82</v>
      </c>
      <c r="G3087" s="436">
        <v>2.02</v>
      </c>
      <c r="O3087" s="584"/>
    </row>
    <row r="3088" spans="1:15" s="429" customFormat="1">
      <c r="A3088" s="430"/>
      <c r="B3088" s="431"/>
      <c r="C3088" s="456"/>
      <c r="D3088" s="433"/>
      <c r="E3088" s="434" t="e">
        <f t="shared" si="12"/>
        <v>#DIV/0!</v>
      </c>
      <c r="F3088" s="435"/>
      <c r="O3088" s="584"/>
    </row>
    <row r="3089" spans="1:15" s="429" customFormat="1">
      <c r="A3089" s="430"/>
      <c r="B3089" s="431"/>
      <c r="C3089" s="432"/>
      <c r="D3089" s="433"/>
      <c r="E3089" s="434" t="e">
        <f t="shared" si="12"/>
        <v>#DIV/0!</v>
      </c>
      <c r="F3089" s="435"/>
      <c r="O3089" s="584"/>
    </row>
    <row r="3090" spans="1:15" s="429" customFormat="1">
      <c r="A3090" s="430"/>
      <c r="B3090" s="431"/>
      <c r="C3090" s="432"/>
      <c r="D3090" s="433"/>
      <c r="E3090" s="434" t="e">
        <f t="shared" si="12"/>
        <v>#DIV/0!</v>
      </c>
      <c r="F3090" s="435"/>
      <c r="O3090" s="584"/>
    </row>
    <row r="3091" spans="1:15" s="429" customFormat="1" ht="15.75" thickBot="1">
      <c r="A3091" s="437"/>
      <c r="B3091" s="438"/>
      <c r="C3091" s="446"/>
      <c r="D3091" s="457"/>
      <c r="E3091" s="440" t="e">
        <f t="shared" si="12"/>
        <v>#DIV/0!</v>
      </c>
      <c r="F3091" s="447"/>
      <c r="O3091" s="584"/>
    </row>
    <row r="3092" spans="1:15" s="429" customFormat="1" ht="15.75" thickBot="1">
      <c r="O3092" s="584"/>
    </row>
    <row r="3093" spans="1:15" s="429" customFormat="1">
      <c r="A3093" s="3572"/>
      <c r="B3093" s="3636"/>
      <c r="C3093" s="3636"/>
      <c r="D3093" s="3636"/>
      <c r="E3093" s="3636"/>
      <c r="F3093" s="3559"/>
      <c r="O3093" s="584"/>
    </row>
    <row r="3094" spans="1:15" s="429" customFormat="1" ht="15.75" thickBot="1">
      <c r="A3094" s="3992"/>
      <c r="B3094" s="3990"/>
      <c r="C3094" s="3990"/>
      <c r="D3094" s="3929"/>
      <c r="E3094" s="3990"/>
      <c r="F3094" s="3973"/>
      <c r="O3094" s="584"/>
    </row>
    <row r="3095" spans="1:15" s="429" customFormat="1" ht="17.25" thickTop="1" thickBot="1">
      <c r="A3095" s="484" t="s">
        <v>1857</v>
      </c>
      <c r="B3095" s="485" t="s">
        <v>114</v>
      </c>
      <c r="C3095" s="486" t="s">
        <v>623</v>
      </c>
      <c r="D3095" s="487"/>
      <c r="E3095" s="488">
        <f>(G3095-F3095)/G3095</f>
        <v>0.15019762845849799</v>
      </c>
      <c r="F3095" s="489">
        <v>2.15</v>
      </c>
      <c r="G3095" s="490">
        <v>2.5299999999999998</v>
      </c>
      <c r="O3095" s="584"/>
    </row>
    <row r="3096" spans="1:15" s="429" customFormat="1" ht="16.5" thickBot="1">
      <c r="A3096" s="491"/>
      <c r="B3096" s="431"/>
      <c r="C3096" s="492" t="s">
        <v>154</v>
      </c>
      <c r="D3096" s="487"/>
      <c r="E3096" s="488">
        <f>(G3096-F3096)/G3096</f>
        <v>0.15238095238095239</v>
      </c>
      <c r="F3096" s="489">
        <v>0.89</v>
      </c>
      <c r="G3096" s="490">
        <v>1.05</v>
      </c>
      <c r="O3096" s="584"/>
    </row>
    <row r="3097" spans="1:15" s="429" customFormat="1" ht="16.5" thickBot="1">
      <c r="A3097" s="491"/>
      <c r="B3097" s="431"/>
      <c r="C3097" s="493" t="s">
        <v>183</v>
      </c>
      <c r="D3097" s="431"/>
      <c r="E3097" s="488">
        <f>(G3097-F3097)/G3097</f>
        <v>0.15116279069767444</v>
      </c>
      <c r="F3097" s="494">
        <v>1.46</v>
      </c>
      <c r="G3097" s="490">
        <v>1.72</v>
      </c>
      <c r="O3097" s="584"/>
    </row>
    <row r="3098" spans="1:15" s="429" customFormat="1" ht="15.75" thickBot="1">
      <c r="A3098" s="491"/>
      <c r="B3098" s="431"/>
      <c r="C3098" s="495"/>
      <c r="D3098" s="431"/>
      <c r="E3098" s="488"/>
      <c r="F3098" s="494"/>
      <c r="O3098" s="584"/>
    </row>
    <row r="3099" spans="1:15" s="429" customFormat="1">
      <c r="A3099" s="491"/>
      <c r="B3099" s="431"/>
      <c r="C3099" s="496"/>
      <c r="D3099" s="431"/>
      <c r="E3099" s="488"/>
      <c r="F3099" s="497"/>
      <c r="O3099" s="584"/>
    </row>
    <row r="3100" spans="1:15" s="429" customFormat="1">
      <c r="A3100" s="491"/>
      <c r="B3100" s="431"/>
      <c r="C3100" s="496"/>
      <c r="D3100" s="431"/>
      <c r="E3100" s="488"/>
      <c r="F3100" s="497"/>
      <c r="O3100" s="584"/>
    </row>
    <row r="3101" spans="1:15" s="429" customFormat="1">
      <c r="A3101" s="491"/>
      <c r="B3101" s="431"/>
      <c r="C3101" s="433"/>
      <c r="D3101" s="485"/>
      <c r="E3101" s="488"/>
      <c r="F3101" s="498"/>
      <c r="O3101" s="584"/>
    </row>
    <row r="3102" spans="1:15" s="429" customFormat="1">
      <c r="A3102" s="491"/>
      <c r="B3102" s="431"/>
      <c r="C3102" s="431"/>
      <c r="D3102" s="431"/>
      <c r="E3102" s="488"/>
      <c r="F3102" s="498"/>
      <c r="O3102" s="584"/>
    </row>
    <row r="3103" spans="1:15" s="429" customFormat="1">
      <c r="A3103" s="491"/>
      <c r="B3103" s="431"/>
      <c r="C3103" s="431"/>
      <c r="D3103" s="431"/>
      <c r="E3103" s="488"/>
      <c r="F3103" s="498"/>
      <c r="O3103" s="584"/>
    </row>
    <row r="3104" spans="1:15" s="429" customFormat="1">
      <c r="A3104" s="491"/>
      <c r="B3104" s="431"/>
      <c r="C3104" s="433"/>
      <c r="D3104" s="431"/>
      <c r="E3104" s="488"/>
      <c r="F3104" s="499"/>
      <c r="O3104" s="584"/>
    </row>
    <row r="3105" spans="1:15" s="429" customFormat="1">
      <c r="A3105" s="491"/>
      <c r="B3105" s="431"/>
      <c r="C3105" s="431"/>
      <c r="D3105" s="431"/>
      <c r="E3105" s="488"/>
      <c r="F3105" s="499"/>
      <c r="O3105" s="584"/>
    </row>
    <row r="3106" spans="1:15" s="429" customFormat="1" ht="15.75" thickBot="1">
      <c r="A3106" s="500"/>
      <c r="B3106" s="438"/>
      <c r="C3106" s="438"/>
      <c r="D3106" s="438"/>
      <c r="E3106" s="438"/>
      <c r="F3106" s="501"/>
      <c r="O3106" s="584"/>
    </row>
    <row r="3109" spans="1:15" s="429" customFormat="1">
      <c r="A3109" s="3991"/>
      <c r="B3109" s="3991"/>
      <c r="C3109" s="3991"/>
      <c r="D3109" s="3991"/>
      <c r="E3109" s="3991"/>
      <c r="F3109" s="3991"/>
      <c r="O3109" s="584"/>
    </row>
    <row r="3110" spans="1:15" s="429" customFormat="1">
      <c r="A3110" s="3991"/>
      <c r="B3110" s="3991"/>
      <c r="C3110" s="3991"/>
      <c r="D3110" s="3991"/>
      <c r="E3110" s="3991"/>
      <c r="F3110" s="3991"/>
      <c r="O3110" s="584"/>
    </row>
    <row r="3111" spans="1:15" s="429" customFormat="1" ht="15.75" thickBot="1">
      <c r="A3111" s="509" t="s">
        <v>1865</v>
      </c>
      <c r="B3111" s="510" t="s">
        <v>1171</v>
      </c>
      <c r="C3111" s="511" t="s">
        <v>934</v>
      </c>
      <c r="D3111" s="512"/>
      <c r="E3111" s="513">
        <f t="shared" ref="E3111:E3122" si="13">(G3111-F3111)/G3111</f>
        <v>0.15133531157270036</v>
      </c>
      <c r="F3111" s="514">
        <v>2.86</v>
      </c>
      <c r="G3111" s="436">
        <v>3.37</v>
      </c>
      <c r="H3111" s="429">
        <v>7</v>
      </c>
      <c r="O3111" s="584">
        <f t="shared" ref="O3111:O3120" si="14">(G3111-F3111)*H3111</f>
        <v>3.5700000000000016</v>
      </c>
    </row>
    <row r="3112" spans="1:15" s="429" customFormat="1" ht="15.75" thickBot="1">
      <c r="A3112" s="509"/>
      <c r="B3112" s="510"/>
      <c r="C3112" s="511" t="s">
        <v>933</v>
      </c>
      <c r="D3112" s="510"/>
      <c r="E3112" s="513">
        <f t="shared" si="13"/>
        <v>0.15133531157270036</v>
      </c>
      <c r="F3112" s="514">
        <v>2.86</v>
      </c>
      <c r="G3112" s="436">
        <v>3.37</v>
      </c>
      <c r="O3112" s="584">
        <f t="shared" si="14"/>
        <v>0</v>
      </c>
    </row>
    <row r="3113" spans="1:15" s="429" customFormat="1" ht="15.75" thickBot="1">
      <c r="A3113" s="509"/>
      <c r="B3113" s="510"/>
      <c r="C3113" s="511" t="s">
        <v>1345</v>
      </c>
      <c r="D3113" s="512"/>
      <c r="E3113" s="513">
        <f t="shared" si="13"/>
        <v>0.14814814814814828</v>
      </c>
      <c r="F3113" s="514">
        <v>1.38</v>
      </c>
      <c r="G3113" s="436">
        <v>1.62</v>
      </c>
      <c r="H3113" s="429">
        <v>-413</v>
      </c>
      <c r="O3113" s="584">
        <f t="shared" si="14"/>
        <v>-99.12000000000009</v>
      </c>
    </row>
    <row r="3114" spans="1:15" s="429" customFormat="1" ht="15.75" thickBot="1">
      <c r="A3114" s="509"/>
      <c r="B3114" s="510"/>
      <c r="C3114" s="511" t="s">
        <v>1355</v>
      </c>
      <c r="D3114" s="512"/>
      <c r="E3114" s="513">
        <f t="shared" si="13"/>
        <v>0.14814814814814828</v>
      </c>
      <c r="F3114" s="514">
        <v>1.38</v>
      </c>
      <c r="G3114" s="436">
        <v>1.62</v>
      </c>
      <c r="O3114" s="584">
        <f t="shared" si="14"/>
        <v>0</v>
      </c>
    </row>
    <row r="3115" spans="1:15" s="429" customFormat="1" ht="15.75" thickBot="1">
      <c r="A3115" s="509"/>
      <c r="B3115" s="510"/>
      <c r="C3115" s="511" t="s">
        <v>1413</v>
      </c>
      <c r="D3115" s="512"/>
      <c r="E3115" s="513">
        <f t="shared" si="13"/>
        <v>0.14814814814814828</v>
      </c>
      <c r="F3115" s="514">
        <v>1.38</v>
      </c>
      <c r="G3115" s="436">
        <v>1.62</v>
      </c>
      <c r="O3115" s="584">
        <f t="shared" si="14"/>
        <v>0</v>
      </c>
    </row>
    <row r="3116" spans="1:15" s="429" customFormat="1" ht="15.75" thickBot="1">
      <c r="A3116" s="509"/>
      <c r="B3116" s="510"/>
      <c r="C3116" s="515" t="s">
        <v>1429</v>
      </c>
      <c r="D3116" s="512"/>
      <c r="E3116" s="513">
        <f t="shared" si="13"/>
        <v>0.14814814814814828</v>
      </c>
      <c r="F3116" s="514">
        <v>1.38</v>
      </c>
      <c r="G3116" s="436">
        <v>1.62</v>
      </c>
      <c r="O3116" s="584">
        <f t="shared" si="14"/>
        <v>0</v>
      </c>
    </row>
    <row r="3117" spans="1:15" s="429" customFormat="1" ht="15.75" thickBot="1">
      <c r="A3117" s="509"/>
      <c r="B3117" s="510"/>
      <c r="C3117" s="515" t="s">
        <v>1866</v>
      </c>
      <c r="D3117" s="512"/>
      <c r="E3117" s="513">
        <f t="shared" si="13"/>
        <v>0.14981273408239698</v>
      </c>
      <c r="F3117" s="514">
        <v>2.27</v>
      </c>
      <c r="G3117" s="436">
        <v>2.67</v>
      </c>
      <c r="H3117" s="429">
        <v>-226</v>
      </c>
      <c r="O3117" s="584">
        <f t="shared" si="14"/>
        <v>-90.399999999999977</v>
      </c>
    </row>
    <row r="3118" spans="1:15" s="429" customFormat="1" ht="15.75" thickBot="1">
      <c r="A3118" s="509"/>
      <c r="B3118" s="510"/>
      <c r="C3118" s="515" t="s">
        <v>1867</v>
      </c>
      <c r="D3118" s="510"/>
      <c r="E3118" s="513">
        <f t="shared" si="13"/>
        <v>0.14981273408239698</v>
      </c>
      <c r="F3118" s="514">
        <v>2.27</v>
      </c>
      <c r="G3118" s="436">
        <v>2.67</v>
      </c>
      <c r="O3118" s="584">
        <f t="shared" si="14"/>
        <v>0</v>
      </c>
    </row>
    <row r="3119" spans="1:15" s="429" customFormat="1" ht="15.75" thickBot="1">
      <c r="A3119" s="509"/>
      <c r="B3119" s="510"/>
      <c r="C3119" s="515" t="s">
        <v>186</v>
      </c>
      <c r="D3119" s="510"/>
      <c r="E3119" s="513">
        <f t="shared" si="13"/>
        <v>0.15</v>
      </c>
      <c r="F3119" s="514">
        <v>0.68</v>
      </c>
      <c r="G3119" s="436">
        <v>0.8</v>
      </c>
      <c r="H3119" s="429">
        <v>-1541</v>
      </c>
      <c r="O3119" s="584">
        <f t="shared" si="14"/>
        <v>-184.92</v>
      </c>
    </row>
    <row r="3120" spans="1:15" s="429" customFormat="1" ht="15.75" thickBot="1">
      <c r="A3120" s="509"/>
      <c r="B3120" s="510"/>
      <c r="C3120" s="515" t="s">
        <v>187</v>
      </c>
      <c r="D3120" s="510"/>
      <c r="E3120" s="513">
        <f t="shared" si="13"/>
        <v>0.15</v>
      </c>
      <c r="F3120" s="514">
        <v>0.68</v>
      </c>
      <c r="G3120" s="436">
        <v>0.8</v>
      </c>
      <c r="O3120" s="584">
        <f t="shared" si="14"/>
        <v>0</v>
      </c>
    </row>
    <row r="3121" spans="1:15" s="429" customFormat="1" ht="15.75" thickBot="1">
      <c r="A3121" s="509"/>
      <c r="B3121" s="510"/>
      <c r="C3121" s="515" t="s">
        <v>188</v>
      </c>
      <c r="D3121" s="510"/>
      <c r="E3121" s="513">
        <f t="shared" si="13"/>
        <v>0.15</v>
      </c>
      <c r="F3121" s="514">
        <v>0.68</v>
      </c>
      <c r="G3121" s="436">
        <v>0.8</v>
      </c>
      <c r="O3121" s="584"/>
    </row>
    <row r="3122" spans="1:15" s="429" customFormat="1" ht="15.75" thickBot="1">
      <c r="A3122" s="509"/>
      <c r="B3122" s="510"/>
      <c r="C3122" s="515" t="s">
        <v>1868</v>
      </c>
      <c r="D3122" s="510"/>
      <c r="E3122" s="513">
        <f t="shared" si="13"/>
        <v>0.15</v>
      </c>
      <c r="F3122" s="514">
        <v>0.68</v>
      </c>
      <c r="G3122" s="436">
        <v>0.8</v>
      </c>
      <c r="O3122" s="584"/>
    </row>
    <row r="3123" spans="1:15" s="429" customFormat="1">
      <c r="O3123" s="584"/>
    </row>
    <row r="3124" spans="1:15" s="429" customFormat="1">
      <c r="O3124" s="584"/>
    </row>
    <row r="3125" spans="1:15" s="429" customFormat="1">
      <c r="A3125" s="3991"/>
      <c r="B3125" s="3991"/>
      <c r="C3125" s="3991"/>
      <c r="D3125" s="3991"/>
      <c r="E3125" s="3991"/>
      <c r="F3125" s="3991"/>
      <c r="O3125" s="584"/>
    </row>
    <row r="3126" spans="1:15" s="429" customFormat="1">
      <c r="A3126" s="3991"/>
      <c r="B3126" s="3991"/>
      <c r="C3126" s="3991"/>
      <c r="D3126" s="3991"/>
      <c r="E3126" s="3991"/>
      <c r="F3126" s="3991"/>
      <c r="O3126" s="584"/>
    </row>
    <row r="3127" spans="1:15" s="429" customFormat="1">
      <c r="A3127" s="509" t="s">
        <v>1869</v>
      </c>
      <c r="B3127" s="510" t="s">
        <v>1171</v>
      </c>
      <c r="C3127" s="515" t="s">
        <v>730</v>
      </c>
      <c r="D3127" s="512"/>
      <c r="E3127" s="513">
        <f t="shared" ref="E3127:E3138" si="15">(G3127-F3127)/G3127</f>
        <v>0.15584415584415584</v>
      </c>
      <c r="F3127" s="515">
        <v>0.65</v>
      </c>
      <c r="G3127" s="429">
        <v>0.77</v>
      </c>
      <c r="H3127" s="429">
        <v>892</v>
      </c>
      <c r="O3127" s="584">
        <f t="shared" ref="O3127:O3137" si="16">(G3127-F3127)*H3127</f>
        <v>107.03999999999999</v>
      </c>
    </row>
    <row r="3128" spans="1:15" s="429" customFormat="1">
      <c r="A3128" s="509"/>
      <c r="B3128" s="510"/>
      <c r="C3128" s="515" t="s">
        <v>1119</v>
      </c>
      <c r="D3128" s="510"/>
      <c r="E3128" s="513">
        <f t="shared" si="15"/>
        <v>0.14545454545454556</v>
      </c>
      <c r="F3128" s="515">
        <v>0.94</v>
      </c>
      <c r="G3128" s="429">
        <v>1.1000000000000001</v>
      </c>
      <c r="H3128" s="429">
        <v>2480</v>
      </c>
      <c r="O3128" s="584">
        <f t="shared" si="16"/>
        <v>396.80000000000035</v>
      </c>
    </row>
    <row r="3129" spans="1:15" s="429" customFormat="1">
      <c r="A3129" s="509"/>
      <c r="B3129" s="510"/>
      <c r="C3129" s="515" t="s">
        <v>226</v>
      </c>
      <c r="D3129" s="512"/>
      <c r="E3129" s="513">
        <f t="shared" si="15"/>
        <v>0.15</v>
      </c>
      <c r="F3129" s="515">
        <v>0.68</v>
      </c>
      <c r="G3129" s="429">
        <v>0.8</v>
      </c>
      <c r="H3129" s="429">
        <v>0</v>
      </c>
      <c r="O3129" s="584">
        <f t="shared" si="16"/>
        <v>0</v>
      </c>
    </row>
    <row r="3130" spans="1:15" s="429" customFormat="1">
      <c r="A3130" s="509"/>
      <c r="B3130" s="510"/>
      <c r="C3130" s="515" t="s">
        <v>227</v>
      </c>
      <c r="D3130" s="512"/>
      <c r="E3130" s="513">
        <f t="shared" si="15"/>
        <v>0.15</v>
      </c>
      <c r="F3130" s="515">
        <v>0.68</v>
      </c>
      <c r="G3130" s="429">
        <v>0.8</v>
      </c>
      <c r="O3130" s="584">
        <f t="shared" si="16"/>
        <v>0</v>
      </c>
    </row>
    <row r="3131" spans="1:15" s="429" customFormat="1">
      <c r="A3131" s="509"/>
      <c r="B3131" s="510"/>
      <c r="C3131" s="515" t="s">
        <v>228</v>
      </c>
      <c r="D3131" s="512"/>
      <c r="E3131" s="513">
        <f t="shared" si="15"/>
        <v>0.15</v>
      </c>
      <c r="F3131" s="515">
        <v>0.68</v>
      </c>
      <c r="G3131" s="429">
        <v>0.8</v>
      </c>
      <c r="O3131" s="584">
        <f t="shared" si="16"/>
        <v>0</v>
      </c>
    </row>
    <row r="3132" spans="1:15" s="429" customFormat="1">
      <c r="A3132" s="509"/>
      <c r="B3132" s="510"/>
      <c r="C3132" s="515" t="s">
        <v>1315</v>
      </c>
      <c r="D3132" s="512"/>
      <c r="E3132" s="513">
        <f t="shared" si="15"/>
        <v>0.14788732394366194</v>
      </c>
      <c r="F3132" s="515">
        <v>1.21</v>
      </c>
      <c r="G3132" s="429">
        <v>1.42</v>
      </c>
      <c r="H3132" s="429">
        <v>434</v>
      </c>
      <c r="O3132" s="584">
        <f t="shared" si="16"/>
        <v>91.139999999999986</v>
      </c>
    </row>
    <row r="3133" spans="1:15" s="429" customFormat="1">
      <c r="A3133" s="509"/>
      <c r="B3133" s="510"/>
      <c r="C3133" s="515" t="s">
        <v>1316</v>
      </c>
      <c r="D3133" s="512"/>
      <c r="E3133" s="513">
        <f t="shared" si="15"/>
        <v>0.14788732394366194</v>
      </c>
      <c r="F3133" s="515">
        <v>1.21</v>
      </c>
      <c r="G3133" s="429">
        <v>1.42</v>
      </c>
      <c r="O3133" s="584">
        <f t="shared" si="16"/>
        <v>0</v>
      </c>
    </row>
    <row r="3134" spans="1:15" s="429" customFormat="1">
      <c r="A3134" s="509"/>
      <c r="B3134" s="510"/>
      <c r="C3134" s="515" t="s">
        <v>1317</v>
      </c>
      <c r="D3134" s="510"/>
      <c r="E3134" s="513">
        <f t="shared" si="15"/>
        <v>0.14788732394366194</v>
      </c>
      <c r="F3134" s="515">
        <v>1.21</v>
      </c>
      <c r="G3134" s="429">
        <v>1.42</v>
      </c>
      <c r="O3134" s="584">
        <f t="shared" si="16"/>
        <v>0</v>
      </c>
    </row>
    <row r="3135" spans="1:15" s="429" customFormat="1">
      <c r="A3135" s="509"/>
      <c r="B3135" s="510"/>
      <c r="C3135" s="515" t="s">
        <v>1092</v>
      </c>
      <c r="D3135" s="510"/>
      <c r="E3135" s="513">
        <f t="shared" si="15"/>
        <v>0.15037593984962419</v>
      </c>
      <c r="F3135" s="515">
        <v>1.1299999999999999</v>
      </c>
      <c r="G3135" s="429">
        <v>1.33</v>
      </c>
      <c r="H3135" s="429">
        <v>-491</v>
      </c>
      <c r="O3135" s="584">
        <f t="shared" si="16"/>
        <v>-98.200000000000088</v>
      </c>
    </row>
    <row r="3136" spans="1:15" s="429" customFormat="1">
      <c r="A3136" s="509"/>
      <c r="B3136" s="510"/>
      <c r="C3136" s="515" t="s">
        <v>1091</v>
      </c>
      <c r="D3136" s="510"/>
      <c r="E3136" s="513">
        <f t="shared" si="15"/>
        <v>0.15037593984962419</v>
      </c>
      <c r="F3136" s="515">
        <v>1.1299999999999999</v>
      </c>
      <c r="G3136" s="429">
        <v>1.33</v>
      </c>
      <c r="O3136" s="584">
        <f t="shared" si="16"/>
        <v>0</v>
      </c>
    </row>
    <row r="3137" spans="1:15" s="429" customFormat="1">
      <c r="A3137" s="509"/>
      <c r="B3137" s="510"/>
      <c r="C3137" s="515" t="s">
        <v>1090</v>
      </c>
      <c r="D3137" s="510"/>
      <c r="E3137" s="513">
        <f t="shared" si="15"/>
        <v>0.15037593984962419</v>
      </c>
      <c r="F3137" s="515">
        <v>1.1299999999999999</v>
      </c>
      <c r="G3137" s="429">
        <v>1.33</v>
      </c>
      <c r="O3137" s="584">
        <f t="shared" si="16"/>
        <v>0</v>
      </c>
    </row>
    <row r="3138" spans="1:15" s="429" customFormat="1" ht="15.75" thickBot="1">
      <c r="A3138" s="509"/>
      <c r="B3138" s="510"/>
      <c r="C3138" s="515"/>
      <c r="D3138" s="510"/>
      <c r="E3138" s="513" t="e">
        <f t="shared" si="15"/>
        <v>#DIV/0!</v>
      </c>
      <c r="F3138" s="514"/>
      <c r="O3138" s="584"/>
    </row>
    <row r="3140" spans="1:15" ht="15.75" thickBot="1"/>
    <row r="3141" spans="1:15" s="429" customFormat="1">
      <c r="A3141" s="3572"/>
      <c r="B3141" s="3636"/>
      <c r="C3141" s="3636"/>
      <c r="D3141" s="3636"/>
      <c r="E3141" s="3636"/>
      <c r="F3141" s="3559"/>
      <c r="O3141" s="584"/>
    </row>
    <row r="3142" spans="1:15" s="429" customFormat="1" ht="15.75" thickBot="1">
      <c r="A3142" s="3978"/>
      <c r="B3142" s="3929"/>
      <c r="C3142" s="3929"/>
      <c r="D3142" s="3929"/>
      <c r="E3142" s="3929"/>
      <c r="F3142" s="3973"/>
      <c r="O3142" s="584"/>
    </row>
    <row r="3143" spans="1:15" s="429" customFormat="1">
      <c r="A3143" s="448" t="s">
        <v>1869</v>
      </c>
      <c r="B3143" s="449" t="s">
        <v>1171</v>
      </c>
      <c r="C3143" s="450" t="s">
        <v>623</v>
      </c>
      <c r="D3143" s="451"/>
      <c r="E3143" s="452">
        <f>(G3143-F3143)/G3143</f>
        <v>0.15019762845849799</v>
      </c>
      <c r="F3143" s="453">
        <v>2.15</v>
      </c>
      <c r="G3143" s="429">
        <v>2.5299999999999998</v>
      </c>
      <c r="H3143" s="429">
        <v>0</v>
      </c>
      <c r="O3143" s="584"/>
    </row>
    <row r="3144" spans="1:15" s="429" customFormat="1">
      <c r="O3144" s="584"/>
    </row>
    <row r="3145" spans="1:15" s="429" customFormat="1" ht="15.75" thickBot="1">
      <c r="O3145" s="584"/>
    </row>
    <row r="3146" spans="1:15" s="429" customFormat="1">
      <c r="A3146" s="3572"/>
      <c r="B3146" s="3636"/>
      <c r="C3146" s="3636"/>
      <c r="D3146" s="3636"/>
      <c r="E3146" s="3636"/>
      <c r="F3146" s="3559"/>
      <c r="O3146" s="584"/>
    </row>
    <row r="3147" spans="1:15" s="429" customFormat="1" ht="15.75" thickBot="1">
      <c r="A3147" s="3978"/>
      <c r="B3147" s="3979"/>
      <c r="C3147" s="3979"/>
      <c r="D3147" s="3979"/>
      <c r="E3147" s="3979"/>
      <c r="F3147" s="3980"/>
      <c r="O3147" s="584"/>
    </row>
    <row r="3148" spans="1:15" s="429" customFormat="1" ht="16.5" thickTop="1" thickBot="1">
      <c r="A3148" s="519" t="s">
        <v>1879</v>
      </c>
      <c r="B3148" s="485" t="s">
        <v>106</v>
      </c>
      <c r="C3148" s="520" t="s">
        <v>1880</v>
      </c>
      <c r="D3148" s="388"/>
      <c r="E3148" s="452">
        <f>(G3148-F3148)/G3148</f>
        <v>0.15131578947368421</v>
      </c>
      <c r="F3148" s="521">
        <v>1.29</v>
      </c>
      <c r="G3148" s="429">
        <v>1.52</v>
      </c>
      <c r="O3148" s="584"/>
    </row>
    <row r="3149" spans="1:15" s="429" customFormat="1" ht="15.75" thickBot="1">
      <c r="A3149" s="519"/>
      <c r="B3149" s="522"/>
      <c r="C3149" s="520" t="s">
        <v>1881</v>
      </c>
      <c r="D3149" s="388"/>
      <c r="E3149" s="452">
        <f>(G3149-F3149)/G3149</f>
        <v>0.15131578947368421</v>
      </c>
      <c r="F3149" s="521">
        <v>1.29</v>
      </c>
      <c r="G3149" s="429">
        <v>1.52</v>
      </c>
      <c r="O3149" s="584"/>
    </row>
    <row r="3150" spans="1:15" s="429" customFormat="1" ht="15.75" thickBot="1">
      <c r="A3150" s="519"/>
      <c r="B3150" s="522"/>
      <c r="C3150" s="520" t="s">
        <v>730</v>
      </c>
      <c r="D3150" s="388"/>
      <c r="E3150" s="452">
        <f>(G3150-F3150)/G3150</f>
        <v>0.15584415584415584</v>
      </c>
      <c r="F3150" s="521">
        <v>0.65</v>
      </c>
      <c r="G3150" s="429">
        <v>0.77</v>
      </c>
      <c r="O3150" s="584"/>
    </row>
    <row r="3151" spans="1:15" s="429" customFormat="1" ht="15.75" thickBot="1">
      <c r="A3151" s="519"/>
      <c r="B3151" s="522"/>
      <c r="C3151" s="520" t="s">
        <v>53</v>
      </c>
      <c r="D3151" s="388"/>
      <c r="E3151" s="452">
        <f>(G3151-F3151)/G3151</f>
        <v>0.14606741573033707</v>
      </c>
      <c r="F3151" s="521">
        <v>0.76</v>
      </c>
      <c r="G3151" s="429">
        <v>0.89</v>
      </c>
      <c r="O3151" s="584"/>
    </row>
    <row r="3152" spans="1:15" s="429" customFormat="1">
      <c r="A3152" s="519"/>
      <c r="B3152" s="522"/>
      <c r="C3152" s="520" t="s">
        <v>858</v>
      </c>
      <c r="D3152" s="388"/>
      <c r="E3152" s="452">
        <f>(G3152-F3152)/G3152</f>
        <v>0.14606741573033707</v>
      </c>
      <c r="F3152" s="521">
        <v>0.76</v>
      </c>
      <c r="G3152" s="429">
        <v>0.89</v>
      </c>
      <c r="O3152" s="584"/>
    </row>
    <row r="3153" spans="1:15" s="429" customFormat="1" ht="15.75" thickBot="1">
      <c r="O3153" s="584"/>
    </row>
    <row r="3154" spans="1:15" s="429" customFormat="1">
      <c r="A3154" s="3572"/>
      <c r="B3154" s="3636"/>
      <c r="C3154" s="3636"/>
      <c r="D3154" s="3636"/>
      <c r="E3154" s="3636"/>
      <c r="F3154" s="3559"/>
      <c r="O3154" s="584"/>
    </row>
    <row r="3155" spans="1:15" s="429" customFormat="1" ht="15.75" thickBot="1">
      <c r="A3155" s="3978"/>
      <c r="B3155" s="3979"/>
      <c r="C3155" s="3979"/>
      <c r="D3155" s="3979"/>
      <c r="E3155" s="3979"/>
      <c r="F3155" s="3980"/>
      <c r="O3155" s="584"/>
    </row>
    <row r="3156" spans="1:15" s="429" customFormat="1" ht="16.5" thickTop="1" thickBot="1">
      <c r="A3156" s="519" t="s">
        <v>1882</v>
      </c>
      <c r="B3156" s="485" t="s">
        <v>106</v>
      </c>
      <c r="C3156" s="520" t="s">
        <v>1496</v>
      </c>
      <c r="D3156" s="388"/>
      <c r="E3156" s="452">
        <f t="shared" ref="E3156:E3166" si="17">(G3156-F3156)/G3156</f>
        <v>0.10106382978723402</v>
      </c>
      <c r="F3156" s="521">
        <v>3.38</v>
      </c>
      <c r="G3156" s="429">
        <v>3.76</v>
      </c>
      <c r="O3156" s="584"/>
    </row>
    <row r="3157" spans="1:15" s="429" customFormat="1" ht="15.75" thickBot="1">
      <c r="A3157" s="519"/>
      <c r="B3157" s="522"/>
      <c r="C3157" s="520" t="s">
        <v>238</v>
      </c>
      <c r="D3157" s="388"/>
      <c r="E3157" s="452">
        <f t="shared" si="17"/>
        <v>9.9881093935790713E-2</v>
      </c>
      <c r="F3157" s="521">
        <v>7.57</v>
      </c>
      <c r="G3157" s="429">
        <v>8.41</v>
      </c>
      <c r="O3157" s="584"/>
    </row>
    <row r="3158" spans="1:15" s="429" customFormat="1" ht="15.75" thickBot="1">
      <c r="A3158" s="519"/>
      <c r="B3158" s="522"/>
      <c r="C3158" s="520" t="s">
        <v>71</v>
      </c>
      <c r="D3158" s="388"/>
      <c r="E3158" s="452">
        <f t="shared" si="17"/>
        <v>0.10009398496240612</v>
      </c>
      <c r="F3158" s="521">
        <v>19.149999999999999</v>
      </c>
      <c r="G3158" s="429">
        <v>21.28</v>
      </c>
      <c r="O3158" s="584"/>
    </row>
    <row r="3159" spans="1:15" s="429" customFormat="1" ht="15.75" thickBot="1">
      <c r="A3159" s="519"/>
      <c r="B3159" s="522"/>
      <c r="C3159" s="520" t="s">
        <v>1497</v>
      </c>
      <c r="D3159" s="388"/>
      <c r="E3159" s="452">
        <f t="shared" si="17"/>
        <v>0.10106382978723402</v>
      </c>
      <c r="F3159" s="521">
        <v>3.38</v>
      </c>
      <c r="G3159" s="429">
        <v>3.76</v>
      </c>
      <c r="O3159" s="584"/>
    </row>
    <row r="3160" spans="1:15" s="429" customFormat="1" ht="15.75" thickBot="1">
      <c r="A3160" s="519"/>
      <c r="B3160" s="522"/>
      <c r="C3160" s="520" t="s">
        <v>239</v>
      </c>
      <c r="D3160" s="388"/>
      <c r="E3160" s="452">
        <f t="shared" si="17"/>
        <v>0.10011918951132309</v>
      </c>
      <c r="F3160" s="521">
        <v>7.55</v>
      </c>
      <c r="G3160" s="429">
        <v>8.39</v>
      </c>
      <c r="O3160" s="584"/>
    </row>
    <row r="3161" spans="1:15" s="429" customFormat="1" ht="15.75" thickBot="1">
      <c r="A3161" s="519"/>
      <c r="B3161" s="522"/>
      <c r="C3161" s="520" t="s">
        <v>74</v>
      </c>
      <c r="D3161" s="520"/>
      <c r="E3161" s="452">
        <f t="shared" si="17"/>
        <v>0.10009398496240612</v>
      </c>
      <c r="F3161" s="521">
        <v>19.149999999999999</v>
      </c>
      <c r="G3161" s="429">
        <v>21.28</v>
      </c>
      <c r="O3161" s="584"/>
    </row>
    <row r="3162" spans="1:15" s="429" customFormat="1" ht="15.75" thickBot="1">
      <c r="A3162" s="519"/>
      <c r="B3162" s="522"/>
      <c r="C3162" s="520" t="s">
        <v>1722</v>
      </c>
      <c r="D3162" s="520"/>
      <c r="E3162" s="452">
        <f t="shared" si="17"/>
        <v>0.10106382978723402</v>
      </c>
      <c r="F3162" s="521">
        <v>3.38</v>
      </c>
      <c r="G3162" s="429">
        <v>3.76</v>
      </c>
      <c r="O3162" s="584"/>
    </row>
    <row r="3163" spans="1:15" s="429" customFormat="1" ht="15.75" thickBot="1">
      <c r="A3163" s="519"/>
      <c r="B3163" s="522"/>
      <c r="C3163" s="520" t="s">
        <v>868</v>
      </c>
      <c r="D3163" s="520"/>
      <c r="E3163" s="452">
        <f t="shared" si="17"/>
        <v>0.10011918951132309</v>
      </c>
      <c r="F3163" s="523">
        <v>7.55</v>
      </c>
      <c r="G3163" s="429">
        <v>8.39</v>
      </c>
      <c r="O3163" s="584"/>
    </row>
    <row r="3164" spans="1:15" s="429" customFormat="1">
      <c r="A3164" s="524"/>
      <c r="B3164" s="525"/>
      <c r="C3164" s="525" t="s">
        <v>1485</v>
      </c>
      <c r="D3164" s="525"/>
      <c r="E3164" s="526">
        <f t="shared" si="17"/>
        <v>0.10009398496240612</v>
      </c>
      <c r="F3164" s="525">
        <v>19.149999999999999</v>
      </c>
      <c r="G3164" s="429">
        <v>21.28</v>
      </c>
      <c r="O3164" s="584"/>
    </row>
    <row r="3165" spans="1:15" s="429" customFormat="1">
      <c r="A3165" s="519"/>
      <c r="B3165" s="522"/>
      <c r="C3165" s="522" t="s">
        <v>1499</v>
      </c>
      <c r="D3165" s="522"/>
      <c r="E3165" s="527">
        <f t="shared" si="17"/>
        <v>9.9656357388316158E-2</v>
      </c>
      <c r="F3165" s="522">
        <v>7.86</v>
      </c>
      <c r="G3165" s="429">
        <v>8.73</v>
      </c>
      <c r="O3165" s="584"/>
    </row>
    <row r="3166" spans="1:15" s="429" customFormat="1">
      <c r="A3166" s="522"/>
      <c r="B3166" s="522"/>
      <c r="C3166" s="522" t="s">
        <v>1883</v>
      </c>
      <c r="D3166" s="522"/>
      <c r="E3166" s="527">
        <f t="shared" si="17"/>
        <v>0.10009398496240612</v>
      </c>
      <c r="F3166" s="522">
        <v>19.149999999999999</v>
      </c>
      <c r="G3166" s="528">
        <v>21.28</v>
      </c>
      <c r="O3166" s="584"/>
    </row>
    <row r="3167" spans="1:15" s="429" customFormat="1">
      <c r="O3167" s="584"/>
    </row>
    <row r="3168" spans="1:15" s="429" customFormat="1" ht="15.75" thickBot="1">
      <c r="O3168" s="584"/>
    </row>
    <row r="3169" spans="1:15" s="429" customFormat="1">
      <c r="A3169" s="3572"/>
      <c r="B3169" s="3636"/>
      <c r="C3169" s="3636"/>
      <c r="D3169" s="3636"/>
      <c r="E3169" s="3636"/>
      <c r="F3169" s="3559"/>
      <c r="O3169" s="584"/>
    </row>
    <row r="3170" spans="1:15" s="429" customFormat="1" ht="15.75" thickBot="1">
      <c r="A3170" s="3978"/>
      <c r="B3170" s="3979"/>
      <c r="C3170" s="3979"/>
      <c r="D3170" s="3929"/>
      <c r="E3170" s="3979"/>
      <c r="F3170" s="3973"/>
      <c r="O3170" s="584"/>
    </row>
    <row r="3171" spans="1:15" s="429" customFormat="1" ht="16.5" thickTop="1" thickBot="1">
      <c r="A3171" s="524" t="s">
        <v>1884</v>
      </c>
      <c r="B3171" s="485" t="s">
        <v>114</v>
      </c>
      <c r="C3171" s="529" t="s">
        <v>1555</v>
      </c>
      <c r="D3171" s="530"/>
      <c r="E3171" s="531">
        <f>(G3171-F3171)/G3171</f>
        <v>0.14988814317673382</v>
      </c>
      <c r="F3171" s="532">
        <v>19</v>
      </c>
      <c r="G3171" s="533">
        <v>22.35</v>
      </c>
      <c r="O3171" s="584"/>
    </row>
    <row r="3172" spans="1:15" s="429" customFormat="1" ht="15.75" thickBot="1">
      <c r="A3172" s="534"/>
      <c r="B3172" s="522"/>
      <c r="C3172" s="529" t="s">
        <v>1810</v>
      </c>
      <c r="D3172" s="530"/>
      <c r="E3172" s="531">
        <f>(G3172-F3172)/G3172</f>
        <v>0.14988814317673382</v>
      </c>
      <c r="F3172" s="532">
        <v>19</v>
      </c>
      <c r="G3172" s="533">
        <v>22.35</v>
      </c>
      <c r="O3172" s="584"/>
    </row>
    <row r="3173" spans="1:15" s="429" customFormat="1" ht="15.75" thickBot="1">
      <c r="A3173" s="534"/>
      <c r="B3173" s="522"/>
      <c r="C3173" s="529" t="s">
        <v>1763</v>
      </c>
      <c r="D3173" s="522"/>
      <c r="E3173" s="531">
        <f>(G3173-F3173)/G3173</f>
        <v>0.14988814317673382</v>
      </c>
      <c r="F3173" s="494">
        <v>19</v>
      </c>
      <c r="G3173" s="533">
        <v>22.35</v>
      </c>
      <c r="O3173" s="584"/>
    </row>
    <row r="3174" spans="1:15" s="429" customFormat="1" ht="15.75" thickBot="1">
      <c r="A3174" s="534"/>
      <c r="B3174" s="522"/>
      <c r="C3174" s="529" t="s">
        <v>1556</v>
      </c>
      <c r="D3174" s="522"/>
      <c r="E3174" s="531">
        <f>(G3174-F3174)/G3174</f>
        <v>0.14988814317673382</v>
      </c>
      <c r="F3174" s="494">
        <v>19</v>
      </c>
      <c r="G3174" s="533">
        <v>22.35</v>
      </c>
      <c r="O3174" s="584"/>
    </row>
    <row r="3175" spans="1:15" s="429" customFormat="1">
      <c r="A3175" s="534"/>
      <c r="B3175" s="522"/>
      <c r="C3175" s="535"/>
      <c r="D3175" s="522"/>
      <c r="E3175" s="531"/>
      <c r="F3175" s="497"/>
      <c r="O3175" s="584"/>
    </row>
    <row r="3176" spans="1:15" s="429" customFormat="1">
      <c r="A3176" s="536"/>
      <c r="B3176" s="522"/>
      <c r="C3176" s="535"/>
      <c r="D3176" s="522"/>
      <c r="E3176" s="531"/>
      <c r="F3176" s="497"/>
      <c r="O3176" s="584"/>
    </row>
    <row r="3177" spans="1:15" ht="15.75" thickBot="1"/>
    <row r="3178" spans="1:15" s="429" customFormat="1">
      <c r="A3178" s="3572"/>
      <c r="B3178" s="3636"/>
      <c r="C3178" s="3636"/>
      <c r="D3178" s="3636"/>
      <c r="E3178" s="3636"/>
      <c r="F3178" s="3559"/>
      <c r="O3178" s="584"/>
    </row>
    <row r="3179" spans="1:15" s="429" customFormat="1" ht="15.75" thickBot="1">
      <c r="A3179" s="3978"/>
      <c r="B3179" s="3979"/>
      <c r="C3179" s="3979"/>
      <c r="D3179" s="3979"/>
      <c r="E3179" s="3979"/>
      <c r="F3179" s="3980"/>
      <c r="O3179" s="584"/>
    </row>
    <row r="3180" spans="1:15" s="429" customFormat="1" ht="16.5" thickTop="1" thickBot="1">
      <c r="A3180" s="519" t="s">
        <v>1895</v>
      </c>
      <c r="B3180" s="485" t="s">
        <v>106</v>
      </c>
      <c r="C3180" s="520" t="s">
        <v>920</v>
      </c>
      <c r="D3180" s="388"/>
      <c r="E3180" s="452">
        <f>(G3180-F3180)/G3180</f>
        <v>0.14864864864864863</v>
      </c>
      <c r="F3180" s="521">
        <v>0.63</v>
      </c>
      <c r="G3180" s="429">
        <v>0.74</v>
      </c>
      <c r="O3180" s="584"/>
    </row>
    <row r="3181" spans="1:15" s="429" customFormat="1">
      <c r="A3181" s="522"/>
      <c r="B3181" s="522"/>
      <c r="C3181" s="520" t="s">
        <v>1896</v>
      </c>
      <c r="D3181" s="388"/>
      <c r="E3181" s="452">
        <f>(G3181-F3181)/G3181</f>
        <v>0.14864864864864863</v>
      </c>
      <c r="F3181" s="521">
        <v>0.63</v>
      </c>
      <c r="G3181" s="429">
        <v>0.74</v>
      </c>
      <c r="O3181" s="584"/>
    </row>
    <row r="3183" spans="1:15" s="429" customFormat="1">
      <c r="A3183" s="3949"/>
      <c r="B3183" s="3949"/>
      <c r="C3183" s="3949"/>
      <c r="D3183" s="3949"/>
      <c r="E3183" s="3949"/>
      <c r="F3183" s="3949"/>
      <c r="O3183" s="584"/>
    </row>
    <row r="3184" spans="1:15" s="429" customFormat="1">
      <c r="A3184" s="3949"/>
      <c r="B3184" s="3949"/>
      <c r="C3184" s="3949"/>
      <c r="D3184" s="3949"/>
      <c r="E3184" s="3949"/>
      <c r="F3184" s="3949"/>
      <c r="O3184" s="584"/>
    </row>
    <row r="3185" spans="1:15" s="429" customFormat="1" ht="15.75" thickBot="1">
      <c r="A3185" s="553" t="s">
        <v>1901</v>
      </c>
      <c r="B3185" s="431" t="s">
        <v>1171</v>
      </c>
      <c r="C3185" s="554" t="s">
        <v>1628</v>
      </c>
      <c r="D3185" s="433"/>
      <c r="E3185" s="434">
        <f t="shared" ref="E3185:E3196" si="18">(G3185-F3185)/G3185</f>
        <v>0.24657534246575336</v>
      </c>
      <c r="F3185" s="554">
        <v>0.55000000000000004</v>
      </c>
      <c r="G3185" s="429">
        <v>0.73</v>
      </c>
      <c r="O3185" s="584"/>
    </row>
    <row r="3186" spans="1:15" s="429" customFormat="1" ht="15.75" thickBot="1">
      <c r="A3186" s="553"/>
      <c r="B3186" s="431"/>
      <c r="C3186" s="554" t="s">
        <v>1629</v>
      </c>
      <c r="D3186" s="431"/>
      <c r="E3186" s="434">
        <f t="shared" si="18"/>
        <v>0.24657534246575336</v>
      </c>
      <c r="F3186" s="554">
        <v>0.55000000000000004</v>
      </c>
      <c r="G3186" s="429">
        <v>0.73</v>
      </c>
      <c r="O3186" s="584"/>
    </row>
    <row r="3187" spans="1:15" s="429" customFormat="1" ht="15.75" thickBot="1">
      <c r="A3187" s="553"/>
      <c r="B3187" s="431"/>
      <c r="C3187" s="554" t="s">
        <v>1630</v>
      </c>
      <c r="D3187" s="433"/>
      <c r="E3187" s="434">
        <f t="shared" si="18"/>
        <v>0.24657534246575336</v>
      </c>
      <c r="F3187" s="554">
        <v>0.55000000000000004</v>
      </c>
      <c r="G3187" s="429">
        <v>0.73</v>
      </c>
      <c r="O3187" s="584"/>
    </row>
    <row r="3188" spans="1:15" s="429" customFormat="1" ht="15.75" thickBot="1">
      <c r="A3188" s="553"/>
      <c r="B3188" s="431"/>
      <c r="C3188" s="554" t="s">
        <v>1635</v>
      </c>
      <c r="D3188" s="433"/>
      <c r="E3188" s="434">
        <f t="shared" si="18"/>
        <v>0.24489795918367346</v>
      </c>
      <c r="F3188" s="554">
        <v>0.37</v>
      </c>
      <c r="G3188" s="528">
        <v>0.49</v>
      </c>
      <c r="O3188" s="584"/>
    </row>
    <row r="3189" spans="1:15" s="429" customFormat="1" ht="15.75" thickBot="1">
      <c r="A3189" s="553"/>
      <c r="B3189" s="431"/>
      <c r="C3189" s="554" t="s">
        <v>1633</v>
      </c>
      <c r="D3189" s="433"/>
      <c r="E3189" s="434">
        <f t="shared" si="18"/>
        <v>0.25000000000000006</v>
      </c>
      <c r="F3189" s="554">
        <v>1.1399999999999999</v>
      </c>
      <c r="G3189" s="528">
        <v>1.52</v>
      </c>
      <c r="O3189" s="584"/>
    </row>
    <row r="3190" spans="1:15" s="429" customFormat="1" ht="15.75" thickBot="1">
      <c r="A3190" s="553"/>
      <c r="B3190" s="431"/>
      <c r="C3190" s="554" t="s">
        <v>1634</v>
      </c>
      <c r="D3190" s="433"/>
      <c r="E3190" s="434">
        <f t="shared" si="18"/>
        <v>0.25000000000000006</v>
      </c>
      <c r="F3190" s="554">
        <v>1.1399999999999999</v>
      </c>
      <c r="G3190" s="528">
        <v>1.52</v>
      </c>
      <c r="O3190" s="584"/>
    </row>
    <row r="3191" spans="1:15" s="429" customFormat="1" ht="15.75" thickBot="1">
      <c r="A3191" s="553"/>
      <c r="B3191" s="431"/>
      <c r="C3191" s="554" t="s">
        <v>1576</v>
      </c>
      <c r="D3191" s="433"/>
      <c r="E3191" s="434">
        <f t="shared" si="18"/>
        <v>0.25000000000000006</v>
      </c>
      <c r="F3191" s="554">
        <v>1.1399999999999999</v>
      </c>
      <c r="G3191" s="528">
        <v>1.52</v>
      </c>
      <c r="O3191" s="584"/>
    </row>
    <row r="3192" spans="1:15" s="429" customFormat="1" ht="15.75" thickBot="1">
      <c r="A3192" s="553"/>
      <c r="B3192" s="431"/>
      <c r="C3192" s="554" t="s">
        <v>1577</v>
      </c>
      <c r="D3192" s="431"/>
      <c r="E3192" s="434">
        <f t="shared" si="18"/>
        <v>0.25000000000000006</v>
      </c>
      <c r="F3192" s="554">
        <v>1.1399999999999999</v>
      </c>
      <c r="G3192" s="528">
        <v>1.52</v>
      </c>
      <c r="O3192" s="584"/>
    </row>
    <row r="3193" spans="1:15" s="429" customFormat="1" ht="15.75" thickBot="1">
      <c r="A3193" s="553"/>
      <c r="B3193" s="431"/>
      <c r="C3193" s="554" t="s">
        <v>1639</v>
      </c>
      <c r="D3193" s="431"/>
      <c r="E3193" s="434">
        <f t="shared" si="18"/>
        <v>0.25000000000000006</v>
      </c>
      <c r="F3193" s="554">
        <v>1.2</v>
      </c>
      <c r="G3193" s="528">
        <v>1.6</v>
      </c>
      <c r="O3193" s="584"/>
    </row>
    <row r="3194" spans="1:15" s="429" customFormat="1" ht="15.75" thickBot="1">
      <c r="A3194" s="553"/>
      <c r="B3194" s="431"/>
      <c r="C3194" s="554" t="s">
        <v>1640</v>
      </c>
      <c r="D3194" s="431"/>
      <c r="E3194" s="434">
        <f t="shared" si="18"/>
        <v>0.25000000000000006</v>
      </c>
      <c r="F3194" s="554">
        <v>1.2</v>
      </c>
      <c r="G3194" s="528">
        <v>1.6</v>
      </c>
      <c r="O3194" s="584"/>
    </row>
    <row r="3195" spans="1:15" s="429" customFormat="1" ht="15.75" thickBot="1">
      <c r="A3195" s="553"/>
      <c r="B3195" s="431"/>
      <c r="C3195" s="554" t="s">
        <v>1581</v>
      </c>
      <c r="D3195" s="431"/>
      <c r="E3195" s="434">
        <f t="shared" si="18"/>
        <v>0.25000000000000006</v>
      </c>
      <c r="F3195" s="554">
        <v>1.2</v>
      </c>
      <c r="G3195" s="528">
        <v>1.6</v>
      </c>
      <c r="O3195" s="584"/>
    </row>
    <row r="3196" spans="1:15" s="429" customFormat="1" ht="15.75" thickBot="1">
      <c r="A3196" s="553"/>
      <c r="B3196" s="431"/>
      <c r="C3196" s="555"/>
      <c r="D3196" s="431"/>
      <c r="E3196" s="434" t="e">
        <f t="shared" si="18"/>
        <v>#DIV/0!</v>
      </c>
      <c r="F3196" s="514"/>
      <c r="O3196" s="584"/>
    </row>
    <row r="3197" spans="1:15" s="429" customFormat="1">
      <c r="O3197" s="584"/>
    </row>
    <row r="3198" spans="1:15" s="429" customFormat="1" ht="15.75" thickBot="1">
      <c r="O3198" s="584"/>
    </row>
    <row r="3199" spans="1:15" s="429" customFormat="1">
      <c r="A3199" s="3572"/>
      <c r="B3199" s="3636"/>
      <c r="C3199" s="3636"/>
      <c r="D3199" s="3636"/>
      <c r="E3199" s="3636"/>
      <c r="F3199" s="3559"/>
      <c r="O3199" s="584"/>
    </row>
    <row r="3200" spans="1:15" s="429" customFormat="1" ht="15.75" thickBot="1">
      <c r="A3200" s="3978"/>
      <c r="B3200" s="3972"/>
      <c r="C3200" s="3972"/>
      <c r="D3200" s="3929"/>
      <c r="E3200" s="3972"/>
      <c r="F3200" s="3973"/>
      <c r="O3200" s="584"/>
    </row>
    <row r="3201" spans="1:15" s="429" customFormat="1" ht="16.5" thickTop="1" thickBot="1">
      <c r="A3201" s="524" t="s">
        <v>1902</v>
      </c>
      <c r="B3201" s="485" t="s">
        <v>114</v>
      </c>
      <c r="C3201" s="529" t="s">
        <v>1660</v>
      </c>
      <c r="D3201" s="487"/>
      <c r="E3201" s="488">
        <f>(G3201-F3201)/G3201</f>
        <v>4.0511727078891335E-2</v>
      </c>
      <c r="F3201" s="556">
        <v>4.5</v>
      </c>
      <c r="G3201" s="557">
        <v>4.6900000000000004</v>
      </c>
      <c r="H3201" s="429">
        <v>5.63</v>
      </c>
      <c r="I3201" s="429" t="s">
        <v>1903</v>
      </c>
      <c r="O3201" s="584"/>
    </row>
    <row r="3202" spans="1:15" s="429" customFormat="1" ht="15.75" thickBot="1">
      <c r="A3202" s="534"/>
      <c r="B3202" s="431"/>
      <c r="C3202" s="529" t="s">
        <v>1661</v>
      </c>
      <c r="D3202" s="487"/>
      <c r="E3202" s="488">
        <f>(G3202-F3202)/G3202</f>
        <v>4.0511727078891335E-2</v>
      </c>
      <c r="F3202" s="556">
        <v>4.5</v>
      </c>
      <c r="G3202" s="557">
        <v>4.6900000000000004</v>
      </c>
      <c r="H3202" s="429">
        <v>5.63</v>
      </c>
      <c r="I3202" s="429" t="s">
        <v>1903</v>
      </c>
      <c r="O3202" s="584"/>
    </row>
    <row r="3203" spans="1:15" s="429" customFormat="1" ht="15.75" thickBot="1">
      <c r="A3203" s="534"/>
      <c r="B3203" s="431"/>
      <c r="C3203" s="529" t="s">
        <v>1775</v>
      </c>
      <c r="D3203" s="431"/>
      <c r="E3203" s="488">
        <f>(G3203-F3203)/G3203</f>
        <v>4.0511727078891335E-2</v>
      </c>
      <c r="F3203" s="558">
        <v>4.5</v>
      </c>
      <c r="G3203" s="557">
        <v>4.6900000000000004</v>
      </c>
      <c r="H3203" s="429">
        <v>5.63</v>
      </c>
      <c r="I3203" s="429" t="s">
        <v>1903</v>
      </c>
      <c r="O3203" s="584"/>
    </row>
    <row r="3204" spans="1:15" s="429" customFormat="1" ht="15.75" thickBot="1">
      <c r="A3204" s="534"/>
      <c r="B3204" s="431"/>
      <c r="C3204" s="529" t="s">
        <v>1904</v>
      </c>
      <c r="D3204" s="431"/>
      <c r="E3204" s="488">
        <f>(G3204-F3204)/G3204</f>
        <v>0.15131578947368421</v>
      </c>
      <c r="F3204" s="558">
        <v>1.29</v>
      </c>
      <c r="G3204" s="557">
        <v>1.52</v>
      </c>
      <c r="O3204" s="584"/>
    </row>
    <row r="3205" spans="1:15" s="429" customFormat="1">
      <c r="A3205" s="534"/>
      <c r="B3205" s="431"/>
      <c r="C3205" s="559" t="s">
        <v>1905</v>
      </c>
      <c r="D3205" s="431"/>
      <c r="E3205" s="488">
        <f>(G3205-F3205)/G3205</f>
        <v>0.15131578947368421</v>
      </c>
      <c r="F3205" s="560">
        <v>1.29</v>
      </c>
      <c r="G3205" s="561">
        <v>1.52</v>
      </c>
      <c r="I3205" s="429">
        <v>1618</v>
      </c>
      <c r="J3205" s="429">
        <f>(G3205-F3205)*I3205</f>
        <v>372.14</v>
      </c>
      <c r="O3205" s="584"/>
    </row>
    <row r="3206" spans="1:15" s="429" customFormat="1">
      <c r="A3206" s="536"/>
      <c r="B3206" s="431"/>
      <c r="C3206" s="559"/>
      <c r="D3206" s="431"/>
      <c r="E3206" s="488"/>
      <c r="F3206" s="497"/>
      <c r="O3206" s="584"/>
    </row>
    <row r="3208" spans="1:15" ht="15.75" thickBot="1"/>
    <row r="3209" spans="1:15" s="429" customFormat="1">
      <c r="A3209" s="3572"/>
      <c r="B3209" s="3636"/>
      <c r="C3209" s="3636"/>
      <c r="D3209" s="3636"/>
      <c r="E3209" s="3636"/>
      <c r="F3209" s="3559"/>
      <c r="O3209" s="584"/>
    </row>
    <row r="3210" spans="1:15" s="429" customFormat="1" ht="15.75" thickBot="1">
      <c r="A3210" s="3743"/>
      <c r="B3210" s="3972"/>
      <c r="C3210" s="3972"/>
      <c r="D3210" s="3974"/>
      <c r="E3210" s="3972"/>
      <c r="F3210" s="3930"/>
      <c r="O3210" s="584"/>
    </row>
    <row r="3211" spans="1:15" s="429" customFormat="1" ht="17.25" thickTop="1" thickBot="1">
      <c r="A3211" s="605" t="s">
        <v>1921</v>
      </c>
      <c r="B3211" s="485" t="s">
        <v>114</v>
      </c>
      <c r="C3211" s="606" t="s">
        <v>150</v>
      </c>
      <c r="D3211" s="530"/>
      <c r="E3211" s="531">
        <f t="shared" ref="E3211:E3217" si="19">(G3211-F3211)/G3211</f>
        <v>0.25000000000000006</v>
      </c>
      <c r="F3211" s="607">
        <v>0.56999999999999995</v>
      </c>
      <c r="G3211" s="429">
        <v>0.76</v>
      </c>
      <c r="I3211" s="429">
        <v>5</v>
      </c>
      <c r="J3211" s="429">
        <f t="shared" ref="J3211:J3217" si="20">(G3211-F3211)*I3211</f>
        <v>0.95000000000000029</v>
      </c>
      <c r="L3211" s="429">
        <f>SUM(J3211:J3217)*0.5</f>
        <v>400.47</v>
      </c>
      <c r="O3211" s="584"/>
    </row>
    <row r="3212" spans="1:15" s="429" customFormat="1" ht="16.5" thickBot="1">
      <c r="A3212" s="534"/>
      <c r="B3212" s="522"/>
      <c r="C3212" s="608" t="s">
        <v>155</v>
      </c>
      <c r="D3212" s="530"/>
      <c r="E3212" s="531">
        <f t="shared" si="19"/>
        <v>0.26174496644295298</v>
      </c>
      <c r="F3212" s="607">
        <v>1.1000000000000001</v>
      </c>
      <c r="G3212" s="429">
        <v>1.49</v>
      </c>
      <c r="I3212" s="429">
        <v>22</v>
      </c>
      <c r="J3212" s="429">
        <f t="shared" si="20"/>
        <v>8.5799999999999983</v>
      </c>
      <c r="L3212" s="429">
        <f>L3211/1.8968</f>
        <v>211.12927035006328</v>
      </c>
      <c r="O3212" s="584"/>
    </row>
    <row r="3213" spans="1:15" s="429" customFormat="1" ht="16.5" thickBot="1">
      <c r="A3213" s="534"/>
      <c r="B3213" s="522"/>
      <c r="C3213" s="608" t="s">
        <v>641</v>
      </c>
      <c r="D3213" s="522"/>
      <c r="E3213" s="531">
        <f t="shared" si="19"/>
        <v>0.25000000000000006</v>
      </c>
      <c r="F3213" s="558">
        <v>1.02</v>
      </c>
      <c r="G3213" s="429">
        <v>1.36</v>
      </c>
      <c r="I3213" s="429">
        <v>589</v>
      </c>
      <c r="J3213" s="429">
        <f t="shared" si="20"/>
        <v>200.26000000000005</v>
      </c>
      <c r="O3213" s="584"/>
    </row>
    <row r="3214" spans="1:15" s="429" customFormat="1" ht="16.5" thickBot="1">
      <c r="A3214" s="534"/>
      <c r="B3214" s="522"/>
      <c r="C3214" s="608" t="s">
        <v>623</v>
      </c>
      <c r="D3214" s="522"/>
      <c r="E3214" s="531">
        <f t="shared" si="19"/>
        <v>0.25781250000000006</v>
      </c>
      <c r="F3214" s="558">
        <v>1.9</v>
      </c>
      <c r="G3214" s="429">
        <v>2.56</v>
      </c>
      <c r="I3214" s="429">
        <v>390</v>
      </c>
      <c r="J3214" s="429">
        <f t="shared" si="20"/>
        <v>257.40000000000003</v>
      </c>
      <c r="O3214" s="584"/>
    </row>
    <row r="3215" spans="1:15" s="429" customFormat="1" ht="16.5" thickBot="1">
      <c r="A3215" s="534"/>
      <c r="B3215" s="522"/>
      <c r="C3215" s="608" t="s">
        <v>1772</v>
      </c>
      <c r="D3215" s="522"/>
      <c r="E3215" s="531">
        <f t="shared" si="19"/>
        <v>0.25781250000000006</v>
      </c>
      <c r="F3215" s="560">
        <v>1.9</v>
      </c>
      <c r="G3215" s="429">
        <v>2.56</v>
      </c>
      <c r="I3215" s="429">
        <v>160</v>
      </c>
      <c r="J3215" s="429">
        <f t="shared" si="20"/>
        <v>105.60000000000002</v>
      </c>
      <c r="O3215" s="584"/>
    </row>
    <row r="3216" spans="1:15" s="429" customFormat="1" ht="16.5" thickBot="1">
      <c r="A3216" s="536"/>
      <c r="B3216" s="522"/>
      <c r="C3216" s="608" t="s">
        <v>154</v>
      </c>
      <c r="D3216" s="522"/>
      <c r="E3216" s="531">
        <f t="shared" si="19"/>
        <v>0.24761904761904763</v>
      </c>
      <c r="F3216" s="497">
        <v>0.79</v>
      </c>
      <c r="G3216" s="429">
        <v>1.05</v>
      </c>
      <c r="I3216" s="429">
        <v>168</v>
      </c>
      <c r="J3216" s="429">
        <f t="shared" si="20"/>
        <v>43.68</v>
      </c>
      <c r="O3216" s="584"/>
    </row>
    <row r="3217" spans="1:15" s="429" customFormat="1" ht="16.5" thickBot="1">
      <c r="A3217" s="536"/>
      <c r="B3217" s="522"/>
      <c r="C3217" s="608" t="s">
        <v>183</v>
      </c>
      <c r="D3217" s="522"/>
      <c r="E3217" s="531">
        <f t="shared" si="19"/>
        <v>0.24999999999999997</v>
      </c>
      <c r="F3217" s="497">
        <v>1.29</v>
      </c>
      <c r="G3217" s="429">
        <v>1.72</v>
      </c>
      <c r="I3217" s="429">
        <v>429</v>
      </c>
      <c r="J3217" s="429">
        <f t="shared" si="20"/>
        <v>184.46999999999997</v>
      </c>
      <c r="O3217" s="584"/>
    </row>
    <row r="3218" spans="1:15" s="429" customFormat="1">
      <c r="O3218" s="584"/>
    </row>
    <row r="3219" spans="1:15" s="429" customFormat="1">
      <c r="O3219" s="584"/>
    </row>
    <row r="3220" spans="1:15" s="429" customFormat="1">
      <c r="A3220" s="3975"/>
      <c r="B3220" s="3975"/>
      <c r="C3220" s="3975"/>
      <c r="D3220" s="3975"/>
      <c r="E3220" s="3975"/>
      <c r="F3220" s="3975"/>
      <c r="O3220" s="584"/>
    </row>
    <row r="3221" spans="1:15" s="429" customFormat="1">
      <c r="A3221" s="3975"/>
      <c r="B3221" s="3975"/>
      <c r="C3221" s="3975"/>
      <c r="D3221" s="3975"/>
      <c r="E3221" s="3975"/>
      <c r="F3221" s="3975"/>
      <c r="O3221" s="584"/>
    </row>
    <row r="3222" spans="1:15" s="429" customFormat="1" ht="15.75" thickBot="1">
      <c r="A3222" s="519" t="s">
        <v>1922</v>
      </c>
      <c r="B3222" s="522" t="s">
        <v>1171</v>
      </c>
      <c r="C3222" s="554" t="s">
        <v>1660</v>
      </c>
      <c r="D3222" s="520"/>
      <c r="E3222" s="527">
        <f t="shared" ref="E3222:E3233" si="21">(G3222-F3222)/G3222</f>
        <v>0.15000000000000005</v>
      </c>
      <c r="F3222" s="554">
        <v>4.42</v>
      </c>
      <c r="G3222" s="429">
        <v>5.2</v>
      </c>
      <c r="O3222" s="584"/>
    </row>
    <row r="3223" spans="1:15" s="429" customFormat="1" ht="15.75" thickBot="1">
      <c r="A3223" s="519"/>
      <c r="B3223" s="522"/>
      <c r="C3223" s="554" t="s">
        <v>1661</v>
      </c>
      <c r="D3223" s="522"/>
      <c r="E3223" s="527">
        <f t="shared" si="21"/>
        <v>0.15000000000000005</v>
      </c>
      <c r="F3223" s="554">
        <v>4.42</v>
      </c>
      <c r="G3223" s="429">
        <v>5.2</v>
      </c>
      <c r="O3223" s="584"/>
    </row>
    <row r="3224" spans="1:15" s="429" customFormat="1" ht="15.75" thickBot="1">
      <c r="A3224" s="519"/>
      <c r="B3224" s="522"/>
      <c r="C3224" s="554" t="s">
        <v>1923</v>
      </c>
      <c r="D3224" s="520"/>
      <c r="E3224" s="527">
        <f t="shared" si="21"/>
        <v>0.15000000000000005</v>
      </c>
      <c r="F3224" s="554">
        <v>4.42</v>
      </c>
      <c r="G3224" s="429">
        <v>5.2</v>
      </c>
      <c r="O3224" s="584"/>
    </row>
    <row r="3225" spans="1:15" s="429" customFormat="1" ht="15.75" thickBot="1">
      <c r="A3225" s="519"/>
      <c r="B3225" s="522"/>
      <c r="C3225" s="554" t="s">
        <v>1775</v>
      </c>
      <c r="D3225" s="520"/>
      <c r="E3225" s="527">
        <f t="shared" si="21"/>
        <v>0.15000000000000005</v>
      </c>
      <c r="F3225" s="554">
        <v>4.42</v>
      </c>
      <c r="G3225" s="429">
        <v>5.2</v>
      </c>
      <c r="O3225" s="584"/>
    </row>
    <row r="3226" spans="1:15" s="429" customFormat="1" ht="15.75" thickBot="1">
      <c r="A3226" s="519"/>
      <c r="B3226" s="522"/>
      <c r="C3226" s="554" t="s">
        <v>1521</v>
      </c>
      <c r="D3226" s="520"/>
      <c r="E3226" s="527">
        <f t="shared" si="21"/>
        <v>0.15000000000000005</v>
      </c>
      <c r="F3226" s="554">
        <v>4.42</v>
      </c>
      <c r="G3226" s="429">
        <v>5.2</v>
      </c>
      <c r="O3226" s="584"/>
    </row>
    <row r="3227" spans="1:15" s="429" customFormat="1" ht="15.75" thickBot="1">
      <c r="A3227" s="519"/>
      <c r="B3227" s="522"/>
      <c r="C3227" s="554"/>
      <c r="D3227" s="520"/>
      <c r="E3227" s="527" t="e">
        <f t="shared" si="21"/>
        <v>#DIV/0!</v>
      </c>
      <c r="F3227" s="554"/>
      <c r="G3227" s="528"/>
      <c r="O3227" s="584"/>
    </row>
    <row r="3228" spans="1:15" s="429" customFormat="1" ht="15.75" thickBot="1">
      <c r="A3228" s="519"/>
      <c r="B3228" s="522"/>
      <c r="C3228" s="554"/>
      <c r="D3228" s="520"/>
      <c r="E3228" s="527" t="e">
        <f t="shared" si="21"/>
        <v>#DIV/0!</v>
      </c>
      <c r="F3228" s="554"/>
      <c r="G3228" s="528"/>
      <c r="O3228" s="584"/>
    </row>
    <row r="3229" spans="1:15" s="429" customFormat="1" ht="15.75" thickBot="1">
      <c r="A3229" s="519"/>
      <c r="B3229" s="522"/>
      <c r="C3229" s="554"/>
      <c r="D3229" s="522"/>
      <c r="E3229" s="527" t="e">
        <f t="shared" si="21"/>
        <v>#DIV/0!</v>
      </c>
      <c r="F3229" s="554"/>
      <c r="G3229" s="528"/>
      <c r="O3229" s="584"/>
    </row>
    <row r="3230" spans="1:15" s="429" customFormat="1" ht="15.75" thickBot="1">
      <c r="A3230" s="519"/>
      <c r="B3230" s="522"/>
      <c r="C3230" s="554"/>
      <c r="D3230" s="522"/>
      <c r="E3230" s="527" t="e">
        <f t="shared" si="21"/>
        <v>#DIV/0!</v>
      </c>
      <c r="F3230" s="554"/>
      <c r="G3230" s="528"/>
      <c r="O3230" s="584"/>
    </row>
    <row r="3231" spans="1:15" s="429" customFormat="1" ht="15.75" thickBot="1">
      <c r="A3231" s="519"/>
      <c r="B3231" s="522"/>
      <c r="C3231" s="554"/>
      <c r="D3231" s="522"/>
      <c r="E3231" s="527" t="e">
        <f t="shared" si="21"/>
        <v>#DIV/0!</v>
      </c>
      <c r="F3231" s="554"/>
      <c r="G3231" s="528"/>
      <c r="O3231" s="584"/>
    </row>
    <row r="3232" spans="1:15" s="429" customFormat="1" ht="15.75" thickBot="1">
      <c r="A3232" s="519"/>
      <c r="B3232" s="522"/>
      <c r="C3232" s="554"/>
      <c r="D3232" s="522"/>
      <c r="E3232" s="527" t="e">
        <f t="shared" si="21"/>
        <v>#DIV/0!</v>
      </c>
      <c r="F3232" s="554"/>
      <c r="G3232" s="528"/>
      <c r="O3232" s="584"/>
    </row>
    <row r="3233" spans="1:15" s="429" customFormat="1" ht="15.75" thickBot="1">
      <c r="A3233" s="519"/>
      <c r="B3233" s="522"/>
      <c r="C3233" s="609"/>
      <c r="D3233" s="522"/>
      <c r="E3233" s="527" t="e">
        <f t="shared" si="21"/>
        <v>#DIV/0!</v>
      </c>
      <c r="F3233" s="514"/>
      <c r="O3233" s="584"/>
    </row>
    <row r="3234" spans="1:15" s="429" customFormat="1">
      <c r="O3234" s="584"/>
    </row>
    <row r="3235" spans="1:15" s="429" customFormat="1" ht="15.75" thickBot="1">
      <c r="O3235" s="584"/>
    </row>
    <row r="3236" spans="1:15" s="429" customFormat="1">
      <c r="A3236" s="3572"/>
      <c r="B3236" s="3636"/>
      <c r="C3236" s="3636"/>
      <c r="D3236" s="3636"/>
      <c r="E3236" s="3636"/>
      <c r="F3236" s="3559"/>
      <c r="O3236" s="584"/>
    </row>
    <row r="3237" spans="1:15" s="429" customFormat="1">
      <c r="A3237" s="3976"/>
      <c r="B3237" s="3975"/>
      <c r="C3237" s="3975"/>
      <c r="D3237" s="3975"/>
      <c r="E3237" s="3975"/>
      <c r="F3237" s="3977"/>
      <c r="O3237" s="584"/>
    </row>
    <row r="3238" spans="1:15" s="429" customFormat="1" ht="15.75" thickBot="1">
      <c r="A3238" s="610" t="s">
        <v>1924</v>
      </c>
      <c r="B3238" s="611" t="s">
        <v>1171</v>
      </c>
      <c r="C3238" s="612" t="s">
        <v>1563</v>
      </c>
      <c r="D3238" s="613"/>
      <c r="E3238" s="614">
        <f>(G3238-F3238)/G3238</f>
        <v>0.24561403508771926</v>
      </c>
      <c r="F3238" s="554">
        <v>0.86</v>
      </c>
      <c r="G3238" s="429">
        <v>1.1399999999999999</v>
      </c>
      <c r="H3238" s="429">
        <v>550</v>
      </c>
      <c r="O3238" s="584">
        <f>(G3238-F3238)*H3238</f>
        <v>153.99999999999994</v>
      </c>
    </row>
    <row r="3240" spans="1:15" ht="15.75" thickBot="1"/>
    <row r="3241" spans="1:15" s="429" customFormat="1">
      <c r="A3241" s="3572"/>
      <c r="B3241" s="3636"/>
      <c r="C3241" s="3636"/>
      <c r="D3241" s="3636"/>
      <c r="E3241" s="3636"/>
      <c r="F3241" s="3559"/>
      <c r="O3241" s="584"/>
    </row>
    <row r="3242" spans="1:15" s="429" customFormat="1" ht="15.75" thickBot="1">
      <c r="A3242" s="3743"/>
      <c r="B3242" s="3734"/>
      <c r="C3242" s="3734"/>
      <c r="D3242" s="3734"/>
      <c r="E3242" s="3734"/>
      <c r="F3242" s="3737"/>
      <c r="O3242" s="584"/>
    </row>
    <row r="3243" spans="1:15" s="429" customFormat="1" ht="16.5" thickTop="1" thickBot="1">
      <c r="A3243" s="624" t="s">
        <v>1926</v>
      </c>
      <c r="B3243" s="485" t="s">
        <v>106</v>
      </c>
      <c r="C3243" s="625" t="s">
        <v>1362</v>
      </c>
      <c r="D3243" s="388"/>
      <c r="E3243" s="452">
        <f>(G3243-F3243)/G3243</f>
        <v>0.15065913370998116</v>
      </c>
      <c r="F3243" s="521">
        <v>4.51</v>
      </c>
      <c r="G3243" s="429">
        <v>5.31</v>
      </c>
      <c r="O3243" s="584"/>
    </row>
    <row r="3244" spans="1:15" s="429" customFormat="1" ht="15.75" thickBot="1">
      <c r="A3244" s="624"/>
      <c r="B3244" s="626"/>
      <c r="C3244" s="625" t="s">
        <v>1376</v>
      </c>
      <c r="D3244" s="388"/>
      <c r="E3244" s="452">
        <f>(G3244-F3244)/G3244</f>
        <v>0.15065913370998116</v>
      </c>
      <c r="F3244" s="521">
        <v>4.51</v>
      </c>
      <c r="G3244" s="429">
        <v>5.31</v>
      </c>
      <c r="O3244" s="584"/>
    </row>
    <row r="3245" spans="1:15" s="429" customFormat="1" ht="15.75" thickBot="1">
      <c r="A3245" s="624"/>
      <c r="B3245" s="626"/>
      <c r="C3245" s="625" t="s">
        <v>1363</v>
      </c>
      <c r="D3245" s="388"/>
      <c r="E3245" s="452">
        <f>(G3245-F3245)/G3245</f>
        <v>0.15065913370998116</v>
      </c>
      <c r="F3245" s="521">
        <v>4.51</v>
      </c>
      <c r="G3245" s="429">
        <v>5.31</v>
      </c>
      <c r="O3245" s="584"/>
    </row>
    <row r="3246" spans="1:15" s="429" customFormat="1" ht="15.75" thickBot="1">
      <c r="A3246" s="624"/>
      <c r="B3246" s="626"/>
      <c r="C3246" s="625" t="s">
        <v>510</v>
      </c>
      <c r="D3246" s="388"/>
      <c r="E3246" s="452">
        <f>(G3246-F3246)/G3246</f>
        <v>0.15065913370998116</v>
      </c>
      <c r="F3246" s="521">
        <v>4.51</v>
      </c>
      <c r="G3246" s="429">
        <v>5.31</v>
      </c>
      <c r="O3246" s="584"/>
    </row>
    <row r="3247" spans="1:15" s="429" customFormat="1">
      <c r="A3247" s="624"/>
      <c r="B3247" s="626"/>
      <c r="C3247" s="625"/>
      <c r="D3247" s="388"/>
      <c r="E3247" s="452" t="e">
        <f>(G3247-F3247)/G3247</f>
        <v>#DIV/0!</v>
      </c>
      <c r="F3247" s="521"/>
      <c r="O3247" s="584"/>
    </row>
    <row r="3248" spans="1:15" s="429" customFormat="1">
      <c r="O3248" s="584"/>
    </row>
    <row r="3249" spans="1:15" s="429" customFormat="1" ht="15.75" thickBot="1">
      <c r="O3249" s="584"/>
    </row>
    <row r="3250" spans="1:15" s="429" customFormat="1">
      <c r="A3250" s="3572"/>
      <c r="B3250" s="3636"/>
      <c r="C3250" s="3636"/>
      <c r="D3250" s="3636"/>
      <c r="E3250" s="3636"/>
      <c r="F3250" s="3559"/>
      <c r="O3250" s="584"/>
    </row>
    <row r="3251" spans="1:15" s="429" customFormat="1" ht="15.75" thickBot="1">
      <c r="A3251" s="3743"/>
      <c r="B3251" s="3734"/>
      <c r="C3251" s="3734"/>
      <c r="D3251" s="3734"/>
      <c r="E3251" s="3734"/>
      <c r="F3251" s="3737"/>
      <c r="O3251" s="584"/>
    </row>
    <row r="3252" spans="1:15" s="429" customFormat="1" ht="16.5" thickTop="1" thickBot="1">
      <c r="A3252" s="624" t="s">
        <v>1927</v>
      </c>
      <c r="B3252" s="485" t="s">
        <v>106</v>
      </c>
      <c r="C3252" s="625" t="s">
        <v>1315</v>
      </c>
      <c r="D3252" s="388"/>
      <c r="E3252" s="452">
        <f t="shared" ref="E3252:E3272" si="22">(G3252-F3252)/G3252</f>
        <v>0.24647887323943654</v>
      </c>
      <c r="F3252" s="521">
        <v>1.07</v>
      </c>
      <c r="G3252" s="429">
        <v>1.42</v>
      </c>
      <c r="O3252" s="584"/>
    </row>
    <row r="3253" spans="1:15" s="429" customFormat="1" ht="15.75" thickBot="1">
      <c r="A3253" s="624"/>
      <c r="B3253" s="626"/>
      <c r="C3253" s="625" t="s">
        <v>1316</v>
      </c>
      <c r="D3253" s="388"/>
      <c r="E3253" s="452">
        <f t="shared" si="22"/>
        <v>0.24647887323943654</v>
      </c>
      <c r="F3253" s="521">
        <v>1.07</v>
      </c>
      <c r="G3253" s="429">
        <v>1.42</v>
      </c>
      <c r="O3253" s="584"/>
    </row>
    <row r="3254" spans="1:15" s="429" customFormat="1" ht="15.75" thickBot="1">
      <c r="A3254" s="624"/>
      <c r="B3254" s="626"/>
      <c r="C3254" s="625" t="s">
        <v>1317</v>
      </c>
      <c r="D3254" s="388"/>
      <c r="E3254" s="452">
        <f t="shared" si="22"/>
        <v>0.24647887323943654</v>
      </c>
      <c r="F3254" s="521">
        <v>1.07</v>
      </c>
      <c r="G3254" s="429">
        <v>1.42</v>
      </c>
      <c r="O3254" s="584"/>
    </row>
    <row r="3255" spans="1:15" s="429" customFormat="1" ht="15.75" thickBot="1">
      <c r="A3255" s="624"/>
      <c r="B3255" s="626"/>
      <c r="C3255" s="625" t="s">
        <v>1346</v>
      </c>
      <c r="D3255" s="388"/>
      <c r="E3255" s="452">
        <f t="shared" si="22"/>
        <v>0.25000000000000011</v>
      </c>
      <c r="F3255" s="521">
        <v>0.21</v>
      </c>
      <c r="G3255" s="429">
        <v>0.28000000000000003</v>
      </c>
      <c r="I3255" s="429">
        <v>429</v>
      </c>
      <c r="J3255" s="429">
        <f t="shared" ref="J3255:J3261" si="23">(G3255-F3255)*I3255</f>
        <v>30.030000000000015</v>
      </c>
      <c r="K3255" s="429">
        <f>SUM(J3255:J3261)*0.5</f>
        <v>287.65000000000009</v>
      </c>
      <c r="L3255" s="429">
        <f>K3255/1.894</f>
        <v>151.87434002111937</v>
      </c>
      <c r="O3255" s="584"/>
    </row>
    <row r="3256" spans="1:15" s="429" customFormat="1" ht="15.75" thickBot="1">
      <c r="A3256" s="624"/>
      <c r="B3256" s="626"/>
      <c r="C3256" s="625" t="s">
        <v>1347</v>
      </c>
      <c r="D3256" s="388"/>
      <c r="E3256" s="452">
        <f t="shared" si="22"/>
        <v>0.25000000000000011</v>
      </c>
      <c r="F3256" s="521">
        <v>0.21</v>
      </c>
      <c r="G3256" s="429">
        <v>0.28000000000000003</v>
      </c>
      <c r="I3256" s="429">
        <v>282</v>
      </c>
      <c r="J3256" s="429">
        <f t="shared" si="23"/>
        <v>19.740000000000009</v>
      </c>
      <c r="O3256" s="584"/>
    </row>
    <row r="3257" spans="1:15" s="429" customFormat="1" ht="15.75" thickBot="1">
      <c r="A3257" s="624"/>
      <c r="B3257" s="626"/>
      <c r="C3257" s="625" t="s">
        <v>1326</v>
      </c>
      <c r="D3257" s="388"/>
      <c r="E3257" s="452">
        <f t="shared" si="22"/>
        <v>0.25000000000000011</v>
      </c>
      <c r="F3257" s="521">
        <v>0.21</v>
      </c>
      <c r="G3257" s="429">
        <v>0.28000000000000003</v>
      </c>
      <c r="I3257" s="429">
        <v>327</v>
      </c>
      <c r="J3257" s="429">
        <f t="shared" si="23"/>
        <v>22.890000000000011</v>
      </c>
      <c r="O3257" s="584"/>
    </row>
    <row r="3258" spans="1:15" s="429" customFormat="1" ht="15.75" thickBot="1">
      <c r="A3258" s="624"/>
      <c r="B3258" s="626"/>
      <c r="C3258" s="625" t="s">
        <v>1327</v>
      </c>
      <c r="D3258" s="388"/>
      <c r="E3258" s="452">
        <f t="shared" si="22"/>
        <v>0.25000000000000011</v>
      </c>
      <c r="F3258" s="521">
        <v>0.21</v>
      </c>
      <c r="G3258" s="429">
        <v>0.28000000000000003</v>
      </c>
      <c r="I3258" s="429">
        <v>361</v>
      </c>
      <c r="J3258" s="429">
        <f t="shared" si="23"/>
        <v>25.270000000000014</v>
      </c>
      <c r="O3258" s="584"/>
    </row>
    <row r="3259" spans="1:15" s="429" customFormat="1" ht="15.75" thickBot="1">
      <c r="A3259" s="624"/>
      <c r="B3259" s="626"/>
      <c r="C3259" s="625" t="s">
        <v>1325</v>
      </c>
      <c r="D3259" s="388"/>
      <c r="E3259" s="452">
        <f t="shared" si="22"/>
        <v>0.25000000000000011</v>
      </c>
      <c r="F3259" s="521">
        <v>0.21</v>
      </c>
      <c r="G3259" s="429">
        <v>0.28000000000000003</v>
      </c>
      <c r="I3259" s="429">
        <v>381</v>
      </c>
      <c r="J3259" s="429">
        <f t="shared" si="23"/>
        <v>26.670000000000012</v>
      </c>
      <c r="O3259" s="584"/>
    </row>
    <row r="3260" spans="1:15" s="429" customFormat="1" ht="15.75" thickBot="1">
      <c r="A3260" s="624"/>
      <c r="B3260" s="626"/>
      <c r="C3260" s="625" t="s">
        <v>1250</v>
      </c>
      <c r="D3260" s="388"/>
      <c r="E3260" s="452">
        <f t="shared" si="22"/>
        <v>0.25000000000000011</v>
      </c>
      <c r="F3260" s="521">
        <v>0.21</v>
      </c>
      <c r="G3260" s="429">
        <v>0.28000000000000003</v>
      </c>
      <c r="I3260" s="429">
        <v>1358</v>
      </c>
      <c r="J3260" s="429">
        <f t="shared" si="23"/>
        <v>95.060000000000045</v>
      </c>
      <c r="O3260" s="584"/>
    </row>
    <row r="3261" spans="1:15" s="429" customFormat="1" ht="15.75" thickBot="1">
      <c r="A3261" s="624"/>
      <c r="B3261" s="626"/>
      <c r="C3261" s="625" t="s">
        <v>436</v>
      </c>
      <c r="D3261" s="388"/>
      <c r="E3261" s="452">
        <f t="shared" si="22"/>
        <v>0.24817518248175185</v>
      </c>
      <c r="F3261" s="521">
        <v>1.03</v>
      </c>
      <c r="G3261" s="429">
        <v>1.37</v>
      </c>
      <c r="I3261" s="429">
        <v>1046</v>
      </c>
      <c r="J3261" s="429">
        <f t="shared" si="23"/>
        <v>355.6400000000001</v>
      </c>
      <c r="O3261" s="584"/>
    </row>
    <row r="3262" spans="1:15" s="429" customFormat="1" ht="15.75" thickBot="1">
      <c r="A3262" s="624"/>
      <c r="B3262" s="626"/>
      <c r="C3262" s="625" t="s">
        <v>1628</v>
      </c>
      <c r="D3262" s="388"/>
      <c r="E3262" s="452">
        <f t="shared" si="22"/>
        <v>0.15068493150684931</v>
      </c>
      <c r="F3262" s="521">
        <v>0.62</v>
      </c>
      <c r="G3262" s="429">
        <v>0.73</v>
      </c>
      <c r="O3262" s="584"/>
    </row>
    <row r="3263" spans="1:15" s="429" customFormat="1" ht="15.75" thickBot="1">
      <c r="A3263" s="624"/>
      <c r="B3263" s="626"/>
      <c r="C3263" s="625" t="s">
        <v>1629</v>
      </c>
      <c r="D3263" s="388"/>
      <c r="E3263" s="452">
        <f t="shared" si="22"/>
        <v>0.15068493150684931</v>
      </c>
      <c r="F3263" s="521">
        <v>0.62</v>
      </c>
      <c r="G3263" s="429">
        <v>0.73</v>
      </c>
      <c r="O3263" s="584"/>
    </row>
    <row r="3264" spans="1:15" s="429" customFormat="1" ht="15.75" thickBot="1">
      <c r="A3264" s="624"/>
      <c r="B3264" s="626"/>
      <c r="C3264" s="625" t="s">
        <v>1630</v>
      </c>
      <c r="D3264" s="388"/>
      <c r="E3264" s="452">
        <f t="shared" si="22"/>
        <v>0.15068493150684931</v>
      </c>
      <c r="F3264" s="521">
        <v>0.62</v>
      </c>
      <c r="G3264" s="429">
        <v>0.73</v>
      </c>
      <c r="O3264" s="584"/>
    </row>
    <row r="3265" spans="1:15" s="429" customFormat="1" ht="15.75" thickBot="1">
      <c r="A3265" s="624"/>
      <c r="B3265" s="626"/>
      <c r="C3265" s="625" t="s">
        <v>1633</v>
      </c>
      <c r="D3265" s="388"/>
      <c r="E3265" s="452">
        <f t="shared" si="22"/>
        <v>0.15131578947368421</v>
      </c>
      <c r="F3265" s="521">
        <v>1.29</v>
      </c>
      <c r="G3265" s="429">
        <v>1.52</v>
      </c>
      <c r="O3265" s="584"/>
    </row>
    <row r="3266" spans="1:15" s="429" customFormat="1" ht="15.75" thickBot="1">
      <c r="A3266" s="624"/>
      <c r="B3266" s="626"/>
      <c r="C3266" s="625" t="s">
        <v>1634</v>
      </c>
      <c r="D3266" s="388"/>
      <c r="E3266" s="452">
        <f t="shared" si="22"/>
        <v>0.15131578947368421</v>
      </c>
      <c r="F3266" s="521">
        <v>1.29</v>
      </c>
      <c r="G3266" s="429">
        <v>1.52</v>
      </c>
      <c r="O3266" s="584"/>
    </row>
    <row r="3267" spans="1:15" s="429" customFormat="1" ht="15.75" thickBot="1">
      <c r="A3267" s="624"/>
      <c r="B3267" s="626"/>
      <c r="C3267" s="625" t="s">
        <v>1576</v>
      </c>
      <c r="D3267" s="388"/>
      <c r="E3267" s="452">
        <f t="shared" si="22"/>
        <v>0.15131578947368421</v>
      </c>
      <c r="F3267" s="521">
        <v>1.29</v>
      </c>
      <c r="G3267" s="429">
        <v>1.52</v>
      </c>
      <c r="O3267" s="584"/>
    </row>
    <row r="3268" spans="1:15" s="429" customFormat="1" ht="15.75" thickBot="1">
      <c r="A3268" s="624"/>
      <c r="B3268" s="626"/>
      <c r="C3268" s="625" t="s">
        <v>1577</v>
      </c>
      <c r="D3268" s="388"/>
      <c r="E3268" s="452">
        <f t="shared" si="22"/>
        <v>0.15131578947368421</v>
      </c>
      <c r="F3268" s="521">
        <v>1.29</v>
      </c>
      <c r="G3268" s="429">
        <v>1.52</v>
      </c>
      <c r="O3268" s="584"/>
    </row>
    <row r="3269" spans="1:15" s="429" customFormat="1" ht="15.75" thickBot="1">
      <c r="A3269" s="624"/>
      <c r="B3269" s="626"/>
      <c r="C3269" s="625" t="s">
        <v>1580</v>
      </c>
      <c r="D3269" s="388"/>
      <c r="E3269" s="452">
        <f t="shared" si="22"/>
        <v>0.15</v>
      </c>
      <c r="F3269" s="521">
        <v>1.36</v>
      </c>
      <c r="G3269" s="429">
        <v>1.6</v>
      </c>
      <c r="O3269" s="584"/>
    </row>
    <row r="3270" spans="1:15" s="429" customFormat="1" ht="15.75" thickBot="1">
      <c r="A3270" s="624"/>
      <c r="B3270" s="626"/>
      <c r="C3270" s="625" t="s">
        <v>1637</v>
      </c>
      <c r="D3270" s="388"/>
      <c r="E3270" s="452">
        <f t="shared" si="22"/>
        <v>0.15</v>
      </c>
      <c r="F3270" s="521">
        <v>1.36</v>
      </c>
      <c r="G3270" s="429">
        <v>1.6</v>
      </c>
      <c r="O3270" s="584"/>
    </row>
    <row r="3271" spans="1:15" s="429" customFormat="1" ht="15.75" thickBot="1">
      <c r="A3271" s="624"/>
      <c r="B3271" s="626"/>
      <c r="C3271" s="625" t="s">
        <v>1638</v>
      </c>
      <c r="D3271" s="388"/>
      <c r="E3271" s="452">
        <f t="shared" si="22"/>
        <v>0.15</v>
      </c>
      <c r="F3271" s="521">
        <v>1.36</v>
      </c>
      <c r="G3271" s="429">
        <v>1.6</v>
      </c>
      <c r="O3271" s="584"/>
    </row>
    <row r="3272" spans="1:15" s="429" customFormat="1">
      <c r="A3272" s="624"/>
      <c r="B3272" s="626"/>
      <c r="C3272" s="625" t="s">
        <v>1581</v>
      </c>
      <c r="D3272" s="388"/>
      <c r="E3272" s="452">
        <f t="shared" si="22"/>
        <v>0.15</v>
      </c>
      <c r="F3272" s="521">
        <v>1.36</v>
      </c>
      <c r="G3272" s="429">
        <v>1.6</v>
      </c>
      <c r="O3272" s="584"/>
    </row>
    <row r="3274" spans="1:15" ht="15.75" thickBot="1"/>
    <row r="3275" spans="1:15" s="429" customFormat="1">
      <c r="A3275" s="3572"/>
      <c r="B3275" s="3636"/>
      <c r="C3275" s="3636"/>
      <c r="D3275" s="3636"/>
      <c r="E3275" s="3636"/>
      <c r="F3275" s="3559"/>
      <c r="O3275" s="584"/>
    </row>
    <row r="3276" spans="1:15" s="429" customFormat="1" ht="15.75" thickBot="1">
      <c r="A3276" s="3743"/>
      <c r="B3276" s="3734"/>
      <c r="C3276" s="3734"/>
      <c r="D3276" s="3974"/>
      <c r="E3276" s="3734"/>
      <c r="F3276" s="3930"/>
      <c r="O3276" s="584"/>
    </row>
    <row r="3277" spans="1:15" s="429" customFormat="1" ht="16.5" thickTop="1" thickBot="1">
      <c r="A3277" s="605" t="s">
        <v>1928</v>
      </c>
      <c r="B3277" s="485" t="s">
        <v>114</v>
      </c>
      <c r="C3277" s="529" t="s">
        <v>1362</v>
      </c>
      <c r="D3277" s="627"/>
      <c r="E3277" s="628">
        <f>(G3277-F3277)/G3277</f>
        <v>0.1492007104795737</v>
      </c>
      <c r="F3277" s="607">
        <v>4.79</v>
      </c>
      <c r="G3277" s="429">
        <v>5.63</v>
      </c>
      <c r="O3277" s="584"/>
    </row>
    <row r="3278" spans="1:15" s="429" customFormat="1" ht="15.75" thickBot="1">
      <c r="A3278" s="534"/>
      <c r="B3278" s="626"/>
      <c r="C3278" s="529" t="s">
        <v>1376</v>
      </c>
      <c r="D3278" s="627"/>
      <c r="E3278" s="628">
        <f>(G3278-F3278)/G3278</f>
        <v>0.1492007104795737</v>
      </c>
      <c r="F3278" s="607">
        <v>4.79</v>
      </c>
      <c r="G3278" s="429">
        <v>5.63</v>
      </c>
      <c r="O3278" s="584"/>
    </row>
    <row r="3279" spans="1:15" s="429" customFormat="1" ht="15.75" thickBot="1">
      <c r="A3279" s="534"/>
      <c r="B3279" s="626"/>
      <c r="C3279" s="529" t="s">
        <v>1363</v>
      </c>
      <c r="D3279" s="626"/>
      <c r="E3279" s="628">
        <f>(G3279-F3279)/G3279</f>
        <v>0.1492007104795737</v>
      </c>
      <c r="F3279" s="607">
        <v>4.79</v>
      </c>
      <c r="G3279" s="429">
        <v>5.63</v>
      </c>
      <c r="O3279" s="584"/>
    </row>
    <row r="3280" spans="1:15" s="429" customFormat="1" ht="15.75" thickBot="1">
      <c r="A3280" s="534"/>
      <c r="B3280" s="626"/>
      <c r="C3280" s="529" t="s">
        <v>510</v>
      </c>
      <c r="D3280" s="626"/>
      <c r="E3280" s="628">
        <f>(G3280-F3280)/G3280</f>
        <v>0.1492007104795737</v>
      </c>
      <c r="F3280" s="607">
        <v>4.79</v>
      </c>
      <c r="G3280" s="429">
        <v>5.63</v>
      </c>
      <c r="O3280" s="584"/>
    </row>
    <row r="3281" spans="1:15" s="429" customFormat="1">
      <c r="A3281" s="534"/>
      <c r="B3281" s="626"/>
      <c r="C3281" s="535" t="s">
        <v>2024</v>
      </c>
      <c r="D3281" s="626"/>
      <c r="E3281" s="628">
        <f>(G3281-F3281)/G3281</f>
        <v>0.14285714285714279</v>
      </c>
      <c r="F3281" s="560">
        <v>0.54</v>
      </c>
      <c r="G3281" s="429">
        <v>0.63</v>
      </c>
      <c r="I3281" s="429">
        <v>1348</v>
      </c>
      <c r="J3281" s="429">
        <f>(G3281-F3281)*I3281</f>
        <v>121.31999999999996</v>
      </c>
      <c r="O3281" s="584"/>
    </row>
    <row r="3282" spans="1:15" s="429" customFormat="1">
      <c r="A3282" s="536"/>
      <c r="B3282" s="626"/>
      <c r="C3282" s="535"/>
      <c r="D3282" s="626"/>
      <c r="E3282" s="628"/>
      <c r="F3282" s="497"/>
      <c r="O3282" s="584"/>
    </row>
    <row r="3283" spans="1:15" ht="15.75" thickBot="1"/>
    <row r="3284" spans="1:15" s="429" customFormat="1">
      <c r="A3284" s="3572"/>
      <c r="B3284" s="3636"/>
      <c r="C3284" s="3636"/>
      <c r="D3284" s="3636"/>
      <c r="E3284" s="3636"/>
      <c r="F3284" s="3559"/>
      <c r="O3284" s="584"/>
    </row>
    <row r="3285" spans="1:15" s="429" customFormat="1" ht="15.75" thickBot="1">
      <c r="A3285" s="3743"/>
      <c r="B3285" s="3734"/>
      <c r="C3285" s="3734"/>
      <c r="D3285" s="3734"/>
      <c r="E3285" s="3734"/>
      <c r="F3285" s="3737"/>
      <c r="O3285" s="584"/>
    </row>
    <row r="3286" spans="1:15" s="429" customFormat="1" ht="16.5" thickTop="1" thickBot="1">
      <c r="A3286" s="624" t="s">
        <v>1966</v>
      </c>
      <c r="B3286" s="485" t="s">
        <v>106</v>
      </c>
      <c r="C3286" s="625" t="s">
        <v>1499</v>
      </c>
      <c r="D3286" s="388"/>
      <c r="E3286" s="452">
        <f t="shared" ref="E3286:E3301" si="24">(G3286-F3286)/G3286</f>
        <v>5.0400916380297971E-2</v>
      </c>
      <c r="F3286" s="521">
        <v>8.2899999999999991</v>
      </c>
      <c r="G3286" s="429">
        <v>8.73</v>
      </c>
      <c r="O3286" s="584"/>
    </row>
    <row r="3287" spans="1:15" s="429" customFormat="1" ht="15.75" thickBot="1">
      <c r="A3287" s="624"/>
      <c r="B3287" s="626"/>
      <c r="C3287" s="625" t="s">
        <v>1485</v>
      </c>
      <c r="D3287" s="388"/>
      <c r="E3287" s="452">
        <f t="shared" si="24"/>
        <v>0.10056390977443611</v>
      </c>
      <c r="F3287" s="521">
        <v>19.14</v>
      </c>
      <c r="G3287" s="429">
        <v>21.28</v>
      </c>
      <c r="O3287" s="584"/>
    </row>
    <row r="3288" spans="1:15" s="429" customFormat="1" ht="15.75" thickBot="1">
      <c r="A3288" s="624"/>
      <c r="B3288" s="626"/>
      <c r="C3288" s="625" t="s">
        <v>868</v>
      </c>
      <c r="D3288" s="388"/>
      <c r="E3288" s="452">
        <f t="shared" si="24"/>
        <v>5.2443384982121616E-2</v>
      </c>
      <c r="F3288" s="521">
        <v>7.95</v>
      </c>
      <c r="G3288" s="429">
        <v>8.39</v>
      </c>
      <c r="O3288" s="584"/>
    </row>
    <row r="3289" spans="1:15" s="429" customFormat="1" ht="15.75" thickBot="1">
      <c r="A3289" s="624"/>
      <c r="B3289" s="626"/>
      <c r="C3289" s="625" t="s">
        <v>1497</v>
      </c>
      <c r="D3289" s="388"/>
      <c r="E3289" s="452">
        <f t="shared" si="24"/>
        <v>5.0531914893617011E-2</v>
      </c>
      <c r="F3289" s="521">
        <v>3.57</v>
      </c>
      <c r="G3289" s="429">
        <v>3.76</v>
      </c>
      <c r="O3289" s="584"/>
    </row>
    <row r="3290" spans="1:15" s="429" customFormat="1" ht="15.75" thickBot="1">
      <c r="A3290" s="624"/>
      <c r="B3290" s="626"/>
      <c r="C3290" s="625" t="s">
        <v>239</v>
      </c>
      <c r="D3290" s="388"/>
      <c r="E3290" s="452">
        <f t="shared" si="24"/>
        <v>5.2443384982121616E-2</v>
      </c>
      <c r="F3290" s="521">
        <v>7.95</v>
      </c>
      <c r="G3290" s="429">
        <v>8.39</v>
      </c>
      <c r="O3290" s="584"/>
    </row>
    <row r="3291" spans="1:15" s="429" customFormat="1" ht="15.75" thickBot="1">
      <c r="A3291" s="624"/>
      <c r="B3291" s="626"/>
      <c r="C3291" s="625" t="s">
        <v>1883</v>
      </c>
      <c r="D3291" s="388"/>
      <c r="E3291" s="452">
        <f t="shared" si="24"/>
        <v>0.10056390977443611</v>
      </c>
      <c r="F3291" s="521">
        <v>19.14</v>
      </c>
      <c r="G3291" s="429">
        <v>21.28</v>
      </c>
      <c r="O3291" s="584"/>
    </row>
    <row r="3292" spans="1:15" s="429" customFormat="1" ht="15.75" thickBot="1">
      <c r="A3292" s="624"/>
      <c r="B3292" s="626"/>
      <c r="C3292" s="625" t="s">
        <v>1722</v>
      </c>
      <c r="D3292" s="388"/>
      <c r="E3292" s="452">
        <f t="shared" si="24"/>
        <v>5.0531914893617011E-2</v>
      </c>
      <c r="F3292" s="521">
        <v>3.57</v>
      </c>
      <c r="G3292" s="429">
        <v>3.76</v>
      </c>
      <c r="O3292" s="584"/>
    </row>
    <row r="3293" spans="1:15" s="429" customFormat="1" ht="15.75" thickBot="1">
      <c r="A3293" s="624"/>
      <c r="B3293" s="626"/>
      <c r="C3293" s="625" t="s">
        <v>1496</v>
      </c>
      <c r="D3293" s="388"/>
      <c r="E3293" s="452">
        <f t="shared" si="24"/>
        <v>5.0531914893617011E-2</v>
      </c>
      <c r="F3293" s="521">
        <v>3.57</v>
      </c>
      <c r="G3293" s="429">
        <v>3.76</v>
      </c>
      <c r="O3293" s="584"/>
    </row>
    <row r="3294" spans="1:15" s="429" customFormat="1" ht="15.75" thickBot="1">
      <c r="A3294" s="624"/>
      <c r="B3294" s="626"/>
      <c r="C3294" s="625" t="s">
        <v>238</v>
      </c>
      <c r="D3294" s="388"/>
      <c r="E3294" s="452">
        <f t="shared" si="24"/>
        <v>5.4696789536266346E-2</v>
      </c>
      <c r="F3294" s="521">
        <v>7.95</v>
      </c>
      <c r="G3294" s="429">
        <v>8.41</v>
      </c>
      <c r="O3294" s="584"/>
    </row>
    <row r="3295" spans="1:15" s="429" customFormat="1" ht="15.75" thickBot="1">
      <c r="A3295" s="624"/>
      <c r="B3295" s="626"/>
      <c r="C3295" s="625" t="s">
        <v>71</v>
      </c>
      <c r="D3295" s="388"/>
      <c r="E3295" s="452">
        <f t="shared" si="24"/>
        <v>0.10056390977443611</v>
      </c>
      <c r="F3295" s="521">
        <v>19.14</v>
      </c>
      <c r="G3295" s="429">
        <v>21.28</v>
      </c>
      <c r="O3295" s="584"/>
    </row>
    <row r="3296" spans="1:15" s="429" customFormat="1" ht="15.75" thickBot="1">
      <c r="A3296" s="624"/>
      <c r="B3296" s="626"/>
      <c r="C3296" s="625" t="s">
        <v>74</v>
      </c>
      <c r="D3296" s="388"/>
      <c r="E3296" s="452">
        <f t="shared" si="24"/>
        <v>0.10056390977443611</v>
      </c>
      <c r="F3296" s="521">
        <v>19.14</v>
      </c>
      <c r="G3296" s="429">
        <v>21.28</v>
      </c>
      <c r="O3296" s="584"/>
    </row>
    <row r="3297" spans="1:15" s="429" customFormat="1" ht="15.75" thickBot="1">
      <c r="A3297" s="624"/>
      <c r="B3297" s="626"/>
      <c r="C3297" s="625" t="s">
        <v>1075</v>
      </c>
      <c r="D3297" s="388"/>
      <c r="E3297" s="452">
        <f t="shared" si="24"/>
        <v>0.10869565217391314</v>
      </c>
      <c r="F3297" s="521">
        <v>0.82</v>
      </c>
      <c r="G3297" s="429">
        <v>0.92</v>
      </c>
      <c r="O3297" s="584"/>
    </row>
    <row r="3298" spans="1:15" s="429" customFormat="1" ht="15.75" thickBot="1">
      <c r="A3298" s="624"/>
      <c r="B3298" s="626"/>
      <c r="C3298" s="625" t="s">
        <v>1401</v>
      </c>
      <c r="D3298" s="388"/>
      <c r="E3298" s="452">
        <f t="shared" si="24"/>
        <v>0.10315186246418347</v>
      </c>
      <c r="F3298" s="521">
        <v>3.13</v>
      </c>
      <c r="G3298" s="429">
        <v>3.49</v>
      </c>
      <c r="O3298" s="584"/>
    </row>
    <row r="3299" spans="1:15" s="429" customFormat="1" ht="15.75" thickBot="1">
      <c r="A3299" s="624"/>
      <c r="B3299" s="626"/>
      <c r="C3299" s="625" t="s">
        <v>903</v>
      </c>
      <c r="D3299" s="388"/>
      <c r="E3299" s="452">
        <f t="shared" si="24"/>
        <v>0.10315186246418347</v>
      </c>
      <c r="F3299" s="521">
        <v>3.13</v>
      </c>
      <c r="G3299" s="429">
        <v>3.49</v>
      </c>
      <c r="O3299" s="584"/>
    </row>
    <row r="3300" spans="1:15" s="429" customFormat="1" ht="15.75" thickBot="1">
      <c r="A3300" s="624"/>
      <c r="B3300" s="626"/>
      <c r="C3300" s="625" t="s">
        <v>1168</v>
      </c>
      <c r="D3300" s="388"/>
      <c r="E3300" s="452">
        <f t="shared" si="24"/>
        <v>0.1459293394777266</v>
      </c>
      <c r="F3300" s="521">
        <v>5.56</v>
      </c>
      <c r="G3300" s="429">
        <v>6.51</v>
      </c>
      <c r="O3300" s="584"/>
    </row>
    <row r="3301" spans="1:15" s="429" customFormat="1">
      <c r="A3301" s="624"/>
      <c r="B3301" s="626"/>
      <c r="C3301" s="625" t="s">
        <v>937</v>
      </c>
      <c r="D3301" s="388"/>
      <c r="E3301" s="452">
        <f t="shared" si="24"/>
        <v>0.1459293394777266</v>
      </c>
      <c r="F3301" s="521">
        <v>5.56</v>
      </c>
      <c r="G3301" s="429">
        <v>6.51</v>
      </c>
      <c r="O3301" s="584"/>
    </row>
    <row r="3304" spans="1:15" s="429" customFormat="1">
      <c r="A3304" s="3970"/>
      <c r="B3304" s="3970"/>
      <c r="C3304" s="3970"/>
      <c r="D3304" s="3970"/>
      <c r="E3304" s="3970"/>
      <c r="F3304" s="3970"/>
      <c r="O3304" s="584"/>
    </row>
    <row r="3305" spans="1:15" s="429" customFormat="1">
      <c r="A3305" s="3970"/>
      <c r="B3305" s="3970"/>
      <c r="C3305" s="3970"/>
      <c r="D3305" s="3970"/>
      <c r="E3305" s="3970"/>
      <c r="F3305" s="3970"/>
      <c r="O3305" s="584"/>
    </row>
    <row r="3306" spans="1:15" s="429" customFormat="1" ht="15.75" thickBot="1">
      <c r="A3306" s="624" t="s">
        <v>1944</v>
      </c>
      <c r="B3306" s="626" t="s">
        <v>1171</v>
      </c>
      <c r="C3306" s="554" t="s">
        <v>623</v>
      </c>
      <c r="D3306" s="625"/>
      <c r="E3306" s="631">
        <f t="shared" ref="E3306:E3318" si="25">(G3306-F3306)/G3306</f>
        <v>0.11627906976744186</v>
      </c>
      <c r="F3306" s="554">
        <v>1.9</v>
      </c>
      <c r="G3306" s="429">
        <v>2.15</v>
      </c>
      <c r="I3306" s="429">
        <v>1953</v>
      </c>
      <c r="K3306" s="429">
        <f>G3306-F3306</f>
        <v>0.25</v>
      </c>
      <c r="L3306" s="429">
        <f>I3306*K3306</f>
        <v>488.25</v>
      </c>
      <c r="M3306" s="429">
        <f>L3306*0.5</f>
        <v>244.125</v>
      </c>
      <c r="N3306" s="429">
        <f>M3306/1.894</f>
        <v>128.89387539598732</v>
      </c>
      <c r="O3306" s="584"/>
    </row>
    <row r="3307" spans="1:15" s="429" customFormat="1" ht="15.75" thickBot="1">
      <c r="A3307" s="624"/>
      <c r="B3307" s="626"/>
      <c r="C3307" s="554" t="s">
        <v>465</v>
      </c>
      <c r="D3307" s="626"/>
      <c r="E3307" s="631">
        <f t="shared" si="25"/>
        <v>0.15286624203821655</v>
      </c>
      <c r="F3307" s="554">
        <v>1.33</v>
      </c>
      <c r="G3307" s="429">
        <v>1.57</v>
      </c>
      <c r="H3307" s="429">
        <v>3759</v>
      </c>
      <c r="O3307" s="584">
        <f>(G3307-F3307)*H3307</f>
        <v>902.16</v>
      </c>
    </row>
    <row r="3308" spans="1:15" s="429" customFormat="1" ht="15.75" thickBot="1">
      <c r="A3308" s="624"/>
      <c r="B3308" s="626"/>
      <c r="C3308" s="554" t="s">
        <v>1332</v>
      </c>
      <c r="D3308" s="626"/>
      <c r="E3308" s="631">
        <f t="shared" si="25"/>
        <v>0.15286624203821655</v>
      </c>
      <c r="F3308" s="554">
        <v>1.33</v>
      </c>
      <c r="G3308" s="429">
        <v>1.57</v>
      </c>
      <c r="O3308" s="584"/>
    </row>
    <row r="3309" spans="1:15" s="429" customFormat="1" ht="15.75" thickBot="1">
      <c r="A3309" s="624"/>
      <c r="B3309" s="626"/>
      <c r="C3309" s="554" t="s">
        <v>1945</v>
      </c>
      <c r="D3309" s="625"/>
      <c r="E3309" s="631">
        <f t="shared" si="25"/>
        <v>0.24999999999999997</v>
      </c>
      <c r="F3309" s="554">
        <v>1.35</v>
      </c>
      <c r="G3309" s="528">
        <v>1.8</v>
      </c>
      <c r="H3309" s="429">
        <v>679</v>
      </c>
      <c r="O3309" s="584">
        <f>(G3309-F3309)*H3309</f>
        <v>305.54999999999995</v>
      </c>
    </row>
    <row r="3310" spans="1:15" s="429" customFormat="1" ht="15.75" thickBot="1">
      <c r="A3310" s="624"/>
      <c r="B3310" s="626"/>
      <c r="C3310" s="554" t="s">
        <v>686</v>
      </c>
      <c r="D3310" s="625"/>
      <c r="E3310" s="631">
        <f t="shared" si="25"/>
        <v>0.25123152709359597</v>
      </c>
      <c r="F3310" s="554">
        <v>1.52</v>
      </c>
      <c r="G3310" s="528">
        <v>2.0299999999999998</v>
      </c>
      <c r="H3310" s="429">
        <v>1224</v>
      </c>
      <c r="O3310" s="584">
        <f>(G3310-F3310)*H3310</f>
        <v>624.23999999999978</v>
      </c>
    </row>
    <row r="3311" spans="1:15" s="429" customFormat="1" ht="15.75" thickBot="1">
      <c r="A3311" s="624"/>
      <c r="B3311" s="626"/>
      <c r="C3311" s="554" t="s">
        <v>687</v>
      </c>
      <c r="D3311" s="625"/>
      <c r="E3311" s="631">
        <f t="shared" si="25"/>
        <v>0.25123152709359597</v>
      </c>
      <c r="F3311" s="554">
        <v>1.52</v>
      </c>
      <c r="G3311" s="528">
        <v>2.0299999999999998</v>
      </c>
      <c r="O3311" s="584"/>
    </row>
    <row r="3312" spans="1:15" s="429" customFormat="1" ht="15.75" thickBot="1">
      <c r="A3312" s="624"/>
      <c r="B3312" s="626"/>
      <c r="C3312" s="554" t="s">
        <v>1058</v>
      </c>
      <c r="D3312" s="625"/>
      <c r="E3312" s="631">
        <f t="shared" si="25"/>
        <v>0.2513089005235602</v>
      </c>
      <c r="F3312" s="554">
        <v>1.43</v>
      </c>
      <c r="G3312" s="528">
        <v>1.91</v>
      </c>
      <c r="H3312" s="429">
        <v>826</v>
      </c>
      <c r="O3312" s="584">
        <f>(G3312-F3312)*H3312</f>
        <v>396.47999999999996</v>
      </c>
    </row>
    <row r="3313" spans="1:15" s="429" customFormat="1" ht="15.75" thickBot="1">
      <c r="A3313" s="624"/>
      <c r="B3313" s="626"/>
      <c r="C3313" s="554" t="s">
        <v>1773</v>
      </c>
      <c r="D3313" s="625"/>
      <c r="E3313" s="631">
        <f t="shared" si="25"/>
        <v>0.20059288537549402</v>
      </c>
      <c r="F3313" s="554">
        <v>8.09</v>
      </c>
      <c r="G3313" s="528">
        <v>10.119999999999999</v>
      </c>
      <c r="O3313" s="584"/>
    </row>
    <row r="3314" spans="1:15" s="429" customFormat="1" ht="15.75" thickBot="1">
      <c r="A3314" s="624"/>
      <c r="B3314" s="626"/>
      <c r="C3314" s="554" t="s">
        <v>1439</v>
      </c>
      <c r="D3314" s="626"/>
      <c r="E3314" s="631">
        <f t="shared" si="25"/>
        <v>0.20059288537549402</v>
      </c>
      <c r="F3314" s="554">
        <v>8.09</v>
      </c>
      <c r="G3314" s="528">
        <v>10.119999999999999</v>
      </c>
      <c r="O3314" s="584"/>
    </row>
    <row r="3315" spans="1:15" s="429" customFormat="1" ht="15.75" thickBot="1">
      <c r="A3315" s="624"/>
      <c r="B3315" s="626"/>
      <c r="C3315" s="554"/>
      <c r="D3315" s="626"/>
      <c r="E3315" s="631" t="e">
        <f t="shared" si="25"/>
        <v>#DIV/0!</v>
      </c>
      <c r="F3315" s="554"/>
      <c r="O3315" s="584"/>
    </row>
    <row r="3316" spans="1:15" s="429" customFormat="1" ht="15.75" thickBot="1">
      <c r="A3316" s="624"/>
      <c r="B3316" s="626"/>
      <c r="C3316" s="554"/>
      <c r="D3316" s="626"/>
      <c r="E3316" s="631" t="e">
        <f t="shared" si="25"/>
        <v>#DIV/0!</v>
      </c>
      <c r="F3316" s="554"/>
      <c r="O3316" s="584"/>
    </row>
    <row r="3317" spans="1:15" s="429" customFormat="1" ht="15.75" thickBot="1">
      <c r="A3317" s="624"/>
      <c r="B3317" s="626"/>
      <c r="C3317" s="554"/>
      <c r="D3317" s="626"/>
      <c r="E3317" s="631" t="e">
        <f t="shared" si="25"/>
        <v>#DIV/0!</v>
      </c>
      <c r="F3317" s="554"/>
      <c r="O3317" s="584"/>
    </row>
    <row r="3318" spans="1:15" s="429" customFormat="1" ht="15.75" thickBot="1">
      <c r="A3318" s="624"/>
      <c r="B3318" s="626"/>
      <c r="C3318" s="632"/>
      <c r="D3318" s="626"/>
      <c r="E3318" s="631" t="e">
        <f t="shared" si="25"/>
        <v>#DIV/0!</v>
      </c>
      <c r="F3318" s="514"/>
      <c r="O3318" s="584"/>
    </row>
    <row r="3319" spans="1:15" s="429" customFormat="1">
      <c r="O3319" s="584"/>
    </row>
    <row r="3320" spans="1:15" ht="15.75" thickBot="1"/>
    <row r="3321" spans="1:15" s="429" customFormat="1">
      <c r="A3321" s="3572"/>
      <c r="B3321" s="3636"/>
      <c r="C3321" s="3636"/>
      <c r="D3321" s="3636"/>
      <c r="E3321" s="3636"/>
      <c r="F3321" s="3559"/>
      <c r="O3321" s="584"/>
    </row>
    <row r="3322" spans="1:15" s="429" customFormat="1" ht="15.75" thickBot="1">
      <c r="A3322" s="3962"/>
      <c r="B3322" s="3959"/>
      <c r="C3322" s="3959"/>
      <c r="D3322" s="3959"/>
      <c r="E3322" s="3959"/>
      <c r="F3322" s="3960"/>
      <c r="O3322" s="584"/>
    </row>
    <row r="3323" spans="1:15" s="429" customFormat="1" ht="15.75">
      <c r="A3323" s="646" t="s">
        <v>1953</v>
      </c>
      <c r="B3323" s="485" t="s">
        <v>114</v>
      </c>
      <c r="C3323" s="647" t="s">
        <v>1763</v>
      </c>
      <c r="D3323" s="648"/>
      <c r="E3323" s="649">
        <f>(G3323-F3323)/G3323</f>
        <v>0.14988814317673382</v>
      </c>
      <c r="F3323" s="650">
        <v>19</v>
      </c>
      <c r="G3323" s="429">
        <v>22.35</v>
      </c>
      <c r="O3323" s="584"/>
    </row>
    <row r="3324" spans="1:15" s="429" customFormat="1" ht="15.75">
      <c r="A3324" s="651"/>
      <c r="B3324" s="626"/>
      <c r="C3324" s="652" t="s">
        <v>1556</v>
      </c>
      <c r="D3324" s="627"/>
      <c r="E3324" s="628">
        <f>(G3324-F3324)/G3324</f>
        <v>0.14988814317673382</v>
      </c>
      <c r="F3324" s="653">
        <v>19</v>
      </c>
      <c r="G3324" s="429">
        <v>22.35</v>
      </c>
      <c r="O3324" s="584"/>
    </row>
    <row r="3325" spans="1:15" s="429" customFormat="1" ht="15.75">
      <c r="A3325" s="651"/>
      <c r="B3325" s="626"/>
      <c r="C3325" s="652" t="s">
        <v>1555</v>
      </c>
      <c r="D3325" s="626"/>
      <c r="E3325" s="628">
        <f>(G3325-F3325)/G3325</f>
        <v>0.14988814317673382</v>
      </c>
      <c r="F3325" s="653">
        <v>19</v>
      </c>
      <c r="G3325" s="429">
        <v>22.35</v>
      </c>
      <c r="O3325" s="584"/>
    </row>
    <row r="3326" spans="1:15" s="429" customFormat="1" ht="15.75">
      <c r="A3326" s="651"/>
      <c r="B3326" s="626"/>
      <c r="C3326" s="652" t="s">
        <v>1810</v>
      </c>
      <c r="D3326" s="626"/>
      <c r="E3326" s="628">
        <f>(G3326-F3326)/G3326</f>
        <v>0.14988814317673382</v>
      </c>
      <c r="F3326" s="653">
        <v>19</v>
      </c>
      <c r="G3326" s="429">
        <v>22.35</v>
      </c>
      <c r="O3326" s="584"/>
    </row>
    <row r="3327" spans="1:15" s="429" customFormat="1" ht="15.75" thickBot="1">
      <c r="A3327" s="610"/>
      <c r="B3327" s="654"/>
      <c r="C3327" s="655"/>
      <c r="D3327" s="654"/>
      <c r="E3327" s="656" t="e">
        <f>(G3327-F3327)/G3327</f>
        <v>#DIV/0!</v>
      </c>
      <c r="F3327" s="657"/>
      <c r="O3327" s="584"/>
    </row>
    <row r="3329" spans="1:15" ht="15.75" thickBot="1"/>
    <row r="3330" spans="1:15" s="429" customFormat="1">
      <c r="A3330" s="3572"/>
      <c r="B3330" s="3636"/>
      <c r="C3330" s="3636"/>
      <c r="D3330" s="3636"/>
      <c r="E3330" s="3636"/>
      <c r="F3330" s="3559"/>
      <c r="O3330" s="584"/>
    </row>
    <row r="3331" spans="1:15" s="429" customFormat="1" ht="15.75" thickBot="1">
      <c r="A3331" s="3962"/>
      <c r="B3331" s="3959"/>
      <c r="C3331" s="3959"/>
      <c r="D3331" s="3959"/>
      <c r="E3331" s="3959"/>
      <c r="F3331" s="3960"/>
      <c r="O3331" s="584"/>
    </row>
    <row r="3332" spans="1:15" s="429" customFormat="1">
      <c r="A3332" s="646" t="s">
        <v>1957</v>
      </c>
      <c r="B3332" s="485" t="s">
        <v>1171</v>
      </c>
      <c r="C3332" s="658" t="s">
        <v>72</v>
      </c>
      <c r="D3332" s="388"/>
      <c r="E3332" s="659">
        <f t="shared" ref="E3332:E3360" si="26">(G3332-F3332)/G3332</f>
        <v>0.12867647058823525</v>
      </c>
      <c r="F3332" s="660">
        <v>16.59</v>
      </c>
      <c r="G3332" s="429">
        <v>19.04</v>
      </c>
      <c r="H3332" s="429">
        <v>0</v>
      </c>
      <c r="O3332" s="584">
        <f t="shared" ref="O3332:O3352" si="27">(G3332-F3332)*H3332</f>
        <v>0</v>
      </c>
    </row>
    <row r="3333" spans="1:15" s="429" customFormat="1">
      <c r="A3333" s="651"/>
      <c r="B3333" s="626"/>
      <c r="C3333" s="632" t="s">
        <v>1499</v>
      </c>
      <c r="D3333" s="626"/>
      <c r="E3333" s="631">
        <f t="shared" si="26"/>
        <v>8.2524271844660269E-2</v>
      </c>
      <c r="F3333" s="661">
        <v>7.56</v>
      </c>
      <c r="G3333" s="429">
        <v>8.24</v>
      </c>
      <c r="H3333" s="429">
        <v>60</v>
      </c>
      <c r="O3333" s="584">
        <f t="shared" si="27"/>
        <v>40.80000000000004</v>
      </c>
    </row>
    <row r="3334" spans="1:15" s="429" customFormat="1">
      <c r="A3334" s="651"/>
      <c r="B3334" s="626"/>
      <c r="C3334" s="632" t="s">
        <v>930</v>
      </c>
      <c r="D3334" s="626"/>
      <c r="E3334" s="631">
        <f t="shared" si="26"/>
        <v>0.13828571428571429</v>
      </c>
      <c r="F3334" s="661">
        <v>7.54</v>
      </c>
      <c r="G3334" s="429">
        <v>8.75</v>
      </c>
      <c r="H3334" s="429">
        <v>65</v>
      </c>
      <c r="O3334" s="584">
        <f t="shared" si="27"/>
        <v>78.649999999999991</v>
      </c>
    </row>
    <row r="3335" spans="1:15" s="429" customFormat="1">
      <c r="A3335" s="651"/>
      <c r="B3335" s="626"/>
      <c r="C3335" s="632" t="s">
        <v>1496</v>
      </c>
      <c r="D3335" s="625"/>
      <c r="E3335" s="631">
        <f t="shared" si="26"/>
        <v>8.3086053412462973E-2</v>
      </c>
      <c r="F3335" s="661">
        <v>3.09</v>
      </c>
      <c r="G3335" s="429">
        <v>3.37</v>
      </c>
      <c r="H3335" s="429">
        <v>0</v>
      </c>
      <c r="O3335" s="584">
        <f t="shared" si="27"/>
        <v>0</v>
      </c>
    </row>
    <row r="3336" spans="1:15" s="429" customFormat="1">
      <c r="A3336" s="651"/>
      <c r="B3336" s="626"/>
      <c r="C3336" s="632" t="s">
        <v>1075</v>
      </c>
      <c r="D3336" s="625"/>
      <c r="E3336" s="631">
        <f t="shared" si="26"/>
        <v>0.1125000000000001</v>
      </c>
      <c r="F3336" s="661">
        <v>0.71</v>
      </c>
      <c r="G3336" s="429">
        <v>0.8</v>
      </c>
      <c r="H3336" s="429">
        <v>170</v>
      </c>
      <c r="O3336" s="584">
        <f t="shared" si="27"/>
        <v>15.300000000000013</v>
      </c>
    </row>
    <row r="3337" spans="1:15" s="429" customFormat="1">
      <c r="A3337" s="651"/>
      <c r="B3337" s="626"/>
      <c r="C3337" s="632" t="s">
        <v>1401</v>
      </c>
      <c r="D3337" s="625"/>
      <c r="E3337" s="631">
        <f t="shared" si="26"/>
        <v>0.10855263157894739</v>
      </c>
      <c r="F3337" s="661">
        <v>2.71</v>
      </c>
      <c r="G3337" s="429">
        <v>3.04</v>
      </c>
      <c r="H3337" s="429">
        <v>213</v>
      </c>
      <c r="O3337" s="584">
        <f t="shared" si="27"/>
        <v>70.29000000000002</v>
      </c>
    </row>
    <row r="3338" spans="1:15" s="429" customFormat="1">
      <c r="A3338" s="651"/>
      <c r="B3338" s="626"/>
      <c r="C3338" s="632" t="s">
        <v>868</v>
      </c>
      <c r="D3338" s="625"/>
      <c r="E3338" s="631">
        <f t="shared" si="26"/>
        <v>8.2556591211717725E-2</v>
      </c>
      <c r="F3338" s="661">
        <v>6.89</v>
      </c>
      <c r="G3338" s="429">
        <v>7.51</v>
      </c>
      <c r="H3338" s="429">
        <v>428</v>
      </c>
      <c r="O3338" s="584">
        <f t="shared" si="27"/>
        <v>265.36000000000007</v>
      </c>
    </row>
    <row r="3339" spans="1:15" s="429" customFormat="1">
      <c r="A3339" s="651"/>
      <c r="B3339" s="626"/>
      <c r="C3339" s="632" t="s">
        <v>239</v>
      </c>
      <c r="D3339" s="625"/>
      <c r="E3339" s="631">
        <f t="shared" si="26"/>
        <v>8.2556591211717725E-2</v>
      </c>
      <c r="F3339" s="661">
        <v>6.89</v>
      </c>
      <c r="G3339" s="429">
        <v>7.51</v>
      </c>
      <c r="H3339" s="429">
        <v>0</v>
      </c>
      <c r="O3339" s="584">
        <f t="shared" si="27"/>
        <v>0</v>
      </c>
    </row>
    <row r="3340" spans="1:15" s="429" customFormat="1">
      <c r="A3340" s="651"/>
      <c r="B3340" s="626"/>
      <c r="C3340" s="632" t="s">
        <v>238</v>
      </c>
      <c r="D3340" s="626"/>
      <c r="E3340" s="631">
        <f t="shared" si="26"/>
        <v>8.2556591211717725E-2</v>
      </c>
      <c r="F3340" s="661">
        <v>6.89</v>
      </c>
      <c r="G3340" s="429">
        <v>7.51</v>
      </c>
      <c r="H3340" s="429">
        <v>0</v>
      </c>
      <c r="O3340" s="584">
        <f t="shared" si="27"/>
        <v>0</v>
      </c>
    </row>
    <row r="3341" spans="1:15" s="429" customFormat="1">
      <c r="A3341" s="651"/>
      <c r="B3341" s="626"/>
      <c r="C3341" s="632" t="s">
        <v>1883</v>
      </c>
      <c r="D3341" s="626"/>
      <c r="E3341" s="631">
        <f t="shared" si="26"/>
        <v>0.12867647058823525</v>
      </c>
      <c r="F3341" s="661">
        <v>16.59</v>
      </c>
      <c r="G3341" s="429">
        <v>19.04</v>
      </c>
      <c r="H3341" s="429">
        <v>0</v>
      </c>
      <c r="O3341" s="584">
        <f t="shared" si="27"/>
        <v>0</v>
      </c>
    </row>
    <row r="3342" spans="1:15" s="429" customFormat="1">
      <c r="A3342" s="651"/>
      <c r="B3342" s="626"/>
      <c r="C3342" s="632" t="s">
        <v>74</v>
      </c>
      <c r="D3342" s="626"/>
      <c r="E3342" s="631">
        <f t="shared" si="26"/>
        <v>0.12867647058823525</v>
      </c>
      <c r="F3342" s="661">
        <v>16.59</v>
      </c>
      <c r="G3342" s="429">
        <v>19.04</v>
      </c>
      <c r="H3342" s="429">
        <v>0</v>
      </c>
      <c r="O3342" s="584">
        <f t="shared" si="27"/>
        <v>0</v>
      </c>
    </row>
    <row r="3343" spans="1:15" s="429" customFormat="1">
      <c r="A3343" s="651"/>
      <c r="B3343" s="626"/>
      <c r="C3343" s="632" t="s">
        <v>1485</v>
      </c>
      <c r="D3343" s="626"/>
      <c r="E3343" s="631">
        <f t="shared" si="26"/>
        <v>0.12867647058823525</v>
      </c>
      <c r="F3343" s="661">
        <v>16.59</v>
      </c>
      <c r="G3343" s="429">
        <v>19.04</v>
      </c>
      <c r="H3343" s="429">
        <v>0</v>
      </c>
      <c r="O3343" s="584">
        <f t="shared" si="27"/>
        <v>0</v>
      </c>
    </row>
    <row r="3344" spans="1:15" s="429" customFormat="1">
      <c r="A3344" s="651"/>
      <c r="B3344" s="626"/>
      <c r="C3344" s="632" t="s">
        <v>71</v>
      </c>
      <c r="D3344" s="626"/>
      <c r="E3344" s="631">
        <f t="shared" si="26"/>
        <v>0.12867647058823525</v>
      </c>
      <c r="F3344" s="661">
        <v>16.59</v>
      </c>
      <c r="G3344" s="429">
        <v>19.04</v>
      </c>
      <c r="H3344" s="429">
        <v>374</v>
      </c>
      <c r="O3344" s="584">
        <f t="shared" si="27"/>
        <v>916.29999999999973</v>
      </c>
    </row>
    <row r="3345" spans="1:15" s="429" customFormat="1">
      <c r="A3345" s="651"/>
      <c r="B3345" s="626"/>
      <c r="C3345" s="632" t="s">
        <v>931</v>
      </c>
      <c r="D3345" s="626"/>
      <c r="E3345" s="631">
        <f t="shared" si="26"/>
        <v>8.2000000000000031E-2</v>
      </c>
      <c r="F3345" s="661">
        <v>4.59</v>
      </c>
      <c r="G3345" s="429">
        <v>5</v>
      </c>
      <c r="H3345" s="429">
        <v>184</v>
      </c>
      <c r="O3345" s="584">
        <f t="shared" si="27"/>
        <v>75.440000000000026</v>
      </c>
    </row>
    <row r="3346" spans="1:15" s="429" customFormat="1">
      <c r="A3346" s="651"/>
      <c r="B3346" s="626"/>
      <c r="C3346" s="632" t="s">
        <v>1494</v>
      </c>
      <c r="D3346" s="626"/>
      <c r="E3346" s="631">
        <f t="shared" si="26"/>
        <v>0.13278008298755198</v>
      </c>
      <c r="F3346" s="661">
        <v>4.18</v>
      </c>
      <c r="G3346" s="429">
        <v>4.82</v>
      </c>
      <c r="H3346" s="429">
        <v>83</v>
      </c>
      <c r="O3346" s="584">
        <f t="shared" si="27"/>
        <v>53.120000000000047</v>
      </c>
    </row>
    <row r="3347" spans="1:15" s="429" customFormat="1">
      <c r="A3347" s="651"/>
      <c r="B3347" s="626"/>
      <c r="C3347" s="632" t="s">
        <v>1168</v>
      </c>
      <c r="D3347" s="626"/>
      <c r="E3347" s="631">
        <f t="shared" si="26"/>
        <v>0.10877192982456142</v>
      </c>
      <c r="F3347" s="661">
        <v>5.08</v>
      </c>
      <c r="G3347" s="429">
        <v>5.7</v>
      </c>
      <c r="H3347" s="429">
        <v>125</v>
      </c>
      <c r="O3347" s="584">
        <f t="shared" si="27"/>
        <v>77.500000000000014</v>
      </c>
    </row>
    <row r="3348" spans="1:15" s="429" customFormat="1">
      <c r="A3348" s="651"/>
      <c r="B3348" s="626"/>
      <c r="C3348" s="632" t="s">
        <v>1498</v>
      </c>
      <c r="D3348" s="626"/>
      <c r="E3348" s="631">
        <f t="shared" si="26"/>
        <v>8.3086053412462973E-2</v>
      </c>
      <c r="F3348" s="661">
        <v>3.09</v>
      </c>
      <c r="G3348" s="429">
        <v>3.37</v>
      </c>
      <c r="H3348" s="429">
        <v>0</v>
      </c>
      <c r="O3348" s="584">
        <f t="shared" si="27"/>
        <v>0</v>
      </c>
    </row>
    <row r="3349" spans="1:15" s="429" customFormat="1">
      <c r="A3349" s="651"/>
      <c r="B3349" s="626"/>
      <c r="C3349" s="632" t="s">
        <v>1497</v>
      </c>
      <c r="D3349" s="626"/>
      <c r="E3349" s="631">
        <f t="shared" si="26"/>
        <v>8.3086053412462973E-2</v>
      </c>
      <c r="F3349" s="661">
        <v>3.09</v>
      </c>
      <c r="G3349" s="429">
        <v>3.37</v>
      </c>
      <c r="H3349" s="429">
        <v>418</v>
      </c>
      <c r="O3349" s="584">
        <f t="shared" si="27"/>
        <v>117.04000000000011</v>
      </c>
    </row>
    <row r="3350" spans="1:15" s="429" customFormat="1">
      <c r="A3350" s="651"/>
      <c r="B3350" s="626"/>
      <c r="C3350" s="632" t="s">
        <v>1495</v>
      </c>
      <c r="D3350" s="626"/>
      <c r="E3350" s="631">
        <f t="shared" si="26"/>
        <v>0.12735849056603774</v>
      </c>
      <c r="F3350" s="661">
        <v>7.4</v>
      </c>
      <c r="G3350" s="429">
        <v>8.48</v>
      </c>
      <c r="H3350" s="429">
        <v>36</v>
      </c>
      <c r="O3350" s="584">
        <f t="shared" si="27"/>
        <v>38.880000000000003</v>
      </c>
    </row>
    <row r="3351" spans="1:15" s="429" customFormat="1">
      <c r="A3351" s="651"/>
      <c r="B3351" s="626"/>
      <c r="C3351" s="632" t="s">
        <v>1644</v>
      </c>
      <c r="D3351" s="626"/>
      <c r="E3351" s="631">
        <f t="shared" si="26"/>
        <v>0.17000000000000004</v>
      </c>
      <c r="F3351" s="661">
        <v>3.32</v>
      </c>
      <c r="G3351" s="429">
        <v>4</v>
      </c>
      <c r="H3351" s="429">
        <v>134</v>
      </c>
      <c r="O3351" s="584">
        <f t="shared" si="27"/>
        <v>91.120000000000019</v>
      </c>
    </row>
    <row r="3352" spans="1:15" s="429" customFormat="1">
      <c r="A3352" s="651"/>
      <c r="B3352" s="626"/>
      <c r="C3352" s="632" t="s">
        <v>465</v>
      </c>
      <c r="D3352" s="626"/>
      <c r="E3352" s="631">
        <f t="shared" si="26"/>
        <v>6.7669172932330879E-2</v>
      </c>
      <c r="F3352" s="661">
        <v>1.24</v>
      </c>
      <c r="G3352" s="429">
        <v>1.33</v>
      </c>
      <c r="O3352" s="584">
        <f t="shared" si="27"/>
        <v>0</v>
      </c>
    </row>
    <row r="3353" spans="1:15" s="429" customFormat="1">
      <c r="A3353" s="651"/>
      <c r="B3353" s="626"/>
      <c r="C3353" s="632" t="s">
        <v>1250</v>
      </c>
      <c r="D3353" s="626"/>
      <c r="E3353" s="631">
        <f t="shared" si="26"/>
        <v>0.23076923076923075</v>
      </c>
      <c r="F3353" s="661">
        <v>0.2</v>
      </c>
      <c r="G3353" s="429">
        <v>0.26</v>
      </c>
      <c r="O3353" s="584"/>
    </row>
    <row r="3354" spans="1:15" s="429" customFormat="1">
      <c r="A3354" s="651"/>
      <c r="B3354" s="626"/>
      <c r="C3354" s="632" t="s">
        <v>623</v>
      </c>
      <c r="D3354" s="626"/>
      <c r="E3354" s="631">
        <f t="shared" si="26"/>
        <v>0.1953488372093023</v>
      </c>
      <c r="F3354" s="661">
        <v>1.73</v>
      </c>
      <c r="G3354" s="429">
        <v>2.15</v>
      </c>
      <c r="O3354" s="584"/>
    </row>
    <row r="3355" spans="1:15" s="429" customFormat="1">
      <c r="A3355" s="651"/>
      <c r="B3355" s="626"/>
      <c r="C3355" s="632" t="s">
        <v>1772</v>
      </c>
      <c r="D3355" s="626"/>
      <c r="E3355" s="631">
        <f t="shared" si="26"/>
        <v>0.1953488372093023</v>
      </c>
      <c r="F3355" s="661">
        <v>1.73</v>
      </c>
      <c r="G3355" s="429">
        <v>2.15</v>
      </c>
      <c r="O3355" s="584"/>
    </row>
    <row r="3356" spans="1:15" s="429" customFormat="1">
      <c r="A3356" s="651"/>
      <c r="B3356" s="626"/>
      <c r="C3356" s="632" t="s">
        <v>1346</v>
      </c>
      <c r="D3356" s="626"/>
      <c r="E3356" s="631">
        <f t="shared" si="26"/>
        <v>0.23076923076923075</v>
      </c>
      <c r="F3356" s="661">
        <v>0.2</v>
      </c>
      <c r="G3356" s="429">
        <v>0.26</v>
      </c>
      <c r="O3356" s="584"/>
    </row>
    <row r="3357" spans="1:15" s="429" customFormat="1">
      <c r="A3357" s="651"/>
      <c r="B3357" s="626"/>
      <c r="C3357" s="632" t="s">
        <v>1347</v>
      </c>
      <c r="D3357" s="626"/>
      <c r="E3357" s="631">
        <f t="shared" si="26"/>
        <v>0.23076923076923075</v>
      </c>
      <c r="F3357" s="661">
        <v>0.2</v>
      </c>
      <c r="G3357" s="429">
        <v>0.26</v>
      </c>
      <c r="O3357" s="584"/>
    </row>
    <row r="3358" spans="1:15" s="429" customFormat="1">
      <c r="A3358" s="651"/>
      <c r="B3358" s="626"/>
      <c r="C3358" s="632" t="s">
        <v>1326</v>
      </c>
      <c r="D3358" s="626"/>
      <c r="E3358" s="631">
        <f t="shared" si="26"/>
        <v>0.23076923076923075</v>
      </c>
      <c r="F3358" s="661">
        <v>0.2</v>
      </c>
      <c r="G3358" s="429">
        <v>0.26</v>
      </c>
      <c r="O3358" s="584"/>
    </row>
    <row r="3359" spans="1:15" s="429" customFormat="1">
      <c r="A3359" s="662"/>
      <c r="B3359" s="663"/>
      <c r="C3359" s="664" t="s">
        <v>1327</v>
      </c>
      <c r="D3359" s="663"/>
      <c r="E3359" s="631">
        <f t="shared" si="26"/>
        <v>0.23076923076923075</v>
      </c>
      <c r="F3359" s="661">
        <v>0.2</v>
      </c>
      <c r="G3359" s="429">
        <v>0.26</v>
      </c>
      <c r="O3359" s="584"/>
    </row>
    <row r="3360" spans="1:15" s="429" customFormat="1" ht="15.75" thickBot="1">
      <c r="A3360" s="610"/>
      <c r="B3360" s="654"/>
      <c r="C3360" s="665" t="s">
        <v>1325</v>
      </c>
      <c r="D3360" s="654"/>
      <c r="E3360" s="666">
        <f t="shared" si="26"/>
        <v>0.23076923076923075</v>
      </c>
      <c r="F3360" s="661">
        <v>0.2</v>
      </c>
      <c r="G3360" s="429">
        <v>0.26</v>
      </c>
      <c r="O3360" s="584"/>
    </row>
    <row r="3361" spans="1:13" ht="15.75" thickBot="1"/>
    <row r="3362" spans="1:13">
      <c r="A3362" s="3572"/>
      <c r="B3362" s="3636"/>
      <c r="C3362" s="3636"/>
      <c r="D3362" s="3636"/>
      <c r="E3362" s="3636"/>
      <c r="F3362" s="3559"/>
      <c r="G3362" s="429"/>
    </row>
    <row r="3363" spans="1:13" ht="15.75" thickBot="1">
      <c r="A3363" s="3743"/>
      <c r="B3363" s="3734"/>
      <c r="C3363" s="3734"/>
      <c r="D3363" s="3734"/>
      <c r="E3363" s="3734"/>
      <c r="F3363" s="3737"/>
      <c r="G3363" s="429"/>
    </row>
    <row r="3364" spans="1:13" ht="16.5" thickTop="1" thickBot="1">
      <c r="A3364" s="624" t="s">
        <v>1958</v>
      </c>
      <c r="B3364" s="485" t="s">
        <v>106</v>
      </c>
      <c r="C3364" s="625" t="s">
        <v>1887</v>
      </c>
      <c r="D3364" s="388"/>
      <c r="E3364" s="452">
        <f t="shared" ref="E3364:E3376" si="28">(G3364-F3364)/G3364</f>
        <v>0.24742268041237114</v>
      </c>
      <c r="F3364" s="521">
        <v>0.73</v>
      </c>
      <c r="G3364" s="429">
        <v>0.97</v>
      </c>
      <c r="I3364">
        <v>456</v>
      </c>
      <c r="J3364">
        <f t="shared" ref="J3364:J3376" si="29">(G3364-F3364)*I3364</f>
        <v>109.44</v>
      </c>
      <c r="L3364">
        <f>SUM(J3364:J3376)*0.5</f>
        <v>1442.2050000000002</v>
      </c>
      <c r="M3364">
        <f>L3364/1.894</f>
        <v>761.45987328405499</v>
      </c>
    </row>
    <row r="3365" spans="1:13" ht="15.75" thickBot="1">
      <c r="A3365" s="624"/>
      <c r="B3365" s="626"/>
      <c r="C3365" s="625" t="s">
        <v>153</v>
      </c>
      <c r="D3365" s="388"/>
      <c r="E3365" s="452">
        <f t="shared" si="28"/>
        <v>0.24793388429752061</v>
      </c>
      <c r="F3365" s="521">
        <v>0.91</v>
      </c>
      <c r="G3365" s="429">
        <v>1.21</v>
      </c>
      <c r="I3365">
        <v>1739</v>
      </c>
      <c r="J3365">
        <f t="shared" si="29"/>
        <v>521.69999999999993</v>
      </c>
    </row>
    <row r="3366" spans="1:13" ht="15.75" thickBot="1">
      <c r="A3366" s="624"/>
      <c r="B3366" s="626"/>
      <c r="C3366" s="625" t="s">
        <v>452</v>
      </c>
      <c r="D3366" s="388"/>
      <c r="E3366" s="452">
        <f t="shared" si="28"/>
        <v>0.24806201550387602</v>
      </c>
      <c r="F3366" s="521">
        <v>0.97</v>
      </c>
      <c r="G3366" s="429">
        <v>1.29</v>
      </c>
      <c r="I3366">
        <v>1319</v>
      </c>
      <c r="J3366">
        <f t="shared" si="29"/>
        <v>422.0800000000001</v>
      </c>
    </row>
    <row r="3367" spans="1:13" ht="15.75" thickBot="1">
      <c r="A3367" s="624"/>
      <c r="B3367" s="626"/>
      <c r="C3367" s="625" t="s">
        <v>155</v>
      </c>
      <c r="D3367" s="388"/>
      <c r="E3367" s="452">
        <f t="shared" si="28"/>
        <v>0.24832214765100663</v>
      </c>
      <c r="F3367" s="521">
        <v>1.1200000000000001</v>
      </c>
      <c r="G3367" s="429">
        <v>1.49</v>
      </c>
      <c r="I3367">
        <v>1539</v>
      </c>
      <c r="J3367">
        <f t="shared" si="29"/>
        <v>569.42999999999984</v>
      </c>
    </row>
    <row r="3368" spans="1:13" ht="15.75" thickBot="1">
      <c r="A3368" s="624"/>
      <c r="B3368" s="626"/>
      <c r="C3368" s="625" t="s">
        <v>154</v>
      </c>
      <c r="D3368" s="388"/>
      <c r="E3368" s="452">
        <f t="shared" si="28"/>
        <v>0.24761904761904763</v>
      </c>
      <c r="F3368" s="521">
        <v>0.79</v>
      </c>
      <c r="G3368" s="429">
        <v>1.05</v>
      </c>
      <c r="I3368">
        <v>1309</v>
      </c>
      <c r="J3368">
        <f t="shared" si="29"/>
        <v>340.34000000000003</v>
      </c>
    </row>
    <row r="3369" spans="1:13" ht="15.75" thickBot="1">
      <c r="A3369" s="624"/>
      <c r="B3369" s="626"/>
      <c r="C3369" s="625" t="s">
        <v>485</v>
      </c>
      <c r="D3369" s="388"/>
      <c r="E3369" s="452">
        <f t="shared" si="28"/>
        <v>0.24489795918367346</v>
      </c>
      <c r="F3369" s="521">
        <v>0.74</v>
      </c>
      <c r="G3369" s="429">
        <v>0.98</v>
      </c>
      <c r="I3369">
        <v>0</v>
      </c>
      <c r="J3369">
        <f t="shared" si="29"/>
        <v>0</v>
      </c>
    </row>
    <row r="3370" spans="1:13" ht="15.75" thickBot="1">
      <c r="A3370" s="624"/>
      <c r="B3370" s="626"/>
      <c r="C3370" s="625" t="s">
        <v>486</v>
      </c>
      <c r="D3370" s="388"/>
      <c r="E3370" s="452">
        <f t="shared" si="28"/>
        <v>0.24489795918367346</v>
      </c>
      <c r="F3370" s="521">
        <v>0.74</v>
      </c>
      <c r="G3370" s="429">
        <v>0.98</v>
      </c>
      <c r="I3370">
        <v>173</v>
      </c>
      <c r="J3370">
        <f t="shared" si="29"/>
        <v>41.519999999999996</v>
      </c>
    </row>
    <row r="3371" spans="1:13" ht="15.75" thickBot="1">
      <c r="A3371" s="624"/>
      <c r="B3371" s="626"/>
      <c r="C3371" s="625" t="s">
        <v>1913</v>
      </c>
      <c r="D3371" s="388"/>
      <c r="E3371" s="452">
        <f t="shared" si="28"/>
        <v>0.24489795918367346</v>
      </c>
      <c r="F3371" s="521">
        <v>0.74</v>
      </c>
      <c r="G3371" s="429">
        <v>0.98</v>
      </c>
      <c r="I3371">
        <v>660</v>
      </c>
      <c r="J3371">
        <f t="shared" si="29"/>
        <v>158.4</v>
      </c>
    </row>
    <row r="3372" spans="1:13" ht="15.75" thickBot="1">
      <c r="A3372" s="624"/>
      <c r="B3372" s="626"/>
      <c r="C3372" s="625" t="s">
        <v>1914</v>
      </c>
      <c r="D3372" s="388"/>
      <c r="E3372" s="452">
        <f t="shared" si="28"/>
        <v>0.24489795918367346</v>
      </c>
      <c r="F3372" s="521">
        <v>0.74</v>
      </c>
      <c r="G3372" s="429">
        <v>0.98</v>
      </c>
      <c r="I3372">
        <v>560</v>
      </c>
      <c r="J3372">
        <f t="shared" si="29"/>
        <v>134.4</v>
      </c>
    </row>
    <row r="3373" spans="1:13" ht="15.75" thickBot="1">
      <c r="A3373" s="624"/>
      <c r="B3373" s="626"/>
      <c r="C3373" s="625" t="s">
        <v>23</v>
      </c>
      <c r="D3373" s="388"/>
      <c r="E3373" s="452">
        <f t="shared" si="28"/>
        <v>0.25000000000000006</v>
      </c>
      <c r="F3373" s="521">
        <v>1.1399999999999999</v>
      </c>
      <c r="G3373" s="429">
        <v>1.52</v>
      </c>
      <c r="I3373">
        <v>130</v>
      </c>
      <c r="J3373">
        <f t="shared" si="29"/>
        <v>49.400000000000013</v>
      </c>
    </row>
    <row r="3374" spans="1:13" ht="15.75" thickBot="1">
      <c r="A3374" s="624"/>
      <c r="B3374" s="626"/>
      <c r="C3374" s="625" t="s">
        <v>24</v>
      </c>
      <c r="D3374" s="388"/>
      <c r="E3374" s="452">
        <f t="shared" si="28"/>
        <v>0.25000000000000006</v>
      </c>
      <c r="F3374" s="521">
        <v>1.1399999999999999</v>
      </c>
      <c r="G3374" s="429">
        <v>1.52</v>
      </c>
      <c r="I3374">
        <v>0</v>
      </c>
      <c r="J3374">
        <f t="shared" si="29"/>
        <v>0</v>
      </c>
    </row>
    <row r="3375" spans="1:13" ht="15.75" thickBot="1">
      <c r="A3375" s="624"/>
      <c r="B3375" s="626"/>
      <c r="C3375" s="625" t="s">
        <v>1959</v>
      </c>
      <c r="D3375" s="388"/>
      <c r="E3375" s="452">
        <f t="shared" si="28"/>
        <v>0.25000000000000006</v>
      </c>
      <c r="F3375" s="521">
        <v>1.1399999999999999</v>
      </c>
      <c r="G3375" s="429">
        <v>1.52</v>
      </c>
      <c r="I3375">
        <v>610</v>
      </c>
      <c r="J3375">
        <f t="shared" si="29"/>
        <v>231.80000000000007</v>
      </c>
    </row>
    <row r="3376" spans="1:13">
      <c r="A3376" s="624"/>
      <c r="B3376" s="626"/>
      <c r="C3376" s="625" t="s">
        <v>1960</v>
      </c>
      <c r="D3376" s="388"/>
      <c r="E3376" s="452">
        <f t="shared" si="28"/>
        <v>0.25000000000000006</v>
      </c>
      <c r="F3376" s="521">
        <v>1.1399999999999999</v>
      </c>
      <c r="G3376" s="429">
        <v>1.52</v>
      </c>
      <c r="I3376">
        <v>805</v>
      </c>
      <c r="J3376">
        <f t="shared" si="29"/>
        <v>305.90000000000009</v>
      </c>
    </row>
    <row r="3378" spans="1:15" s="667" customFormat="1">
      <c r="A3378" s="3967"/>
      <c r="B3378" s="3967"/>
      <c r="C3378" s="3967"/>
      <c r="D3378" s="3967"/>
      <c r="E3378" s="3967"/>
      <c r="F3378" s="3967"/>
      <c r="O3378" s="1489"/>
    </row>
    <row r="3379" spans="1:15" s="667" customFormat="1">
      <c r="A3379" s="3967"/>
      <c r="B3379" s="3967"/>
      <c r="C3379" s="3967"/>
      <c r="D3379" s="3967"/>
      <c r="E3379" s="3967"/>
      <c r="F3379" s="3967"/>
      <c r="O3379" s="1489"/>
    </row>
    <row r="3380" spans="1:15" s="667" customFormat="1" ht="15.75" thickBot="1">
      <c r="A3380" s="668" t="s">
        <v>1964</v>
      </c>
      <c r="B3380" s="669" t="s">
        <v>1171</v>
      </c>
      <c r="C3380" s="670" t="s">
        <v>1315</v>
      </c>
      <c r="D3380" s="671"/>
      <c r="E3380" s="672">
        <f t="shared" ref="E3380:E3385" si="30">(G3380-F3380)/G3380</f>
        <v>0.20149253731343283</v>
      </c>
      <c r="F3380" s="670">
        <v>1.07</v>
      </c>
      <c r="G3380" s="667">
        <v>1.34</v>
      </c>
      <c r="H3380" s="667">
        <v>5503</v>
      </c>
      <c r="O3380" s="584">
        <f>(G3380-F3380)*H3380</f>
        <v>1485.8100000000002</v>
      </c>
    </row>
    <row r="3381" spans="1:15" s="667" customFormat="1" ht="15.75" thickBot="1">
      <c r="A3381" s="668"/>
      <c r="B3381" s="669"/>
      <c r="C3381" s="670" t="s">
        <v>1316</v>
      </c>
      <c r="D3381" s="669"/>
      <c r="E3381" s="672">
        <f t="shared" si="30"/>
        <v>0.20149253731343283</v>
      </c>
      <c r="F3381" s="670">
        <v>1.07</v>
      </c>
      <c r="G3381" s="667">
        <v>1.34</v>
      </c>
      <c r="O3381" s="1489"/>
    </row>
    <row r="3382" spans="1:15" s="667" customFormat="1" ht="15.75" thickBot="1">
      <c r="A3382" s="668"/>
      <c r="B3382" s="669"/>
      <c r="C3382" s="670" t="s">
        <v>1317</v>
      </c>
      <c r="D3382" s="671"/>
      <c r="E3382" s="672">
        <f t="shared" si="30"/>
        <v>0.20149253731343283</v>
      </c>
      <c r="F3382" s="670">
        <v>1.07</v>
      </c>
      <c r="G3382" s="667">
        <v>1.34</v>
      </c>
      <c r="O3382" s="1489"/>
    </row>
    <row r="3383" spans="1:15" s="667" customFormat="1" ht="15.75" thickBot="1">
      <c r="A3383" s="668"/>
      <c r="B3383" s="669"/>
      <c r="C3383" s="670"/>
      <c r="D3383" s="671"/>
      <c r="E3383" s="672" t="e">
        <f t="shared" si="30"/>
        <v>#DIV/0!</v>
      </c>
      <c r="F3383" s="670"/>
      <c r="O3383" s="1489"/>
    </row>
    <row r="3384" spans="1:15" s="667" customFormat="1" ht="15.75" thickBot="1">
      <c r="A3384" s="668"/>
      <c r="B3384" s="669"/>
      <c r="C3384" s="670"/>
      <c r="D3384" s="671"/>
      <c r="E3384" s="672" t="e">
        <f t="shared" si="30"/>
        <v>#DIV/0!</v>
      </c>
      <c r="F3384" s="670"/>
      <c r="O3384" s="1489"/>
    </row>
    <row r="3385" spans="1:15" s="667" customFormat="1" ht="15.75" thickBot="1">
      <c r="A3385" s="668"/>
      <c r="B3385" s="669"/>
      <c r="C3385" s="670"/>
      <c r="D3385" s="671"/>
      <c r="E3385" s="672" t="e">
        <f t="shared" si="30"/>
        <v>#DIV/0!</v>
      </c>
      <c r="F3385" s="670"/>
      <c r="G3385" s="673"/>
      <c r="O3385" s="1489"/>
    </row>
    <row r="3386" spans="1:15" s="667" customFormat="1">
      <c r="O3386" s="1489"/>
    </row>
    <row r="3387" spans="1:15" s="667" customFormat="1" ht="15.75" thickBot="1">
      <c r="O3387" s="1489"/>
    </row>
    <row r="3388" spans="1:15" s="667" customFormat="1">
      <c r="A3388" s="3963"/>
      <c r="B3388" s="3965"/>
      <c r="C3388" s="3965"/>
      <c r="D3388" s="3965"/>
      <c r="E3388" s="3965"/>
      <c r="F3388" s="3968"/>
      <c r="O3388" s="1489"/>
    </row>
    <row r="3389" spans="1:15" s="667" customFormat="1" ht="15.75" thickBot="1">
      <c r="A3389" s="3964"/>
      <c r="B3389" s="3966"/>
      <c r="C3389" s="3966"/>
      <c r="D3389" s="3966"/>
      <c r="E3389" s="3966"/>
      <c r="F3389" s="3969"/>
      <c r="O3389" s="1489"/>
    </row>
    <row r="3390" spans="1:15" s="667" customFormat="1" ht="16.5" thickBot="1">
      <c r="A3390" s="674" t="s">
        <v>1965</v>
      </c>
      <c r="B3390" s="675" t="s">
        <v>114</v>
      </c>
      <c r="C3390" s="676" t="s">
        <v>870</v>
      </c>
      <c r="D3390" s="677"/>
      <c r="E3390" s="678">
        <f>(G3390-F3390)/G3390</f>
        <v>0.14876033057851235</v>
      </c>
      <c r="F3390" s="679">
        <v>1.03</v>
      </c>
      <c r="G3390" s="667">
        <v>1.21</v>
      </c>
      <c r="O3390" s="1489"/>
    </row>
    <row r="3391" spans="1:15" s="667" customFormat="1" ht="16.5" thickBot="1">
      <c r="A3391" s="680"/>
      <c r="B3391" s="669"/>
      <c r="C3391" s="676" t="s">
        <v>869</v>
      </c>
      <c r="D3391" s="681"/>
      <c r="E3391" s="682">
        <f>(G3391-F3391)/G3391</f>
        <v>0.14876033057851235</v>
      </c>
      <c r="F3391" s="679">
        <v>1.03</v>
      </c>
      <c r="G3391" s="667">
        <v>1.21</v>
      </c>
      <c r="O3391" s="1489"/>
    </row>
    <row r="3392" spans="1:15" s="667" customFormat="1" ht="16.5" thickBot="1">
      <c r="A3392" s="680"/>
      <c r="B3392" s="669"/>
      <c r="C3392" s="676" t="s">
        <v>786</v>
      </c>
      <c r="D3392" s="669"/>
      <c r="E3392" s="682">
        <f>(G3392-F3392)/G3392</f>
        <v>0.15</v>
      </c>
      <c r="F3392" s="679">
        <v>5.44</v>
      </c>
      <c r="G3392" s="667">
        <v>6.4</v>
      </c>
      <c r="O3392" s="1489"/>
    </row>
    <row r="3393" spans="1:15" s="667" customFormat="1" ht="16.5" thickBot="1">
      <c r="A3393" s="680"/>
      <c r="B3393" s="669"/>
      <c r="C3393" s="676" t="s">
        <v>940</v>
      </c>
      <c r="D3393" s="669"/>
      <c r="E3393" s="682">
        <f>(G3393-F3393)/G3393</f>
        <v>0.15</v>
      </c>
      <c r="F3393" s="679">
        <v>5.44</v>
      </c>
      <c r="G3393" s="667">
        <v>6.4</v>
      </c>
      <c r="O3393" s="1489"/>
    </row>
    <row r="3395" spans="1:15" ht="15.75" thickBot="1"/>
    <row r="3396" spans="1:15" s="429" customFormat="1">
      <c r="A3396" s="3572"/>
      <c r="B3396" s="3636"/>
      <c r="C3396" s="3636"/>
      <c r="D3396" s="3636"/>
      <c r="E3396" s="3636"/>
      <c r="F3396" s="3559"/>
      <c r="O3396" s="584"/>
    </row>
    <row r="3397" spans="1:15" s="429" customFormat="1" ht="15.75" thickBot="1">
      <c r="A3397" s="3962"/>
      <c r="B3397" s="3959"/>
      <c r="C3397" s="3959"/>
      <c r="D3397" s="3959"/>
      <c r="E3397" s="3959"/>
      <c r="F3397" s="3960"/>
      <c r="O3397" s="584"/>
    </row>
    <row r="3398" spans="1:15" s="429" customFormat="1" ht="16.5" thickBot="1">
      <c r="A3398" s="646" t="s">
        <v>1974</v>
      </c>
      <c r="B3398" s="485" t="s">
        <v>114</v>
      </c>
      <c r="C3398" s="690" t="s">
        <v>1975</v>
      </c>
      <c r="D3398" s="648"/>
      <c r="E3398" s="649">
        <f>(G3398-F3398)/G3398</f>
        <v>0.14743589743589741</v>
      </c>
      <c r="F3398" s="691">
        <v>1.33</v>
      </c>
      <c r="G3398" s="429">
        <v>1.56</v>
      </c>
      <c r="I3398" s="429">
        <v>421</v>
      </c>
      <c r="J3398" s="429">
        <f>(G3398-F3398)*I3398</f>
        <v>96.83</v>
      </c>
      <c r="O3398" s="584"/>
    </row>
    <row r="3399" spans="1:15" s="429" customFormat="1" ht="16.5" thickBot="1">
      <c r="A3399" s="651"/>
      <c r="B3399" s="626"/>
      <c r="C3399" s="690"/>
      <c r="D3399" s="627"/>
      <c r="E3399" s="628" t="e">
        <f>(G3399-F3399)/G3399</f>
        <v>#DIV/0!</v>
      </c>
      <c r="F3399" s="691"/>
      <c r="O3399" s="584"/>
    </row>
    <row r="3400" spans="1:15" s="429" customFormat="1" ht="16.5" thickBot="1">
      <c r="A3400" s="651"/>
      <c r="B3400" s="626"/>
      <c r="C3400" s="690"/>
      <c r="D3400" s="626"/>
      <c r="E3400" s="628" t="e">
        <f>(G3400-F3400)/G3400</f>
        <v>#DIV/0!</v>
      </c>
      <c r="F3400" s="691"/>
      <c r="O3400" s="584"/>
    </row>
    <row r="3401" spans="1:15" s="429" customFormat="1" ht="16.5" thickBot="1">
      <c r="A3401" s="651"/>
      <c r="B3401" s="626"/>
      <c r="C3401" s="690"/>
      <c r="D3401" s="626"/>
      <c r="E3401" s="628" t="e">
        <f>(G3401-F3401)/G3401</f>
        <v>#DIV/0!</v>
      </c>
      <c r="F3401" s="691"/>
      <c r="O3401" s="584"/>
    </row>
    <row r="3403" spans="1:15">
      <c r="A3403" s="3961"/>
      <c r="B3403" s="3961"/>
      <c r="C3403" s="3961"/>
      <c r="D3403" s="3961"/>
      <c r="E3403" s="3961"/>
      <c r="F3403" s="3961"/>
      <c r="G3403" s="429"/>
    </row>
    <row r="3404" spans="1:15">
      <c r="A3404" s="3961"/>
      <c r="B3404" s="3961"/>
      <c r="C3404" s="3961"/>
      <c r="D3404" s="3961"/>
      <c r="E3404" s="3961"/>
      <c r="F3404" s="3961"/>
      <c r="G3404" s="429"/>
    </row>
    <row r="3405" spans="1:15" ht="15.75" thickBot="1">
      <c r="A3405" s="709" t="s">
        <v>1982</v>
      </c>
      <c r="B3405" s="710" t="s">
        <v>1171</v>
      </c>
      <c r="C3405" s="554" t="s">
        <v>1763</v>
      </c>
      <c r="D3405" s="711"/>
      <c r="E3405" s="712">
        <f t="shared" ref="E3405:E3410" si="31">(G3405-F3405)/G3405</f>
        <v>0.15004703668861716</v>
      </c>
      <c r="F3405" s="554">
        <v>18.07</v>
      </c>
      <c r="G3405" s="429">
        <v>21.26</v>
      </c>
      <c r="H3405">
        <f>F3405/G3405</f>
        <v>0.84995296331138281</v>
      </c>
    </row>
    <row r="3406" spans="1:15" ht="15.75" thickBot="1">
      <c r="A3406" s="709"/>
      <c r="B3406" s="710"/>
      <c r="C3406" s="554" t="s">
        <v>1556</v>
      </c>
      <c r="D3406" s="710"/>
      <c r="E3406" s="712">
        <f t="shared" si="31"/>
        <v>0.15004703668861716</v>
      </c>
      <c r="F3406" s="554">
        <v>18.07</v>
      </c>
      <c r="G3406" s="429">
        <v>21.26</v>
      </c>
    </row>
    <row r="3407" spans="1:15" ht="15.75" thickBot="1">
      <c r="A3407" s="709"/>
      <c r="B3407" s="710"/>
      <c r="C3407" s="554" t="s">
        <v>1557</v>
      </c>
      <c r="D3407" s="711"/>
      <c r="E3407" s="712">
        <f t="shared" si="31"/>
        <v>0.15004703668861716</v>
      </c>
      <c r="F3407" s="554">
        <v>18.07</v>
      </c>
      <c r="G3407" s="429">
        <v>21.26</v>
      </c>
    </row>
    <row r="3408" spans="1:15" ht="15.75" thickBot="1">
      <c r="A3408" s="709"/>
      <c r="B3408" s="710"/>
      <c r="C3408" s="554" t="s">
        <v>1555</v>
      </c>
      <c r="D3408" s="711"/>
      <c r="E3408" s="712">
        <f t="shared" si="31"/>
        <v>0.15004703668861716</v>
      </c>
      <c r="F3408" s="554">
        <v>18.07</v>
      </c>
      <c r="G3408" s="429">
        <v>21.26</v>
      </c>
    </row>
    <row r="3409" spans="1:7" ht="15.75" thickBot="1">
      <c r="A3409" s="709"/>
      <c r="B3409" s="710"/>
      <c r="C3409" s="554" t="s">
        <v>1810</v>
      </c>
      <c r="D3409" s="711"/>
      <c r="E3409" s="712">
        <f t="shared" si="31"/>
        <v>0.15004703668861716</v>
      </c>
      <c r="F3409" s="554">
        <v>18.07</v>
      </c>
      <c r="G3409" s="429">
        <v>21.26</v>
      </c>
    </row>
    <row r="3410" spans="1:7" ht="15.75" thickBot="1">
      <c r="A3410" s="709"/>
      <c r="B3410" s="710"/>
      <c r="C3410" s="554"/>
      <c r="D3410" s="711"/>
      <c r="E3410" s="712" t="e">
        <f t="shared" si="31"/>
        <v>#DIV/0!</v>
      </c>
      <c r="F3410" s="554"/>
      <c r="G3410" s="528"/>
    </row>
    <row r="3412" spans="1:7" ht="15.75" thickBot="1"/>
    <row r="3413" spans="1:7">
      <c r="A3413" s="3572"/>
      <c r="B3413" s="3636"/>
      <c r="C3413" s="3636"/>
      <c r="D3413" s="3636"/>
      <c r="E3413" s="3636"/>
      <c r="F3413" s="3559"/>
      <c r="G3413" s="429"/>
    </row>
    <row r="3414" spans="1:7" ht="15.75" thickBot="1">
      <c r="A3414" s="3743"/>
      <c r="B3414" s="3734"/>
      <c r="C3414" s="3734"/>
      <c r="D3414" s="3734"/>
      <c r="E3414" s="3734"/>
      <c r="F3414" s="3737"/>
      <c r="G3414" s="429"/>
    </row>
    <row r="3415" spans="1:7" ht="16.5" thickTop="1" thickBot="1">
      <c r="A3415" s="624" t="s">
        <v>1992</v>
      </c>
      <c r="B3415" s="485" t="s">
        <v>106</v>
      </c>
      <c r="C3415" s="625" t="s">
        <v>1345</v>
      </c>
      <c r="D3415" s="388"/>
      <c r="E3415" s="452"/>
      <c r="F3415" s="521">
        <v>1.4</v>
      </c>
      <c r="G3415" s="429">
        <v>1.62</v>
      </c>
    </row>
    <row r="3416" spans="1:7" ht="15.75" thickBot="1">
      <c r="A3416" s="624"/>
      <c r="B3416" s="626"/>
      <c r="C3416" s="625" t="s">
        <v>1355</v>
      </c>
      <c r="D3416" s="388"/>
      <c r="E3416" s="452"/>
      <c r="F3416" s="521">
        <v>1.4</v>
      </c>
      <c r="G3416" s="429"/>
    </row>
    <row r="3417" spans="1:7" ht="15.75" thickBot="1">
      <c r="A3417" s="624"/>
      <c r="B3417" s="626"/>
      <c r="C3417" s="625" t="s">
        <v>1413</v>
      </c>
      <c r="D3417" s="388"/>
      <c r="E3417" s="452"/>
      <c r="F3417" s="521">
        <v>1.4</v>
      </c>
      <c r="G3417" s="429"/>
    </row>
    <row r="3418" spans="1:7" ht="15.75" thickBot="1">
      <c r="A3418" s="624"/>
      <c r="B3418" s="626"/>
      <c r="C3418" s="625" t="s">
        <v>1429</v>
      </c>
      <c r="D3418" s="388"/>
      <c r="E3418" s="452"/>
      <c r="F3418" s="521">
        <v>1.4</v>
      </c>
      <c r="G3418" s="429"/>
    </row>
    <row r="3419" spans="1:7" ht="15.75" thickBot="1">
      <c r="A3419" s="624"/>
      <c r="B3419" s="626"/>
      <c r="C3419" s="625"/>
      <c r="D3419" s="388"/>
      <c r="E3419" s="452"/>
      <c r="F3419" s="521"/>
      <c r="G3419" s="429"/>
    </row>
    <row r="3420" spans="1:7" ht="15.75" thickBot="1">
      <c r="A3420" s="624"/>
      <c r="B3420" s="626"/>
      <c r="C3420" s="625"/>
      <c r="D3420" s="388"/>
      <c r="E3420" s="452"/>
      <c r="F3420" s="521"/>
      <c r="G3420" s="429"/>
    </row>
    <row r="3421" spans="1:7" ht="15.75" thickBot="1">
      <c r="A3421" s="624"/>
      <c r="B3421" s="626"/>
      <c r="C3421" s="625"/>
      <c r="D3421" s="388"/>
      <c r="E3421" s="452"/>
      <c r="F3421" s="521"/>
      <c r="G3421" s="429"/>
    </row>
    <row r="3422" spans="1:7" ht="15.75" thickBot="1">
      <c r="A3422" s="624"/>
      <c r="B3422" s="626"/>
      <c r="C3422" s="625"/>
      <c r="D3422" s="388"/>
      <c r="E3422" s="452"/>
      <c r="F3422" s="521"/>
      <c r="G3422" s="429"/>
    </row>
    <row r="3423" spans="1:7" ht="15.75" thickBot="1">
      <c r="A3423" s="624"/>
      <c r="B3423" s="626"/>
      <c r="C3423" s="625"/>
      <c r="D3423" s="388"/>
      <c r="E3423" s="452"/>
      <c r="F3423" s="521"/>
      <c r="G3423" s="429"/>
    </row>
    <row r="3424" spans="1:7" ht="15.75" thickBot="1">
      <c r="A3424" s="624"/>
      <c r="B3424" s="626"/>
      <c r="C3424" s="625"/>
      <c r="D3424" s="388"/>
      <c r="E3424" s="452"/>
      <c r="F3424" s="521"/>
      <c r="G3424" s="429"/>
    </row>
    <row r="3425" spans="1:15" ht="15.75" thickBot="1">
      <c r="A3425" s="624"/>
      <c r="B3425" s="626"/>
      <c r="C3425" s="625"/>
      <c r="D3425" s="388"/>
      <c r="E3425" s="452"/>
      <c r="F3425" s="521"/>
      <c r="G3425" s="429"/>
    </row>
    <row r="3426" spans="1:15" ht="15.75" thickBot="1">
      <c r="A3426" s="624"/>
      <c r="B3426" s="626"/>
      <c r="C3426" s="625"/>
      <c r="D3426" s="388"/>
      <c r="E3426" s="452"/>
      <c r="F3426" s="521"/>
      <c r="G3426" s="429"/>
    </row>
    <row r="3427" spans="1:15">
      <c r="A3427" s="624"/>
      <c r="B3427" s="626"/>
      <c r="C3427" s="625"/>
      <c r="D3427" s="388"/>
      <c r="E3427" s="452"/>
      <c r="F3427" s="521"/>
      <c r="G3427" s="429"/>
    </row>
    <row r="3429" spans="1:15" ht="15.75" thickBot="1"/>
    <row r="3430" spans="1:15">
      <c r="A3430" s="3572"/>
      <c r="B3430" s="3636"/>
      <c r="C3430" s="3636"/>
      <c r="D3430" s="3636"/>
      <c r="E3430" s="3636"/>
      <c r="F3430" s="3559"/>
      <c r="G3430" s="429"/>
    </row>
    <row r="3431" spans="1:15" ht="15.75" thickBot="1">
      <c r="A3431" s="3942"/>
      <c r="B3431" s="3959"/>
      <c r="C3431" s="3959"/>
      <c r="D3431" s="3959"/>
      <c r="E3431" s="3959"/>
      <c r="F3431" s="3971"/>
      <c r="G3431" s="429"/>
    </row>
    <row r="3432" spans="1:15">
      <c r="A3432" s="646" t="s">
        <v>1993</v>
      </c>
      <c r="B3432" s="485" t="s">
        <v>1171</v>
      </c>
      <c r="C3432" s="658" t="s">
        <v>72</v>
      </c>
      <c r="D3432" s="388"/>
      <c r="E3432" s="659">
        <f t="shared" ref="E3432:E3460" si="32">(G3432-F3432)/G3432</f>
        <v>0.12867647058823525</v>
      </c>
      <c r="F3432" s="660">
        <v>16.59</v>
      </c>
      <c r="G3432" s="429">
        <v>19.04</v>
      </c>
      <c r="H3432">
        <v>890</v>
      </c>
      <c r="O3432" s="584">
        <f t="shared" ref="O3432:O3454" si="33">(G3432-F3432)*H3432</f>
        <v>2180.4999999999995</v>
      </c>
    </row>
    <row r="3433" spans="1:15">
      <c r="A3433" s="717"/>
      <c r="B3433" s="718"/>
      <c r="C3433" s="719" t="s">
        <v>1499</v>
      </c>
      <c r="D3433" s="718"/>
      <c r="E3433" s="720">
        <f t="shared" si="32"/>
        <v>8.2524271844660269E-2</v>
      </c>
      <c r="F3433" s="721">
        <v>7.56</v>
      </c>
      <c r="G3433" s="429">
        <v>8.24</v>
      </c>
      <c r="H3433">
        <v>85</v>
      </c>
      <c r="O3433" s="584">
        <f t="shared" si="33"/>
        <v>57.800000000000054</v>
      </c>
    </row>
    <row r="3434" spans="1:15">
      <c r="A3434" s="717"/>
      <c r="B3434" s="718"/>
      <c r="C3434" s="719" t="s">
        <v>930</v>
      </c>
      <c r="D3434" s="718"/>
      <c r="E3434" s="720">
        <f t="shared" si="32"/>
        <v>0.13828571428571429</v>
      </c>
      <c r="F3434" s="721">
        <v>7.54</v>
      </c>
      <c r="G3434" s="429">
        <v>8.75</v>
      </c>
      <c r="H3434">
        <v>80</v>
      </c>
      <c r="O3434" s="584">
        <f t="shared" si="33"/>
        <v>96.8</v>
      </c>
    </row>
    <row r="3435" spans="1:15">
      <c r="A3435" s="717"/>
      <c r="B3435" s="718"/>
      <c r="C3435" s="719" t="s">
        <v>1496</v>
      </c>
      <c r="D3435" s="722"/>
      <c r="E3435" s="720">
        <f t="shared" si="32"/>
        <v>8.3086053412462973E-2</v>
      </c>
      <c r="F3435" s="721">
        <v>3.09</v>
      </c>
      <c r="G3435" s="429">
        <v>3.37</v>
      </c>
      <c r="H3435">
        <v>969</v>
      </c>
      <c r="O3435" s="584">
        <f t="shared" si="33"/>
        <v>271.32000000000022</v>
      </c>
    </row>
    <row r="3436" spans="1:15">
      <c r="A3436" s="717"/>
      <c r="B3436" s="718"/>
      <c r="C3436" s="719" t="s">
        <v>1075</v>
      </c>
      <c r="D3436" s="722"/>
      <c r="E3436" s="720">
        <f t="shared" si="32"/>
        <v>0.1125000000000001</v>
      </c>
      <c r="F3436" s="721">
        <v>0.71</v>
      </c>
      <c r="G3436" s="429">
        <v>0.8</v>
      </c>
      <c r="H3436">
        <v>96</v>
      </c>
      <c r="O3436" s="584">
        <f t="shared" si="33"/>
        <v>8.6400000000000077</v>
      </c>
    </row>
    <row r="3437" spans="1:15">
      <c r="A3437" s="717"/>
      <c r="B3437" s="718"/>
      <c r="C3437" s="719" t="s">
        <v>1401</v>
      </c>
      <c r="D3437" s="722"/>
      <c r="E3437" s="720">
        <f t="shared" si="32"/>
        <v>0.10855263157894739</v>
      </c>
      <c r="F3437" s="721">
        <v>2.71</v>
      </c>
      <c r="G3437" s="429">
        <v>3.04</v>
      </c>
      <c r="O3437" s="584">
        <f t="shared" si="33"/>
        <v>0</v>
      </c>
    </row>
    <row r="3438" spans="1:15">
      <c r="A3438" s="717"/>
      <c r="B3438" s="718"/>
      <c r="C3438" s="719" t="s">
        <v>868</v>
      </c>
      <c r="D3438" s="722"/>
      <c r="E3438" s="720">
        <f t="shared" si="32"/>
        <v>8.2556591211717725E-2</v>
      </c>
      <c r="F3438" s="721">
        <v>6.89</v>
      </c>
      <c r="G3438" s="429">
        <v>7.51</v>
      </c>
      <c r="H3438">
        <v>637</v>
      </c>
      <c r="O3438" s="584">
        <f t="shared" si="33"/>
        <v>394.94000000000005</v>
      </c>
    </row>
    <row r="3439" spans="1:15">
      <c r="A3439" s="717"/>
      <c r="B3439" s="718"/>
      <c r="C3439" s="719" t="s">
        <v>239</v>
      </c>
      <c r="D3439" s="722"/>
      <c r="E3439" s="720">
        <f t="shared" si="32"/>
        <v>8.2556591211717725E-2</v>
      </c>
      <c r="F3439" s="721">
        <v>6.89</v>
      </c>
      <c r="G3439" s="429">
        <v>7.51</v>
      </c>
      <c r="O3439" s="584">
        <f t="shared" si="33"/>
        <v>0</v>
      </c>
    </row>
    <row r="3440" spans="1:15">
      <c r="A3440" s="717"/>
      <c r="B3440" s="718"/>
      <c r="C3440" s="719" t="s">
        <v>238</v>
      </c>
      <c r="D3440" s="718"/>
      <c r="E3440" s="720">
        <f t="shared" si="32"/>
        <v>8.2556591211717725E-2</v>
      </c>
      <c r="F3440" s="721">
        <v>6.89</v>
      </c>
      <c r="G3440" s="429">
        <v>7.51</v>
      </c>
      <c r="O3440" s="584">
        <f t="shared" si="33"/>
        <v>0</v>
      </c>
    </row>
    <row r="3441" spans="1:15">
      <c r="A3441" s="717"/>
      <c r="B3441" s="718"/>
      <c r="C3441" s="719" t="s">
        <v>1883</v>
      </c>
      <c r="D3441" s="718"/>
      <c r="E3441" s="720">
        <f t="shared" si="32"/>
        <v>0.12867647058823525</v>
      </c>
      <c r="F3441" s="721">
        <v>16.59</v>
      </c>
      <c r="G3441" s="429">
        <v>19.04</v>
      </c>
      <c r="O3441" s="584">
        <f t="shared" si="33"/>
        <v>0</v>
      </c>
    </row>
    <row r="3442" spans="1:15">
      <c r="A3442" s="717"/>
      <c r="B3442" s="718"/>
      <c r="C3442" s="719" t="s">
        <v>74</v>
      </c>
      <c r="D3442" s="718"/>
      <c r="E3442" s="720">
        <f t="shared" si="32"/>
        <v>0.12867647058823525</v>
      </c>
      <c r="F3442" s="721">
        <v>16.59</v>
      </c>
      <c r="G3442" s="429">
        <v>19.04</v>
      </c>
      <c r="O3442" s="584">
        <f t="shared" si="33"/>
        <v>0</v>
      </c>
    </row>
    <row r="3443" spans="1:15">
      <c r="A3443" s="717"/>
      <c r="B3443" s="718"/>
      <c r="C3443" s="719" t="s">
        <v>1485</v>
      </c>
      <c r="D3443" s="718"/>
      <c r="E3443" s="720">
        <f t="shared" si="32"/>
        <v>0.12867647058823525</v>
      </c>
      <c r="F3443" s="721">
        <v>16.59</v>
      </c>
      <c r="G3443" s="429">
        <v>19.04</v>
      </c>
      <c r="O3443" s="584">
        <f t="shared" si="33"/>
        <v>0</v>
      </c>
    </row>
    <row r="3444" spans="1:15">
      <c r="A3444" s="717"/>
      <c r="B3444" s="718"/>
      <c r="C3444" s="719" t="s">
        <v>71</v>
      </c>
      <c r="D3444" s="718"/>
      <c r="E3444" s="720">
        <f t="shared" si="32"/>
        <v>0.12867647058823525</v>
      </c>
      <c r="F3444" s="721">
        <v>16.59</v>
      </c>
      <c r="G3444" s="429">
        <v>19.04</v>
      </c>
      <c r="O3444" s="584">
        <f t="shared" si="33"/>
        <v>0</v>
      </c>
    </row>
    <row r="3445" spans="1:15">
      <c r="A3445" s="717"/>
      <c r="B3445" s="718"/>
      <c r="C3445" s="719" t="s">
        <v>931</v>
      </c>
      <c r="D3445" s="718"/>
      <c r="E3445" s="720">
        <f t="shared" si="32"/>
        <v>8.2000000000000031E-2</v>
      </c>
      <c r="F3445" s="721">
        <v>4.59</v>
      </c>
      <c r="G3445" s="429">
        <v>5</v>
      </c>
      <c r="O3445" s="584">
        <f t="shared" si="33"/>
        <v>0</v>
      </c>
    </row>
    <row r="3446" spans="1:15">
      <c r="A3446" s="717"/>
      <c r="B3446" s="718"/>
      <c r="C3446" s="719" t="s">
        <v>1494</v>
      </c>
      <c r="D3446" s="718"/>
      <c r="E3446" s="720">
        <f t="shared" si="32"/>
        <v>0.13278008298755198</v>
      </c>
      <c r="F3446" s="721">
        <v>4.18</v>
      </c>
      <c r="G3446" s="429">
        <v>4.82</v>
      </c>
      <c r="O3446" s="584">
        <f t="shared" si="33"/>
        <v>0</v>
      </c>
    </row>
    <row r="3447" spans="1:15">
      <c r="A3447" s="717"/>
      <c r="B3447" s="718"/>
      <c r="C3447" s="719" t="s">
        <v>1168</v>
      </c>
      <c r="D3447" s="718"/>
      <c r="E3447" s="720">
        <f t="shared" si="32"/>
        <v>0.10877192982456142</v>
      </c>
      <c r="F3447" s="721">
        <v>5.08</v>
      </c>
      <c r="G3447" s="429">
        <v>5.7</v>
      </c>
      <c r="H3447">
        <v>264</v>
      </c>
      <c r="O3447" s="584">
        <f t="shared" si="33"/>
        <v>163.68000000000004</v>
      </c>
    </row>
    <row r="3448" spans="1:15">
      <c r="A3448" s="717"/>
      <c r="B3448" s="718"/>
      <c r="C3448" s="719" t="s">
        <v>1498</v>
      </c>
      <c r="D3448" s="718"/>
      <c r="E3448" s="720">
        <f t="shared" si="32"/>
        <v>8.3086053412462973E-2</v>
      </c>
      <c r="F3448" s="721">
        <v>3.09</v>
      </c>
      <c r="G3448" s="429">
        <v>3.37</v>
      </c>
      <c r="O3448" s="584">
        <f t="shared" si="33"/>
        <v>0</v>
      </c>
    </row>
    <row r="3449" spans="1:15">
      <c r="A3449" s="717"/>
      <c r="B3449" s="718"/>
      <c r="C3449" s="719" t="s">
        <v>1497</v>
      </c>
      <c r="D3449" s="718"/>
      <c r="E3449" s="720">
        <f t="shared" si="32"/>
        <v>8.3086053412462973E-2</v>
      </c>
      <c r="F3449" s="721">
        <v>3.09</v>
      </c>
      <c r="G3449" s="429">
        <v>3.37</v>
      </c>
      <c r="O3449" s="584">
        <f t="shared" si="33"/>
        <v>0</v>
      </c>
    </row>
    <row r="3450" spans="1:15">
      <c r="A3450" s="717"/>
      <c r="B3450" s="718"/>
      <c r="C3450" s="719" t="s">
        <v>1495</v>
      </c>
      <c r="D3450" s="718"/>
      <c r="E3450" s="720">
        <f t="shared" si="32"/>
        <v>0.12735849056603774</v>
      </c>
      <c r="F3450" s="721">
        <v>7.4</v>
      </c>
      <c r="G3450" s="429">
        <v>8.48</v>
      </c>
      <c r="O3450" s="584">
        <f t="shared" si="33"/>
        <v>0</v>
      </c>
    </row>
    <row r="3451" spans="1:15">
      <c r="A3451" s="717"/>
      <c r="B3451" s="718"/>
      <c r="C3451" s="719" t="s">
        <v>1644</v>
      </c>
      <c r="D3451" s="718"/>
      <c r="E3451" s="720">
        <f t="shared" si="32"/>
        <v>0.17000000000000004</v>
      </c>
      <c r="F3451" s="721">
        <v>3.32</v>
      </c>
      <c r="G3451" s="429">
        <v>4</v>
      </c>
      <c r="H3451">
        <v>197</v>
      </c>
      <c r="O3451" s="584">
        <f t="shared" si="33"/>
        <v>133.96000000000004</v>
      </c>
    </row>
    <row r="3452" spans="1:15">
      <c r="A3452" s="717"/>
      <c r="B3452" s="718"/>
      <c r="C3452" s="719" t="s">
        <v>465</v>
      </c>
      <c r="D3452" s="718"/>
      <c r="E3452" s="720">
        <f t="shared" si="32"/>
        <v>6.7669172932330879E-2</v>
      </c>
      <c r="F3452" s="721">
        <v>1.24</v>
      </c>
      <c r="G3452" s="429">
        <v>1.33</v>
      </c>
      <c r="H3452">
        <v>450</v>
      </c>
      <c r="O3452" s="584">
        <f t="shared" si="33"/>
        <v>40.500000000000036</v>
      </c>
    </row>
    <row r="3453" spans="1:15">
      <c r="A3453" s="717"/>
      <c r="B3453" s="718"/>
      <c r="C3453" s="719" t="s">
        <v>1250</v>
      </c>
      <c r="D3453" s="718"/>
      <c r="E3453" s="720">
        <f t="shared" si="32"/>
        <v>0.23076923076923075</v>
      </c>
      <c r="F3453" s="721">
        <v>0.2</v>
      </c>
      <c r="G3453" s="429">
        <v>0.26</v>
      </c>
      <c r="O3453" s="584">
        <f t="shared" si="33"/>
        <v>0</v>
      </c>
    </row>
    <row r="3454" spans="1:15">
      <c r="A3454" s="717"/>
      <c r="B3454" s="718"/>
      <c r="C3454" s="719" t="s">
        <v>623</v>
      </c>
      <c r="D3454" s="718"/>
      <c r="E3454" s="720">
        <f t="shared" si="32"/>
        <v>0.1953488372093023</v>
      </c>
      <c r="F3454" s="721">
        <v>1.73</v>
      </c>
      <c r="G3454" s="429">
        <v>2.15</v>
      </c>
      <c r="O3454" s="584">
        <f t="shared" si="33"/>
        <v>0</v>
      </c>
    </row>
    <row r="3455" spans="1:15">
      <c r="A3455" s="717"/>
      <c r="B3455" s="718"/>
      <c r="C3455" s="719" t="s">
        <v>1772</v>
      </c>
      <c r="D3455" s="718"/>
      <c r="E3455" s="720">
        <f t="shared" si="32"/>
        <v>0.1953488372093023</v>
      </c>
      <c r="F3455" s="721">
        <v>1.73</v>
      </c>
      <c r="G3455" s="429">
        <v>2.15</v>
      </c>
    </row>
    <row r="3456" spans="1:15">
      <c r="A3456" s="717"/>
      <c r="B3456" s="718"/>
      <c r="C3456" s="719" t="s">
        <v>1346</v>
      </c>
      <c r="D3456" s="718"/>
      <c r="E3456" s="720">
        <f t="shared" si="32"/>
        <v>0.23076923076923075</v>
      </c>
      <c r="F3456" s="721">
        <v>0.2</v>
      </c>
      <c r="G3456" s="429">
        <v>0.26</v>
      </c>
    </row>
    <row r="3457" spans="1:15">
      <c r="A3457" s="717"/>
      <c r="B3457" s="718"/>
      <c r="C3457" s="719" t="s">
        <v>1347</v>
      </c>
      <c r="D3457" s="718"/>
      <c r="E3457" s="720">
        <f t="shared" si="32"/>
        <v>0.23076923076923075</v>
      </c>
      <c r="F3457" s="721">
        <v>0.2</v>
      </c>
      <c r="G3457" s="429">
        <v>0.26</v>
      </c>
    </row>
    <row r="3458" spans="1:15">
      <c r="A3458" s="717"/>
      <c r="B3458" s="718"/>
      <c r="C3458" s="719" t="s">
        <v>1326</v>
      </c>
      <c r="D3458" s="718"/>
      <c r="E3458" s="720">
        <f t="shared" si="32"/>
        <v>0.23076923076923075</v>
      </c>
      <c r="F3458" s="721">
        <v>0.2</v>
      </c>
      <c r="G3458" s="429">
        <v>0.26</v>
      </c>
    </row>
    <row r="3459" spans="1:15">
      <c r="A3459" s="662"/>
      <c r="B3459" s="663"/>
      <c r="C3459" s="664" t="s">
        <v>1327</v>
      </c>
      <c r="D3459" s="663"/>
      <c r="E3459" s="720">
        <f t="shared" si="32"/>
        <v>0.23076923076923075</v>
      </c>
      <c r="F3459" s="721">
        <v>0.2</v>
      </c>
      <c r="G3459" s="429">
        <v>0.26</v>
      </c>
    </row>
    <row r="3460" spans="1:15" ht="15.75" thickBot="1">
      <c r="A3460" s="723"/>
      <c r="B3460" s="724"/>
      <c r="C3460" s="725" t="s">
        <v>1325</v>
      </c>
      <c r="D3460" s="724"/>
      <c r="E3460" s="726">
        <f t="shared" si="32"/>
        <v>0.23076923076923075</v>
      </c>
      <c r="F3460" s="721">
        <v>0.2</v>
      </c>
      <c r="G3460" s="429">
        <v>0.26</v>
      </c>
    </row>
    <row r="3462" spans="1:15">
      <c r="A3462" s="3961"/>
      <c r="B3462" s="3961"/>
      <c r="C3462" s="3961"/>
      <c r="D3462" s="3961"/>
      <c r="E3462" s="3961"/>
      <c r="F3462" s="3961"/>
      <c r="G3462" s="429"/>
    </row>
    <row r="3463" spans="1:15">
      <c r="A3463" s="3961"/>
      <c r="B3463" s="3961"/>
      <c r="C3463" s="3961"/>
      <c r="D3463" s="3961"/>
      <c r="E3463" s="3961"/>
      <c r="F3463" s="3961"/>
      <c r="G3463" s="429"/>
    </row>
    <row r="3464" spans="1:15" ht="15.75" thickBot="1">
      <c r="A3464" s="709" t="s">
        <v>1998</v>
      </c>
      <c r="B3464" s="710" t="s">
        <v>115</v>
      </c>
      <c r="C3464" s="554" t="s">
        <v>554</v>
      </c>
      <c r="D3464" s="711"/>
      <c r="E3464" s="712">
        <v>0.2</v>
      </c>
      <c r="F3464" s="554">
        <v>0.88</v>
      </c>
      <c r="G3464" s="429">
        <v>1.1000000000000001</v>
      </c>
      <c r="H3464">
        <v>5920</v>
      </c>
      <c r="O3464" s="584">
        <f>(G3464-F3464)*H3464</f>
        <v>1302.4000000000005</v>
      </c>
    </row>
    <row r="3465" spans="1:15" ht="15.75" thickBot="1">
      <c r="A3465" s="709"/>
      <c r="B3465" s="710"/>
      <c r="C3465" s="554"/>
      <c r="D3465" s="710"/>
      <c r="E3465" s="712"/>
      <c r="F3465" s="554"/>
      <c r="G3465" s="429"/>
    </row>
    <row r="3466" spans="1:15" ht="15.75" thickBot="1">
      <c r="A3466" s="709"/>
      <c r="B3466" s="710"/>
      <c r="C3466" s="554"/>
      <c r="D3466" s="711"/>
      <c r="E3466" s="712"/>
      <c r="F3466" s="554"/>
      <c r="G3466" s="429"/>
    </row>
    <row r="3467" spans="1:15" ht="15.75" thickBot="1">
      <c r="A3467" s="709"/>
      <c r="B3467" s="710"/>
      <c r="C3467" s="554"/>
      <c r="D3467" s="711"/>
      <c r="E3467" s="712"/>
      <c r="F3467" s="554"/>
      <c r="G3467" s="429"/>
    </row>
    <row r="3468" spans="1:15" ht="15.75" thickBot="1">
      <c r="A3468" s="709"/>
      <c r="B3468" s="710"/>
      <c r="C3468" s="554"/>
      <c r="D3468" s="711"/>
      <c r="E3468" s="712"/>
      <c r="F3468" s="554"/>
      <c r="G3468" s="429"/>
    </row>
    <row r="3469" spans="1:15" ht="15.75" thickBot="1">
      <c r="A3469" s="709"/>
      <c r="B3469" s="710"/>
      <c r="C3469" s="554"/>
      <c r="D3469" s="711"/>
      <c r="E3469" s="712"/>
      <c r="F3469" s="554"/>
      <c r="G3469" s="528"/>
    </row>
    <row r="3472" spans="1:15">
      <c r="A3472" s="3961"/>
      <c r="B3472" s="3961"/>
      <c r="C3472" s="3961"/>
      <c r="D3472" s="3961"/>
      <c r="E3472" s="3961"/>
      <c r="F3472" s="3961"/>
      <c r="G3472" s="429"/>
    </row>
    <row r="3473" spans="1:15">
      <c r="A3473" s="3961"/>
      <c r="B3473" s="3961"/>
      <c r="C3473" s="3961"/>
      <c r="D3473" s="3961"/>
      <c r="E3473" s="3961"/>
      <c r="F3473" s="3961"/>
      <c r="G3473" s="429"/>
    </row>
    <row r="3474" spans="1:15" ht="15.75" thickBot="1">
      <c r="A3474" s="709" t="s">
        <v>2039</v>
      </c>
      <c r="B3474" s="710" t="s">
        <v>115</v>
      </c>
      <c r="C3474" s="554" t="s">
        <v>1258</v>
      </c>
      <c r="D3474" s="711"/>
      <c r="E3474" s="712">
        <v>0.15</v>
      </c>
      <c r="F3474" s="554">
        <v>24.24</v>
      </c>
      <c r="G3474" s="429">
        <v>28.52</v>
      </c>
      <c r="H3474">
        <v>54</v>
      </c>
      <c r="O3474" s="584">
        <f>(G3474-F3474)*H3474</f>
        <v>231.12000000000006</v>
      </c>
    </row>
    <row r="3475" spans="1:15" ht="15.75" thickBot="1">
      <c r="A3475" s="709"/>
      <c r="B3475" s="710"/>
      <c r="C3475" s="554" t="s">
        <v>1259</v>
      </c>
      <c r="D3475" s="710"/>
      <c r="E3475" s="712">
        <v>0.15</v>
      </c>
      <c r="F3475" s="554">
        <v>20.74</v>
      </c>
      <c r="G3475" s="429">
        <v>24.4</v>
      </c>
      <c r="H3475">
        <v>37</v>
      </c>
      <c r="O3475" s="584">
        <f>(G3475-F3475)*H3475</f>
        <v>135.42000000000002</v>
      </c>
    </row>
    <row r="3476" spans="1:15" ht="15.75" thickBot="1">
      <c r="A3476" s="709"/>
      <c r="B3476" s="710"/>
      <c r="C3476" s="554"/>
      <c r="D3476" s="711"/>
      <c r="E3476" s="712"/>
      <c r="F3476" s="554"/>
      <c r="G3476" s="429"/>
    </row>
    <row r="3477" spans="1:15" ht="15.75" thickBot="1">
      <c r="A3477" s="709"/>
      <c r="B3477" s="710"/>
      <c r="C3477" s="554"/>
      <c r="D3477" s="711"/>
      <c r="E3477" s="712"/>
      <c r="F3477" s="554"/>
      <c r="G3477" s="429"/>
    </row>
    <row r="3478" spans="1:15" ht="15.75" thickBot="1">
      <c r="A3478" s="709"/>
      <c r="B3478" s="710"/>
      <c r="C3478" s="554"/>
      <c r="D3478" s="711"/>
      <c r="E3478" s="712"/>
      <c r="F3478" s="554"/>
      <c r="G3478" s="429"/>
    </row>
    <row r="3479" spans="1:15" ht="15.75" thickBot="1">
      <c r="A3479" s="709"/>
      <c r="B3479" s="710"/>
      <c r="C3479" s="554"/>
      <c r="D3479" s="711"/>
      <c r="E3479" s="712"/>
      <c r="F3479" s="554"/>
      <c r="G3479" s="528"/>
    </row>
    <row r="3481" spans="1:15" ht="15.75" thickBot="1"/>
    <row r="3482" spans="1:15" s="429" customFormat="1">
      <c r="A3482" s="3572"/>
      <c r="B3482" s="3636"/>
      <c r="C3482" s="3636"/>
      <c r="D3482" s="3636"/>
      <c r="E3482" s="3636"/>
      <c r="F3482" s="3559"/>
      <c r="O3482" s="584"/>
    </row>
    <row r="3483" spans="1:15" s="429" customFormat="1" ht="15.75" thickBot="1">
      <c r="A3483" s="3962"/>
      <c r="B3483" s="3959"/>
      <c r="C3483" s="3959"/>
      <c r="D3483" s="3959"/>
      <c r="E3483" s="3959"/>
      <c r="F3483" s="3960"/>
      <c r="O3483" s="584"/>
    </row>
    <row r="3484" spans="1:15" s="429" customFormat="1" ht="16.5" thickBot="1">
      <c r="A3484" s="646" t="s">
        <v>2040</v>
      </c>
      <c r="B3484" s="485" t="s">
        <v>114</v>
      </c>
      <c r="C3484" s="690" t="s">
        <v>387</v>
      </c>
      <c r="D3484" s="648"/>
      <c r="E3484" s="649"/>
      <c r="F3484" s="691">
        <v>0.71</v>
      </c>
      <c r="G3484" s="429">
        <v>0.95</v>
      </c>
      <c r="O3484" s="584"/>
    </row>
    <row r="3485" spans="1:15" s="429" customFormat="1" ht="16.5" thickBot="1">
      <c r="A3485" s="646"/>
      <c r="B3485" s="485"/>
      <c r="C3485" s="690" t="s">
        <v>2041</v>
      </c>
      <c r="D3485" s="648"/>
      <c r="E3485" s="649"/>
      <c r="F3485" s="691">
        <v>0.71</v>
      </c>
      <c r="G3485" s="429">
        <v>0.95</v>
      </c>
      <c r="O3485" s="584"/>
    </row>
    <row r="3486" spans="1:15" s="429" customFormat="1" ht="16.5" thickBot="1">
      <c r="A3486" s="646"/>
      <c r="B3486" s="485"/>
      <c r="C3486" s="690" t="s">
        <v>2042</v>
      </c>
      <c r="D3486" s="648"/>
      <c r="E3486" s="649"/>
      <c r="F3486" s="691">
        <v>0.71</v>
      </c>
      <c r="G3486" s="429">
        <v>0.95</v>
      </c>
      <c r="O3486" s="584"/>
    </row>
    <row r="3487" spans="1:15" s="429" customFormat="1" ht="16.5" thickBot="1">
      <c r="A3487" s="646"/>
      <c r="B3487" s="485"/>
      <c r="C3487" s="690" t="s">
        <v>385</v>
      </c>
      <c r="D3487" s="648"/>
      <c r="E3487" s="649"/>
      <c r="F3487" s="691">
        <v>0.71</v>
      </c>
      <c r="G3487" s="429">
        <v>0.95</v>
      </c>
      <c r="O3487" s="584"/>
    </row>
    <row r="3488" spans="1:15" s="429" customFormat="1" ht="16.5" thickBot="1">
      <c r="A3488" s="646"/>
      <c r="B3488" s="485"/>
      <c r="C3488" s="690" t="s">
        <v>1522</v>
      </c>
      <c r="D3488" s="648"/>
      <c r="E3488" s="649"/>
      <c r="F3488" s="691">
        <v>0.71</v>
      </c>
      <c r="G3488" s="429">
        <v>0.95</v>
      </c>
      <c r="O3488" s="584"/>
    </row>
    <row r="3489" spans="1:15" s="429" customFormat="1" ht="16.5" thickBot="1">
      <c r="A3489" s="646"/>
      <c r="B3489" s="485"/>
      <c r="C3489" s="690" t="s">
        <v>388</v>
      </c>
      <c r="D3489" s="648"/>
      <c r="E3489" s="649"/>
      <c r="F3489" s="691">
        <v>0.71</v>
      </c>
      <c r="G3489" s="429">
        <v>0.95</v>
      </c>
      <c r="O3489" s="584"/>
    </row>
    <row r="3490" spans="1:15" s="429" customFormat="1" ht="16.5" thickBot="1">
      <c r="A3490" s="651"/>
      <c r="B3490" s="626"/>
      <c r="C3490" s="690" t="s">
        <v>1362</v>
      </c>
      <c r="D3490" s="627"/>
      <c r="E3490" s="628"/>
      <c r="F3490" s="691">
        <v>4.5</v>
      </c>
      <c r="G3490" s="429">
        <v>5.63</v>
      </c>
      <c r="O3490" s="584"/>
    </row>
    <row r="3491" spans="1:15" s="429" customFormat="1" ht="16.5" thickBot="1">
      <c r="A3491" s="651"/>
      <c r="B3491" s="626"/>
      <c r="C3491" s="690" t="s">
        <v>1376</v>
      </c>
      <c r="D3491" s="627"/>
      <c r="E3491" s="628"/>
      <c r="F3491" s="691">
        <v>4.5</v>
      </c>
      <c r="G3491" s="429">
        <v>5.63</v>
      </c>
      <c r="O3491" s="584"/>
    </row>
    <row r="3492" spans="1:15" s="429" customFormat="1" ht="16.5" thickBot="1">
      <c r="A3492" s="651"/>
      <c r="B3492" s="626"/>
      <c r="C3492" s="690" t="s">
        <v>1363</v>
      </c>
      <c r="D3492" s="627"/>
      <c r="E3492" s="628"/>
      <c r="F3492" s="691">
        <v>4.5</v>
      </c>
      <c r="G3492" s="429">
        <v>5.63</v>
      </c>
      <c r="O3492" s="584"/>
    </row>
    <row r="3493" spans="1:15" s="429" customFormat="1" ht="16.5" thickBot="1">
      <c r="A3493" s="651"/>
      <c r="B3493" s="626"/>
      <c r="C3493" s="690" t="s">
        <v>510</v>
      </c>
      <c r="D3493" s="627"/>
      <c r="E3493" s="628"/>
      <c r="F3493" s="691">
        <v>4.5</v>
      </c>
      <c r="G3493" s="429">
        <v>5.63</v>
      </c>
      <c r="O3493" s="584"/>
    </row>
    <row r="3494" spans="1:15" s="429" customFormat="1" ht="16.5" thickBot="1">
      <c r="A3494" s="651"/>
      <c r="B3494" s="626"/>
      <c r="C3494" s="690" t="s">
        <v>1660</v>
      </c>
      <c r="D3494" s="627"/>
      <c r="E3494" s="628"/>
      <c r="F3494" s="691">
        <v>4.5</v>
      </c>
      <c r="G3494" s="429">
        <v>5.63</v>
      </c>
      <c r="O3494" s="584"/>
    </row>
    <row r="3495" spans="1:15" s="429" customFormat="1" ht="16.5" thickBot="1">
      <c r="A3495" s="651"/>
      <c r="B3495" s="626"/>
      <c r="C3495" s="690" t="s">
        <v>1661</v>
      </c>
      <c r="D3495" s="626"/>
      <c r="E3495" s="628"/>
      <c r="F3495" s="691">
        <v>4.5</v>
      </c>
      <c r="G3495" s="429">
        <v>5.63</v>
      </c>
      <c r="O3495" s="584"/>
    </row>
    <row r="3496" spans="1:15" s="429" customFormat="1" ht="16.5" thickBot="1">
      <c r="A3496" s="651"/>
      <c r="B3496" s="626"/>
      <c r="C3496" s="690" t="s">
        <v>1775</v>
      </c>
      <c r="D3496" s="626"/>
      <c r="E3496" s="628"/>
      <c r="F3496" s="691">
        <v>4.5</v>
      </c>
      <c r="G3496" s="429">
        <v>5.63</v>
      </c>
      <c r="O3496" s="584"/>
    </row>
    <row r="3498" spans="1:15" ht="15.75" thickBot="1"/>
    <row r="3499" spans="1:15" s="429" customFormat="1">
      <c r="A3499" s="3572"/>
      <c r="B3499" s="3636"/>
      <c r="C3499" s="3636"/>
      <c r="D3499" s="3636"/>
      <c r="E3499" s="3636"/>
      <c r="F3499" s="3559"/>
      <c r="O3499" s="584"/>
    </row>
    <row r="3500" spans="1:15" s="429" customFormat="1" ht="15.75" thickBot="1">
      <c r="A3500" s="3962"/>
      <c r="B3500" s="3959"/>
      <c r="C3500" s="3959"/>
      <c r="D3500" s="3959"/>
      <c r="E3500" s="3959"/>
      <c r="F3500" s="3960"/>
      <c r="O3500" s="584"/>
    </row>
    <row r="3501" spans="1:15" s="429" customFormat="1" ht="16.5" thickBot="1">
      <c r="A3501" s="646" t="s">
        <v>2040</v>
      </c>
      <c r="B3501" s="485" t="s">
        <v>114</v>
      </c>
      <c r="C3501" s="690" t="s">
        <v>183</v>
      </c>
      <c r="D3501" s="648"/>
      <c r="E3501" s="649"/>
      <c r="F3501" s="691">
        <v>1.1200000000000001</v>
      </c>
      <c r="G3501" s="429">
        <v>1.32</v>
      </c>
      <c r="O3501" s="584"/>
    </row>
    <row r="3502" spans="1:15" s="429" customFormat="1" ht="16.5" thickBot="1">
      <c r="A3502" s="646"/>
      <c r="B3502" s="485"/>
      <c r="C3502" s="690" t="s">
        <v>273</v>
      </c>
      <c r="D3502" s="648"/>
      <c r="E3502" s="649"/>
      <c r="F3502" s="691">
        <v>0.87</v>
      </c>
      <c r="G3502" s="429">
        <v>1.02</v>
      </c>
      <c r="O3502" s="584"/>
    </row>
    <row r="3503" spans="1:15" s="429" customFormat="1" ht="16.5" thickBot="1">
      <c r="A3503" s="646"/>
      <c r="B3503" s="485"/>
      <c r="C3503" s="690" t="s">
        <v>177</v>
      </c>
      <c r="D3503" s="648"/>
      <c r="E3503" s="649"/>
      <c r="F3503" s="691">
        <v>0.87</v>
      </c>
      <c r="G3503" s="429">
        <v>1.02</v>
      </c>
      <c r="O3503" s="584"/>
    </row>
    <row r="3504" spans="1:15" s="429" customFormat="1" ht="16.5" thickBot="1">
      <c r="A3504" s="646"/>
      <c r="B3504" s="485"/>
      <c r="C3504" s="690" t="s">
        <v>178</v>
      </c>
      <c r="D3504" s="648"/>
      <c r="E3504" s="649"/>
      <c r="F3504" s="691">
        <v>0.87</v>
      </c>
      <c r="G3504" s="429">
        <v>1.02</v>
      </c>
      <c r="O3504" s="584"/>
    </row>
    <row r="3505" spans="1:15" s="429" customFormat="1" ht="16.5" thickBot="1">
      <c r="A3505" s="646"/>
      <c r="B3505" s="485"/>
      <c r="C3505" s="690" t="s">
        <v>2021</v>
      </c>
      <c r="D3505" s="648"/>
      <c r="E3505" s="649"/>
      <c r="F3505" s="691">
        <v>1.29</v>
      </c>
      <c r="G3505" s="528">
        <v>1.52</v>
      </c>
      <c r="O3505" s="584"/>
    </row>
    <row r="3506" spans="1:15" s="429" customFormat="1" ht="16.5" thickBot="1">
      <c r="A3506" s="646"/>
      <c r="B3506" s="485"/>
      <c r="C3506" s="690" t="s">
        <v>1905</v>
      </c>
      <c r="D3506" s="648"/>
      <c r="E3506" s="649"/>
      <c r="F3506" s="691">
        <v>1.29</v>
      </c>
      <c r="G3506" s="528">
        <v>1.52</v>
      </c>
      <c r="O3506" s="584"/>
    </row>
    <row r="3507" spans="1:15" s="429" customFormat="1" ht="16.5" thickBot="1">
      <c r="A3507" s="651"/>
      <c r="B3507" s="626"/>
      <c r="C3507" s="690" t="s">
        <v>155</v>
      </c>
      <c r="D3507" s="627"/>
      <c r="E3507" s="628"/>
      <c r="F3507" s="691">
        <v>0.94</v>
      </c>
      <c r="G3507" s="528">
        <v>1.1000000000000001</v>
      </c>
      <c r="O3507" s="584"/>
    </row>
    <row r="3508" spans="1:15" s="429" customFormat="1" ht="16.5" thickBot="1">
      <c r="A3508" s="651"/>
      <c r="B3508" s="626"/>
      <c r="C3508" s="690"/>
      <c r="D3508" s="627"/>
      <c r="E3508" s="628"/>
      <c r="F3508" s="691"/>
      <c r="O3508" s="584"/>
    </row>
    <row r="3509" spans="1:15" s="429" customFormat="1" ht="16.5" thickBot="1">
      <c r="A3509" s="651"/>
      <c r="B3509" s="626"/>
      <c r="C3509" s="690"/>
      <c r="D3509" s="627"/>
      <c r="E3509" s="628"/>
      <c r="F3509" s="691"/>
      <c r="O3509" s="584"/>
    </row>
    <row r="3510" spans="1:15" s="429" customFormat="1" ht="16.5" thickBot="1">
      <c r="A3510" s="651"/>
      <c r="B3510" s="626"/>
      <c r="C3510" s="690"/>
      <c r="D3510" s="627"/>
      <c r="E3510" s="628"/>
      <c r="F3510" s="691"/>
      <c r="O3510" s="584"/>
    </row>
    <row r="3511" spans="1:15" s="429" customFormat="1" ht="16.5" thickBot="1">
      <c r="A3511" s="651"/>
      <c r="B3511" s="626"/>
      <c r="C3511" s="690"/>
      <c r="D3511" s="627"/>
      <c r="E3511" s="628"/>
      <c r="F3511" s="691"/>
      <c r="O3511" s="584"/>
    </row>
    <row r="3512" spans="1:15" s="429" customFormat="1" ht="16.5" thickBot="1">
      <c r="A3512" s="651"/>
      <c r="B3512" s="626"/>
      <c r="C3512" s="690"/>
      <c r="D3512" s="626"/>
      <c r="E3512" s="628"/>
      <c r="F3512" s="691"/>
      <c r="O3512" s="584"/>
    </row>
    <row r="3513" spans="1:15" s="429" customFormat="1" ht="16.5" thickBot="1">
      <c r="A3513" s="651"/>
      <c r="B3513" s="626"/>
      <c r="C3513" s="690"/>
      <c r="D3513" s="626"/>
      <c r="E3513" s="628"/>
      <c r="F3513" s="691"/>
      <c r="O3513" s="584"/>
    </row>
    <row r="3515" spans="1:15" ht="15.75" thickBot="1"/>
    <row r="3516" spans="1:15">
      <c r="A3516" s="3572"/>
      <c r="B3516" s="3636"/>
      <c r="C3516" s="3636"/>
      <c r="D3516" s="3636"/>
      <c r="E3516" s="3636"/>
      <c r="F3516" s="3559"/>
    </row>
    <row r="3517" spans="1:15" ht="15.75" thickBot="1">
      <c r="A3517" s="3696"/>
      <c r="B3517" s="3718"/>
      <c r="C3517" s="3718"/>
      <c r="D3517" s="3718"/>
      <c r="E3517" s="3718"/>
      <c r="F3517" s="3727"/>
    </row>
    <row r="3518" spans="1:15" ht="16.5" thickTop="1" thickBot="1">
      <c r="A3518" s="807" t="s">
        <v>2051</v>
      </c>
      <c r="B3518" s="485" t="s">
        <v>106</v>
      </c>
      <c r="C3518" s="808" t="s">
        <v>1374</v>
      </c>
      <c r="D3518" s="388"/>
      <c r="E3518" s="452">
        <f t="shared" ref="E3518:E3531" si="34">(G3518-F3518)/G3518</f>
        <v>0.15</v>
      </c>
      <c r="F3518" s="809">
        <v>0.748</v>
      </c>
      <c r="G3518">
        <v>0.88</v>
      </c>
    </row>
    <row r="3519" spans="1:15" ht="15.75" thickBot="1">
      <c r="A3519" s="807"/>
      <c r="B3519" s="810"/>
      <c r="C3519" s="808" t="s">
        <v>1440</v>
      </c>
      <c r="D3519" s="388"/>
      <c r="E3519" s="452">
        <f t="shared" si="34"/>
        <v>0.15</v>
      </c>
      <c r="F3519" s="809">
        <v>0.748</v>
      </c>
      <c r="G3519">
        <v>0.88</v>
      </c>
    </row>
    <row r="3520" spans="1:15" ht="15.75" thickBot="1">
      <c r="A3520" s="807"/>
      <c r="B3520" s="810"/>
      <c r="C3520" s="811" t="s">
        <v>1301</v>
      </c>
      <c r="D3520" s="388"/>
      <c r="E3520" s="452">
        <f t="shared" si="34"/>
        <v>0.15</v>
      </c>
      <c r="F3520" s="809">
        <v>0.748</v>
      </c>
      <c r="G3520">
        <v>0.88</v>
      </c>
    </row>
    <row r="3521" spans="1:7" ht="15.75" thickBot="1">
      <c r="A3521" s="807"/>
      <c r="B3521" s="810"/>
      <c r="C3521" s="811" t="s">
        <v>522</v>
      </c>
      <c r="D3521" s="388"/>
      <c r="E3521" s="452">
        <f t="shared" si="34"/>
        <v>0.15</v>
      </c>
      <c r="F3521" s="809">
        <v>0.748</v>
      </c>
      <c r="G3521">
        <v>0.88</v>
      </c>
    </row>
    <row r="3522" spans="1:7" ht="15.75" thickBot="1">
      <c r="A3522" s="807"/>
      <c r="B3522" s="810"/>
      <c r="C3522" s="811" t="s">
        <v>786</v>
      </c>
      <c r="D3522" s="388"/>
      <c r="E3522" s="452">
        <f t="shared" si="34"/>
        <v>0.15000000000000002</v>
      </c>
      <c r="F3522" s="809">
        <v>5.0830000000000002</v>
      </c>
      <c r="G3522">
        <v>5.98</v>
      </c>
    </row>
    <row r="3523" spans="1:7" ht="15.75" thickBot="1">
      <c r="A3523" s="807"/>
      <c r="B3523" s="810"/>
      <c r="C3523" s="811" t="s">
        <v>870</v>
      </c>
      <c r="D3523" s="388"/>
      <c r="E3523" s="452">
        <f t="shared" si="34"/>
        <v>0.15000000000000002</v>
      </c>
      <c r="F3523" s="809">
        <v>0.95200000000000007</v>
      </c>
      <c r="G3523">
        <v>1.1200000000000001</v>
      </c>
    </row>
    <row r="3524" spans="1:7" ht="15.75" thickBot="1">
      <c r="A3524" s="807"/>
      <c r="B3524" s="810"/>
      <c r="C3524" s="812" t="s">
        <v>549</v>
      </c>
      <c r="D3524" s="388"/>
      <c r="E3524" s="452">
        <f t="shared" si="34"/>
        <v>9.9999999999999992E-2</v>
      </c>
      <c r="F3524" s="809">
        <v>27.234000000000002</v>
      </c>
      <c r="G3524">
        <v>30.26</v>
      </c>
    </row>
    <row r="3525" spans="1:7" ht="15.75" thickBot="1">
      <c r="A3525" s="807"/>
      <c r="B3525" s="810"/>
      <c r="C3525" s="812" t="s">
        <v>1258</v>
      </c>
      <c r="D3525" s="388"/>
      <c r="E3525" s="452">
        <f t="shared" si="34"/>
        <v>9.9999999999999992E-2</v>
      </c>
      <c r="F3525" s="809">
        <v>27.234000000000002</v>
      </c>
      <c r="G3525">
        <v>30.26</v>
      </c>
    </row>
    <row r="3526" spans="1:7" ht="15.75" thickBot="1">
      <c r="A3526" s="807"/>
      <c r="B3526" s="810"/>
      <c r="C3526" s="812" t="s">
        <v>550</v>
      </c>
      <c r="D3526" s="388"/>
      <c r="E3526" s="452">
        <f t="shared" si="34"/>
        <v>9.999999999999995E-2</v>
      </c>
      <c r="F3526" s="809">
        <v>23.301000000000002</v>
      </c>
      <c r="G3526">
        <v>25.89</v>
      </c>
    </row>
    <row r="3527" spans="1:7" ht="15.75" thickBot="1">
      <c r="A3527" s="807"/>
      <c r="B3527" s="810"/>
      <c r="C3527" s="812" t="s">
        <v>1259</v>
      </c>
      <c r="D3527" s="388"/>
      <c r="E3527" s="452">
        <f t="shared" si="34"/>
        <v>9.999999999999995E-2</v>
      </c>
      <c r="F3527" s="809">
        <v>23.301000000000002</v>
      </c>
      <c r="G3527">
        <v>25.89</v>
      </c>
    </row>
    <row r="3528" spans="1:7" ht="15.75" thickBot="1">
      <c r="A3528" s="807"/>
      <c r="B3528" s="810"/>
      <c r="C3528" s="812" t="s">
        <v>1270</v>
      </c>
      <c r="D3528" s="388"/>
      <c r="E3528" s="452">
        <f t="shared" si="34"/>
        <v>0.10000000000000002</v>
      </c>
      <c r="F3528" s="809">
        <v>29.096999999999998</v>
      </c>
      <c r="G3528">
        <v>32.33</v>
      </c>
    </row>
    <row r="3529" spans="1:7" ht="15.75" thickBot="1">
      <c r="A3529" s="807"/>
      <c r="B3529" s="810"/>
      <c r="C3529" s="812" t="s">
        <v>1271</v>
      </c>
      <c r="D3529" s="388"/>
      <c r="E3529" s="452">
        <f t="shared" si="34"/>
        <v>0.10000000000000002</v>
      </c>
      <c r="F3529" s="809">
        <v>29.096999999999998</v>
      </c>
      <c r="G3529">
        <v>32.33</v>
      </c>
    </row>
    <row r="3530" spans="1:7" ht="15.75" thickBot="1">
      <c r="A3530" s="807"/>
      <c r="B3530" s="810"/>
      <c r="C3530" s="781" t="s">
        <v>1499</v>
      </c>
      <c r="D3530" s="388"/>
      <c r="E3530" s="452">
        <f t="shared" si="34"/>
        <v>5.0400916380297971E-2</v>
      </c>
      <c r="F3530" s="809">
        <v>8.2899999999999991</v>
      </c>
      <c r="G3530">
        <v>8.73</v>
      </c>
    </row>
    <row r="3531" spans="1:7" ht="15.75" thickBot="1">
      <c r="A3531" s="807"/>
      <c r="B3531" s="810"/>
      <c r="C3531" s="781" t="s">
        <v>1485</v>
      </c>
      <c r="D3531" s="388"/>
      <c r="E3531" s="452">
        <f t="shared" si="34"/>
        <v>0.10056390977443611</v>
      </c>
      <c r="F3531" s="809">
        <v>19.14</v>
      </c>
      <c r="G3531">
        <v>21.28</v>
      </c>
    </row>
    <row r="3532" spans="1:7" ht="15.75" thickBot="1">
      <c r="A3532" s="807"/>
      <c r="B3532" s="810"/>
      <c r="C3532" s="781" t="s">
        <v>2052</v>
      </c>
      <c r="D3532" s="388"/>
      <c r="E3532" s="452">
        <f>(G3531-F3531)/G3531</f>
        <v>0.10056390977443611</v>
      </c>
      <c r="F3532" s="809">
        <v>19.14</v>
      </c>
      <c r="G3532">
        <v>21.28</v>
      </c>
    </row>
    <row r="3533" spans="1:7" ht="15.75" thickBot="1">
      <c r="A3533" s="807"/>
      <c r="B3533" s="810"/>
      <c r="C3533" s="781" t="s">
        <v>868</v>
      </c>
      <c r="D3533" s="388"/>
      <c r="E3533" s="452">
        <f t="shared" ref="E3533:E3546" si="35">(G3533-F3533)/G3533</f>
        <v>5.2443384982121616E-2</v>
      </c>
      <c r="F3533" s="809">
        <v>7.95</v>
      </c>
      <c r="G3533">
        <v>8.39</v>
      </c>
    </row>
    <row r="3534" spans="1:7" ht="15.75" thickBot="1">
      <c r="A3534" s="807"/>
      <c r="B3534" s="810"/>
      <c r="C3534" s="781" t="s">
        <v>1497</v>
      </c>
      <c r="D3534" s="388"/>
      <c r="E3534" s="452">
        <f t="shared" si="35"/>
        <v>5.0531914893617011E-2</v>
      </c>
      <c r="F3534" s="809">
        <v>3.57</v>
      </c>
      <c r="G3534">
        <v>3.76</v>
      </c>
    </row>
    <row r="3535" spans="1:7" ht="15.75" thickBot="1">
      <c r="A3535" s="807"/>
      <c r="B3535" s="810"/>
      <c r="C3535" s="781" t="s">
        <v>239</v>
      </c>
      <c r="D3535" s="388"/>
      <c r="E3535" s="452">
        <f t="shared" si="35"/>
        <v>5.2443384982121616E-2</v>
      </c>
      <c r="F3535" s="809">
        <v>7.95</v>
      </c>
      <c r="G3535">
        <v>8.39</v>
      </c>
    </row>
    <row r="3536" spans="1:7" ht="15.75" thickBot="1">
      <c r="A3536" s="807"/>
      <c r="B3536" s="810"/>
      <c r="C3536" s="781" t="s">
        <v>1883</v>
      </c>
      <c r="D3536" s="388"/>
      <c r="E3536" s="452">
        <f t="shared" si="35"/>
        <v>0.10056390977443611</v>
      </c>
      <c r="F3536" s="809">
        <v>19.14</v>
      </c>
      <c r="G3536">
        <v>21.28</v>
      </c>
    </row>
    <row r="3537" spans="1:7" ht="15.75" thickBot="1">
      <c r="A3537" s="807"/>
      <c r="B3537" s="810"/>
      <c r="C3537" s="781" t="s">
        <v>1722</v>
      </c>
      <c r="D3537" s="388"/>
      <c r="E3537" s="452">
        <f t="shared" si="35"/>
        <v>5.0531914893617011E-2</v>
      </c>
      <c r="F3537" s="809">
        <v>3.57</v>
      </c>
      <c r="G3537">
        <v>3.76</v>
      </c>
    </row>
    <row r="3538" spans="1:7" ht="15.75" thickBot="1">
      <c r="A3538" s="807"/>
      <c r="B3538" s="810"/>
      <c r="C3538" s="781" t="s">
        <v>1496</v>
      </c>
      <c r="D3538" s="388"/>
      <c r="E3538" s="452">
        <f t="shared" si="35"/>
        <v>5.0531914893617011E-2</v>
      </c>
      <c r="F3538" s="809">
        <v>3.57</v>
      </c>
      <c r="G3538">
        <v>3.76</v>
      </c>
    </row>
    <row r="3539" spans="1:7" ht="15.75" thickBot="1">
      <c r="A3539" s="807"/>
      <c r="B3539" s="810"/>
      <c r="C3539" s="781" t="s">
        <v>238</v>
      </c>
      <c r="D3539" s="388"/>
      <c r="E3539" s="452">
        <f t="shared" si="35"/>
        <v>5.4696789536266346E-2</v>
      </c>
      <c r="F3539" s="809">
        <v>7.95</v>
      </c>
      <c r="G3539">
        <v>8.41</v>
      </c>
    </row>
    <row r="3540" spans="1:7" ht="15.75" thickBot="1">
      <c r="A3540" s="807"/>
      <c r="B3540" s="810"/>
      <c r="C3540" s="781" t="s">
        <v>71</v>
      </c>
      <c r="D3540" s="388"/>
      <c r="E3540" s="452">
        <f t="shared" si="35"/>
        <v>0.10056390977443611</v>
      </c>
      <c r="F3540" s="809">
        <v>19.14</v>
      </c>
      <c r="G3540">
        <v>21.28</v>
      </c>
    </row>
    <row r="3541" spans="1:7" ht="15.75" thickBot="1">
      <c r="A3541" s="807"/>
      <c r="B3541" s="810"/>
      <c r="C3541" s="781" t="s">
        <v>74</v>
      </c>
      <c r="D3541" s="388"/>
      <c r="E3541" s="452">
        <f t="shared" si="35"/>
        <v>0.10056390977443611</v>
      </c>
      <c r="F3541" s="809">
        <v>19.14</v>
      </c>
      <c r="G3541">
        <v>21.28</v>
      </c>
    </row>
    <row r="3542" spans="1:7" ht="15.75" thickBot="1">
      <c r="A3542" s="807"/>
      <c r="B3542" s="810"/>
      <c r="C3542" s="781" t="s">
        <v>1075</v>
      </c>
      <c r="D3542" s="388"/>
      <c r="E3542" s="452">
        <f t="shared" si="35"/>
        <v>0.10869565217391314</v>
      </c>
      <c r="F3542" s="809">
        <v>0.82</v>
      </c>
      <c r="G3542">
        <v>0.92</v>
      </c>
    </row>
    <row r="3543" spans="1:7" ht="15.75" thickBot="1">
      <c r="A3543" s="807"/>
      <c r="B3543" s="810"/>
      <c r="C3543" s="781" t="s">
        <v>1401</v>
      </c>
      <c r="D3543" s="388"/>
      <c r="E3543" s="452">
        <f t="shared" si="35"/>
        <v>0.10315186246418347</v>
      </c>
      <c r="F3543" s="809">
        <v>3.13</v>
      </c>
      <c r="G3543">
        <v>3.49</v>
      </c>
    </row>
    <row r="3544" spans="1:7" ht="15.75" thickBot="1">
      <c r="A3544" s="807"/>
      <c r="B3544" s="810"/>
      <c r="C3544" s="781" t="s">
        <v>903</v>
      </c>
      <c r="D3544" s="388"/>
      <c r="E3544" s="452">
        <f t="shared" si="35"/>
        <v>0.10315186246418347</v>
      </c>
      <c r="F3544" s="809">
        <v>3.13</v>
      </c>
      <c r="G3544">
        <v>3.49</v>
      </c>
    </row>
    <row r="3545" spans="1:7" ht="15.75" thickBot="1">
      <c r="A3545" s="807"/>
      <c r="B3545" s="810"/>
      <c r="C3545" s="781" t="s">
        <v>1168</v>
      </c>
      <c r="D3545" s="388"/>
      <c r="E3545" s="452">
        <f t="shared" si="35"/>
        <v>0.1459293394777266</v>
      </c>
      <c r="F3545" s="809">
        <v>5.56</v>
      </c>
      <c r="G3545">
        <v>6.51</v>
      </c>
    </row>
    <row r="3546" spans="1:7">
      <c r="A3546" s="807"/>
      <c r="B3546" s="810"/>
      <c r="C3546" s="781" t="s">
        <v>937</v>
      </c>
      <c r="D3546" s="388"/>
      <c r="E3546" s="452">
        <f t="shared" si="35"/>
        <v>0.1459293394777266</v>
      </c>
      <c r="F3546" s="809">
        <v>5.56</v>
      </c>
      <c r="G3546">
        <v>6.51</v>
      </c>
    </row>
    <row r="3547" spans="1:7" ht="15.75" thickBot="1"/>
    <row r="3548" spans="1:7">
      <c r="A3548" s="3572"/>
      <c r="B3548" s="3636"/>
      <c r="C3548" s="3636"/>
      <c r="D3548" s="3636"/>
      <c r="E3548" s="3636"/>
      <c r="F3548" s="3559"/>
      <c r="G3548" s="429"/>
    </row>
    <row r="3549" spans="1:7" ht="15.75" thickBot="1">
      <c r="A3549" s="3696"/>
      <c r="B3549" s="3718"/>
      <c r="C3549" s="3718"/>
      <c r="D3549" s="3718"/>
      <c r="E3549" s="3718"/>
      <c r="F3549" s="3727"/>
      <c r="G3549" s="429"/>
    </row>
    <row r="3550" spans="1:7" ht="16.5" thickTop="1" thickBot="1">
      <c r="A3550" s="807" t="s">
        <v>2061</v>
      </c>
      <c r="B3550" s="485" t="s">
        <v>106</v>
      </c>
      <c r="C3550" s="781" t="s">
        <v>2062</v>
      </c>
      <c r="D3550" s="388"/>
      <c r="E3550" s="452">
        <f>(G3550-F3550)/G3550</f>
        <v>0.1518324607329842</v>
      </c>
      <c r="F3550" s="521">
        <v>1.62</v>
      </c>
      <c r="G3550" s="429">
        <v>1.91</v>
      </c>
    </row>
    <row r="3551" spans="1:7" ht="15.75" thickBot="1">
      <c r="A3551" s="807"/>
      <c r="B3551" s="810"/>
      <c r="C3551" s="781" t="s">
        <v>623</v>
      </c>
      <c r="D3551" s="388"/>
      <c r="E3551" s="452">
        <f>(G3551-F3551)/G3551</f>
        <v>0.15075376884422112</v>
      </c>
      <c r="F3551" s="521">
        <v>1.69</v>
      </c>
      <c r="G3551" s="429">
        <v>1.99</v>
      </c>
    </row>
    <row r="3552" spans="1:7">
      <c r="A3552" s="807"/>
      <c r="B3552" s="810"/>
      <c r="C3552" s="781" t="s">
        <v>53</v>
      </c>
      <c r="D3552" s="388"/>
      <c r="E3552" s="452">
        <f>(G3552-F3552)/G3552</f>
        <v>0.14606741573033707</v>
      </c>
      <c r="F3552" s="521">
        <v>0.76</v>
      </c>
      <c r="G3552" s="429">
        <v>0.89</v>
      </c>
    </row>
    <row r="3554" spans="1:7" ht="15.75" thickBot="1"/>
    <row r="3555" spans="1:7">
      <c r="A3555" s="3572"/>
      <c r="B3555" s="3636"/>
      <c r="C3555" s="3636"/>
      <c r="D3555" s="3636"/>
      <c r="E3555" s="3636"/>
      <c r="F3555" s="3559"/>
    </row>
    <row r="3556" spans="1:7">
      <c r="A3556" s="3953"/>
      <c r="B3556" s="3956"/>
      <c r="C3556" s="3956"/>
      <c r="D3556" s="3956"/>
      <c r="E3556" s="3956"/>
      <c r="F3556" s="3957"/>
    </row>
    <row r="3557" spans="1:7">
      <c r="A3557" s="717" t="s">
        <v>2064</v>
      </c>
      <c r="B3557" s="810" t="s">
        <v>1171</v>
      </c>
      <c r="C3557" s="827" t="s">
        <v>1374</v>
      </c>
      <c r="D3557" s="781"/>
      <c r="E3557" s="828">
        <f t="shared" ref="E3557:E3566" si="36">(G3557-F3557)/G3557</f>
        <v>0.1647058823529412</v>
      </c>
      <c r="F3557" s="829">
        <v>0.71</v>
      </c>
      <c r="G3557">
        <v>0.85</v>
      </c>
    </row>
    <row r="3558" spans="1:7">
      <c r="A3558" s="717"/>
      <c r="B3558" s="710" t="s">
        <v>115</v>
      </c>
      <c r="C3558" s="827" t="s">
        <v>1301</v>
      </c>
      <c r="D3558" s="810"/>
      <c r="E3558" s="828">
        <f t="shared" si="36"/>
        <v>0.1647058823529412</v>
      </c>
      <c r="F3558" s="829">
        <v>0.71</v>
      </c>
      <c r="G3558">
        <v>0.85</v>
      </c>
    </row>
    <row r="3559" spans="1:7">
      <c r="A3559" s="717"/>
      <c r="B3559" s="810"/>
      <c r="C3559" s="827" t="s">
        <v>1440</v>
      </c>
      <c r="D3559" s="781"/>
      <c r="E3559" s="828">
        <f t="shared" si="36"/>
        <v>0.1647058823529412</v>
      </c>
      <c r="F3559" s="829">
        <v>0.71</v>
      </c>
      <c r="G3559">
        <v>0.85</v>
      </c>
    </row>
    <row r="3560" spans="1:7">
      <c r="A3560" s="717"/>
      <c r="B3560" s="810"/>
      <c r="C3560" s="827" t="s">
        <v>522</v>
      </c>
      <c r="D3560" s="781"/>
      <c r="E3560" s="828">
        <f t="shared" si="36"/>
        <v>0.1647058823529412</v>
      </c>
      <c r="F3560" s="829">
        <v>0.71</v>
      </c>
      <c r="G3560">
        <v>0.85</v>
      </c>
    </row>
    <row r="3561" spans="1:7">
      <c r="A3561" s="717"/>
      <c r="B3561" s="810"/>
      <c r="C3561" s="827" t="s">
        <v>1362</v>
      </c>
      <c r="D3561" s="781"/>
      <c r="E3561" s="828">
        <f t="shared" si="36"/>
        <v>0.16923076923076921</v>
      </c>
      <c r="F3561" s="829">
        <v>4.32</v>
      </c>
      <c r="G3561">
        <v>5.2</v>
      </c>
    </row>
    <row r="3562" spans="1:7">
      <c r="A3562" s="717"/>
      <c r="B3562" s="810"/>
      <c r="C3562" s="827" t="s">
        <v>1376</v>
      </c>
      <c r="D3562" s="781"/>
      <c r="E3562" s="828">
        <f t="shared" si="36"/>
        <v>0.16923076923076921</v>
      </c>
      <c r="F3562" s="829">
        <v>4.32</v>
      </c>
      <c r="G3562">
        <v>5.2</v>
      </c>
    </row>
    <row r="3563" spans="1:7">
      <c r="A3563" s="830"/>
      <c r="B3563" s="741"/>
      <c r="C3563" s="741" t="s">
        <v>1363</v>
      </c>
      <c r="D3563" s="741"/>
      <c r="E3563" s="828">
        <f t="shared" si="36"/>
        <v>0.16923076923076921</v>
      </c>
      <c r="F3563" s="831">
        <v>4.32</v>
      </c>
      <c r="G3563">
        <v>5.2</v>
      </c>
    </row>
    <row r="3564" spans="1:7">
      <c r="A3564" s="830"/>
      <c r="B3564" s="741"/>
      <c r="C3564" s="741" t="s">
        <v>510</v>
      </c>
      <c r="D3564" s="741"/>
      <c r="E3564" s="828">
        <f t="shared" si="36"/>
        <v>0.16923076923076921</v>
      </c>
      <c r="F3564" s="831">
        <v>4.32</v>
      </c>
      <c r="G3564">
        <v>5.2</v>
      </c>
    </row>
    <row r="3565" spans="1:7">
      <c r="A3565" s="830"/>
      <c r="B3565" s="741"/>
      <c r="C3565" s="741" t="s">
        <v>1439</v>
      </c>
      <c r="D3565" s="741"/>
      <c r="E3565" s="828">
        <f t="shared" si="36"/>
        <v>0.1699604743083003</v>
      </c>
      <c r="F3565" s="831">
        <v>8.4</v>
      </c>
      <c r="G3565">
        <v>10.119999999999999</v>
      </c>
    </row>
    <row r="3566" spans="1:7" ht="15.75" thickBot="1">
      <c r="A3566" s="832"/>
      <c r="B3566" s="760"/>
      <c r="C3566" s="760" t="s">
        <v>1773</v>
      </c>
      <c r="D3566" s="760"/>
      <c r="E3566" s="833">
        <f t="shared" si="36"/>
        <v>0.1699604743083003</v>
      </c>
      <c r="F3566" s="834">
        <v>8.4</v>
      </c>
      <c r="G3566">
        <v>10.119999999999999</v>
      </c>
    </row>
    <row r="3567" spans="1:7" ht="15.75" thickBot="1"/>
    <row r="3568" spans="1:7">
      <c r="A3568" s="3572"/>
      <c r="B3568" s="3636"/>
      <c r="C3568" s="3636"/>
      <c r="D3568" s="3636"/>
      <c r="E3568" s="3636"/>
      <c r="F3568" s="3559"/>
      <c r="G3568" s="429"/>
    </row>
    <row r="3569" spans="1:7" ht="15.75" thickBot="1">
      <c r="A3569" s="3942"/>
      <c r="B3569" s="3950"/>
      <c r="C3569" s="3950"/>
      <c r="D3569" s="3950"/>
      <c r="E3569" s="3950"/>
      <c r="F3569" s="3952"/>
      <c r="G3569" s="429"/>
    </row>
    <row r="3570" spans="1:7" ht="15.75">
      <c r="A3570" s="491" t="s">
        <v>2085</v>
      </c>
      <c r="B3570" s="852" t="s">
        <v>114</v>
      </c>
      <c r="C3570" s="853" t="s">
        <v>155</v>
      </c>
      <c r="D3570" s="854"/>
      <c r="E3570" s="855">
        <f>(G3570-F3570)/G3570</f>
        <v>0.14545454545454556</v>
      </c>
      <c r="F3570" s="856">
        <v>0.94</v>
      </c>
      <c r="G3570" s="528">
        <v>1.1000000000000001</v>
      </c>
    </row>
    <row r="3571" spans="1:7">
      <c r="A3571" s="717"/>
      <c r="B3571" s="810"/>
      <c r="C3571" s="741"/>
      <c r="D3571" s="741"/>
      <c r="E3571" s="741"/>
      <c r="F3571" s="857"/>
    </row>
    <row r="3572" spans="1:7">
      <c r="A3572" s="717"/>
      <c r="B3572" s="810"/>
      <c r="C3572" s="741"/>
      <c r="D3572" s="741"/>
      <c r="E3572" s="741"/>
      <c r="F3572" s="857"/>
    </row>
    <row r="3573" spans="1:7">
      <c r="A3573" s="717"/>
      <c r="B3573" s="810"/>
      <c r="C3573" s="741"/>
      <c r="D3573" s="741"/>
      <c r="E3573" s="741"/>
      <c r="F3573" s="857"/>
    </row>
    <row r="3574" spans="1:7">
      <c r="A3574" s="717"/>
      <c r="B3574" s="810"/>
      <c r="C3574" s="741"/>
      <c r="D3574" s="741"/>
      <c r="E3574" s="741"/>
      <c r="F3574" s="857"/>
    </row>
    <row r="3575" spans="1:7">
      <c r="A3575" s="717"/>
      <c r="B3575" s="810"/>
      <c r="C3575" s="741"/>
      <c r="D3575" s="741"/>
      <c r="E3575" s="741"/>
      <c r="F3575" s="857"/>
    </row>
    <row r="3576" spans="1:7" ht="15.75" thickBot="1">
      <c r="A3576" s="723"/>
      <c r="B3576" s="858"/>
      <c r="C3576" s="760"/>
      <c r="D3576" s="760"/>
      <c r="E3576" s="760"/>
      <c r="F3576" s="859"/>
    </row>
    <row r="3578" spans="1:7" ht="15.75" thickBot="1"/>
    <row r="3579" spans="1:7">
      <c r="A3579" s="3572"/>
      <c r="B3579" s="3636"/>
      <c r="C3579" s="3636"/>
      <c r="D3579" s="3636"/>
      <c r="E3579" s="3636"/>
      <c r="F3579" s="3559"/>
      <c r="G3579" s="429"/>
    </row>
    <row r="3580" spans="1:7" ht="15.75" thickBot="1">
      <c r="A3580" s="3942"/>
      <c r="B3580" s="3950"/>
      <c r="C3580" s="3950"/>
      <c r="D3580" s="3950"/>
      <c r="E3580" s="3950"/>
      <c r="F3580" s="3952"/>
      <c r="G3580" s="429"/>
    </row>
    <row r="3581" spans="1:7">
      <c r="A3581" s="646" t="s">
        <v>2086</v>
      </c>
      <c r="B3581" s="485" t="s">
        <v>1171</v>
      </c>
      <c r="C3581" s="658" t="s">
        <v>72</v>
      </c>
      <c r="D3581" s="388"/>
      <c r="E3581" s="659">
        <f t="shared" ref="E3581:E3608" si="37">(G3581-F3581)/G3581</f>
        <v>0.12867647058823525</v>
      </c>
      <c r="F3581" s="660">
        <v>16.59</v>
      </c>
      <c r="G3581" s="429">
        <v>19.04</v>
      </c>
    </row>
    <row r="3582" spans="1:7">
      <c r="A3582" s="717"/>
      <c r="B3582" s="810"/>
      <c r="C3582" s="827" t="s">
        <v>1499</v>
      </c>
      <c r="D3582" s="810"/>
      <c r="E3582" s="828">
        <f t="shared" si="37"/>
        <v>8.2524271844660269E-2</v>
      </c>
      <c r="F3582" s="829">
        <v>7.56</v>
      </c>
      <c r="G3582" s="429">
        <v>8.24</v>
      </c>
    </row>
    <row r="3583" spans="1:7">
      <c r="A3583" s="717"/>
      <c r="B3583" s="810"/>
      <c r="C3583" s="827" t="s">
        <v>930</v>
      </c>
      <c r="D3583" s="810"/>
      <c r="E3583" s="828">
        <f t="shared" si="37"/>
        <v>0.13828571428571429</v>
      </c>
      <c r="F3583" s="829">
        <v>7.54</v>
      </c>
      <c r="G3583" s="429">
        <v>8.75</v>
      </c>
    </row>
    <row r="3584" spans="1:7">
      <c r="A3584" s="717"/>
      <c r="B3584" s="810"/>
      <c r="C3584" s="827" t="s">
        <v>1496</v>
      </c>
      <c r="D3584" s="781"/>
      <c r="E3584" s="828">
        <f t="shared" si="37"/>
        <v>8.3086053412462973E-2</v>
      </c>
      <c r="F3584" s="829">
        <v>3.09</v>
      </c>
      <c r="G3584" s="429">
        <v>3.37</v>
      </c>
    </row>
    <row r="3585" spans="1:7">
      <c r="A3585" s="717"/>
      <c r="B3585" s="810"/>
      <c r="C3585" s="827" t="s">
        <v>1075</v>
      </c>
      <c r="D3585" s="781"/>
      <c r="E3585" s="828">
        <f t="shared" si="37"/>
        <v>0.1125000000000001</v>
      </c>
      <c r="F3585" s="829">
        <v>0.71</v>
      </c>
      <c r="G3585" s="429">
        <v>0.8</v>
      </c>
    </row>
    <row r="3586" spans="1:7">
      <c r="A3586" s="717"/>
      <c r="B3586" s="810"/>
      <c r="C3586" s="827" t="s">
        <v>1401</v>
      </c>
      <c r="D3586" s="781"/>
      <c r="E3586" s="828">
        <f t="shared" si="37"/>
        <v>0.10855263157894739</v>
      </c>
      <c r="F3586" s="829">
        <v>2.71</v>
      </c>
      <c r="G3586" s="429">
        <v>3.04</v>
      </c>
    </row>
    <row r="3587" spans="1:7">
      <c r="A3587" s="717"/>
      <c r="B3587" s="810"/>
      <c r="C3587" s="827" t="s">
        <v>868</v>
      </c>
      <c r="D3587" s="781"/>
      <c r="E3587" s="828">
        <f t="shared" si="37"/>
        <v>8.2556591211717725E-2</v>
      </c>
      <c r="F3587" s="829">
        <v>6.89</v>
      </c>
      <c r="G3587" s="429">
        <v>7.51</v>
      </c>
    </row>
    <row r="3588" spans="1:7">
      <c r="A3588" s="717"/>
      <c r="B3588" s="810"/>
      <c r="C3588" s="827" t="s">
        <v>239</v>
      </c>
      <c r="D3588" s="781"/>
      <c r="E3588" s="828">
        <f t="shared" si="37"/>
        <v>8.2556591211717725E-2</v>
      </c>
      <c r="F3588" s="829">
        <v>6.89</v>
      </c>
      <c r="G3588" s="429">
        <v>7.51</v>
      </c>
    </row>
    <row r="3589" spans="1:7">
      <c r="A3589" s="717"/>
      <c r="B3589" s="810"/>
      <c r="C3589" s="827" t="s">
        <v>238</v>
      </c>
      <c r="D3589" s="810"/>
      <c r="E3589" s="828">
        <f t="shared" si="37"/>
        <v>8.2556591211717725E-2</v>
      </c>
      <c r="F3589" s="829">
        <v>6.89</v>
      </c>
      <c r="G3589" s="429">
        <v>7.51</v>
      </c>
    </row>
    <row r="3590" spans="1:7">
      <c r="A3590" s="717"/>
      <c r="B3590" s="810"/>
      <c r="C3590" s="827" t="s">
        <v>1883</v>
      </c>
      <c r="D3590" s="810"/>
      <c r="E3590" s="828">
        <f t="shared" si="37"/>
        <v>0.12867647058823525</v>
      </c>
      <c r="F3590" s="829">
        <v>16.59</v>
      </c>
      <c r="G3590" s="429">
        <v>19.04</v>
      </c>
    </row>
    <row r="3591" spans="1:7">
      <c r="A3591" s="717"/>
      <c r="B3591" s="810"/>
      <c r="C3591" s="827" t="s">
        <v>74</v>
      </c>
      <c r="D3591" s="810"/>
      <c r="E3591" s="828">
        <f t="shared" si="37"/>
        <v>0.12867647058823525</v>
      </c>
      <c r="F3591" s="829">
        <v>16.59</v>
      </c>
      <c r="G3591" s="429">
        <v>19.04</v>
      </c>
    </row>
    <row r="3592" spans="1:7">
      <c r="A3592" s="717"/>
      <c r="B3592" s="810"/>
      <c r="C3592" s="827" t="s">
        <v>1485</v>
      </c>
      <c r="D3592" s="810"/>
      <c r="E3592" s="828">
        <f t="shared" si="37"/>
        <v>0.12867647058823525</v>
      </c>
      <c r="F3592" s="829">
        <v>16.59</v>
      </c>
      <c r="G3592" s="429">
        <v>19.04</v>
      </c>
    </row>
    <row r="3593" spans="1:7">
      <c r="A3593" s="717"/>
      <c r="B3593" s="810"/>
      <c r="C3593" s="827" t="s">
        <v>71</v>
      </c>
      <c r="D3593" s="810"/>
      <c r="E3593" s="828">
        <f t="shared" si="37"/>
        <v>0.12867647058823525</v>
      </c>
      <c r="F3593" s="829">
        <v>16.59</v>
      </c>
      <c r="G3593" s="429">
        <v>19.04</v>
      </c>
    </row>
    <row r="3594" spans="1:7">
      <c r="A3594" s="717"/>
      <c r="B3594" s="810"/>
      <c r="C3594" s="827" t="s">
        <v>931</v>
      </c>
      <c r="D3594" s="810"/>
      <c r="E3594" s="828">
        <f t="shared" si="37"/>
        <v>8.2000000000000031E-2</v>
      </c>
      <c r="F3594" s="829">
        <v>4.59</v>
      </c>
      <c r="G3594" s="429">
        <v>5</v>
      </c>
    </row>
    <row r="3595" spans="1:7">
      <c r="A3595" s="717"/>
      <c r="B3595" s="810"/>
      <c r="C3595" s="827" t="s">
        <v>1494</v>
      </c>
      <c r="D3595" s="810"/>
      <c r="E3595" s="828">
        <f t="shared" si="37"/>
        <v>0.13278008298755198</v>
      </c>
      <c r="F3595" s="829">
        <v>4.18</v>
      </c>
      <c r="G3595" s="429">
        <v>4.82</v>
      </c>
    </row>
    <row r="3596" spans="1:7">
      <c r="A3596" s="717"/>
      <c r="B3596" s="810"/>
      <c r="C3596" s="827" t="s">
        <v>1168</v>
      </c>
      <c r="D3596" s="810"/>
      <c r="E3596" s="828">
        <f t="shared" si="37"/>
        <v>0.10877192982456142</v>
      </c>
      <c r="F3596" s="829">
        <v>5.08</v>
      </c>
      <c r="G3596" s="429">
        <v>5.7</v>
      </c>
    </row>
    <row r="3597" spans="1:7">
      <c r="A3597" s="717"/>
      <c r="B3597" s="810"/>
      <c r="C3597" s="827" t="s">
        <v>1498</v>
      </c>
      <c r="D3597" s="810"/>
      <c r="E3597" s="828">
        <f t="shared" si="37"/>
        <v>8.3086053412462973E-2</v>
      </c>
      <c r="F3597" s="829">
        <v>3.09</v>
      </c>
      <c r="G3597" s="429">
        <v>3.37</v>
      </c>
    </row>
    <row r="3598" spans="1:7">
      <c r="A3598" s="717"/>
      <c r="B3598" s="810"/>
      <c r="C3598" s="827" t="s">
        <v>1497</v>
      </c>
      <c r="D3598" s="810"/>
      <c r="E3598" s="828">
        <f t="shared" si="37"/>
        <v>8.3086053412462973E-2</v>
      </c>
      <c r="F3598" s="829">
        <v>3.09</v>
      </c>
      <c r="G3598" s="429">
        <v>3.37</v>
      </c>
    </row>
    <row r="3599" spans="1:7">
      <c r="A3599" s="717"/>
      <c r="B3599" s="810"/>
      <c r="C3599" s="827" t="s">
        <v>1495</v>
      </c>
      <c r="D3599" s="810"/>
      <c r="E3599" s="828">
        <f t="shared" si="37"/>
        <v>0.12735849056603774</v>
      </c>
      <c r="F3599" s="829">
        <v>7.4</v>
      </c>
      <c r="G3599" s="429">
        <v>8.48</v>
      </c>
    </row>
    <row r="3600" spans="1:7">
      <c r="A3600" s="717"/>
      <c r="B3600" s="810"/>
      <c r="C3600" s="827" t="s">
        <v>1644</v>
      </c>
      <c r="D3600" s="810"/>
      <c r="E3600" s="828">
        <f t="shared" si="37"/>
        <v>0.17000000000000004</v>
      </c>
      <c r="F3600" s="829">
        <v>3.32</v>
      </c>
      <c r="G3600" s="429">
        <v>4</v>
      </c>
    </row>
    <row r="3601" spans="1:7">
      <c r="A3601" s="717"/>
      <c r="B3601" s="810"/>
      <c r="C3601" s="827" t="s">
        <v>1250</v>
      </c>
      <c r="D3601" s="810"/>
      <c r="E3601" s="828">
        <f t="shared" si="37"/>
        <v>0.23076923076923075</v>
      </c>
      <c r="F3601" s="829">
        <v>0.2</v>
      </c>
      <c r="G3601" s="429">
        <v>0.26</v>
      </c>
    </row>
    <row r="3602" spans="1:7">
      <c r="A3602" s="717"/>
      <c r="B3602" s="810"/>
      <c r="C3602" s="827" t="s">
        <v>623</v>
      </c>
      <c r="D3602" s="810"/>
      <c r="E3602" s="828">
        <f t="shared" si="37"/>
        <v>0.1953488372093023</v>
      </c>
      <c r="F3602" s="829">
        <v>1.73</v>
      </c>
      <c r="G3602" s="429">
        <v>2.15</v>
      </c>
    </row>
    <row r="3603" spans="1:7">
      <c r="A3603" s="717"/>
      <c r="B3603" s="810"/>
      <c r="C3603" s="827" t="s">
        <v>1772</v>
      </c>
      <c r="D3603" s="810"/>
      <c r="E3603" s="828">
        <f t="shared" si="37"/>
        <v>0.1953488372093023</v>
      </c>
      <c r="F3603" s="829">
        <v>1.73</v>
      </c>
      <c r="G3603" s="429">
        <v>2.15</v>
      </c>
    </row>
    <row r="3604" spans="1:7">
      <c r="A3604" s="717"/>
      <c r="B3604" s="810"/>
      <c r="C3604" s="827" t="s">
        <v>1346</v>
      </c>
      <c r="D3604" s="810"/>
      <c r="E3604" s="828">
        <f t="shared" si="37"/>
        <v>0.23076923076923075</v>
      </c>
      <c r="F3604" s="829">
        <v>0.2</v>
      </c>
      <c r="G3604" s="429">
        <v>0.26</v>
      </c>
    </row>
    <row r="3605" spans="1:7">
      <c r="A3605" s="717"/>
      <c r="B3605" s="810"/>
      <c r="C3605" s="827" t="s">
        <v>1347</v>
      </c>
      <c r="D3605" s="810"/>
      <c r="E3605" s="828">
        <f t="shared" si="37"/>
        <v>0.23076923076923075</v>
      </c>
      <c r="F3605" s="829">
        <v>0.2</v>
      </c>
      <c r="G3605" s="429">
        <v>0.26</v>
      </c>
    </row>
    <row r="3606" spans="1:7">
      <c r="A3606" s="717"/>
      <c r="B3606" s="810"/>
      <c r="C3606" s="827" t="s">
        <v>1326</v>
      </c>
      <c r="D3606" s="810"/>
      <c r="E3606" s="828">
        <f t="shared" si="37"/>
        <v>0.23076923076923075</v>
      </c>
      <c r="F3606" s="829">
        <v>0.2</v>
      </c>
      <c r="G3606" s="429">
        <v>0.26</v>
      </c>
    </row>
    <row r="3607" spans="1:7">
      <c r="A3607" s="863"/>
      <c r="B3607" s="864"/>
      <c r="C3607" s="865" t="s">
        <v>1327</v>
      </c>
      <c r="D3607" s="864"/>
      <c r="E3607" s="828">
        <f t="shared" si="37"/>
        <v>0.23076923076923075</v>
      </c>
      <c r="F3607" s="829">
        <v>0.2</v>
      </c>
      <c r="G3607" s="429">
        <v>0.26</v>
      </c>
    </row>
    <row r="3608" spans="1:7" ht="15.75" thickBot="1">
      <c r="A3608" s="723"/>
      <c r="B3608" s="858"/>
      <c r="C3608" s="866" t="s">
        <v>1325</v>
      </c>
      <c r="D3608" s="858"/>
      <c r="E3608" s="833">
        <f t="shared" si="37"/>
        <v>0.23076923076923075</v>
      </c>
      <c r="F3608" s="829">
        <v>0.2</v>
      </c>
      <c r="G3608" s="429">
        <v>0.26</v>
      </c>
    </row>
    <row r="3610" spans="1:7" ht="15.75" thickBot="1"/>
    <row r="3611" spans="1:7">
      <c r="A3611" s="3572"/>
      <c r="B3611" s="3636"/>
      <c r="C3611" s="3636"/>
      <c r="D3611" s="3636"/>
      <c r="E3611" s="3636"/>
      <c r="F3611" s="3559"/>
      <c r="G3611" s="429"/>
    </row>
    <row r="3612" spans="1:7" ht="15.75" thickBot="1">
      <c r="A3612" s="3942"/>
      <c r="B3612" s="3950"/>
      <c r="C3612" s="3950"/>
      <c r="D3612" s="3950"/>
      <c r="E3612" s="3950"/>
      <c r="F3612" s="3952"/>
      <c r="G3612" s="429"/>
    </row>
    <row r="3613" spans="1:7" ht="15.75">
      <c r="A3613" s="491" t="s">
        <v>2096</v>
      </c>
      <c r="B3613" s="852" t="s">
        <v>114</v>
      </c>
      <c r="C3613" s="853" t="s">
        <v>1763</v>
      </c>
      <c r="D3613" s="854"/>
      <c r="E3613" s="855">
        <f>(G3613-F3613)/G3613</f>
        <v>0.14988814317673382</v>
      </c>
      <c r="F3613" s="874">
        <v>19</v>
      </c>
      <c r="G3613" s="528">
        <v>22.35</v>
      </c>
    </row>
    <row r="3614" spans="1:7">
      <c r="A3614" s="717"/>
      <c r="B3614" s="810"/>
      <c r="C3614" s="741" t="s">
        <v>1556</v>
      </c>
      <c r="D3614" s="741"/>
      <c r="E3614" s="855">
        <f>(G3614-F3614)/G3614</f>
        <v>0.14988814317673382</v>
      </c>
      <c r="F3614" s="875">
        <v>19</v>
      </c>
      <c r="G3614" s="528">
        <v>22.35</v>
      </c>
    </row>
    <row r="3615" spans="1:7">
      <c r="A3615" s="717"/>
      <c r="B3615" s="810"/>
      <c r="C3615" s="741" t="s">
        <v>1555</v>
      </c>
      <c r="D3615" s="741"/>
      <c r="E3615" s="855">
        <f>(G3615-F3615)/G3615</f>
        <v>0.25995525727069357</v>
      </c>
      <c r="F3615" s="875">
        <v>16.54</v>
      </c>
      <c r="G3615" s="528">
        <v>22.35</v>
      </c>
    </row>
    <row r="3616" spans="1:7">
      <c r="A3616" s="717"/>
      <c r="B3616" s="810"/>
      <c r="C3616" s="741" t="s">
        <v>1810</v>
      </c>
      <c r="D3616" s="741"/>
      <c r="E3616" s="855">
        <f>(G3616-F3616)/G3616</f>
        <v>0.25995525727069357</v>
      </c>
      <c r="F3616" s="875">
        <v>16.54</v>
      </c>
      <c r="G3616" s="528">
        <v>22.35</v>
      </c>
    </row>
    <row r="3617" spans="1:7">
      <c r="A3617" s="717"/>
      <c r="B3617" s="810"/>
      <c r="C3617" s="741" t="s">
        <v>2024</v>
      </c>
      <c r="D3617" s="741"/>
      <c r="E3617" s="855">
        <f>(G3617-F3617)/G3617</f>
        <v>0.14285714285714279</v>
      </c>
      <c r="F3617" s="875">
        <v>0.54</v>
      </c>
      <c r="G3617" s="528">
        <v>0.63</v>
      </c>
    </row>
    <row r="3618" spans="1:7">
      <c r="A3618" s="717"/>
      <c r="B3618" s="810"/>
      <c r="C3618" s="741"/>
      <c r="D3618" s="741"/>
      <c r="E3618" s="741"/>
      <c r="F3618" s="875"/>
    </row>
    <row r="3619" spans="1:7" ht="15.75" thickBot="1">
      <c r="A3619" s="723"/>
      <c r="B3619" s="858"/>
      <c r="C3619" s="760"/>
      <c r="D3619" s="760"/>
      <c r="E3619" s="760"/>
      <c r="F3619" s="859"/>
    </row>
    <row r="3621" spans="1:7" ht="15.75" thickBot="1"/>
    <row r="3622" spans="1:7">
      <c r="A3622" s="3572"/>
      <c r="B3622" s="3636"/>
      <c r="C3622" s="3636"/>
      <c r="D3622" s="3636"/>
      <c r="E3622" s="3636"/>
      <c r="F3622" s="3559"/>
      <c r="G3622" s="429"/>
    </row>
    <row r="3623" spans="1:7">
      <c r="A3623" s="3953"/>
      <c r="B3623" s="3956"/>
      <c r="C3623" s="3956"/>
      <c r="D3623" s="3956"/>
      <c r="E3623" s="3956"/>
      <c r="F3623" s="3957"/>
      <c r="G3623" s="429"/>
    </row>
    <row r="3624" spans="1:7">
      <c r="A3624" s="717" t="s">
        <v>2097</v>
      </c>
      <c r="B3624" s="810" t="s">
        <v>115</v>
      </c>
      <c r="C3624" s="827" t="s">
        <v>1362</v>
      </c>
      <c r="D3624" s="781"/>
      <c r="E3624" s="828">
        <f>(G3624-F3624)/G3624</f>
        <v>0.2</v>
      </c>
      <c r="F3624" s="829">
        <v>4.16</v>
      </c>
      <c r="G3624" s="528">
        <v>5.2</v>
      </c>
    </row>
    <row r="3625" spans="1:7">
      <c r="A3625" s="717"/>
      <c r="B3625" s="810"/>
      <c r="C3625" s="827" t="s">
        <v>1376</v>
      </c>
      <c r="D3625" s="781"/>
      <c r="E3625" s="828">
        <f>(G3625-F3625)/G3625</f>
        <v>0.2</v>
      </c>
      <c r="F3625" s="829">
        <v>4.16</v>
      </c>
      <c r="G3625" s="528">
        <v>5.2</v>
      </c>
    </row>
    <row r="3626" spans="1:7">
      <c r="A3626" s="830"/>
      <c r="B3626" s="741"/>
      <c r="C3626" s="741" t="s">
        <v>1363</v>
      </c>
      <c r="D3626" s="741"/>
      <c r="E3626" s="828">
        <f>(G3626-F3626)/G3626</f>
        <v>0.2</v>
      </c>
      <c r="F3626" s="829">
        <v>4.16</v>
      </c>
      <c r="G3626" s="528">
        <v>5.2</v>
      </c>
    </row>
    <row r="3627" spans="1:7">
      <c r="A3627" s="830"/>
      <c r="B3627" s="741"/>
      <c r="C3627" s="741" t="s">
        <v>510</v>
      </c>
      <c r="D3627" s="741"/>
      <c r="E3627" s="828">
        <f>(G3627-F3627)/G3627</f>
        <v>0.2</v>
      </c>
      <c r="F3627" s="829">
        <v>4.16</v>
      </c>
      <c r="G3627" s="528">
        <v>5.2</v>
      </c>
    </row>
    <row r="3628" spans="1:7">
      <c r="A3628" s="830"/>
      <c r="B3628" s="741"/>
      <c r="C3628" s="741"/>
      <c r="D3628" s="741"/>
      <c r="E3628" s="828"/>
      <c r="F3628" s="831"/>
      <c r="G3628" s="528"/>
    </row>
    <row r="3629" spans="1:7" ht="15.75" thickBot="1">
      <c r="A3629" s="832"/>
      <c r="B3629" s="760"/>
      <c r="C3629" s="760"/>
      <c r="D3629" s="760"/>
      <c r="E3629" s="833"/>
      <c r="F3629" s="834"/>
      <c r="G3629" s="528"/>
    </row>
    <row r="3631" spans="1:7" ht="15.75" thickBot="1"/>
    <row r="3632" spans="1:7">
      <c r="A3632" s="3572"/>
      <c r="B3632" s="3636"/>
      <c r="C3632" s="3636"/>
      <c r="D3632" s="3636"/>
      <c r="E3632" s="3636"/>
      <c r="F3632" s="3559"/>
      <c r="G3632" s="429"/>
    </row>
    <row r="3633" spans="1:7" ht="15.75" thickBot="1">
      <c r="A3633" s="3942"/>
      <c r="B3633" s="3950"/>
      <c r="C3633" s="3950"/>
      <c r="D3633" s="3950"/>
      <c r="E3633" s="3958"/>
      <c r="F3633" s="3930"/>
      <c r="G3633" s="429"/>
    </row>
    <row r="3634" spans="1:7" ht="15.75">
      <c r="A3634" s="491" t="s">
        <v>2100</v>
      </c>
      <c r="B3634" s="485" t="s">
        <v>106</v>
      </c>
      <c r="C3634" s="853" t="s">
        <v>385</v>
      </c>
      <c r="D3634" s="854"/>
      <c r="E3634" s="877">
        <f>(G3634-F3634)/G3634</f>
        <v>0.16842105263157886</v>
      </c>
      <c r="F3634" s="878">
        <v>0.79</v>
      </c>
      <c r="G3634" s="528">
        <v>0.95</v>
      </c>
    </row>
    <row r="3635" spans="1:7" ht="15.75">
      <c r="A3635" s="717"/>
      <c r="B3635" s="810"/>
      <c r="C3635" s="741" t="s">
        <v>387</v>
      </c>
      <c r="D3635" s="741"/>
      <c r="E3635" s="877">
        <f>(G3635-F3635)/G3635</f>
        <v>0.16842105263157886</v>
      </c>
      <c r="F3635" s="878">
        <v>0.79</v>
      </c>
      <c r="G3635" s="528">
        <v>0.95</v>
      </c>
    </row>
    <row r="3636" spans="1:7" ht="15.75">
      <c r="A3636" s="717"/>
      <c r="B3636" s="810"/>
      <c r="C3636" s="741" t="s">
        <v>1522</v>
      </c>
      <c r="D3636" s="741"/>
      <c r="E3636" s="877">
        <f>(G3636-F3636)/G3636</f>
        <v>0.16842105263157886</v>
      </c>
      <c r="F3636" s="878">
        <v>0.79</v>
      </c>
      <c r="G3636" s="528">
        <v>0.95</v>
      </c>
    </row>
    <row r="3637" spans="1:7">
      <c r="A3637" s="717"/>
      <c r="B3637" s="810"/>
      <c r="C3637" s="741" t="s">
        <v>1880</v>
      </c>
      <c r="D3637" s="741"/>
      <c r="E3637" s="877">
        <f>(G3637-F3637)/G3637</f>
        <v>0.15131578947368421</v>
      </c>
      <c r="F3637" s="857">
        <v>1.29</v>
      </c>
      <c r="G3637" s="528">
        <v>1.52</v>
      </c>
    </row>
    <row r="3638" spans="1:7">
      <c r="A3638" s="717"/>
      <c r="B3638" s="810"/>
      <c r="C3638" s="741" t="s">
        <v>1881</v>
      </c>
      <c r="D3638" s="741"/>
      <c r="E3638" s="877">
        <f>(G3638-F3638)/G3638</f>
        <v>0.15131578947368421</v>
      </c>
      <c r="F3638" s="857">
        <v>1.29</v>
      </c>
      <c r="G3638" s="528">
        <v>1.52</v>
      </c>
    </row>
    <row r="3639" spans="1:7">
      <c r="A3639" s="717"/>
      <c r="B3639" s="810"/>
      <c r="C3639" s="741"/>
      <c r="D3639" s="741"/>
      <c r="E3639" s="741"/>
      <c r="F3639" s="857"/>
    </row>
    <row r="3641" spans="1:7" ht="15.75" thickBot="1"/>
    <row r="3642" spans="1:7">
      <c r="A3642" s="3572"/>
      <c r="B3642" s="3636"/>
      <c r="C3642" s="3636"/>
      <c r="D3642" s="3636"/>
      <c r="E3642" s="3636"/>
      <c r="F3642" s="3559"/>
      <c r="G3642" s="429"/>
    </row>
    <row r="3643" spans="1:7">
      <c r="A3643" s="3953"/>
      <c r="B3643" s="3956"/>
      <c r="C3643" s="3956"/>
      <c r="D3643" s="3956"/>
      <c r="E3643" s="3956"/>
      <c r="F3643" s="3957"/>
      <c r="G3643" s="429"/>
    </row>
    <row r="3644" spans="1:7">
      <c r="A3644" s="830" t="s">
        <v>2113</v>
      </c>
      <c r="B3644" s="810" t="s">
        <v>115</v>
      </c>
      <c r="C3644" s="890" t="s">
        <v>1250</v>
      </c>
      <c r="D3644" s="810"/>
      <c r="E3644" s="828">
        <f t="shared" ref="E3644:E3649" si="38">(G3644-F3644)/G3644</f>
        <v>0.26923076923076927</v>
      </c>
      <c r="F3644" s="829">
        <v>0.19</v>
      </c>
      <c r="G3644" s="429">
        <v>0.26</v>
      </c>
    </row>
    <row r="3645" spans="1:7">
      <c r="A3645" s="830"/>
      <c r="B3645" s="810"/>
      <c r="C3645" s="827" t="s">
        <v>1346</v>
      </c>
      <c r="D3645" s="810"/>
      <c r="E3645" s="828">
        <f t="shared" si="38"/>
        <v>0.26923076923076927</v>
      </c>
      <c r="F3645" s="829">
        <v>0.19</v>
      </c>
      <c r="G3645" s="429">
        <v>0.26</v>
      </c>
    </row>
    <row r="3646" spans="1:7">
      <c r="A3646" s="830"/>
      <c r="B3646" s="741"/>
      <c r="C3646" s="827" t="s">
        <v>1347</v>
      </c>
      <c r="D3646" s="810"/>
      <c r="E3646" s="828">
        <f t="shared" si="38"/>
        <v>0.26923076923076927</v>
      </c>
      <c r="F3646" s="829">
        <v>0.19</v>
      </c>
      <c r="G3646" s="429">
        <v>0.26</v>
      </c>
    </row>
    <row r="3647" spans="1:7">
      <c r="A3647" s="830"/>
      <c r="B3647" s="741"/>
      <c r="C3647" s="827" t="s">
        <v>1326</v>
      </c>
      <c r="D3647" s="810"/>
      <c r="E3647" s="828">
        <f t="shared" si="38"/>
        <v>0.26923076923076927</v>
      </c>
      <c r="F3647" s="829">
        <v>0.19</v>
      </c>
      <c r="G3647" s="429">
        <v>0.26</v>
      </c>
    </row>
    <row r="3648" spans="1:7">
      <c r="A3648" s="830"/>
      <c r="B3648" s="741"/>
      <c r="C3648" s="865" t="s">
        <v>1327</v>
      </c>
      <c r="D3648" s="864"/>
      <c r="E3648" s="828">
        <f t="shared" si="38"/>
        <v>0.26923076923076927</v>
      </c>
      <c r="F3648" s="829">
        <v>0.19</v>
      </c>
      <c r="G3648" s="429">
        <v>0.26</v>
      </c>
    </row>
    <row r="3649" spans="1:15" ht="15.75" thickBot="1">
      <c r="A3649" s="832"/>
      <c r="B3649" s="760"/>
      <c r="C3649" s="866" t="s">
        <v>1325</v>
      </c>
      <c r="D3649" s="858"/>
      <c r="E3649" s="833">
        <f t="shared" si="38"/>
        <v>0.26923076923076927</v>
      </c>
      <c r="F3649" s="891">
        <v>0.19</v>
      </c>
      <c r="G3649" s="429">
        <v>0.26</v>
      </c>
    </row>
    <row r="3651" spans="1:15" ht="15.75" thickBot="1"/>
    <row r="3652" spans="1:15">
      <c r="A3652" s="3572"/>
      <c r="B3652" s="3636"/>
      <c r="C3652" s="3636"/>
      <c r="D3652" s="3636"/>
      <c r="E3652" s="3636"/>
      <c r="F3652" s="3559"/>
    </row>
    <row r="3653" spans="1:15">
      <c r="A3653" s="3953"/>
      <c r="B3653" s="3956"/>
      <c r="C3653" s="3956"/>
      <c r="D3653" s="3956"/>
      <c r="E3653" s="3956"/>
      <c r="F3653" s="3957"/>
    </row>
    <row r="3654" spans="1:15">
      <c r="A3654" s="830" t="s">
        <v>2114</v>
      </c>
      <c r="B3654" s="810" t="s">
        <v>115</v>
      </c>
      <c r="C3654" s="890" t="s">
        <v>2115</v>
      </c>
      <c r="D3654" s="810"/>
      <c r="E3654" s="828">
        <f t="shared" ref="E3654:E3659" si="39">(G3654-F3654)/G3654</f>
        <v>0.20895522388059704</v>
      </c>
      <c r="F3654" s="829">
        <v>1.06</v>
      </c>
      <c r="G3654">
        <v>1.34</v>
      </c>
      <c r="H3654">
        <v>2799</v>
      </c>
      <c r="O3654" s="584">
        <f>(G3654-F3654)*H3654</f>
        <v>783.72</v>
      </c>
    </row>
    <row r="3655" spans="1:15">
      <c r="A3655" s="830"/>
      <c r="B3655" s="810"/>
      <c r="C3655" s="827" t="s">
        <v>1315</v>
      </c>
      <c r="D3655" s="810"/>
      <c r="E3655" s="828">
        <f t="shared" si="39"/>
        <v>0.20895522388059704</v>
      </c>
      <c r="F3655" s="829">
        <v>1.06</v>
      </c>
      <c r="G3655">
        <v>1.34</v>
      </c>
    </row>
    <row r="3656" spans="1:15">
      <c r="A3656" s="830"/>
      <c r="B3656" s="741"/>
      <c r="C3656" s="827" t="s">
        <v>2116</v>
      </c>
      <c r="D3656" s="810"/>
      <c r="E3656" s="828">
        <f t="shared" si="39"/>
        <v>0.20895522388059704</v>
      </c>
      <c r="F3656" s="829">
        <v>1.06</v>
      </c>
      <c r="G3656">
        <v>1.34</v>
      </c>
    </row>
    <row r="3657" spans="1:15">
      <c r="A3657" s="830"/>
      <c r="B3657" s="741"/>
      <c r="C3657" s="827" t="s">
        <v>1316</v>
      </c>
      <c r="D3657" s="810"/>
      <c r="E3657" s="828">
        <f t="shared" si="39"/>
        <v>0.20895522388059704</v>
      </c>
      <c r="F3657" s="829">
        <v>1.06</v>
      </c>
      <c r="G3657">
        <v>1.34</v>
      </c>
    </row>
    <row r="3658" spans="1:15">
      <c r="A3658" s="830"/>
      <c r="B3658" s="741"/>
      <c r="C3658" s="865" t="s">
        <v>2066</v>
      </c>
      <c r="D3658" s="864"/>
      <c r="E3658" s="828">
        <f t="shared" si="39"/>
        <v>0.20895522388059704</v>
      </c>
      <c r="F3658" s="829">
        <v>1.06</v>
      </c>
      <c r="G3658">
        <v>1.34</v>
      </c>
    </row>
    <row r="3659" spans="1:15" ht="15.75" thickBot="1">
      <c r="A3659" s="832"/>
      <c r="B3659" s="760"/>
      <c r="C3659" s="866"/>
      <c r="D3659" s="858"/>
      <c r="E3659" s="833" t="e">
        <f t="shared" si="39"/>
        <v>#DIV/0!</v>
      </c>
      <c r="F3659" s="891"/>
    </row>
    <row r="3660" spans="1:15" ht="15.75" thickBot="1"/>
    <row r="3661" spans="1:15">
      <c r="A3661" s="3572"/>
      <c r="B3661" s="3636"/>
      <c r="C3661" s="3636"/>
      <c r="D3661" s="3636"/>
      <c r="E3661" s="3636"/>
      <c r="F3661" s="3559"/>
      <c r="G3661" s="429"/>
    </row>
    <row r="3662" spans="1:15" ht="15.75" thickBot="1">
      <c r="A3662" s="3942"/>
      <c r="B3662" s="3950"/>
      <c r="C3662" s="3950"/>
      <c r="D3662" s="3950"/>
      <c r="E3662" s="3958"/>
      <c r="F3662" s="3930"/>
      <c r="G3662" s="429"/>
    </row>
    <row r="3663" spans="1:15" ht="15.75">
      <c r="A3663" s="491" t="s">
        <v>2126</v>
      </c>
      <c r="B3663" s="485" t="s">
        <v>106</v>
      </c>
      <c r="C3663" s="827" t="s">
        <v>1362</v>
      </c>
      <c r="D3663" s="854"/>
      <c r="E3663" s="877">
        <f>(G3663-F3663)/G3663</f>
        <v>0.15065913370998116</v>
      </c>
      <c r="F3663" s="878">
        <v>4.51</v>
      </c>
      <c r="G3663" s="528">
        <v>5.31</v>
      </c>
    </row>
    <row r="3664" spans="1:15" ht="15.75">
      <c r="A3664" s="717"/>
      <c r="B3664" s="810"/>
      <c r="C3664" s="827" t="s">
        <v>1376</v>
      </c>
      <c r="D3664" s="741"/>
      <c r="E3664" s="877">
        <f>(G3664-F3664)/G3664</f>
        <v>0.15065913370998116</v>
      </c>
      <c r="F3664" s="878">
        <v>4.51</v>
      </c>
      <c r="G3664" s="528">
        <v>5.31</v>
      </c>
    </row>
    <row r="3665" spans="1:7" ht="15.75">
      <c r="A3665" s="717"/>
      <c r="B3665" s="810"/>
      <c r="C3665" s="741" t="s">
        <v>1363</v>
      </c>
      <c r="D3665" s="741"/>
      <c r="E3665" s="877">
        <f>(G3665-F3665)/G3665</f>
        <v>0.15065913370998116</v>
      </c>
      <c r="F3665" s="878">
        <v>4.51</v>
      </c>
      <c r="G3665" s="528">
        <v>5.31</v>
      </c>
    </row>
    <row r="3666" spans="1:7" ht="15.75">
      <c r="A3666" s="717"/>
      <c r="B3666" s="810"/>
      <c r="C3666" s="741" t="s">
        <v>510</v>
      </c>
      <c r="D3666" s="741"/>
      <c r="E3666" s="877">
        <f>(G3666-F3666)/G3666</f>
        <v>0.15065913370998116</v>
      </c>
      <c r="F3666" s="878">
        <v>4.51</v>
      </c>
      <c r="G3666" s="528">
        <v>5.31</v>
      </c>
    </row>
    <row r="3667" spans="1:7" ht="15.75">
      <c r="A3667" s="717"/>
      <c r="B3667" s="810"/>
      <c r="C3667" s="741"/>
      <c r="D3667" s="741"/>
      <c r="E3667" s="877" t="e">
        <f>(G3667-F3667)/G3667</f>
        <v>#DIV/0!</v>
      </c>
      <c r="F3667" s="878"/>
      <c r="G3667" s="528"/>
    </row>
    <row r="3668" spans="1:7">
      <c r="A3668" s="717"/>
      <c r="B3668" s="810"/>
      <c r="C3668" s="741"/>
      <c r="D3668" s="741"/>
      <c r="E3668" s="741"/>
      <c r="F3668" s="857"/>
    </row>
    <row r="3669" spans="1:7" ht="15.75" thickBot="1"/>
    <row r="3670" spans="1:7">
      <c r="A3670" s="3572"/>
      <c r="B3670" s="3636"/>
      <c r="C3670" s="3636"/>
      <c r="D3670" s="3636"/>
      <c r="E3670" s="3636"/>
      <c r="F3670" s="3559"/>
      <c r="G3670" s="429"/>
    </row>
    <row r="3671" spans="1:7" ht="15.75" thickBot="1">
      <c r="A3671" s="3942"/>
      <c r="B3671" s="3950"/>
      <c r="C3671" s="3950"/>
      <c r="D3671" s="3950"/>
      <c r="E3671" s="3950"/>
      <c r="F3671" s="3952"/>
      <c r="G3671" s="429"/>
    </row>
    <row r="3672" spans="1:7" ht="15.75">
      <c r="A3672" s="491" t="s">
        <v>2127</v>
      </c>
      <c r="B3672" s="852" t="s">
        <v>114</v>
      </c>
      <c r="C3672" s="892" t="s">
        <v>1888</v>
      </c>
      <c r="D3672" s="648"/>
      <c r="E3672" s="649">
        <f t="shared" ref="E3672:E3677" si="40">(G3672-F3672)/G3672</f>
        <v>0.25263157894736843</v>
      </c>
      <c r="F3672" s="856">
        <v>0.71</v>
      </c>
      <c r="G3672" s="528">
        <v>0.95</v>
      </c>
    </row>
    <row r="3673" spans="1:7">
      <c r="A3673" s="717"/>
      <c r="B3673" s="810"/>
      <c r="C3673" s="741" t="s">
        <v>385</v>
      </c>
      <c r="D3673" s="741"/>
      <c r="E3673" s="877">
        <f t="shared" si="40"/>
        <v>0.25263157894736843</v>
      </c>
      <c r="F3673" s="857">
        <v>0.71</v>
      </c>
      <c r="G3673">
        <v>0.95</v>
      </c>
    </row>
    <row r="3674" spans="1:7">
      <c r="A3674" s="717"/>
      <c r="B3674" s="810"/>
      <c r="C3674" s="741" t="s">
        <v>388</v>
      </c>
      <c r="D3674" s="741"/>
      <c r="E3674" s="877">
        <f t="shared" si="40"/>
        <v>0.25263157894736843</v>
      </c>
      <c r="F3674" s="857">
        <v>0.71</v>
      </c>
      <c r="G3674">
        <v>0.95</v>
      </c>
    </row>
    <row r="3675" spans="1:7">
      <c r="A3675" s="717"/>
      <c r="B3675" s="810"/>
      <c r="C3675" s="741" t="s">
        <v>387</v>
      </c>
      <c r="D3675" s="741"/>
      <c r="E3675" s="877">
        <f t="shared" si="40"/>
        <v>0.25263157894736843</v>
      </c>
      <c r="F3675" s="857">
        <v>0.71</v>
      </c>
      <c r="G3675">
        <v>0.95</v>
      </c>
    </row>
    <row r="3676" spans="1:7">
      <c r="A3676" s="717"/>
      <c r="B3676" s="810"/>
      <c r="C3676" s="741" t="s">
        <v>2041</v>
      </c>
      <c r="D3676" s="741"/>
      <c r="E3676" s="877">
        <f t="shared" si="40"/>
        <v>0.25263157894736843</v>
      </c>
      <c r="F3676" s="857">
        <v>0.71</v>
      </c>
      <c r="G3676">
        <v>0.95</v>
      </c>
    </row>
    <row r="3677" spans="1:7">
      <c r="A3677" s="717"/>
      <c r="B3677" s="810"/>
      <c r="C3677" s="741" t="s">
        <v>1522</v>
      </c>
      <c r="D3677" s="741"/>
      <c r="E3677" s="877">
        <f t="shared" si="40"/>
        <v>0.25263157894736843</v>
      </c>
      <c r="F3677" s="857">
        <v>0.71</v>
      </c>
      <c r="G3677">
        <v>0.95</v>
      </c>
    </row>
    <row r="3678" spans="1:7" ht="15.75" thickBot="1">
      <c r="A3678" s="723"/>
      <c r="B3678" s="858"/>
      <c r="C3678" s="760"/>
      <c r="D3678" s="760"/>
      <c r="E3678" s="760"/>
      <c r="F3678" s="859"/>
    </row>
    <row r="3679" spans="1:7" ht="15.75" thickBot="1"/>
    <row r="3680" spans="1:7">
      <c r="A3680" s="3572"/>
      <c r="B3680" s="3636"/>
      <c r="C3680" s="3636"/>
      <c r="D3680" s="3636"/>
      <c r="E3680" s="3636"/>
      <c r="F3680" s="3559"/>
    </row>
    <row r="3681" spans="1:15">
      <c r="A3681" s="3953"/>
      <c r="B3681" s="3956"/>
      <c r="C3681" s="3956"/>
      <c r="D3681" s="3956"/>
      <c r="E3681" s="3956"/>
      <c r="F3681" s="3957"/>
    </row>
    <row r="3682" spans="1:15">
      <c r="A3682" s="830" t="s">
        <v>2128</v>
      </c>
      <c r="B3682" s="810" t="s">
        <v>115</v>
      </c>
      <c r="C3682" s="890" t="s">
        <v>940</v>
      </c>
      <c r="D3682" s="810"/>
      <c r="E3682" s="828">
        <f t="shared" ref="E3682:E3687" si="41">(G3682-F3682)/G3682</f>
        <v>0.15042735042735042</v>
      </c>
      <c r="F3682" s="829">
        <v>4.97</v>
      </c>
      <c r="G3682">
        <v>5.85</v>
      </c>
    </row>
    <row r="3683" spans="1:15">
      <c r="A3683" s="830"/>
      <c r="B3683" s="810"/>
      <c r="C3683" s="827" t="s">
        <v>786</v>
      </c>
      <c r="D3683" s="810"/>
      <c r="E3683" s="828">
        <f t="shared" si="41"/>
        <v>0.15042735042735042</v>
      </c>
      <c r="F3683" s="829">
        <v>4.97</v>
      </c>
      <c r="G3683">
        <v>5.85</v>
      </c>
    </row>
    <row r="3684" spans="1:15">
      <c r="A3684" s="830"/>
      <c r="B3684" s="741"/>
      <c r="C3684" s="827"/>
      <c r="D3684" s="810"/>
      <c r="E3684" s="828" t="e">
        <f t="shared" si="41"/>
        <v>#DIV/0!</v>
      </c>
      <c r="F3684" s="829"/>
    </row>
    <row r="3685" spans="1:15">
      <c r="A3685" s="830"/>
      <c r="B3685" s="741"/>
      <c r="C3685" s="827"/>
      <c r="D3685" s="810"/>
      <c r="E3685" s="828" t="e">
        <f t="shared" si="41"/>
        <v>#DIV/0!</v>
      </c>
      <c r="F3685" s="829"/>
    </row>
    <row r="3686" spans="1:15">
      <c r="A3686" s="830"/>
      <c r="B3686" s="741"/>
      <c r="C3686" s="865"/>
      <c r="D3686" s="864"/>
      <c r="E3686" s="828" t="e">
        <f t="shared" si="41"/>
        <v>#DIV/0!</v>
      </c>
      <c r="F3686" s="829"/>
    </row>
    <row r="3687" spans="1:15" ht="15.75" thickBot="1">
      <c r="A3687" s="832"/>
      <c r="B3687" s="760"/>
      <c r="C3687" s="866"/>
      <c r="D3687" s="858"/>
      <c r="E3687" s="833" t="e">
        <f t="shared" si="41"/>
        <v>#DIV/0!</v>
      </c>
      <c r="F3687" s="891"/>
    </row>
    <row r="3688" spans="1:15" ht="15.75" thickBot="1"/>
    <row r="3689" spans="1:15">
      <c r="A3689" s="3572"/>
      <c r="B3689" s="3636"/>
      <c r="C3689" s="3636"/>
      <c r="D3689" s="3636"/>
      <c r="E3689" s="3636"/>
      <c r="F3689" s="3559"/>
    </row>
    <row r="3690" spans="1:15">
      <c r="A3690" s="3953"/>
      <c r="B3690" s="3956"/>
      <c r="C3690" s="3956"/>
      <c r="D3690" s="3956"/>
      <c r="E3690" s="3956"/>
      <c r="F3690" s="3957"/>
    </row>
    <row r="3691" spans="1:15">
      <c r="A3691" s="830" t="s">
        <v>2143</v>
      </c>
      <c r="B3691" s="810" t="s">
        <v>115</v>
      </c>
      <c r="C3691" s="890" t="s">
        <v>1120</v>
      </c>
      <c r="D3691" s="810"/>
      <c r="E3691" s="828">
        <f>(G3691-F3691)/G3691</f>
        <v>0.1136363636363636</v>
      </c>
      <c r="F3691" s="829">
        <v>0.39</v>
      </c>
      <c r="G3691">
        <v>0.44</v>
      </c>
      <c r="H3691">
        <v>490</v>
      </c>
      <c r="O3691" s="584">
        <f>(G3691-F3691)*H3691</f>
        <v>24.499999999999993</v>
      </c>
    </row>
    <row r="3692" spans="1:15">
      <c r="A3692" s="830"/>
      <c r="B3692" s="810"/>
      <c r="C3692" s="827"/>
      <c r="D3692" s="810"/>
      <c r="E3692" s="828" t="e">
        <f>(G3692-F3692)/G3692</f>
        <v>#DIV/0!</v>
      </c>
      <c r="F3692" s="829"/>
    </row>
    <row r="3694" spans="1:15" ht="15.75" thickBot="1"/>
    <row r="3695" spans="1:15">
      <c r="A3695" s="3572"/>
      <c r="B3695" s="3636"/>
      <c r="C3695" s="3636"/>
      <c r="D3695" s="3636"/>
      <c r="E3695" s="3636"/>
      <c r="F3695" s="3559"/>
      <c r="G3695" s="429"/>
    </row>
    <row r="3696" spans="1:15" ht="15.75" thickBot="1">
      <c r="A3696" s="3942"/>
      <c r="B3696" s="3950"/>
      <c r="C3696" s="3950"/>
      <c r="D3696" s="3950"/>
      <c r="E3696" s="3958"/>
      <c r="F3696" s="3930"/>
      <c r="G3696" s="429"/>
    </row>
    <row r="3697" spans="1:7" ht="15.75">
      <c r="A3697" s="491" t="s">
        <v>2144</v>
      </c>
      <c r="B3697" s="485" t="s">
        <v>106</v>
      </c>
      <c r="C3697" s="827" t="s">
        <v>686</v>
      </c>
      <c r="D3697" s="854"/>
      <c r="E3697" s="877">
        <f>(G3697-F3697)/G3697</f>
        <v>0.14778325123152702</v>
      </c>
      <c r="F3697" s="896">
        <v>1.73</v>
      </c>
      <c r="G3697" s="528">
        <v>2.0299999999999998</v>
      </c>
    </row>
    <row r="3698" spans="1:7" ht="15.75">
      <c r="A3698" s="717"/>
      <c r="B3698" s="810"/>
      <c r="C3698" s="827" t="s">
        <v>687</v>
      </c>
      <c r="D3698" s="741"/>
      <c r="E3698" s="877">
        <f>(G3698-F3698)/G3698</f>
        <v>0.14778325123152702</v>
      </c>
      <c r="F3698" s="896">
        <v>1.73</v>
      </c>
      <c r="G3698" s="528">
        <v>2.0299999999999998</v>
      </c>
    </row>
    <row r="3699" spans="1:7" ht="15.75">
      <c r="A3699" s="717"/>
      <c r="B3699" s="810"/>
      <c r="C3699" s="741"/>
      <c r="D3699" s="741"/>
      <c r="E3699" s="877" t="e">
        <f>(G3699-F3699)/G3699</f>
        <v>#DIV/0!</v>
      </c>
      <c r="F3699" s="896"/>
      <c r="G3699" s="528"/>
    </row>
    <row r="3700" spans="1:7" ht="16.5" thickBot="1">
      <c r="A3700" s="723"/>
      <c r="B3700" s="858"/>
      <c r="C3700" s="760"/>
      <c r="D3700" s="760"/>
      <c r="E3700" s="897" t="e">
        <f>(G3700-F3700)/G3700</f>
        <v>#DIV/0!</v>
      </c>
      <c r="F3700" s="898"/>
      <c r="G3700" s="528"/>
    </row>
    <row r="3701" spans="1:7" ht="15.75" thickBot="1"/>
    <row r="3702" spans="1:7">
      <c r="A3702" s="3572"/>
      <c r="B3702" s="3636"/>
      <c r="C3702" s="3636"/>
      <c r="D3702" s="3636"/>
      <c r="E3702" s="3636"/>
      <c r="F3702" s="3559"/>
      <c r="G3702" s="429"/>
    </row>
    <row r="3703" spans="1:7" ht="15.75" thickBot="1">
      <c r="A3703" s="3942"/>
      <c r="B3703" s="3950"/>
      <c r="C3703" s="3950"/>
      <c r="D3703" s="3950"/>
      <c r="E3703" s="3950"/>
      <c r="F3703" s="3952"/>
      <c r="G3703" s="429"/>
    </row>
    <row r="3704" spans="1:7" ht="15.75">
      <c r="A3704" s="491" t="s">
        <v>2148</v>
      </c>
      <c r="B3704" s="852" t="s">
        <v>114</v>
      </c>
      <c r="C3704" s="892" t="s">
        <v>2124</v>
      </c>
      <c r="D3704" s="648"/>
      <c r="E3704" s="649">
        <f t="shared" ref="E3704:E3709" si="42">(G3704-F3704)/G3704</f>
        <v>0.19871794871794873</v>
      </c>
      <c r="F3704" s="856">
        <v>2.5</v>
      </c>
      <c r="G3704" s="528">
        <v>3.12</v>
      </c>
    </row>
    <row r="3705" spans="1:7">
      <c r="A3705" s="717"/>
      <c r="B3705" s="810"/>
      <c r="C3705" s="741" t="s">
        <v>154</v>
      </c>
      <c r="D3705" s="741"/>
      <c r="E3705" s="877">
        <f t="shared" si="42"/>
        <v>0.15151515151515155</v>
      </c>
      <c r="F3705" s="857">
        <v>0.84</v>
      </c>
      <c r="G3705">
        <v>0.99</v>
      </c>
    </row>
    <row r="3706" spans="1:7">
      <c r="A3706" s="717"/>
      <c r="B3706" s="810"/>
      <c r="C3706" s="741" t="s">
        <v>155</v>
      </c>
      <c r="D3706" s="741"/>
      <c r="E3706" s="877">
        <f t="shared" si="42"/>
        <v>0.14545454545454556</v>
      </c>
      <c r="F3706" s="857">
        <v>0.94</v>
      </c>
      <c r="G3706">
        <v>1.1000000000000001</v>
      </c>
    </row>
    <row r="3707" spans="1:7">
      <c r="A3707" s="717"/>
      <c r="B3707" s="810"/>
      <c r="C3707" s="741" t="s">
        <v>183</v>
      </c>
      <c r="D3707" s="741"/>
      <c r="E3707" s="877">
        <f t="shared" si="42"/>
        <v>0.15151515151515146</v>
      </c>
      <c r="F3707" s="857">
        <v>1.1200000000000001</v>
      </c>
      <c r="G3707">
        <v>1.32</v>
      </c>
    </row>
    <row r="3708" spans="1:7">
      <c r="A3708" s="717"/>
      <c r="B3708" s="810"/>
      <c r="C3708" s="741" t="s">
        <v>177</v>
      </c>
      <c r="D3708" s="741"/>
      <c r="E3708" s="877">
        <f t="shared" si="42"/>
        <v>0.1470588235294118</v>
      </c>
      <c r="F3708" s="857">
        <v>0.87</v>
      </c>
      <c r="G3708">
        <v>1.02</v>
      </c>
    </row>
    <row r="3709" spans="1:7">
      <c r="A3709" s="717"/>
      <c r="B3709" s="810"/>
      <c r="C3709" s="741"/>
      <c r="D3709" s="741"/>
      <c r="E3709" s="877" t="e">
        <f t="shared" si="42"/>
        <v>#DIV/0!</v>
      </c>
      <c r="F3709" s="857"/>
    </row>
    <row r="3710" spans="1:7" ht="15.75" thickBot="1"/>
    <row r="3711" spans="1:7">
      <c r="A3711" s="3572"/>
      <c r="B3711" s="3636"/>
      <c r="C3711" s="3636"/>
      <c r="D3711" s="3636"/>
      <c r="E3711" s="3636"/>
      <c r="F3711" s="3559"/>
    </row>
    <row r="3712" spans="1:7">
      <c r="A3712" s="3953"/>
      <c r="B3712" s="3956"/>
      <c r="C3712" s="3956"/>
      <c r="D3712" s="3956"/>
      <c r="E3712" s="3956"/>
      <c r="F3712" s="3957"/>
    </row>
    <row r="3713" spans="1:15" ht="15.75" thickBot="1">
      <c r="A3713" s="832" t="s">
        <v>2150</v>
      </c>
      <c r="B3713" s="858" t="s">
        <v>115</v>
      </c>
      <c r="C3713" s="899" t="s">
        <v>2151</v>
      </c>
      <c r="D3713" s="858"/>
      <c r="E3713" s="833">
        <f>(G3713-F3713)/G3713</f>
        <v>0.15085158150851583</v>
      </c>
      <c r="F3713" s="891">
        <v>3.49</v>
      </c>
      <c r="G3713">
        <v>4.1100000000000003</v>
      </c>
      <c r="H3713">
        <v>157</v>
      </c>
      <c r="O3713" s="584">
        <f>(G3713-F3713)*H3713</f>
        <v>97.340000000000018</v>
      </c>
    </row>
    <row r="3714" spans="1:15" ht="15.75" thickBot="1"/>
    <row r="3715" spans="1:15">
      <c r="A3715" s="3572"/>
      <c r="B3715" s="3636"/>
      <c r="C3715" s="3636"/>
      <c r="D3715" s="3636"/>
      <c r="E3715" s="3636"/>
      <c r="F3715" s="3559"/>
      <c r="G3715" s="429"/>
    </row>
    <row r="3716" spans="1:15" ht="15.75" thickBot="1">
      <c r="A3716" s="3942"/>
      <c r="B3716" s="3950"/>
      <c r="C3716" s="3950"/>
      <c r="D3716" s="3950"/>
      <c r="E3716" s="3958"/>
      <c r="F3716" s="3930"/>
      <c r="G3716" s="429"/>
    </row>
    <row r="3717" spans="1:15" ht="15.75">
      <c r="A3717" s="491" t="s">
        <v>2153</v>
      </c>
      <c r="B3717" s="485" t="s">
        <v>106</v>
      </c>
      <c r="C3717" s="827" t="s">
        <v>2115</v>
      </c>
      <c r="D3717" s="854"/>
      <c r="E3717" s="877">
        <f t="shared" ref="E3717:E3726" si="43">(G3717-F3717)/G3717</f>
        <v>0.14788732394366194</v>
      </c>
      <c r="F3717" s="878">
        <v>1.21</v>
      </c>
      <c r="G3717" s="528">
        <v>1.42</v>
      </c>
    </row>
    <row r="3718" spans="1:15" ht="15.75">
      <c r="A3718" s="717"/>
      <c r="B3718" s="810"/>
      <c r="C3718" s="827" t="s">
        <v>1315</v>
      </c>
      <c r="D3718" s="741"/>
      <c r="E3718" s="877">
        <f t="shared" si="43"/>
        <v>0.14788732394366194</v>
      </c>
      <c r="F3718" s="878">
        <v>1.21</v>
      </c>
      <c r="G3718" s="528">
        <v>1.42</v>
      </c>
    </row>
    <row r="3719" spans="1:15" ht="15.75">
      <c r="A3719" s="717"/>
      <c r="B3719" s="810"/>
      <c r="C3719" s="741" t="s">
        <v>2116</v>
      </c>
      <c r="D3719" s="741"/>
      <c r="E3719" s="877">
        <f t="shared" si="43"/>
        <v>0.14788732394366194</v>
      </c>
      <c r="F3719" s="878">
        <v>1.21</v>
      </c>
      <c r="G3719" s="528">
        <v>1.42</v>
      </c>
    </row>
    <row r="3720" spans="1:15" ht="15.75">
      <c r="A3720" s="717"/>
      <c r="B3720" s="810"/>
      <c r="C3720" s="741" t="s">
        <v>2066</v>
      </c>
      <c r="D3720" s="741"/>
      <c r="E3720" s="877">
        <f t="shared" si="43"/>
        <v>0.14788732394366194</v>
      </c>
      <c r="F3720" s="878">
        <v>1.21</v>
      </c>
      <c r="G3720" s="528">
        <v>1.42</v>
      </c>
    </row>
    <row r="3721" spans="1:15" ht="15.75">
      <c r="A3721" s="807"/>
      <c r="B3721" s="810"/>
      <c r="C3721" s="741" t="s">
        <v>2052</v>
      </c>
      <c r="D3721" s="741"/>
      <c r="E3721" s="877">
        <f t="shared" si="43"/>
        <v>0.14990601503759404</v>
      </c>
      <c r="F3721" s="878">
        <v>18.09</v>
      </c>
      <c r="G3721" s="528">
        <v>21.28</v>
      </c>
    </row>
    <row r="3722" spans="1:15">
      <c r="A3722" s="807"/>
      <c r="B3722" s="810"/>
      <c r="C3722" s="741" t="s">
        <v>868</v>
      </c>
      <c r="D3722" s="741"/>
      <c r="E3722" s="877">
        <f t="shared" si="43"/>
        <v>0.15017878426698458</v>
      </c>
      <c r="F3722" s="741">
        <v>7.13</v>
      </c>
      <c r="G3722" s="528">
        <v>8.39</v>
      </c>
    </row>
    <row r="3723" spans="1:15">
      <c r="A3723" s="741"/>
      <c r="B3723" s="741"/>
      <c r="C3723" s="741" t="s">
        <v>239</v>
      </c>
      <c r="D3723" s="741"/>
      <c r="E3723" s="877">
        <f t="shared" si="43"/>
        <v>0.15017878426698458</v>
      </c>
      <c r="F3723" s="741">
        <v>7.13</v>
      </c>
      <c r="G3723" s="528">
        <v>8.39</v>
      </c>
    </row>
    <row r="3724" spans="1:15">
      <c r="A3724" s="741"/>
      <c r="B3724" s="741"/>
      <c r="C3724" s="741" t="s">
        <v>238</v>
      </c>
      <c r="D3724" s="741"/>
      <c r="E3724" s="877">
        <f t="shared" si="43"/>
        <v>0.15017878426698458</v>
      </c>
      <c r="F3724" s="741">
        <v>7.13</v>
      </c>
      <c r="G3724" s="528">
        <v>8.39</v>
      </c>
      <c r="H3724">
        <v>7.15</v>
      </c>
      <c r="I3724">
        <v>8.41</v>
      </c>
    </row>
    <row r="3725" spans="1:15">
      <c r="A3725" s="741"/>
      <c r="B3725" s="741"/>
      <c r="C3725" s="741" t="s">
        <v>71</v>
      </c>
      <c r="D3725" s="741"/>
      <c r="E3725" s="877">
        <f t="shared" si="43"/>
        <v>0.14990601503759404</v>
      </c>
      <c r="F3725" s="741">
        <v>18.09</v>
      </c>
      <c r="G3725" s="528">
        <v>21.28</v>
      </c>
    </row>
    <row r="3726" spans="1:15">
      <c r="A3726" s="741"/>
      <c r="B3726" s="741"/>
      <c r="C3726" s="741" t="s">
        <v>1883</v>
      </c>
      <c r="D3726" s="741"/>
      <c r="E3726" s="877">
        <f t="shared" si="43"/>
        <v>0.14990601503759404</v>
      </c>
      <c r="F3726" s="741">
        <v>18.09</v>
      </c>
      <c r="G3726" s="528">
        <v>21.28</v>
      </c>
    </row>
    <row r="3727" spans="1:15" ht="15.75" thickBot="1"/>
    <row r="3728" spans="1:15">
      <c r="A3728" s="3572"/>
      <c r="B3728" s="3636"/>
      <c r="C3728" s="3636"/>
      <c r="D3728" s="3636"/>
      <c r="E3728" s="3636"/>
      <c r="F3728" s="3559"/>
    </row>
    <row r="3729" spans="1:15" ht="15.75" thickBot="1">
      <c r="A3729" s="3942"/>
      <c r="B3729" s="3950"/>
      <c r="C3729" s="3950"/>
      <c r="D3729" s="3950"/>
      <c r="E3729" s="3950"/>
      <c r="F3729" s="3952"/>
    </row>
    <row r="3730" spans="1:15">
      <c r="A3730" s="919" t="s">
        <v>2172</v>
      </c>
      <c r="B3730" s="485" t="s">
        <v>115</v>
      </c>
      <c r="C3730" s="920" t="s">
        <v>1058</v>
      </c>
      <c r="D3730" s="485"/>
      <c r="E3730" s="659">
        <f t="shared" ref="E3730:E3735" si="44">(G3730-F3730)/G3730</f>
        <v>0.35000000000000003</v>
      </c>
      <c r="F3730" s="660">
        <v>1.17</v>
      </c>
      <c r="G3730">
        <v>1.8</v>
      </c>
      <c r="H3730">
        <v>8722</v>
      </c>
      <c r="O3730" s="584">
        <f>(G3730-F3730)*H3730</f>
        <v>5494.8600000000006</v>
      </c>
    </row>
    <row r="3731" spans="1:15">
      <c r="A3731" s="919"/>
      <c r="B3731" s="485"/>
      <c r="C3731" s="920" t="s">
        <v>2062</v>
      </c>
      <c r="D3731" s="485"/>
      <c r="E3731" s="659">
        <f t="shared" si="44"/>
        <v>0.35000000000000003</v>
      </c>
      <c r="F3731" s="660">
        <v>1.17</v>
      </c>
      <c r="G3731">
        <v>1.8</v>
      </c>
    </row>
    <row r="3732" spans="1:15">
      <c r="A3732" s="830"/>
      <c r="B3732" s="921"/>
      <c r="C3732" s="921" t="s">
        <v>2115</v>
      </c>
      <c r="D3732" s="921"/>
      <c r="E3732" s="922">
        <f t="shared" si="44"/>
        <v>0.35074626865671649</v>
      </c>
      <c r="F3732" s="857">
        <v>0.87</v>
      </c>
      <c r="G3732">
        <v>1.34</v>
      </c>
      <c r="H3732">
        <v>16942</v>
      </c>
      <c r="O3732" s="584">
        <f>(G3732-F3732)*H3732</f>
        <v>7962.7400000000016</v>
      </c>
    </row>
    <row r="3733" spans="1:15">
      <c r="A3733" s="830"/>
      <c r="B3733" s="921"/>
      <c r="C3733" s="921" t="s">
        <v>1315</v>
      </c>
      <c r="D3733" s="921"/>
      <c r="E3733" s="922">
        <f t="shared" si="44"/>
        <v>0.35074626865671649</v>
      </c>
      <c r="F3733" s="857">
        <v>0.87</v>
      </c>
      <c r="G3733">
        <v>1.34</v>
      </c>
    </row>
    <row r="3734" spans="1:15">
      <c r="A3734" s="830"/>
      <c r="B3734" s="921"/>
      <c r="C3734" s="921" t="s">
        <v>2116</v>
      </c>
      <c r="D3734" s="921"/>
      <c r="E3734" s="922">
        <f t="shared" si="44"/>
        <v>0.35074626865671649</v>
      </c>
      <c r="F3734" s="857">
        <v>0.87</v>
      </c>
      <c r="G3734">
        <v>1.34</v>
      </c>
    </row>
    <row r="3735" spans="1:15" ht="15.75" thickBot="1">
      <c r="A3735" s="832"/>
      <c r="B3735" s="760"/>
      <c r="C3735" s="760" t="s">
        <v>2066</v>
      </c>
      <c r="D3735" s="760"/>
      <c r="E3735" s="833">
        <f t="shared" si="44"/>
        <v>0.35074626865671649</v>
      </c>
      <c r="F3735" s="859">
        <v>0.87</v>
      </c>
      <c r="G3735">
        <v>1.34</v>
      </c>
    </row>
    <row r="3738" spans="1:15">
      <c r="A3738" s="3955"/>
      <c r="B3738" s="3955"/>
      <c r="C3738" s="3955"/>
      <c r="D3738" s="3955"/>
      <c r="E3738" s="3955"/>
      <c r="F3738" s="3955"/>
      <c r="G3738" s="429"/>
    </row>
    <row r="3739" spans="1:15">
      <c r="A3739" s="3955"/>
      <c r="B3739" s="3955"/>
      <c r="C3739" s="3955"/>
      <c r="D3739" s="3955"/>
      <c r="E3739" s="3955"/>
      <c r="F3739" s="3955"/>
      <c r="G3739" s="429"/>
    </row>
    <row r="3740" spans="1:15" ht="15.75">
      <c r="A3740" s="948" t="s">
        <v>2187</v>
      </c>
      <c r="B3740" s="949" t="s">
        <v>106</v>
      </c>
      <c r="C3740" s="921" t="s">
        <v>2052</v>
      </c>
      <c r="D3740" s="921"/>
      <c r="E3740" s="950">
        <f t="shared" ref="E3740:E3754" si="45">(G3740-F3740)/G3740</f>
        <v>0.36998025016458191</v>
      </c>
      <c r="F3740" s="951">
        <v>19.14</v>
      </c>
      <c r="G3740" s="528">
        <v>30.38</v>
      </c>
    </row>
    <row r="3741" spans="1:15">
      <c r="A3741" s="948"/>
      <c r="B3741" s="949"/>
      <c r="C3741" s="921" t="s">
        <v>868</v>
      </c>
      <c r="D3741" s="921"/>
      <c r="E3741" s="950">
        <f t="shared" si="45"/>
        <v>0.37004754358161646</v>
      </c>
      <c r="F3741" s="921">
        <v>7.95</v>
      </c>
      <c r="G3741" s="528">
        <v>12.62</v>
      </c>
    </row>
    <row r="3742" spans="1:15">
      <c r="A3742" s="948"/>
      <c r="B3742" s="949"/>
      <c r="C3742" s="921" t="s">
        <v>239</v>
      </c>
      <c r="D3742" s="921"/>
      <c r="E3742" s="950">
        <f t="shared" si="45"/>
        <v>0.37004754358161646</v>
      </c>
      <c r="F3742" s="921">
        <v>7.95</v>
      </c>
      <c r="G3742" s="528">
        <v>12.62</v>
      </c>
    </row>
    <row r="3743" spans="1:15">
      <c r="A3743" s="948"/>
      <c r="B3743" s="949"/>
      <c r="C3743" s="921" t="s">
        <v>238</v>
      </c>
      <c r="D3743" s="921"/>
      <c r="E3743" s="950">
        <f t="shared" si="45"/>
        <v>0.37004754358161646</v>
      </c>
      <c r="F3743" s="921">
        <v>7.95</v>
      </c>
      <c r="G3743" s="528">
        <v>12.62</v>
      </c>
    </row>
    <row r="3744" spans="1:15">
      <c r="A3744" s="948"/>
      <c r="B3744" s="949"/>
      <c r="C3744" s="921" t="s">
        <v>71</v>
      </c>
      <c r="D3744" s="921"/>
      <c r="E3744" s="950">
        <f t="shared" si="45"/>
        <v>0.36998025016458191</v>
      </c>
      <c r="F3744" s="921">
        <v>19.14</v>
      </c>
      <c r="G3744" s="528">
        <v>30.38</v>
      </c>
    </row>
    <row r="3745" spans="1:8">
      <c r="A3745" s="948"/>
      <c r="B3745" s="949"/>
      <c r="C3745" s="921" t="s">
        <v>1883</v>
      </c>
      <c r="D3745" s="921"/>
      <c r="E3745" s="950">
        <f t="shared" si="45"/>
        <v>0.36998025016458191</v>
      </c>
      <c r="F3745" s="921">
        <v>19.14</v>
      </c>
      <c r="G3745" s="528">
        <v>30.38</v>
      </c>
    </row>
    <row r="3746" spans="1:8">
      <c r="A3746" s="921"/>
      <c r="B3746" s="921"/>
      <c r="C3746" s="921" t="s">
        <v>1496</v>
      </c>
      <c r="D3746" s="921"/>
      <c r="E3746" s="950">
        <f t="shared" si="45"/>
        <v>0.37037037037037041</v>
      </c>
      <c r="F3746" s="921">
        <v>3.57</v>
      </c>
      <c r="G3746" s="528">
        <v>5.67</v>
      </c>
    </row>
    <row r="3747" spans="1:8">
      <c r="A3747" s="921"/>
      <c r="B3747" s="921"/>
      <c r="C3747" s="921" t="s">
        <v>1497</v>
      </c>
      <c r="D3747" s="921"/>
      <c r="E3747" s="950">
        <f t="shared" si="45"/>
        <v>0.37037037037037041</v>
      </c>
      <c r="F3747" s="921">
        <v>3.57</v>
      </c>
      <c r="G3747" s="528">
        <v>5.67</v>
      </c>
    </row>
    <row r="3748" spans="1:8">
      <c r="A3748" s="921"/>
      <c r="B3748" s="921"/>
      <c r="C3748" s="921" t="s">
        <v>1722</v>
      </c>
      <c r="D3748" s="921"/>
      <c r="E3748" s="950">
        <f t="shared" si="45"/>
        <v>0.37037037037037041</v>
      </c>
      <c r="F3748" s="921">
        <v>3.57</v>
      </c>
      <c r="G3748" s="528">
        <v>5.67</v>
      </c>
    </row>
    <row r="3749" spans="1:8">
      <c r="A3749" s="921"/>
      <c r="B3749" s="921"/>
      <c r="C3749" s="921" t="s">
        <v>1499</v>
      </c>
      <c r="D3749" s="921"/>
      <c r="E3749" s="950">
        <f t="shared" si="45"/>
        <v>0.36997319034852544</v>
      </c>
      <c r="F3749" s="921">
        <v>9.4</v>
      </c>
      <c r="G3749" s="528">
        <v>14.92</v>
      </c>
    </row>
    <row r="3750" spans="1:8">
      <c r="A3750" s="921"/>
      <c r="B3750" s="921"/>
      <c r="C3750" s="921" t="s">
        <v>1075</v>
      </c>
      <c r="D3750" s="921"/>
      <c r="E3750" s="950">
        <f t="shared" si="45"/>
        <v>0.37086092715231789</v>
      </c>
      <c r="F3750" s="923">
        <v>0.95</v>
      </c>
      <c r="G3750" s="528">
        <v>1.51</v>
      </c>
    </row>
    <row r="3751" spans="1:8">
      <c r="A3751" s="921"/>
      <c r="B3751" s="921"/>
      <c r="C3751" s="921" t="s">
        <v>1168</v>
      </c>
      <c r="D3751" s="921"/>
      <c r="E3751" s="950">
        <f t="shared" si="45"/>
        <v>0.36991869918699183</v>
      </c>
      <c r="F3751" s="923">
        <v>6.2</v>
      </c>
      <c r="G3751" s="528">
        <v>9.84</v>
      </c>
    </row>
    <row r="3752" spans="1:8">
      <c r="A3752" s="921"/>
      <c r="B3752" s="921"/>
      <c r="C3752" s="921" t="s">
        <v>937</v>
      </c>
      <c r="D3752" s="921"/>
      <c r="E3752" s="950">
        <f t="shared" si="45"/>
        <v>0.36991869918699183</v>
      </c>
      <c r="F3752" s="923">
        <v>6.2</v>
      </c>
      <c r="G3752" s="528">
        <v>9.84</v>
      </c>
    </row>
    <row r="3753" spans="1:8">
      <c r="A3753" s="921"/>
      <c r="B3753" s="921"/>
      <c r="C3753" s="921" t="s">
        <v>1401</v>
      </c>
      <c r="D3753" s="921"/>
      <c r="E3753" s="950">
        <f t="shared" si="45"/>
        <v>0.37015503875968991</v>
      </c>
      <c r="F3753" s="923">
        <v>3.25</v>
      </c>
      <c r="G3753" s="528">
        <v>5.16</v>
      </c>
    </row>
    <row r="3754" spans="1:8">
      <c r="A3754" s="921"/>
      <c r="B3754" s="921"/>
      <c r="C3754" s="921" t="s">
        <v>903</v>
      </c>
      <c r="D3754" s="921"/>
      <c r="E3754" s="950">
        <f t="shared" si="45"/>
        <v>0.37015503875968991</v>
      </c>
      <c r="F3754" s="923">
        <v>3.25</v>
      </c>
      <c r="G3754" s="528">
        <v>5.16</v>
      </c>
    </row>
    <row r="3757" spans="1:8">
      <c r="A3757" s="3955"/>
      <c r="B3757" s="3955"/>
      <c r="C3757" s="3955"/>
      <c r="D3757" s="3955"/>
      <c r="E3757" s="3955"/>
      <c r="F3757" s="3955"/>
      <c r="G3757" s="429"/>
    </row>
    <row r="3758" spans="1:8">
      <c r="A3758" s="3955"/>
      <c r="B3758" s="3955"/>
      <c r="C3758" s="3955"/>
      <c r="D3758" s="3955"/>
      <c r="E3758" s="3955"/>
      <c r="F3758" s="3955"/>
      <c r="G3758" s="429"/>
    </row>
    <row r="3759" spans="1:8" ht="15.75">
      <c r="A3759" s="948" t="s">
        <v>2190</v>
      </c>
      <c r="B3759" s="949" t="s">
        <v>106</v>
      </c>
      <c r="C3759" s="921" t="s">
        <v>554</v>
      </c>
      <c r="D3759" s="921"/>
      <c r="E3759" s="950">
        <f t="shared" ref="E3759:E3765" si="46">(G3759-F3759)/G3759</f>
        <v>0.14545454545454556</v>
      </c>
      <c r="F3759" s="951">
        <v>0.94</v>
      </c>
      <c r="G3759" s="528">
        <v>1.1000000000000001</v>
      </c>
    </row>
    <row r="3760" spans="1:8">
      <c r="A3760" s="948"/>
      <c r="B3760" s="949"/>
      <c r="C3760" s="921" t="s">
        <v>1058</v>
      </c>
      <c r="D3760" s="921"/>
      <c r="E3760" s="950">
        <f t="shared" si="46"/>
        <v>0.1518324607329842</v>
      </c>
      <c r="F3760" s="921">
        <v>1.62</v>
      </c>
      <c r="G3760" s="528">
        <v>1.91</v>
      </c>
      <c r="H3760" s="176" t="s">
        <v>2211</v>
      </c>
    </row>
    <row r="3761" spans="1:15">
      <c r="A3761" s="948"/>
      <c r="B3761" s="949"/>
      <c r="C3761" s="921" t="s">
        <v>920</v>
      </c>
      <c r="D3761" s="921"/>
      <c r="E3761" s="950">
        <f t="shared" si="46"/>
        <v>0.20270270270270274</v>
      </c>
      <c r="F3761" s="921">
        <v>0.59</v>
      </c>
      <c r="G3761" s="528">
        <v>0.74</v>
      </c>
      <c r="H3761" s="176" t="s">
        <v>2212</v>
      </c>
    </row>
    <row r="3762" spans="1:15">
      <c r="A3762" s="948"/>
      <c r="B3762" s="949"/>
      <c r="C3762" s="921" t="s">
        <v>2203</v>
      </c>
      <c r="D3762" s="921"/>
      <c r="E3762" s="950">
        <f t="shared" si="46"/>
        <v>0.1482889733840303</v>
      </c>
      <c r="F3762" s="921">
        <v>2.2400000000000002</v>
      </c>
      <c r="G3762" s="528">
        <v>2.63</v>
      </c>
    </row>
    <row r="3763" spans="1:15">
      <c r="A3763" s="948"/>
      <c r="B3763" s="949"/>
      <c r="C3763" s="921" t="s">
        <v>2204</v>
      </c>
      <c r="D3763" s="921"/>
      <c r="E3763" s="950">
        <f t="shared" si="46"/>
        <v>0.1482889733840303</v>
      </c>
      <c r="F3763" s="921">
        <v>2.2400000000000002</v>
      </c>
      <c r="G3763" s="528">
        <v>2.63</v>
      </c>
    </row>
    <row r="3764" spans="1:15">
      <c r="A3764" s="948"/>
      <c r="B3764" s="949"/>
      <c r="C3764" s="921" t="s">
        <v>1866</v>
      </c>
      <c r="D3764" s="921"/>
      <c r="E3764" s="950">
        <f t="shared" si="46"/>
        <v>0.1482889733840303</v>
      </c>
      <c r="F3764" s="921">
        <v>2.2400000000000002</v>
      </c>
      <c r="G3764" s="528">
        <v>2.63</v>
      </c>
    </row>
    <row r="3765" spans="1:15">
      <c r="A3765" s="948"/>
      <c r="B3765" s="949"/>
      <c r="C3765" s="921" t="s">
        <v>1867</v>
      </c>
      <c r="D3765" s="921"/>
      <c r="E3765" s="950">
        <f t="shared" si="46"/>
        <v>0.1482889733840303</v>
      </c>
      <c r="F3765" s="921">
        <v>2.2400000000000002</v>
      </c>
      <c r="G3765" s="528">
        <v>2.63</v>
      </c>
    </row>
    <row r="3767" spans="1:15" ht="15.75" thickBot="1"/>
    <row r="3768" spans="1:15">
      <c r="A3768" s="3572"/>
      <c r="B3768" s="3636"/>
      <c r="C3768" s="3636"/>
      <c r="D3768" s="3636"/>
      <c r="E3768" s="3636"/>
      <c r="F3768" s="3559"/>
    </row>
    <row r="3769" spans="1:15" ht="15.75" thickBot="1">
      <c r="A3769" s="3942"/>
      <c r="B3769" s="3950"/>
      <c r="C3769" s="3950"/>
      <c r="D3769" s="3950"/>
      <c r="E3769" s="3950"/>
      <c r="F3769" s="3952"/>
    </row>
    <row r="3770" spans="1:15">
      <c r="A3770" s="919" t="s">
        <v>2209</v>
      </c>
      <c r="B3770" s="485" t="s">
        <v>115</v>
      </c>
      <c r="C3770" s="920" t="s">
        <v>730</v>
      </c>
      <c r="D3770" s="485"/>
      <c r="E3770" s="950">
        <f>(G3770-F3770)/G3770</f>
        <v>0.15068493150684931</v>
      </c>
      <c r="F3770" s="660">
        <v>0.62</v>
      </c>
      <c r="G3770">
        <v>0.73</v>
      </c>
      <c r="H3770">
        <v>1062</v>
      </c>
      <c r="O3770" s="584">
        <f>(G3770-F3770)*H3770</f>
        <v>116.81999999999998</v>
      </c>
    </row>
    <row r="3771" spans="1:15">
      <c r="A3771" s="919"/>
      <c r="B3771" s="485"/>
      <c r="C3771" s="920" t="s">
        <v>2210</v>
      </c>
      <c r="D3771" s="485"/>
      <c r="E3771" s="950">
        <f>(G3771-F3771)/G3771</f>
        <v>0.15068493150684931</v>
      </c>
      <c r="F3771" s="660">
        <v>0.62</v>
      </c>
      <c r="G3771">
        <v>0.73</v>
      </c>
    </row>
    <row r="3772" spans="1:15">
      <c r="A3772" s="830"/>
      <c r="B3772" s="921"/>
      <c r="C3772" s="921" t="s">
        <v>1563</v>
      </c>
      <c r="D3772" s="921"/>
      <c r="E3772" s="950">
        <f>(G3772-F3772)/G3772</f>
        <v>0.14953271028037385</v>
      </c>
      <c r="F3772" s="857">
        <v>0.91</v>
      </c>
      <c r="G3772">
        <v>1.07</v>
      </c>
      <c r="H3772">
        <v>671</v>
      </c>
      <c r="O3772" s="584">
        <f>(G3772-F3772)*H3772</f>
        <v>107.36000000000003</v>
      </c>
    </row>
    <row r="3773" spans="1:15" ht="15.75" thickBot="1"/>
    <row r="3774" spans="1:15">
      <c r="A3774" s="3572"/>
      <c r="B3774" s="3636"/>
      <c r="C3774" s="3636"/>
      <c r="D3774" s="3636"/>
      <c r="E3774" s="3636"/>
      <c r="F3774" s="3559"/>
      <c r="G3774" s="429"/>
    </row>
    <row r="3775" spans="1:15">
      <c r="A3775" s="3953"/>
      <c r="B3775" s="3955"/>
      <c r="C3775" s="3955"/>
      <c r="D3775" s="3955"/>
      <c r="E3775" s="3955"/>
      <c r="F3775" s="3957"/>
      <c r="G3775" s="429"/>
    </row>
    <row r="3776" spans="1:15" ht="15.75">
      <c r="A3776" s="717" t="s">
        <v>2219</v>
      </c>
      <c r="B3776" s="949" t="s">
        <v>106</v>
      </c>
      <c r="C3776" s="921" t="s">
        <v>1270</v>
      </c>
      <c r="D3776" s="921"/>
      <c r="E3776" s="950">
        <f t="shared" ref="E3776:E3783" si="47">(G3776-F3776)/G3776</f>
        <v>0.15001546551190839</v>
      </c>
      <c r="F3776" s="896">
        <v>27.48</v>
      </c>
      <c r="G3776" s="528">
        <v>32.33</v>
      </c>
    </row>
    <row r="3777" spans="1:7" ht="15.75">
      <c r="A3777" s="717"/>
      <c r="B3777" s="949"/>
      <c r="C3777" s="921" t="s">
        <v>1271</v>
      </c>
      <c r="D3777" s="921"/>
      <c r="E3777" s="950">
        <f t="shared" si="47"/>
        <v>0.15001546551190839</v>
      </c>
      <c r="F3777" s="896">
        <v>27.48</v>
      </c>
      <c r="G3777" s="528">
        <v>32.33</v>
      </c>
    </row>
    <row r="3778" spans="1:7">
      <c r="A3778" s="717"/>
      <c r="B3778" s="949"/>
      <c r="C3778" s="921" t="s">
        <v>549</v>
      </c>
      <c r="D3778" s="921"/>
      <c r="E3778" s="950">
        <f t="shared" si="47"/>
        <v>0.15003304692663591</v>
      </c>
      <c r="F3778" s="857">
        <v>25.72</v>
      </c>
      <c r="G3778" s="528">
        <v>30.26</v>
      </c>
    </row>
    <row r="3779" spans="1:7">
      <c r="A3779" s="717"/>
      <c r="B3779" s="949"/>
      <c r="C3779" s="921" t="s">
        <v>1258</v>
      </c>
      <c r="D3779" s="921"/>
      <c r="E3779" s="950">
        <f t="shared" si="47"/>
        <v>0.15003304692663591</v>
      </c>
      <c r="F3779" s="857">
        <v>25.72</v>
      </c>
      <c r="G3779" s="528">
        <v>30.26</v>
      </c>
    </row>
    <row r="3780" spans="1:7">
      <c r="A3780" s="717"/>
      <c r="B3780" s="949"/>
      <c r="C3780" s="921" t="s">
        <v>550</v>
      </c>
      <c r="D3780" s="921"/>
      <c r="E3780" s="950">
        <f t="shared" si="47"/>
        <v>0.14986481266898413</v>
      </c>
      <c r="F3780" s="857">
        <v>22.01</v>
      </c>
      <c r="G3780" s="528">
        <v>25.89</v>
      </c>
    </row>
    <row r="3781" spans="1:7">
      <c r="A3781" s="717"/>
      <c r="B3781" s="949"/>
      <c r="C3781" s="921" t="s">
        <v>1259</v>
      </c>
      <c r="D3781" s="921"/>
      <c r="E3781" s="950">
        <f t="shared" si="47"/>
        <v>0.14986481266898413</v>
      </c>
      <c r="F3781" s="857">
        <v>22.01</v>
      </c>
      <c r="G3781" s="528">
        <v>25.89</v>
      </c>
    </row>
    <row r="3782" spans="1:7">
      <c r="A3782" s="717"/>
      <c r="B3782" s="949"/>
      <c r="C3782" s="921" t="s">
        <v>1263</v>
      </c>
      <c r="D3782" s="921"/>
      <c r="E3782" s="950">
        <f t="shared" si="47"/>
        <v>0.14843749999999994</v>
      </c>
      <c r="F3782" s="857">
        <v>2.1800000000000002</v>
      </c>
      <c r="G3782" s="528">
        <v>2.56</v>
      </c>
    </row>
    <row r="3783" spans="1:7">
      <c r="A3783" s="830"/>
      <c r="B3783" s="921"/>
      <c r="C3783" s="921" t="s">
        <v>1814</v>
      </c>
      <c r="D3783" s="921"/>
      <c r="E3783" s="968">
        <f t="shared" si="47"/>
        <v>0.15022421524663676</v>
      </c>
      <c r="F3783" s="754">
        <v>3.79</v>
      </c>
      <c r="G3783" s="528">
        <v>4.46</v>
      </c>
    </row>
    <row r="3784" spans="1:7" ht="15.75" thickBot="1">
      <c r="A3784" s="832"/>
      <c r="B3784" s="760"/>
      <c r="C3784" s="760"/>
      <c r="D3784" s="760"/>
      <c r="E3784" s="760"/>
      <c r="F3784" s="859"/>
    </row>
    <row r="3787" spans="1:7" ht="15.75" thickBot="1"/>
    <row r="3788" spans="1:7">
      <c r="A3788" s="3572"/>
      <c r="B3788" s="3636"/>
      <c r="C3788" s="3636"/>
      <c r="D3788" s="3636"/>
      <c r="E3788" s="3636"/>
      <c r="F3788" s="3559"/>
      <c r="G3788" s="429"/>
    </row>
    <row r="3789" spans="1:7">
      <c r="A3789" s="3953"/>
      <c r="B3789" s="3954"/>
      <c r="C3789" s="3954"/>
      <c r="D3789" s="3954"/>
      <c r="E3789" s="3954"/>
      <c r="F3789" s="3957"/>
      <c r="G3789" s="429"/>
    </row>
    <row r="3790" spans="1:7" ht="15.75">
      <c r="A3790" s="717" t="s">
        <v>2236</v>
      </c>
      <c r="B3790" s="978" t="s">
        <v>106</v>
      </c>
      <c r="C3790" s="977" t="s">
        <v>2115</v>
      </c>
      <c r="D3790" s="977"/>
      <c r="E3790" s="979">
        <f>(G3790-F3790)/G3790</f>
        <v>0.19718309859154931</v>
      </c>
      <c r="F3790" s="896">
        <v>1.1399999999999999</v>
      </c>
      <c r="G3790" s="528">
        <v>1.42</v>
      </c>
    </row>
    <row r="3791" spans="1:7" ht="15.75">
      <c r="A3791" s="717"/>
      <c r="B3791" s="978"/>
      <c r="C3791" s="977" t="s">
        <v>1315</v>
      </c>
      <c r="D3791" s="977"/>
      <c r="E3791" s="979">
        <f>(G3791-F3791)/G3791</f>
        <v>0.19718309859154931</v>
      </c>
      <c r="F3791" s="896">
        <v>1.1399999999999999</v>
      </c>
      <c r="G3791" s="528">
        <v>1.42</v>
      </c>
    </row>
    <row r="3792" spans="1:7" ht="15.75">
      <c r="A3792" s="717"/>
      <c r="B3792" s="978"/>
      <c r="C3792" s="977" t="s">
        <v>2116</v>
      </c>
      <c r="D3792" s="977"/>
      <c r="E3792" s="979">
        <f>(G3792-F3792)/G3792</f>
        <v>0.19718309859154931</v>
      </c>
      <c r="F3792" s="896">
        <v>1.1399999999999999</v>
      </c>
      <c r="G3792" s="528">
        <v>1.42</v>
      </c>
    </row>
    <row r="3793" spans="1:15" ht="16.5" thickBot="1">
      <c r="A3793" s="723"/>
      <c r="B3793" s="858"/>
      <c r="C3793" s="760" t="s">
        <v>2066</v>
      </c>
      <c r="D3793" s="760"/>
      <c r="E3793" s="897">
        <f>(G3793-F3793)/G3793</f>
        <v>0.19718309859154931</v>
      </c>
      <c r="F3793" s="898">
        <v>1.1399999999999999</v>
      </c>
      <c r="G3793" s="528">
        <v>1.42</v>
      </c>
    </row>
    <row r="3795" spans="1:15" ht="15.75" thickBot="1"/>
    <row r="3796" spans="1:15">
      <c r="A3796" s="3572"/>
      <c r="B3796" s="3636"/>
      <c r="C3796" s="3636"/>
      <c r="D3796" s="3636"/>
      <c r="E3796" s="3636"/>
      <c r="F3796" s="3559"/>
    </row>
    <row r="3797" spans="1:15" ht="15.75" thickBot="1">
      <c r="A3797" s="3942"/>
      <c r="B3797" s="3950"/>
      <c r="C3797" s="3950"/>
      <c r="D3797" s="3950"/>
      <c r="E3797" s="3950"/>
      <c r="F3797" s="3952"/>
    </row>
    <row r="3798" spans="1:15">
      <c r="A3798" s="919" t="s">
        <v>2243</v>
      </c>
      <c r="B3798" s="485" t="s">
        <v>115</v>
      </c>
      <c r="C3798" s="920" t="s">
        <v>1345</v>
      </c>
      <c r="D3798" s="485"/>
      <c r="E3798" s="979">
        <f>(G3798-F3798)/G3798</f>
        <v>0.20261437908496735</v>
      </c>
      <c r="F3798" s="660">
        <v>1.22</v>
      </c>
      <c r="G3798">
        <v>1.53</v>
      </c>
      <c r="H3798">
        <v>1330</v>
      </c>
      <c r="O3798" s="584">
        <f>(G3798-F3798)*H3798</f>
        <v>412.30000000000007</v>
      </c>
    </row>
    <row r="3799" spans="1:15">
      <c r="A3799" s="919"/>
      <c r="B3799" s="485"/>
      <c r="C3799" s="920" t="s">
        <v>1355</v>
      </c>
      <c r="D3799" s="485"/>
      <c r="E3799" s="979">
        <f>(G3799-F3799)/G3799</f>
        <v>0.20261437908496735</v>
      </c>
      <c r="F3799" s="660">
        <v>1.22</v>
      </c>
      <c r="G3799">
        <v>1.53</v>
      </c>
    </row>
    <row r="3800" spans="1:15">
      <c r="A3800" s="919"/>
      <c r="B3800" s="485"/>
      <c r="C3800" s="920" t="s">
        <v>1413</v>
      </c>
      <c r="D3800" s="485"/>
      <c r="E3800" s="979">
        <f>(G3800-F3800)/G3800</f>
        <v>0.20261437908496735</v>
      </c>
      <c r="F3800" s="660">
        <v>1.22</v>
      </c>
      <c r="G3800">
        <v>1.53</v>
      </c>
    </row>
    <row r="3801" spans="1:15">
      <c r="A3801" s="830"/>
      <c r="B3801" s="977"/>
      <c r="C3801" s="977" t="s">
        <v>1429</v>
      </c>
      <c r="D3801" s="977"/>
      <c r="E3801" s="979">
        <f>(G3801-F3801)/G3801</f>
        <v>0.20261437908496735</v>
      </c>
      <c r="F3801" s="660">
        <v>1.22</v>
      </c>
      <c r="G3801">
        <v>1.53</v>
      </c>
    </row>
    <row r="3803" spans="1:15">
      <c r="A3803" s="3949"/>
      <c r="B3803" s="3949"/>
      <c r="C3803" s="3949"/>
      <c r="D3803" s="3949"/>
      <c r="E3803" s="3949"/>
      <c r="F3803" s="3949"/>
      <c r="G3803" s="429"/>
    </row>
    <row r="3804" spans="1:15">
      <c r="A3804" s="3949"/>
      <c r="B3804" s="3949"/>
      <c r="C3804" s="3949"/>
      <c r="D3804" s="3949"/>
      <c r="E3804" s="3949"/>
      <c r="F3804" s="3949"/>
      <c r="G3804" s="429"/>
    </row>
    <row r="3805" spans="1:15" ht="15.75">
      <c r="A3805" s="553" t="s">
        <v>2264</v>
      </c>
      <c r="B3805" s="431" t="s">
        <v>106</v>
      </c>
      <c r="C3805" s="469" t="s">
        <v>2052</v>
      </c>
      <c r="D3805" s="469"/>
      <c r="E3805" s="488">
        <f t="shared" ref="E3805:E3821" si="48">(G3805-F3805)/G3805</f>
        <v>9.979101358411703E-2</v>
      </c>
      <c r="F3805" s="1008">
        <v>17.23</v>
      </c>
      <c r="G3805" s="1008">
        <v>19.14</v>
      </c>
    </row>
    <row r="3806" spans="1:15">
      <c r="A3806" s="553"/>
      <c r="B3806" s="431"/>
      <c r="C3806" s="469" t="s">
        <v>868</v>
      </c>
      <c r="D3806" s="469"/>
      <c r="E3806" s="488">
        <f t="shared" si="48"/>
        <v>9.9371069182389943E-2</v>
      </c>
      <c r="F3806" s="469">
        <v>7.16</v>
      </c>
      <c r="G3806" s="469">
        <v>7.95</v>
      </c>
    </row>
    <row r="3807" spans="1:15">
      <c r="A3807" s="553"/>
      <c r="B3807" s="431"/>
      <c r="C3807" s="469" t="s">
        <v>239</v>
      </c>
      <c r="D3807" s="469"/>
      <c r="E3807" s="488">
        <f t="shared" si="48"/>
        <v>9.9371069182389943E-2</v>
      </c>
      <c r="F3807" s="469">
        <v>7.16</v>
      </c>
      <c r="G3807" s="469">
        <v>7.95</v>
      </c>
    </row>
    <row r="3808" spans="1:15">
      <c r="A3808" s="553"/>
      <c r="B3808" s="431"/>
      <c r="C3808" s="469" t="s">
        <v>238</v>
      </c>
      <c r="D3808" s="469"/>
      <c r="E3808" s="488">
        <f t="shared" si="48"/>
        <v>9.9371069182389943E-2</v>
      </c>
      <c r="F3808" s="469">
        <v>7.16</v>
      </c>
      <c r="G3808" s="469">
        <v>7.95</v>
      </c>
    </row>
    <row r="3809" spans="1:7">
      <c r="A3809" s="553"/>
      <c r="B3809" s="431"/>
      <c r="C3809" s="469" t="s">
        <v>71</v>
      </c>
      <c r="D3809" s="469"/>
      <c r="E3809" s="488">
        <f t="shared" si="48"/>
        <v>9.979101358411703E-2</v>
      </c>
      <c r="F3809" s="469">
        <v>17.23</v>
      </c>
      <c r="G3809" s="469">
        <v>19.14</v>
      </c>
    </row>
    <row r="3810" spans="1:7">
      <c r="A3810" s="553"/>
      <c r="B3810" s="431"/>
      <c r="C3810" s="469" t="s">
        <v>1883</v>
      </c>
      <c r="D3810" s="469"/>
      <c r="E3810" s="488">
        <f t="shared" si="48"/>
        <v>9.979101358411703E-2</v>
      </c>
      <c r="F3810" s="469">
        <v>17.23</v>
      </c>
      <c r="G3810" s="469">
        <v>19.14</v>
      </c>
    </row>
    <row r="3811" spans="1:7">
      <c r="A3811" s="469"/>
      <c r="B3811" s="469"/>
      <c r="C3811" s="469" t="s">
        <v>1496</v>
      </c>
      <c r="D3811" s="469"/>
      <c r="E3811" s="488">
        <f t="shared" si="48"/>
        <v>0.10084033613445376</v>
      </c>
      <c r="F3811" s="469">
        <v>3.21</v>
      </c>
      <c r="G3811" s="469">
        <v>3.57</v>
      </c>
    </row>
    <row r="3812" spans="1:7">
      <c r="A3812" s="469"/>
      <c r="B3812" s="469"/>
      <c r="C3812" s="469" t="s">
        <v>1497</v>
      </c>
      <c r="D3812" s="469"/>
      <c r="E3812" s="488">
        <f t="shared" si="48"/>
        <v>0.10084033613445376</v>
      </c>
      <c r="F3812" s="469">
        <v>3.21</v>
      </c>
      <c r="G3812" s="469">
        <v>3.57</v>
      </c>
    </row>
    <row r="3813" spans="1:7">
      <c r="A3813" s="469"/>
      <c r="B3813" s="469"/>
      <c r="C3813" s="469" t="s">
        <v>1722</v>
      </c>
      <c r="D3813" s="469"/>
      <c r="E3813" s="488">
        <f t="shared" si="48"/>
        <v>0.10084033613445376</v>
      </c>
      <c r="F3813" s="469">
        <v>3.21</v>
      </c>
      <c r="G3813" s="469">
        <v>3.57</v>
      </c>
    </row>
    <row r="3814" spans="1:7">
      <c r="A3814" s="469"/>
      <c r="B3814" s="469"/>
      <c r="C3814" s="469" t="s">
        <v>1499</v>
      </c>
      <c r="D3814" s="469"/>
      <c r="E3814" s="488">
        <f t="shared" si="48"/>
        <v>9.999999999999995E-2</v>
      </c>
      <c r="F3814" s="469">
        <v>8.4600000000000009</v>
      </c>
      <c r="G3814" s="469">
        <v>9.4</v>
      </c>
    </row>
    <row r="3815" spans="1:7">
      <c r="A3815" s="469"/>
      <c r="B3815" s="469"/>
      <c r="C3815" s="469" t="s">
        <v>2271</v>
      </c>
      <c r="D3815" s="469"/>
      <c r="E3815" s="488">
        <f t="shared" si="48"/>
        <v>9.9371069182389943E-2</v>
      </c>
      <c r="F3815" s="469">
        <v>7.16</v>
      </c>
      <c r="G3815" s="469">
        <v>7.95</v>
      </c>
    </row>
    <row r="3816" spans="1:7">
      <c r="A3816" s="469"/>
      <c r="B3816" s="469"/>
      <c r="C3816" s="469" t="s">
        <v>2272</v>
      </c>
      <c r="D3816" s="469"/>
      <c r="E3816" s="488">
        <f t="shared" si="48"/>
        <v>0.10084033613445376</v>
      </c>
      <c r="F3816" s="469">
        <v>3.21</v>
      </c>
      <c r="G3816" s="469">
        <v>3.57</v>
      </c>
    </row>
    <row r="3817" spans="1:7">
      <c r="A3817" s="1021"/>
      <c r="B3817" s="1021"/>
      <c r="C3817" s="1021" t="s">
        <v>2277</v>
      </c>
      <c r="D3817" s="1021"/>
      <c r="E3817" s="488">
        <f t="shared" si="48"/>
        <v>0.10084033613445376</v>
      </c>
      <c r="F3817" s="469">
        <v>3.21</v>
      </c>
      <c r="G3817" s="469">
        <v>3.57</v>
      </c>
    </row>
    <row r="3818" spans="1:7">
      <c r="A3818" s="469"/>
      <c r="B3818" s="469"/>
      <c r="C3818" s="469" t="s">
        <v>2273</v>
      </c>
      <c r="D3818" s="469"/>
      <c r="E3818" s="488">
        <f t="shared" si="48"/>
        <v>9.979101358411703E-2</v>
      </c>
      <c r="F3818" s="469">
        <v>17.23</v>
      </c>
      <c r="G3818" s="469">
        <v>19.14</v>
      </c>
    </row>
    <row r="3819" spans="1:7">
      <c r="A3819" s="469"/>
      <c r="B3819" s="469"/>
      <c r="C3819" s="469" t="s">
        <v>2274</v>
      </c>
      <c r="D3819" s="469"/>
      <c r="E3819" s="488">
        <f t="shared" si="48"/>
        <v>0.10084033613445376</v>
      </c>
      <c r="F3819" s="469">
        <v>3.21</v>
      </c>
      <c r="G3819" s="469">
        <v>3.57</v>
      </c>
    </row>
    <row r="3820" spans="1:7">
      <c r="A3820" s="469"/>
      <c r="B3820" s="469"/>
      <c r="C3820" s="469" t="s">
        <v>2275</v>
      </c>
      <c r="D3820" s="469"/>
      <c r="E3820" s="488">
        <f t="shared" si="48"/>
        <v>9.9371069182389943E-2</v>
      </c>
      <c r="F3820" s="469">
        <v>7.16</v>
      </c>
      <c r="G3820" s="469">
        <v>7.95</v>
      </c>
    </row>
    <row r="3821" spans="1:7">
      <c r="A3821" s="469"/>
      <c r="B3821" s="469"/>
      <c r="C3821" s="469" t="s">
        <v>2276</v>
      </c>
      <c r="D3821" s="469"/>
      <c r="E3821" s="488">
        <f t="shared" si="48"/>
        <v>9.979101358411703E-2</v>
      </c>
      <c r="F3821" s="469">
        <v>17.23</v>
      </c>
      <c r="G3821" s="469">
        <v>19.14</v>
      </c>
    </row>
    <row r="3822" spans="1:7">
      <c r="A3822" s="109"/>
      <c r="B3822" s="109"/>
      <c r="C3822" s="109"/>
      <c r="D3822" s="109"/>
      <c r="E3822" s="1020"/>
      <c r="F3822" s="109"/>
      <c r="G3822" s="109"/>
    </row>
    <row r="3823" spans="1:7">
      <c r="A3823" s="109"/>
      <c r="B3823" s="109"/>
      <c r="C3823" s="109"/>
      <c r="D3823" s="109"/>
      <c r="E3823" s="1020"/>
      <c r="F3823" s="109"/>
      <c r="G3823" s="109"/>
    </row>
    <row r="3824" spans="1:7">
      <c r="A3824" s="109"/>
      <c r="B3824" s="109"/>
      <c r="C3824" s="109"/>
      <c r="D3824" s="109"/>
      <c r="E3824" s="1020"/>
      <c r="F3824" s="109"/>
      <c r="G3824" s="109"/>
    </row>
    <row r="3825" spans="1:7" ht="15.75" thickBot="1"/>
    <row r="3826" spans="1:7">
      <c r="A3826" s="3572"/>
      <c r="B3826" s="3636"/>
      <c r="C3826" s="3636"/>
      <c r="D3826" s="3636"/>
      <c r="E3826" s="3636"/>
      <c r="F3826" s="3559"/>
      <c r="G3826" s="429"/>
    </row>
    <row r="3827" spans="1:7" ht="15.75" thickBot="1">
      <c r="A3827" s="3942"/>
      <c r="B3827" s="3950"/>
      <c r="C3827" s="3950"/>
      <c r="D3827" s="3950"/>
      <c r="E3827" s="3950"/>
      <c r="F3827" s="3952"/>
      <c r="G3827" s="429"/>
    </row>
    <row r="3828" spans="1:7" ht="15.75">
      <c r="A3828" s="491" t="s">
        <v>2265</v>
      </c>
      <c r="B3828" s="852" t="s">
        <v>114</v>
      </c>
      <c r="C3828" s="1009" t="s">
        <v>2192</v>
      </c>
      <c r="D3828" s="648"/>
      <c r="E3828" s="649">
        <f t="shared" ref="E3828:E3833" si="49">(G3828-F3828)/G3828</f>
        <v>0.19933554817275737</v>
      </c>
      <c r="F3828" s="856">
        <v>4.82</v>
      </c>
      <c r="G3828" s="528">
        <v>6.02</v>
      </c>
    </row>
    <row r="3829" spans="1:7" ht="15.75">
      <c r="A3829" s="430"/>
      <c r="B3829" s="431"/>
      <c r="C3829" s="1010" t="s">
        <v>2266</v>
      </c>
      <c r="D3829" s="469"/>
      <c r="E3829" s="488">
        <f t="shared" si="49"/>
        <v>0.19933554817275737</v>
      </c>
      <c r="F3829" s="856">
        <v>4.82</v>
      </c>
      <c r="G3829" s="528">
        <v>6.02</v>
      </c>
    </row>
    <row r="3830" spans="1:7" ht="15.75">
      <c r="A3830" s="430"/>
      <c r="B3830" s="431"/>
      <c r="C3830" s="1010" t="s">
        <v>2194</v>
      </c>
      <c r="D3830" s="469"/>
      <c r="E3830" s="488">
        <f t="shared" si="49"/>
        <v>0.19933554817275737</v>
      </c>
      <c r="F3830" s="856">
        <v>4.82</v>
      </c>
      <c r="G3830" s="528">
        <v>6.02</v>
      </c>
    </row>
    <row r="3831" spans="1:7">
      <c r="A3831" s="430"/>
      <c r="B3831" s="431"/>
      <c r="C3831" s="469"/>
      <c r="D3831" s="469"/>
      <c r="E3831" s="488" t="e">
        <f t="shared" si="49"/>
        <v>#DIV/0!</v>
      </c>
      <c r="F3831" s="473"/>
    </row>
    <row r="3832" spans="1:7">
      <c r="A3832" s="430"/>
      <c r="B3832" s="431"/>
      <c r="C3832" s="469"/>
      <c r="D3832" s="469"/>
      <c r="E3832" s="488" t="e">
        <f t="shared" si="49"/>
        <v>#DIV/0!</v>
      </c>
      <c r="F3832" s="473"/>
    </row>
    <row r="3833" spans="1:7">
      <c r="A3833" s="430"/>
      <c r="B3833" s="431"/>
      <c r="C3833" s="469"/>
      <c r="D3833" s="469"/>
      <c r="E3833" s="488" t="e">
        <f t="shared" si="49"/>
        <v>#DIV/0!</v>
      </c>
      <c r="F3833" s="473"/>
    </row>
    <row r="3835" spans="1:7">
      <c r="A3835" s="3946"/>
      <c r="B3835" s="3946"/>
      <c r="C3835" s="3946"/>
      <c r="D3835" s="3946"/>
      <c r="E3835" s="3946"/>
      <c r="F3835" s="3946"/>
      <c r="G3835" s="429"/>
    </row>
    <row r="3836" spans="1:7">
      <c r="A3836" s="3946"/>
      <c r="B3836" s="3946"/>
      <c r="C3836" s="3946"/>
      <c r="D3836" s="3946"/>
      <c r="E3836" s="3946"/>
      <c r="F3836" s="3946"/>
      <c r="G3836" s="429"/>
    </row>
    <row r="3837" spans="1:7" ht="15.75">
      <c r="A3837" s="1050" t="s">
        <v>2285</v>
      </c>
      <c r="B3837" s="1051" t="s">
        <v>106</v>
      </c>
      <c r="C3837" s="1021" t="s">
        <v>549</v>
      </c>
      <c r="D3837" s="1021"/>
      <c r="E3837" s="1052">
        <f>(G3837-F3837)/G3837</f>
        <v>0.15003304692663591</v>
      </c>
      <c r="F3837" s="1053">
        <v>25.72</v>
      </c>
      <c r="G3837" s="1053">
        <v>30.26</v>
      </c>
    </row>
    <row r="3838" spans="1:7">
      <c r="A3838" s="1050"/>
      <c r="B3838" s="1051"/>
      <c r="C3838" s="1021" t="s">
        <v>1258</v>
      </c>
      <c r="D3838" s="1021"/>
      <c r="E3838" s="1052">
        <f>(G3838-F3838)/G3838</f>
        <v>0.15003304692663591</v>
      </c>
      <c r="F3838" s="1021">
        <v>25.72</v>
      </c>
      <c r="G3838" s="1021">
        <v>30.26</v>
      </c>
    </row>
    <row r="3839" spans="1:7">
      <c r="A3839" s="1050"/>
      <c r="B3839" s="1051"/>
      <c r="C3839" s="1021" t="s">
        <v>550</v>
      </c>
      <c r="D3839" s="1021"/>
      <c r="E3839" s="1052">
        <f>(G3839-F3839)/G3839</f>
        <v>0.14986481266898413</v>
      </c>
      <c r="F3839" s="1021">
        <v>22.01</v>
      </c>
      <c r="G3839" s="1021">
        <v>25.89</v>
      </c>
    </row>
    <row r="3840" spans="1:7">
      <c r="A3840" s="1050"/>
      <c r="B3840" s="1051"/>
      <c r="C3840" s="1021" t="s">
        <v>1259</v>
      </c>
      <c r="D3840" s="1021"/>
      <c r="E3840" s="1052">
        <f>(G3840-F3840)/G3840</f>
        <v>0.14986481266898413</v>
      </c>
      <c r="F3840" s="1021">
        <v>22.01</v>
      </c>
      <c r="G3840" s="1021">
        <v>25.89</v>
      </c>
    </row>
    <row r="3841" spans="1:15">
      <c r="A3841" s="1050"/>
      <c r="B3841" s="1051"/>
      <c r="C3841" s="1021" t="s">
        <v>920</v>
      </c>
      <c r="D3841" s="1021"/>
      <c r="E3841" s="1052">
        <f>(G3841-F3841)/G3841</f>
        <v>0.20270270270270274</v>
      </c>
      <c r="F3841" s="1021">
        <v>0.59</v>
      </c>
      <c r="G3841" s="1021">
        <v>0.74</v>
      </c>
    </row>
    <row r="3843" spans="1:15" ht="15.75" thickBot="1"/>
    <row r="3844" spans="1:15" s="667" customFormat="1">
      <c r="A3844" s="3593"/>
      <c r="B3844" s="3922"/>
      <c r="C3844" s="3922"/>
      <c r="D3844" s="3922"/>
      <c r="E3844" s="3922"/>
      <c r="F3844" s="3616"/>
      <c r="G3844" s="1067"/>
      <c r="O3844" s="1489"/>
    </row>
    <row r="3845" spans="1:15" s="667" customFormat="1" ht="15.75" thickBot="1">
      <c r="A3845" s="3947"/>
      <c r="B3845" s="3944"/>
      <c r="C3845" s="3944"/>
      <c r="D3845" s="3944"/>
      <c r="E3845" s="3944"/>
      <c r="F3845" s="3951"/>
      <c r="G3845" s="1067"/>
      <c r="O3845" s="1489"/>
    </row>
    <row r="3846" spans="1:15" s="667" customFormat="1" ht="15.75">
      <c r="A3846" s="1073" t="s">
        <v>2314</v>
      </c>
      <c r="B3846" s="1077" t="s">
        <v>114</v>
      </c>
      <c r="C3846" s="1212" t="s">
        <v>2024</v>
      </c>
      <c r="D3846" s="1078"/>
      <c r="E3846" s="1079">
        <f>(G3846-F3846)/G3846</f>
        <v>0.20634920634920637</v>
      </c>
      <c r="F3846" s="1065">
        <v>0.5</v>
      </c>
      <c r="G3846" s="1067">
        <v>0.63</v>
      </c>
      <c r="O3846" s="1489"/>
    </row>
    <row r="3847" spans="1:15" s="667" customFormat="1" ht="16.5" thickBot="1">
      <c r="A3847" s="1080"/>
      <c r="B3847" s="1081"/>
      <c r="C3847" s="1213" t="s">
        <v>2176</v>
      </c>
      <c r="D3847" s="1081"/>
      <c r="E3847" s="1082">
        <f>(G3847-F3847)/G3847</f>
        <v>0.19815668202764974</v>
      </c>
      <c r="F3847" s="1066">
        <v>1.74</v>
      </c>
      <c r="G3847" s="1067">
        <v>2.17</v>
      </c>
      <c r="O3847" s="1489"/>
    </row>
    <row r="3849" spans="1:15" ht="15.75" thickBot="1"/>
    <row r="3850" spans="1:15">
      <c r="A3850" s="3572"/>
      <c r="B3850" s="3636"/>
      <c r="C3850" s="3636"/>
      <c r="D3850" s="3636"/>
      <c r="E3850" s="3636"/>
      <c r="F3850" s="3559"/>
    </row>
    <row r="3851" spans="1:15" ht="15.75" thickBot="1">
      <c r="A3851" s="3942"/>
      <c r="B3851" s="3950"/>
      <c r="C3851" s="3950"/>
      <c r="D3851" s="3950"/>
      <c r="E3851" s="3950"/>
      <c r="F3851" s="3952"/>
    </row>
    <row r="3852" spans="1:15">
      <c r="A3852" s="919" t="s">
        <v>2310</v>
      </c>
      <c r="B3852" s="485" t="s">
        <v>115</v>
      </c>
      <c r="C3852" s="920" t="s">
        <v>554</v>
      </c>
      <c r="D3852" s="485"/>
      <c r="E3852" s="979">
        <v>0.2</v>
      </c>
      <c r="F3852" s="660">
        <v>0.83</v>
      </c>
      <c r="G3852">
        <v>1.04</v>
      </c>
      <c r="H3852">
        <v>0</v>
      </c>
    </row>
    <row r="3853" spans="1:15">
      <c r="A3853" s="919"/>
      <c r="B3853" s="485"/>
      <c r="C3853" s="920"/>
      <c r="D3853" s="485"/>
      <c r="E3853" s="979"/>
      <c r="F3853" s="660"/>
    </row>
    <row r="3854" spans="1:15">
      <c r="A3854" s="919"/>
      <c r="B3854" s="485"/>
      <c r="C3854" s="920"/>
      <c r="D3854" s="485"/>
      <c r="E3854" s="979"/>
      <c r="F3854" s="660"/>
    </row>
    <row r="3855" spans="1:15">
      <c r="A3855" s="830"/>
      <c r="B3855" s="977"/>
      <c r="C3855" s="977"/>
      <c r="D3855" s="977"/>
      <c r="E3855" s="979"/>
      <c r="F3855" s="660"/>
    </row>
    <row r="3858" spans="1:15">
      <c r="A3858" s="3946"/>
      <c r="B3858" s="3946"/>
      <c r="C3858" s="3946"/>
      <c r="D3858" s="3946"/>
      <c r="E3858" s="3946"/>
      <c r="F3858" s="3946"/>
      <c r="G3858" s="429"/>
    </row>
    <row r="3859" spans="1:15">
      <c r="A3859" s="3946"/>
      <c r="B3859" s="3946"/>
      <c r="C3859" s="3946"/>
      <c r="D3859" s="3946"/>
      <c r="E3859" s="3946"/>
      <c r="F3859" s="3946"/>
      <c r="G3859" s="429"/>
    </row>
    <row r="3860" spans="1:15" ht="15.75">
      <c r="A3860" s="1050" t="s">
        <v>2317</v>
      </c>
      <c r="B3860" s="1051" t="s">
        <v>106</v>
      </c>
      <c r="C3860" s="1021" t="s">
        <v>858</v>
      </c>
      <c r="D3860" s="1021"/>
      <c r="E3860" s="1052">
        <f>(G3860-F3860)/G3860</f>
        <v>0.3258426966292135</v>
      </c>
      <c r="F3860" s="1053">
        <v>0.6</v>
      </c>
      <c r="G3860" s="1053">
        <v>0.89</v>
      </c>
    </row>
    <row r="3861" spans="1:15">
      <c r="A3861" s="1050"/>
      <c r="B3861" s="1051"/>
      <c r="C3861" s="1021" t="s">
        <v>53</v>
      </c>
      <c r="D3861" s="1021"/>
      <c r="E3861" s="1052">
        <f>(G3861-F3861)/G3861</f>
        <v>0.3258426966292135</v>
      </c>
      <c r="F3861" s="1021">
        <v>0.6</v>
      </c>
      <c r="G3861" s="1021">
        <v>0.89</v>
      </c>
    </row>
    <row r="3862" spans="1:15">
      <c r="A3862" s="1050"/>
      <c r="B3862" s="1051"/>
      <c r="C3862" s="1021" t="s">
        <v>730</v>
      </c>
      <c r="D3862" s="1021"/>
      <c r="E3862" s="1052">
        <f>(G3862-F3862)/G3862</f>
        <v>0.32467532467532467</v>
      </c>
      <c r="F3862" s="1021">
        <v>0.52</v>
      </c>
      <c r="G3862" s="1021">
        <v>0.77</v>
      </c>
    </row>
    <row r="3863" spans="1:15">
      <c r="A3863" s="1050"/>
      <c r="B3863" s="1051"/>
      <c r="C3863" s="1021" t="s">
        <v>1058</v>
      </c>
      <c r="D3863" s="1021"/>
      <c r="E3863" s="1052">
        <f>(G3863-F3863)/G3863</f>
        <v>0.36125654450261779</v>
      </c>
      <c r="F3863" s="1021">
        <v>1.22</v>
      </c>
      <c r="G3863" s="1021">
        <v>1.91</v>
      </c>
    </row>
    <row r="3864" spans="1:15">
      <c r="A3864" s="1050"/>
      <c r="B3864" s="1051"/>
      <c r="C3864" s="1021" t="s">
        <v>510</v>
      </c>
      <c r="D3864" s="1021"/>
      <c r="E3864" s="1052">
        <f>(G3864-F3864)/G3864</f>
        <v>0.39999999999999997</v>
      </c>
      <c r="F3864" s="1021">
        <v>3.36</v>
      </c>
      <c r="G3864" s="1021">
        <v>5.6</v>
      </c>
    </row>
    <row r="3865" spans="1:15" ht="15.75" thickBot="1"/>
    <row r="3866" spans="1:15">
      <c r="A3866" s="3572"/>
      <c r="B3866" s="3636"/>
      <c r="C3866" s="3636"/>
      <c r="D3866" s="3636"/>
      <c r="E3866" s="3636"/>
      <c r="F3866" s="3559"/>
    </row>
    <row r="3867" spans="1:15" ht="15.75" thickBot="1">
      <c r="A3867" s="3938"/>
      <c r="B3867" s="3943"/>
      <c r="C3867" s="3943"/>
      <c r="D3867" s="3943"/>
      <c r="E3867" s="3943"/>
      <c r="F3867" s="3948"/>
    </row>
    <row r="3868" spans="1:15">
      <c r="A3868" s="919" t="s">
        <v>2333</v>
      </c>
      <c r="B3868" s="485" t="s">
        <v>115</v>
      </c>
      <c r="C3868" s="1021" t="s">
        <v>549</v>
      </c>
      <c r="D3868" s="485"/>
      <c r="E3868" s="1052">
        <f t="shared" ref="E3868:E3876" si="50">(G3868-F3868)/G3868</f>
        <v>9.9929873772790945E-2</v>
      </c>
      <c r="F3868" s="660">
        <v>25.67</v>
      </c>
      <c r="G3868">
        <v>28.52</v>
      </c>
      <c r="H3868">
        <v>120</v>
      </c>
      <c r="O3868" s="584">
        <f t="shared" ref="O3868:O3875" si="51">(G3868-F3868)*H3868</f>
        <v>341.99999999999977</v>
      </c>
    </row>
    <row r="3869" spans="1:15">
      <c r="A3869" s="919"/>
      <c r="B3869" s="485"/>
      <c r="C3869" s="1021" t="s">
        <v>1258</v>
      </c>
      <c r="D3869" s="485"/>
      <c r="E3869" s="1052">
        <f t="shared" si="50"/>
        <v>9.9929873772790945E-2</v>
      </c>
      <c r="F3869" s="660">
        <v>25.67</v>
      </c>
      <c r="G3869">
        <v>28.52</v>
      </c>
      <c r="O3869" s="584">
        <f t="shared" si="51"/>
        <v>0</v>
      </c>
    </row>
    <row r="3870" spans="1:15">
      <c r="A3870" s="919"/>
      <c r="B3870" s="485"/>
      <c r="C3870" s="1021" t="s">
        <v>550</v>
      </c>
      <c r="D3870" s="485"/>
      <c r="E3870" s="1052">
        <f t="shared" si="50"/>
        <v>9.9999999999999908E-2</v>
      </c>
      <c r="F3870" s="660">
        <v>21.96</v>
      </c>
      <c r="G3870">
        <v>24.4</v>
      </c>
      <c r="H3870">
        <v>90</v>
      </c>
      <c r="O3870" s="584">
        <f t="shared" si="51"/>
        <v>219.5999999999998</v>
      </c>
    </row>
    <row r="3871" spans="1:15">
      <c r="A3871" s="919"/>
      <c r="B3871" s="485"/>
      <c r="C3871" s="1021" t="s">
        <v>1259</v>
      </c>
      <c r="D3871" s="485"/>
      <c r="E3871" s="1052">
        <f t="shared" si="50"/>
        <v>9.9999999999999908E-2</v>
      </c>
      <c r="F3871" s="660">
        <v>21.96</v>
      </c>
      <c r="G3871">
        <v>24.4</v>
      </c>
      <c r="O3871" s="584">
        <f t="shared" si="51"/>
        <v>0</v>
      </c>
    </row>
    <row r="3872" spans="1:15">
      <c r="A3872" s="919"/>
      <c r="B3872" s="485"/>
      <c r="C3872" s="1021" t="s">
        <v>1270</v>
      </c>
      <c r="D3872" s="485"/>
      <c r="E3872" s="1052">
        <f t="shared" si="50"/>
        <v>0.10009845749917944</v>
      </c>
      <c r="F3872" s="660">
        <v>27.42</v>
      </c>
      <c r="G3872" s="1125">
        <v>30.47</v>
      </c>
      <c r="H3872">
        <v>57</v>
      </c>
      <c r="O3872" s="584">
        <f t="shared" si="51"/>
        <v>173.84999999999985</v>
      </c>
    </row>
    <row r="3873" spans="1:15">
      <c r="A3873" s="919"/>
      <c r="B3873" s="485"/>
      <c r="C3873" s="1021" t="s">
        <v>1271</v>
      </c>
      <c r="D3873" s="485"/>
      <c r="E3873" s="1052">
        <f t="shared" si="50"/>
        <v>0.10009845749917944</v>
      </c>
      <c r="F3873" s="660">
        <v>27.42</v>
      </c>
      <c r="G3873">
        <v>30.47</v>
      </c>
      <c r="O3873" s="584">
        <f t="shared" si="51"/>
        <v>0</v>
      </c>
    </row>
    <row r="3874" spans="1:15">
      <c r="A3874" s="919"/>
      <c r="B3874" s="485"/>
      <c r="C3874" s="1021" t="s">
        <v>1058</v>
      </c>
      <c r="D3874" s="485"/>
      <c r="E3874" s="1052">
        <f t="shared" si="50"/>
        <v>0.15</v>
      </c>
      <c r="F3874" s="660">
        <v>1.53</v>
      </c>
      <c r="G3874">
        <v>1.8</v>
      </c>
      <c r="H3874">
        <v>1510</v>
      </c>
      <c r="O3874" s="584">
        <f t="shared" si="51"/>
        <v>407.70000000000005</v>
      </c>
    </row>
    <row r="3875" spans="1:15">
      <c r="A3875" s="919"/>
      <c r="B3875" s="485"/>
      <c r="C3875" s="1021" t="s">
        <v>1866</v>
      </c>
      <c r="D3875" s="485"/>
      <c r="E3875" s="1052">
        <f t="shared" si="50"/>
        <v>0.1983805668016195</v>
      </c>
      <c r="F3875" s="660">
        <v>1.98</v>
      </c>
      <c r="G3875">
        <v>2.4700000000000002</v>
      </c>
      <c r="H3875">
        <v>1969</v>
      </c>
      <c r="O3875" s="584">
        <f t="shared" si="51"/>
        <v>964.8100000000004</v>
      </c>
    </row>
    <row r="3876" spans="1:15">
      <c r="A3876" s="1112"/>
      <c r="B3876" s="1021"/>
      <c r="C3876" s="1021" t="s">
        <v>1867</v>
      </c>
      <c r="D3876" s="1021"/>
      <c r="E3876" s="1052">
        <f t="shared" si="50"/>
        <v>0.1983805668016195</v>
      </c>
      <c r="F3876" s="660">
        <v>1.98</v>
      </c>
      <c r="G3876">
        <v>2.4700000000000002</v>
      </c>
    </row>
    <row r="3879" spans="1:15">
      <c r="A3879" s="3946"/>
      <c r="B3879" s="3946"/>
      <c r="C3879" s="3946"/>
      <c r="D3879" s="3946"/>
      <c r="E3879" s="3946"/>
      <c r="F3879" s="3946"/>
      <c r="G3879" s="429"/>
    </row>
    <row r="3880" spans="1:15">
      <c r="A3880" s="3946"/>
      <c r="B3880" s="3946"/>
      <c r="C3880" s="3946"/>
      <c r="D3880" s="3946"/>
      <c r="E3880" s="3946"/>
      <c r="F3880" s="3946"/>
      <c r="G3880" s="429"/>
    </row>
    <row r="3881" spans="1:15" ht="15.75">
      <c r="A3881" s="1050" t="s">
        <v>2376</v>
      </c>
      <c r="B3881" s="1051" t="s">
        <v>106</v>
      </c>
      <c r="C3881" s="1362" t="s">
        <v>786</v>
      </c>
      <c r="D3881" s="1021"/>
      <c r="E3881" s="1052">
        <f>(G3881-F3881)/G3881</f>
        <v>0.14944356120826716</v>
      </c>
      <c r="F3881" s="1053">
        <v>5.35</v>
      </c>
      <c r="G3881" s="1053">
        <v>6.29</v>
      </c>
    </row>
    <row r="3882" spans="1:15">
      <c r="A3882" s="1050"/>
      <c r="B3882" s="1051"/>
      <c r="C3882" s="1362" t="s">
        <v>870</v>
      </c>
      <c r="D3882" s="1021"/>
      <c r="E3882" s="1052">
        <f>(G3882-F3882)/G3882</f>
        <v>0.15254237288135589</v>
      </c>
      <c r="F3882" s="1197">
        <v>1</v>
      </c>
      <c r="G3882" s="1021">
        <v>1.18</v>
      </c>
    </row>
    <row r="3883" spans="1:15">
      <c r="A3883" s="1050"/>
      <c r="B3883" s="1051"/>
      <c r="C3883" s="1021"/>
      <c r="D3883" s="1021"/>
      <c r="E3883" s="1052" t="e">
        <f>(G3883-F3883)/G3883</f>
        <v>#DIV/0!</v>
      </c>
      <c r="F3883" s="1021"/>
      <c r="G3883" s="1021"/>
    </row>
    <row r="3884" spans="1:15">
      <c r="A3884" s="1050"/>
      <c r="B3884" s="1051"/>
      <c r="C3884" s="1021"/>
      <c r="D3884" s="1021"/>
      <c r="E3884" s="1052" t="e">
        <f>(G3884-F3884)/G3884</f>
        <v>#DIV/0!</v>
      </c>
      <c r="F3884" s="1021"/>
      <c r="G3884" s="1021"/>
    </row>
    <row r="3885" spans="1:15">
      <c r="A3885" s="1050"/>
      <c r="B3885" s="1051"/>
      <c r="C3885" s="1021"/>
      <c r="D3885" s="1021"/>
      <c r="E3885" s="1052" t="e">
        <f>(G3885-F3885)/G3885</f>
        <v>#DIV/0!</v>
      </c>
      <c r="F3885" s="1021"/>
      <c r="G3885" s="1021"/>
    </row>
    <row r="3887" spans="1:15">
      <c r="A3887" s="3939"/>
      <c r="B3887" s="3939"/>
      <c r="C3887" s="3939"/>
      <c r="D3887" s="3939"/>
      <c r="E3887" s="3939"/>
      <c r="F3887" s="3939"/>
      <c r="G3887" s="429"/>
    </row>
    <row r="3888" spans="1:15">
      <c r="A3888" s="3939"/>
      <c r="B3888" s="3939"/>
      <c r="C3888" s="3939"/>
      <c r="D3888" s="3939"/>
      <c r="E3888" s="3939"/>
      <c r="F3888" s="3939"/>
      <c r="G3888" s="429"/>
    </row>
    <row r="3889" spans="1:15" ht="15.75">
      <c r="A3889" s="1229" t="s">
        <v>2388</v>
      </c>
      <c r="B3889" s="1230" t="s">
        <v>106</v>
      </c>
      <c r="C3889" s="1231" t="s">
        <v>550</v>
      </c>
      <c r="D3889" s="1231"/>
      <c r="E3889" s="1232">
        <f t="shared" ref="E3889:E3894" si="52">(G3889-F3889)/G3889</f>
        <v>0.14495412844036695</v>
      </c>
      <c r="F3889" s="1233">
        <v>23.3</v>
      </c>
      <c r="G3889" s="1233">
        <v>27.25</v>
      </c>
    </row>
    <row r="3890" spans="1:15">
      <c r="A3890" s="1229"/>
      <c r="B3890" s="1230"/>
      <c r="C3890" s="1231" t="s">
        <v>1259</v>
      </c>
      <c r="D3890" s="1231"/>
      <c r="E3890" s="1232">
        <f t="shared" si="52"/>
        <v>0.14495412844036695</v>
      </c>
      <c r="F3890" s="1234">
        <v>23.3</v>
      </c>
      <c r="G3890" s="1231">
        <v>27.25</v>
      </c>
    </row>
    <row r="3891" spans="1:15">
      <c r="A3891" s="1229"/>
      <c r="B3891" s="1230"/>
      <c r="C3891" s="1231" t="s">
        <v>549</v>
      </c>
      <c r="D3891" s="1231"/>
      <c r="E3891" s="1232">
        <f t="shared" si="52"/>
        <v>0.14505494505494507</v>
      </c>
      <c r="F3891" s="1231">
        <v>27.23</v>
      </c>
      <c r="G3891" s="1231">
        <v>31.85</v>
      </c>
    </row>
    <row r="3892" spans="1:15">
      <c r="A3892" s="1229"/>
      <c r="B3892" s="1230"/>
      <c r="C3892" s="1231" t="s">
        <v>1258</v>
      </c>
      <c r="D3892" s="1231"/>
      <c r="E3892" s="1232">
        <f t="shared" si="52"/>
        <v>0.14505494505494507</v>
      </c>
      <c r="F3892" s="1231">
        <v>27.23</v>
      </c>
      <c r="G3892" s="1231">
        <v>31.85</v>
      </c>
    </row>
    <row r="3893" spans="1:15">
      <c r="A3893" s="1229"/>
      <c r="B3893" s="1230"/>
      <c r="C3893" s="1231" t="s">
        <v>1027</v>
      </c>
      <c r="D3893" s="1231"/>
      <c r="E3893" s="1232">
        <f t="shared" si="52"/>
        <v>0.14513788098693758</v>
      </c>
      <c r="F3893" s="1231">
        <v>11.78</v>
      </c>
      <c r="G3893" s="1231">
        <v>13.78</v>
      </c>
    </row>
    <row r="3894" spans="1:15">
      <c r="A3894" s="1229"/>
      <c r="B3894" s="1230"/>
      <c r="C3894" s="1231" t="s">
        <v>1176</v>
      </c>
      <c r="D3894" s="1231"/>
      <c r="E3894" s="1232">
        <f t="shared" si="52"/>
        <v>0.14513788098693758</v>
      </c>
      <c r="F3894" s="1231">
        <v>11.78</v>
      </c>
      <c r="G3894" s="1231">
        <v>13.78</v>
      </c>
    </row>
    <row r="3895" spans="1:15" ht="15.75" thickBot="1"/>
    <row r="3896" spans="1:15">
      <c r="A3896" s="3593"/>
      <c r="B3896" s="3922"/>
      <c r="C3896" s="3922"/>
      <c r="D3896" s="3922"/>
      <c r="E3896" s="3922"/>
      <c r="F3896" s="3616"/>
      <c r="G3896" s="1067"/>
    </row>
    <row r="3897" spans="1:15" ht="15.75" thickBot="1">
      <c r="A3897" s="3947"/>
      <c r="B3897" s="3944"/>
      <c r="C3897" s="3944"/>
      <c r="D3897" s="3944"/>
      <c r="E3897" s="3944"/>
      <c r="F3897" s="3951"/>
      <c r="G3897" s="1067"/>
    </row>
    <row r="3898" spans="1:15" ht="15.75">
      <c r="A3898" s="1073" t="s">
        <v>2393</v>
      </c>
      <c r="B3898" s="1077" t="s">
        <v>114</v>
      </c>
      <c r="C3898" s="1216" t="s">
        <v>2024</v>
      </c>
      <c r="D3898" s="1078"/>
      <c r="E3898" s="1079">
        <f>(G3898-F3898)/G3898</f>
        <v>0.14285714285714279</v>
      </c>
      <c r="F3898" s="1065">
        <v>0.54</v>
      </c>
      <c r="G3898" s="1067">
        <v>0.63</v>
      </c>
    </row>
    <row r="3899" spans="1:15" ht="16.5" thickBot="1">
      <c r="A3899" s="1080"/>
      <c r="B3899" s="1081"/>
      <c r="C3899" s="1235"/>
      <c r="D3899" s="1081"/>
      <c r="E3899" s="1082" t="e">
        <f>(G3899-F3899)/G3899</f>
        <v>#DIV/0!</v>
      </c>
      <c r="F3899" s="1066"/>
      <c r="G3899" s="1067"/>
    </row>
    <row r="3900" spans="1:15" ht="15.75" thickBot="1"/>
    <row r="3901" spans="1:15">
      <c r="A3901" s="3572"/>
      <c r="B3901" s="3636"/>
      <c r="C3901" s="3636"/>
      <c r="D3901" s="3636"/>
      <c r="E3901" s="3636"/>
      <c r="F3901" s="3559"/>
    </row>
    <row r="3902" spans="1:15" ht="15.75" thickBot="1">
      <c r="A3902" s="3938"/>
      <c r="B3902" s="3943"/>
      <c r="C3902" s="3943"/>
      <c r="D3902" s="3943"/>
      <c r="E3902" s="3943"/>
      <c r="F3902" s="3948"/>
    </row>
    <row r="3903" spans="1:15">
      <c r="A3903" s="919" t="s">
        <v>2394</v>
      </c>
      <c r="B3903" s="485" t="s">
        <v>115</v>
      </c>
      <c r="C3903" s="1231" t="s">
        <v>895</v>
      </c>
      <c r="D3903" s="485"/>
      <c r="E3903" s="1232">
        <f t="shared" ref="E3903:E3911" si="53">(G3903-F3903)/G3903</f>
        <v>5.1470588235294157E-2</v>
      </c>
      <c r="F3903" s="660">
        <v>1.29</v>
      </c>
      <c r="G3903">
        <v>1.36</v>
      </c>
      <c r="H3903">
        <v>1192</v>
      </c>
      <c r="O3903" s="584">
        <f>(G3903-F3903)*H3903</f>
        <v>83.440000000000069</v>
      </c>
    </row>
    <row r="3904" spans="1:15">
      <c r="A3904" s="919"/>
      <c r="B3904" s="485"/>
      <c r="C3904" s="1231" t="s">
        <v>1615</v>
      </c>
      <c r="D3904" s="485"/>
      <c r="E3904" s="1232">
        <f t="shared" si="53"/>
        <v>-5.3571428571428416E-2</v>
      </c>
      <c r="F3904" s="660">
        <v>1.18</v>
      </c>
      <c r="G3904">
        <v>1.1200000000000001</v>
      </c>
    </row>
    <row r="3905" spans="1:15">
      <c r="A3905" s="919"/>
      <c r="B3905" s="485"/>
      <c r="C3905" s="1231" t="s">
        <v>465</v>
      </c>
      <c r="D3905" s="485"/>
      <c r="E3905" s="1232">
        <f t="shared" si="53"/>
        <v>-4.5112781954887091E-2</v>
      </c>
      <c r="F3905" s="660">
        <v>1.39</v>
      </c>
      <c r="G3905">
        <v>1.33</v>
      </c>
    </row>
    <row r="3906" spans="1:15">
      <c r="A3906" s="919"/>
      <c r="B3906" s="485"/>
      <c r="C3906" s="1231" t="s">
        <v>1563</v>
      </c>
      <c r="D3906" s="485"/>
      <c r="E3906" s="1232">
        <f t="shared" si="53"/>
        <v>0.10280373831775709</v>
      </c>
      <c r="F3906" s="660">
        <v>0.96</v>
      </c>
      <c r="G3906">
        <v>1.07</v>
      </c>
      <c r="H3906">
        <v>1478</v>
      </c>
      <c r="O3906" s="584">
        <f>(G3906-F3906)*H3906</f>
        <v>162.58000000000015</v>
      </c>
    </row>
    <row r="3907" spans="1:15">
      <c r="A3907" s="919"/>
      <c r="B3907" s="485"/>
      <c r="C3907" s="1231"/>
      <c r="D3907" s="485"/>
      <c r="E3907" s="1232" t="e">
        <f t="shared" si="53"/>
        <v>#DIV/0!</v>
      </c>
      <c r="F3907" s="660"/>
      <c r="G3907" s="1125"/>
    </row>
    <row r="3908" spans="1:15">
      <c r="A3908" s="919"/>
      <c r="B3908" s="485"/>
      <c r="C3908" s="1231"/>
      <c r="D3908" s="485"/>
      <c r="E3908" s="1232" t="e">
        <f t="shared" si="53"/>
        <v>#DIV/0!</v>
      </c>
      <c r="F3908" s="660"/>
    </row>
    <row r="3909" spans="1:15">
      <c r="A3909" s="919"/>
      <c r="B3909" s="485"/>
      <c r="C3909" s="1231"/>
      <c r="D3909" s="485"/>
      <c r="E3909" s="1232" t="e">
        <f t="shared" si="53"/>
        <v>#DIV/0!</v>
      </c>
      <c r="F3909" s="660"/>
    </row>
    <row r="3910" spans="1:15">
      <c r="A3910" s="919"/>
      <c r="B3910" s="485"/>
      <c r="C3910" s="1231"/>
      <c r="D3910" s="485"/>
      <c r="E3910" s="1232" t="e">
        <f t="shared" si="53"/>
        <v>#DIV/0!</v>
      </c>
      <c r="F3910" s="660"/>
    </row>
    <row r="3911" spans="1:15">
      <c r="A3911" s="1112"/>
      <c r="B3911" s="1231"/>
      <c r="C3911" s="1231"/>
      <c r="D3911" s="1231"/>
      <c r="E3911" s="1232" t="e">
        <f t="shared" si="53"/>
        <v>#DIV/0!</v>
      </c>
      <c r="F3911" s="660"/>
    </row>
    <row r="3913" spans="1:15">
      <c r="A3913" s="3939"/>
      <c r="B3913" s="3939"/>
      <c r="C3913" s="3939"/>
      <c r="D3913" s="3939"/>
      <c r="E3913" s="3939"/>
      <c r="F3913" s="3939"/>
      <c r="G3913" s="429"/>
    </row>
    <row r="3914" spans="1:15">
      <c r="A3914" s="3939"/>
      <c r="B3914" s="3939"/>
      <c r="C3914" s="3939"/>
      <c r="D3914" s="3939"/>
      <c r="E3914" s="3939"/>
      <c r="F3914" s="3939"/>
      <c r="G3914" s="429"/>
    </row>
    <row r="3915" spans="1:15" ht="15.75">
      <c r="A3915" s="1229" t="s">
        <v>2412</v>
      </c>
      <c r="B3915" s="1230" t="s">
        <v>106</v>
      </c>
      <c r="C3915" s="1231" t="s">
        <v>2115</v>
      </c>
      <c r="D3915" s="1231"/>
      <c r="E3915" s="1232">
        <f t="shared" ref="E3915:E3920" si="54">(G3915-F3915)/G3915</f>
        <v>0.36241610738255037</v>
      </c>
      <c r="F3915" s="1233">
        <v>0.95</v>
      </c>
      <c r="G3915" s="1233">
        <v>1.49</v>
      </c>
    </row>
    <row r="3916" spans="1:15">
      <c r="A3916" s="1229"/>
      <c r="B3916" s="1230"/>
      <c r="C3916" s="1231" t="s">
        <v>2116</v>
      </c>
      <c r="D3916" s="1231"/>
      <c r="E3916" s="1232">
        <f t="shared" si="54"/>
        <v>0.36241610738255037</v>
      </c>
      <c r="F3916" s="1234">
        <v>0.95</v>
      </c>
      <c r="G3916" s="1231">
        <v>1.49</v>
      </c>
    </row>
    <row r="3917" spans="1:15">
      <c r="A3917" s="1229"/>
      <c r="B3917" s="1230"/>
      <c r="C3917" s="1231" t="s">
        <v>2066</v>
      </c>
      <c r="D3917" s="1231"/>
      <c r="E3917" s="1232">
        <f t="shared" si="54"/>
        <v>0.36241610738255037</v>
      </c>
      <c r="F3917" s="1231">
        <v>0.95</v>
      </c>
      <c r="G3917" s="1231">
        <v>1.49</v>
      </c>
    </row>
    <row r="3918" spans="1:15">
      <c r="A3918" s="1229"/>
      <c r="B3918" s="1230"/>
      <c r="C3918" s="1231" t="s">
        <v>905</v>
      </c>
      <c r="D3918" s="1231"/>
      <c r="E3918" s="1232">
        <f t="shared" si="54"/>
        <v>0.38961038961038968</v>
      </c>
      <c r="F3918" s="1231">
        <v>0.47</v>
      </c>
      <c r="G3918" s="1231">
        <v>0.77</v>
      </c>
    </row>
    <row r="3919" spans="1:15">
      <c r="A3919" s="1229"/>
      <c r="B3919" s="1230"/>
      <c r="C3919" s="1231"/>
      <c r="D3919" s="1231"/>
      <c r="E3919" s="1232" t="e">
        <f t="shared" si="54"/>
        <v>#DIV/0!</v>
      </c>
      <c r="F3919" s="1231"/>
      <c r="G3919" s="1231"/>
    </row>
    <row r="3920" spans="1:15">
      <c r="A3920" s="1229"/>
      <c r="B3920" s="1230"/>
      <c r="C3920" s="1231"/>
      <c r="D3920" s="1231"/>
      <c r="E3920" s="1232" t="e">
        <f t="shared" si="54"/>
        <v>#DIV/0!</v>
      </c>
      <c r="F3920" s="1231"/>
      <c r="G3920" s="1231"/>
    </row>
    <row r="3921" spans="1:7" ht="15.75" thickBot="1"/>
    <row r="3922" spans="1:7">
      <c r="A3922" s="3593"/>
      <c r="B3922" s="3922"/>
      <c r="C3922" s="3922"/>
      <c r="D3922" s="3922"/>
      <c r="E3922" s="3922"/>
      <c r="F3922" s="3616"/>
      <c r="G3922" s="1260"/>
    </row>
    <row r="3923" spans="1:7" ht="15.75" thickBot="1">
      <c r="A3923" s="3940"/>
      <c r="B3923" s="3941"/>
      <c r="C3923" s="3941"/>
      <c r="D3923" s="3941"/>
      <c r="E3923" s="3941"/>
      <c r="F3923" s="3945"/>
      <c r="G3923" s="1260"/>
    </row>
    <row r="3924" spans="1:7" ht="15.75">
      <c r="A3924" s="1261" t="s">
        <v>2417</v>
      </c>
      <c r="B3924" s="1262" t="s">
        <v>114</v>
      </c>
      <c r="C3924" s="1216" t="s">
        <v>2156</v>
      </c>
      <c r="D3924" s="1263"/>
      <c r="E3924" s="1264">
        <v>0.29953917050691242</v>
      </c>
      <c r="F3924" s="1258">
        <v>1.52</v>
      </c>
      <c r="G3924" s="1260">
        <v>2.17</v>
      </c>
    </row>
    <row r="3925" spans="1:7" ht="16.5" thickBot="1">
      <c r="A3925" s="1265"/>
      <c r="B3925" s="1266"/>
      <c r="C3925" s="1267"/>
      <c r="D3925" s="1266"/>
      <c r="E3925" s="1268" t="e">
        <v>#DIV/0!</v>
      </c>
      <c r="F3925" s="1259"/>
      <c r="G3925" s="1260"/>
    </row>
    <row r="3928" spans="1:7">
      <c r="A3928" s="3939"/>
      <c r="B3928" s="3939"/>
      <c r="C3928" s="3939"/>
      <c r="D3928" s="3939"/>
      <c r="E3928" s="3939"/>
      <c r="F3928" s="3939"/>
      <c r="G3928" s="429"/>
    </row>
    <row r="3929" spans="1:7">
      <c r="A3929" s="3939"/>
      <c r="B3929" s="3939"/>
      <c r="C3929" s="3939"/>
      <c r="D3929" s="3939"/>
      <c r="E3929" s="3939"/>
      <c r="F3929" s="3939"/>
      <c r="G3929" s="429"/>
    </row>
    <row r="3930" spans="1:7" ht="15.75">
      <c r="A3930" s="1229" t="s">
        <v>2424</v>
      </c>
      <c r="B3930" s="1230" t="s">
        <v>106</v>
      </c>
      <c r="C3930" s="1231" t="s">
        <v>2425</v>
      </c>
      <c r="D3930" s="1231"/>
      <c r="E3930" s="1232">
        <f>(G3930-F3930)/G3930</f>
        <v>0.15135135135135136</v>
      </c>
      <c r="F3930" s="1233">
        <v>1.57</v>
      </c>
      <c r="G3930" s="1233">
        <v>1.85</v>
      </c>
    </row>
    <row r="3931" spans="1:7">
      <c r="A3931" s="1229"/>
      <c r="B3931" s="1230"/>
      <c r="C3931" s="1231" t="s">
        <v>2426</v>
      </c>
      <c r="D3931" s="1231"/>
      <c r="E3931" s="1232">
        <f>(G3931-F3931)/G3931</f>
        <v>0.15135135135135136</v>
      </c>
      <c r="F3931" s="1234">
        <v>1.57</v>
      </c>
      <c r="G3931" s="1231">
        <v>1.85</v>
      </c>
    </row>
    <row r="3932" spans="1:7">
      <c r="A3932" s="1229"/>
      <c r="B3932" s="1230"/>
      <c r="C3932" s="1231" t="s">
        <v>53</v>
      </c>
      <c r="D3932" s="1231"/>
      <c r="E3932" s="1232">
        <f>(G3932-F3932)/G3932</f>
        <v>0.14893617021276587</v>
      </c>
      <c r="F3932" s="1231">
        <v>0.8</v>
      </c>
      <c r="G3932" s="1231">
        <v>0.94</v>
      </c>
    </row>
    <row r="3933" spans="1:7">
      <c r="A3933" s="1229"/>
      <c r="B3933" s="1230"/>
      <c r="C3933" s="1231"/>
      <c r="D3933" s="1231"/>
      <c r="E3933" s="1232" t="e">
        <f>(G3933-F3933)/G3933</f>
        <v>#DIV/0!</v>
      </c>
      <c r="F3933" s="1231"/>
      <c r="G3933" s="1231"/>
    </row>
    <row r="3934" spans="1:7" ht="15.75" thickBot="1"/>
    <row r="3935" spans="1:7">
      <c r="A3935" s="3572"/>
      <c r="B3935" s="3636"/>
      <c r="C3935" s="3636"/>
      <c r="D3935" s="3636"/>
      <c r="E3935" s="3636"/>
      <c r="F3935" s="3559"/>
    </row>
    <row r="3936" spans="1:7" ht="15.75" thickBot="1">
      <c r="A3936" s="3935"/>
      <c r="B3936" s="3936"/>
      <c r="C3936" s="3936"/>
      <c r="D3936" s="3936"/>
      <c r="E3936" s="3936"/>
      <c r="F3936" s="3937"/>
    </row>
    <row r="3937" spans="1:15">
      <c r="A3937" s="919" t="s">
        <v>2431</v>
      </c>
      <c r="B3937" s="485" t="s">
        <v>115</v>
      </c>
      <c r="C3937" s="1231" t="s">
        <v>1345</v>
      </c>
      <c r="D3937" s="485"/>
      <c r="E3937" s="1232">
        <f>(G3937-F3937)/G3937</f>
        <v>0.24223602484472057</v>
      </c>
      <c r="F3937" s="660">
        <v>1.22</v>
      </c>
      <c r="G3937">
        <v>1.61</v>
      </c>
      <c r="H3937">
        <v>1837</v>
      </c>
      <c r="O3937" s="584">
        <f>(G3937-F3937)*H3937</f>
        <v>716.43000000000018</v>
      </c>
    </row>
    <row r="3938" spans="1:15">
      <c r="A3938" s="919"/>
      <c r="B3938" s="485"/>
      <c r="C3938" s="1231" t="s">
        <v>1355</v>
      </c>
      <c r="D3938" s="485"/>
      <c r="E3938" s="1232">
        <f>(G3938-F3938)/G3938</f>
        <v>0.24223602484472057</v>
      </c>
      <c r="F3938" s="660">
        <v>1.22</v>
      </c>
      <c r="G3938">
        <v>1.61</v>
      </c>
    </row>
    <row r="3939" spans="1:15">
      <c r="A3939" s="919"/>
      <c r="B3939" s="485"/>
      <c r="C3939" s="1231" t="s">
        <v>1413</v>
      </c>
      <c r="D3939" s="485"/>
      <c r="E3939" s="1232">
        <f>(G3939-F3939)/G3939</f>
        <v>0.24223602484472057</v>
      </c>
      <c r="F3939" s="660">
        <v>1.22</v>
      </c>
      <c r="G3939">
        <v>1.61</v>
      </c>
    </row>
    <row r="3940" spans="1:15">
      <c r="A3940" s="919"/>
      <c r="B3940" s="485"/>
      <c r="C3940" s="1231" t="s">
        <v>1429</v>
      </c>
      <c r="D3940" s="485"/>
      <c r="E3940" s="1232">
        <f>(G3940-F3940)/G3940</f>
        <v>0.24223602484472057</v>
      </c>
      <c r="F3940" s="660">
        <v>1.22</v>
      </c>
      <c r="G3940">
        <v>1.61</v>
      </c>
    </row>
    <row r="3942" spans="1:15">
      <c r="A3942" s="3934"/>
      <c r="B3942" s="3934"/>
      <c r="C3942" s="3934"/>
      <c r="D3942" s="3934"/>
      <c r="E3942" s="3934"/>
      <c r="F3942" s="3934"/>
      <c r="G3942" s="429"/>
    </row>
    <row r="3943" spans="1:15">
      <c r="A3943" s="3934"/>
      <c r="B3943" s="3934"/>
      <c r="C3943" s="3934"/>
      <c r="D3943" s="3934"/>
      <c r="E3943" s="3934"/>
      <c r="F3943" s="3934"/>
      <c r="G3943" s="429"/>
    </row>
    <row r="3944" spans="1:15" ht="15.75">
      <c r="A3944" s="1300" t="s">
        <v>2488</v>
      </c>
      <c r="B3944" s="1301" t="s">
        <v>106</v>
      </c>
      <c r="C3944" s="1287" t="s">
        <v>1374</v>
      </c>
      <c r="D3944" s="1287"/>
      <c r="E3944" s="1302">
        <f>(G3944-F3944)/G3944</f>
        <v>0.14893617021276587</v>
      </c>
      <c r="F3944" s="1303">
        <v>0.8</v>
      </c>
      <c r="G3944" s="1303">
        <v>0.94</v>
      </c>
    </row>
    <row r="3945" spans="1:15">
      <c r="A3945" s="1300"/>
      <c r="B3945" s="1301"/>
      <c r="C3945" s="1287" t="s">
        <v>1301</v>
      </c>
      <c r="D3945" s="1287"/>
      <c r="E3945" s="1302">
        <f>(G3945-F3945)/G3945</f>
        <v>0.14893617021276587</v>
      </c>
      <c r="F3945" s="1304">
        <v>0.8</v>
      </c>
      <c r="G3945" s="1287">
        <v>0.94</v>
      </c>
    </row>
    <row r="3946" spans="1:15">
      <c r="A3946" s="1300"/>
      <c r="B3946" s="1301"/>
      <c r="C3946" s="1287" t="s">
        <v>2303</v>
      </c>
      <c r="D3946" s="1287"/>
      <c r="E3946" s="1302">
        <f>(G3946-F3946)/G3946</f>
        <v>0.14893617021276587</v>
      </c>
      <c r="F3946" s="1287">
        <v>0.8</v>
      </c>
      <c r="G3946" s="1287">
        <v>0.94</v>
      </c>
    </row>
    <row r="3947" spans="1:15">
      <c r="A3947" s="1300"/>
      <c r="B3947" s="1301"/>
      <c r="C3947" s="1287" t="s">
        <v>2191</v>
      </c>
      <c r="D3947" s="1287"/>
      <c r="E3947" s="1302">
        <f>(G3947-F3947)/G3947</f>
        <v>0.14888337468982632</v>
      </c>
      <c r="F3947" s="1287">
        <v>3.43</v>
      </c>
      <c r="G3947" s="1287">
        <v>4.03</v>
      </c>
    </row>
    <row r="3949" spans="1:15">
      <c r="A3949" s="3934"/>
      <c r="B3949" s="3934"/>
      <c r="C3949" s="3934"/>
      <c r="D3949" s="3934"/>
      <c r="E3949" s="3934"/>
      <c r="F3949" s="3934"/>
      <c r="G3949" s="429"/>
    </row>
    <row r="3950" spans="1:15">
      <c r="A3950" s="3934"/>
      <c r="B3950" s="3934"/>
      <c r="C3950" s="3934"/>
      <c r="D3950" s="3934"/>
      <c r="E3950" s="3934"/>
      <c r="F3950" s="3934"/>
      <c r="G3950" s="429"/>
    </row>
    <row r="3951" spans="1:15" ht="15.75">
      <c r="A3951" s="1300" t="s">
        <v>2458</v>
      </c>
      <c r="B3951" s="1301" t="s">
        <v>106</v>
      </c>
      <c r="C3951" s="1287" t="s">
        <v>686</v>
      </c>
      <c r="D3951" s="1287"/>
      <c r="E3951" s="1302">
        <f>(G3951-F3951)/G3951</f>
        <v>0.14953271028037385</v>
      </c>
      <c r="F3951" s="1303">
        <v>1.82</v>
      </c>
      <c r="G3951" s="1303">
        <v>2.14</v>
      </c>
    </row>
    <row r="3952" spans="1:15">
      <c r="A3952" s="1300"/>
      <c r="B3952" s="1301"/>
      <c r="C3952" s="1287" t="s">
        <v>687</v>
      </c>
      <c r="D3952" s="1287"/>
      <c r="E3952" s="1302">
        <f>(G3952-F3952)/G3952</f>
        <v>0.14953271028037385</v>
      </c>
      <c r="F3952" s="1304">
        <v>1.82</v>
      </c>
      <c r="G3952" s="1287">
        <v>2.14</v>
      </c>
    </row>
    <row r="3953" spans="1:15">
      <c r="A3953" s="1300"/>
      <c r="B3953" s="1301"/>
      <c r="C3953" s="1287"/>
      <c r="D3953" s="1287"/>
      <c r="E3953" s="1302" t="e">
        <f>(G3953-F3953)/G3953</f>
        <v>#DIV/0!</v>
      </c>
      <c r="F3953" s="1287"/>
      <c r="G3953" s="1287"/>
    </row>
    <row r="3954" spans="1:15">
      <c r="A3954" s="1300"/>
      <c r="B3954" s="1301"/>
      <c r="C3954" s="1287"/>
      <c r="D3954" s="1287"/>
      <c r="E3954" s="1302" t="e">
        <f>(G3954-F3954)/G3954</f>
        <v>#DIV/0!</v>
      </c>
      <c r="F3954" s="1287"/>
      <c r="G3954" s="1287"/>
    </row>
    <row r="3955" spans="1:15" ht="15.75" thickBot="1"/>
    <row r="3956" spans="1:15">
      <c r="A3956" s="3572"/>
      <c r="B3956" s="3636"/>
      <c r="C3956" s="3636"/>
      <c r="D3956" s="3636"/>
      <c r="E3956" s="3636"/>
      <c r="F3956" s="3559"/>
    </row>
    <row r="3957" spans="1:15" ht="15.75" thickBot="1">
      <c r="A3957" s="3844"/>
      <c r="B3957" s="3845"/>
      <c r="C3957" s="3845"/>
      <c r="D3957" s="3845"/>
      <c r="E3957" s="3845"/>
      <c r="F3957" s="3848"/>
    </row>
    <row r="3958" spans="1:15">
      <c r="A3958" s="919" t="s">
        <v>2459</v>
      </c>
      <c r="B3958" s="485" t="s">
        <v>115</v>
      </c>
      <c r="C3958" s="1309" t="s">
        <v>1174</v>
      </c>
      <c r="D3958" s="485"/>
      <c r="E3958" s="1310">
        <f t="shared" ref="E3958:E3963" si="55">(G3958-F3958)/G3958</f>
        <v>0.10069444444444446</v>
      </c>
      <c r="F3958" s="660">
        <v>2.59</v>
      </c>
      <c r="G3958">
        <v>2.88</v>
      </c>
      <c r="H3958">
        <v>366</v>
      </c>
      <c r="O3958" s="584">
        <f t="shared" ref="O3958:O3964" si="56">(G3958-F3958)*H3958</f>
        <v>106.14000000000001</v>
      </c>
    </row>
    <row r="3959" spans="1:15">
      <c r="A3959" s="919"/>
      <c r="B3959" s="485"/>
      <c r="C3959" s="1309" t="s">
        <v>1511</v>
      </c>
      <c r="D3959" s="485"/>
      <c r="E3959" s="1310">
        <f t="shared" si="55"/>
        <v>0.10069444444444446</v>
      </c>
      <c r="F3959" s="660">
        <v>2.59</v>
      </c>
      <c r="G3959">
        <v>2.88</v>
      </c>
      <c r="O3959" s="584">
        <f t="shared" si="56"/>
        <v>0</v>
      </c>
    </row>
    <row r="3960" spans="1:15">
      <c r="A3960" s="919"/>
      <c r="B3960" s="485"/>
      <c r="C3960" s="1309" t="s">
        <v>1175</v>
      </c>
      <c r="D3960" s="485"/>
      <c r="E3960" s="1310">
        <f t="shared" si="55"/>
        <v>0.10107526881720443</v>
      </c>
      <c r="F3960" s="660">
        <v>4.18</v>
      </c>
      <c r="G3960">
        <v>4.6500000000000004</v>
      </c>
      <c r="H3960">
        <v>294</v>
      </c>
      <c r="O3960" s="584">
        <f t="shared" si="56"/>
        <v>138.18000000000018</v>
      </c>
    </row>
    <row r="3961" spans="1:15">
      <c r="A3961" s="919"/>
      <c r="B3961" s="485"/>
      <c r="C3961" s="1309" t="s">
        <v>2460</v>
      </c>
      <c r="D3961" s="485"/>
      <c r="E3961" s="1310">
        <f t="shared" si="55"/>
        <v>0.10107526881720443</v>
      </c>
      <c r="F3961" s="660">
        <v>4.18</v>
      </c>
      <c r="G3961">
        <v>4.6500000000000004</v>
      </c>
      <c r="O3961" s="584">
        <f t="shared" si="56"/>
        <v>0</v>
      </c>
    </row>
    <row r="3962" spans="1:15">
      <c r="A3962" s="919"/>
      <c r="B3962" s="485"/>
      <c r="C3962" s="1309" t="s">
        <v>1266</v>
      </c>
      <c r="D3962" s="485"/>
      <c r="E3962" s="1310">
        <f t="shared" si="55"/>
        <v>0.10158013544018053</v>
      </c>
      <c r="F3962" s="660">
        <v>3.98</v>
      </c>
      <c r="G3962">
        <v>4.43</v>
      </c>
      <c r="H3962">
        <v>222</v>
      </c>
      <c r="O3962" s="584">
        <f t="shared" si="56"/>
        <v>99.899999999999935</v>
      </c>
    </row>
    <row r="3963" spans="1:15">
      <c r="A3963" s="919"/>
      <c r="B3963" s="485"/>
      <c r="C3963" s="1309" t="s">
        <v>1814</v>
      </c>
      <c r="D3963" s="485"/>
      <c r="E3963" s="1310">
        <f t="shared" si="55"/>
        <v>0.10158013544018053</v>
      </c>
      <c r="F3963" s="660">
        <v>3.98</v>
      </c>
      <c r="G3963">
        <v>4.43</v>
      </c>
      <c r="O3963" s="584">
        <f t="shared" si="56"/>
        <v>0</v>
      </c>
    </row>
    <row r="3964" spans="1:15" ht="15.75" thickBot="1">
      <c r="O3964" s="584">
        <f t="shared" si="56"/>
        <v>0</v>
      </c>
    </row>
    <row r="3965" spans="1:15">
      <c r="A3965" s="3572"/>
      <c r="B3965" s="3636"/>
      <c r="C3965" s="3636"/>
      <c r="D3965" s="3636"/>
      <c r="E3965" s="3636"/>
      <c r="F3965" s="3559"/>
    </row>
    <row r="3966" spans="1:15" ht="15.75" thickBot="1">
      <c r="A3966" s="3844"/>
      <c r="B3966" s="3845"/>
      <c r="C3966" s="3845"/>
      <c r="D3966" s="3845"/>
      <c r="E3966" s="3845"/>
      <c r="F3966" s="3848"/>
    </row>
    <row r="3967" spans="1:15">
      <c r="A3967" s="919" t="s">
        <v>2489</v>
      </c>
      <c r="B3967" s="485" t="s">
        <v>106</v>
      </c>
      <c r="C3967" s="5" t="s">
        <v>1655</v>
      </c>
      <c r="D3967" s="485"/>
      <c r="E3967" s="649">
        <f t="shared" ref="E3967:E3985" si="57">(G3967-F3967)/G3967</f>
        <v>9.9999999999999936E-2</v>
      </c>
      <c r="F3967" s="660">
        <v>1.26</v>
      </c>
      <c r="G3967">
        <v>1.4</v>
      </c>
    </row>
    <row r="3968" spans="1:15">
      <c r="A3968" s="919"/>
      <c r="B3968" s="485"/>
      <c r="C3968" s="5" t="s">
        <v>231</v>
      </c>
      <c r="D3968" s="485"/>
      <c r="E3968" s="649">
        <f t="shared" si="57"/>
        <v>0.1019108280254778</v>
      </c>
      <c r="F3968" s="660">
        <v>1.41</v>
      </c>
      <c r="G3968">
        <v>1.57</v>
      </c>
    </row>
    <row r="3969" spans="1:7">
      <c r="A3969" s="1311"/>
      <c r="B3969" s="1312"/>
      <c r="C3969" s="1309" t="s">
        <v>1250</v>
      </c>
      <c r="D3969" s="1312"/>
      <c r="E3969" s="1310">
        <f t="shared" si="57"/>
        <v>8.6956521739130502E-2</v>
      </c>
      <c r="F3969" s="1313">
        <v>0.21</v>
      </c>
      <c r="G3969">
        <v>0.23</v>
      </c>
    </row>
    <row r="3970" spans="1:7">
      <c r="A3970" s="1311"/>
      <c r="B3970" s="1312"/>
      <c r="C3970" s="1309" t="s">
        <v>436</v>
      </c>
      <c r="D3970" s="1312"/>
      <c r="E3970" s="1310">
        <f t="shared" si="57"/>
        <v>9.7014925373134414E-2</v>
      </c>
      <c r="F3970" s="1313">
        <v>1.21</v>
      </c>
      <c r="G3970">
        <v>1.34</v>
      </c>
    </row>
    <row r="3971" spans="1:7">
      <c r="A3971" s="1311"/>
      <c r="B3971" s="1312"/>
      <c r="C3971" s="1309" t="s">
        <v>623</v>
      </c>
      <c r="D3971" s="1312"/>
      <c r="E3971" s="1310">
        <f t="shared" si="57"/>
        <v>0.10050251256281405</v>
      </c>
      <c r="F3971" s="1313">
        <v>1.79</v>
      </c>
      <c r="G3971">
        <v>1.99</v>
      </c>
    </row>
    <row r="3972" spans="1:7">
      <c r="A3972" s="1311"/>
      <c r="B3972" s="1312"/>
      <c r="C3972" s="1309" t="s">
        <v>1772</v>
      </c>
      <c r="D3972" s="1312"/>
      <c r="E3972" s="1310">
        <f t="shared" si="57"/>
        <v>0.10050251256281405</v>
      </c>
      <c r="F3972" s="1313">
        <v>1.79</v>
      </c>
      <c r="G3972">
        <v>1.99</v>
      </c>
    </row>
    <row r="3973" spans="1:7">
      <c r="A3973" s="1311"/>
      <c r="B3973" s="1312"/>
      <c r="C3973" s="1309" t="s">
        <v>1346</v>
      </c>
      <c r="D3973" s="1312"/>
      <c r="E3973" s="1310">
        <f t="shared" si="57"/>
        <v>8.6956521739130502E-2</v>
      </c>
      <c r="F3973" s="1313">
        <v>0.21</v>
      </c>
      <c r="G3973">
        <v>0.23</v>
      </c>
    </row>
    <row r="3974" spans="1:7">
      <c r="A3974" s="1311"/>
      <c r="B3974" s="1309"/>
      <c r="C3974" s="1309" t="s">
        <v>1347</v>
      </c>
      <c r="D3974" s="1309"/>
      <c r="E3974" s="1310">
        <f t="shared" si="57"/>
        <v>8.6956521739130502E-2</v>
      </c>
      <c r="F3974" s="1313">
        <v>0.21</v>
      </c>
      <c r="G3974">
        <v>0.23</v>
      </c>
    </row>
    <row r="3975" spans="1:7">
      <c r="A3975" s="1311"/>
      <c r="B3975" s="1309"/>
      <c r="C3975" s="1309" t="s">
        <v>1326</v>
      </c>
      <c r="D3975" s="1309"/>
      <c r="E3975" s="1310">
        <f t="shared" si="57"/>
        <v>8.6956521739130502E-2</v>
      </c>
      <c r="F3975" s="1313">
        <v>0.21</v>
      </c>
      <c r="G3975">
        <v>0.23</v>
      </c>
    </row>
    <row r="3976" spans="1:7">
      <c r="A3976" s="1311"/>
      <c r="B3976" s="1309"/>
      <c r="C3976" s="1309" t="s">
        <v>1327</v>
      </c>
      <c r="D3976" s="1309"/>
      <c r="E3976" s="1310">
        <f t="shared" si="57"/>
        <v>8.6956521739130502E-2</v>
      </c>
      <c r="F3976" s="1313">
        <v>0.21</v>
      </c>
      <c r="G3976">
        <v>0.23</v>
      </c>
    </row>
    <row r="3977" spans="1:7">
      <c r="A3977" s="1311"/>
      <c r="B3977" s="1309"/>
      <c r="C3977" s="1309" t="s">
        <v>1325</v>
      </c>
      <c r="D3977" s="1309"/>
      <c r="E3977" s="1310">
        <f t="shared" si="57"/>
        <v>8.6956521739130502E-2</v>
      </c>
      <c r="F3977" s="1313">
        <v>0.21</v>
      </c>
      <c r="G3977">
        <v>0.23</v>
      </c>
    </row>
    <row r="3978" spans="1:7">
      <c r="A3978" s="1311"/>
      <c r="B3978" s="1309"/>
      <c r="C3978" s="1309" t="s">
        <v>2461</v>
      </c>
      <c r="D3978" s="1309"/>
      <c r="E3978" s="1310">
        <f t="shared" si="57"/>
        <v>8.6956521739130502E-2</v>
      </c>
      <c r="F3978" s="1314">
        <v>0.21</v>
      </c>
      <c r="G3978">
        <v>0.23</v>
      </c>
    </row>
    <row r="3979" spans="1:7">
      <c r="A3979" s="1311"/>
      <c r="B3979" s="1309"/>
      <c r="C3979" s="1309" t="s">
        <v>2462</v>
      </c>
      <c r="D3979" s="1309"/>
      <c r="E3979" s="1310">
        <f t="shared" si="57"/>
        <v>0.1019108280254778</v>
      </c>
      <c r="F3979" s="1314">
        <v>1.41</v>
      </c>
      <c r="G3979">
        <v>1.57</v>
      </c>
    </row>
    <row r="3980" spans="1:7">
      <c r="A3980" s="1311"/>
      <c r="B3980" s="1309"/>
      <c r="C3980" s="1309" t="s">
        <v>1270</v>
      </c>
      <c r="D3980" s="1309"/>
      <c r="E3980" s="1310">
        <f t="shared" si="57"/>
        <v>7.9929473993535186E-2</v>
      </c>
      <c r="F3980" s="1314">
        <v>31.31</v>
      </c>
      <c r="G3980">
        <v>34.03</v>
      </c>
    </row>
    <row r="3981" spans="1:7">
      <c r="A3981" s="1311"/>
      <c r="B3981" s="1309"/>
      <c r="C3981" s="1309" t="s">
        <v>1271</v>
      </c>
      <c r="D3981" s="1309"/>
      <c r="E3981" s="1310">
        <f t="shared" si="57"/>
        <v>7.9929473993535186E-2</v>
      </c>
      <c r="F3981" s="1314">
        <v>31.31</v>
      </c>
      <c r="G3981">
        <v>34.03</v>
      </c>
    </row>
    <row r="3982" spans="1:7">
      <c r="A3982" s="1311"/>
      <c r="B3982" s="1309"/>
      <c r="C3982" s="1309" t="s">
        <v>549</v>
      </c>
      <c r="D3982" s="1309"/>
      <c r="E3982" s="1310">
        <f t="shared" si="57"/>
        <v>8.0062794348508659E-2</v>
      </c>
      <c r="F3982" s="1314">
        <v>29.3</v>
      </c>
      <c r="G3982">
        <v>31.85</v>
      </c>
    </row>
    <row r="3983" spans="1:7">
      <c r="A3983" s="1311"/>
      <c r="B3983" s="1309"/>
      <c r="C3983" s="1309" t="s">
        <v>1258</v>
      </c>
      <c r="D3983" s="1309"/>
      <c r="E3983" s="1310">
        <f t="shared" si="57"/>
        <v>8.0062794348508659E-2</v>
      </c>
      <c r="F3983" s="1314">
        <v>29.3</v>
      </c>
      <c r="G3983">
        <v>31.85</v>
      </c>
    </row>
    <row r="3984" spans="1:7">
      <c r="A3984" s="1311"/>
      <c r="B3984" s="1309"/>
      <c r="C3984" s="1309" t="s">
        <v>550</v>
      </c>
      <c r="D3984" s="1309"/>
      <c r="E3984" s="1310">
        <f t="shared" si="57"/>
        <v>7.9999999999999988E-2</v>
      </c>
      <c r="F3984" s="1314">
        <v>25.07</v>
      </c>
      <c r="G3984">
        <v>27.25</v>
      </c>
    </row>
    <row r="3985" spans="1:15" ht="15.75" thickBot="1">
      <c r="A3985" s="1315"/>
      <c r="B3985" s="1316"/>
      <c r="C3985" s="1316" t="s">
        <v>1259</v>
      </c>
      <c r="D3985" s="1316"/>
      <c r="E3985" s="1317">
        <f t="shared" si="57"/>
        <v>7.9999999999999988E-2</v>
      </c>
      <c r="F3985" s="1318">
        <v>25.07</v>
      </c>
      <c r="G3985">
        <v>27.25</v>
      </c>
    </row>
    <row r="3986" spans="1:15" ht="15.75" thickBot="1"/>
    <row r="3987" spans="1:15">
      <c r="A3987" s="3572"/>
      <c r="B3987" s="3636"/>
      <c r="C3987" s="3636"/>
      <c r="D3987" s="3636"/>
      <c r="E3987" s="3636"/>
      <c r="F3987" s="3559"/>
    </row>
    <row r="3988" spans="1:15" ht="15.75" thickBot="1">
      <c r="A3988" s="3696"/>
      <c r="B3988" s="3927"/>
      <c r="C3988" s="3927"/>
      <c r="D3988" s="3927"/>
      <c r="E3988" s="3927"/>
      <c r="F3988" s="3930"/>
    </row>
    <row r="3989" spans="1:15">
      <c r="A3989" s="879" t="s">
        <v>2484</v>
      </c>
      <c r="B3989" s="449" t="s">
        <v>106</v>
      </c>
      <c r="C3989" s="178" t="s">
        <v>465</v>
      </c>
      <c r="D3989" s="449"/>
      <c r="E3989" s="1364">
        <f>(G3989-F3989)/G3989</f>
        <v>0.15151515151515152</v>
      </c>
      <c r="F3989" s="1365">
        <v>1.4</v>
      </c>
      <c r="G3989">
        <v>1.65</v>
      </c>
    </row>
    <row r="3990" spans="1:15" ht="15.75" thickBot="1">
      <c r="A3990" s="1315"/>
      <c r="B3990" s="1356"/>
      <c r="C3990" s="1356" t="s">
        <v>1332</v>
      </c>
      <c r="D3990" s="1356"/>
      <c r="E3990" s="1366">
        <f>(G3990-F3990)/G3990</f>
        <v>0.15151515151515152</v>
      </c>
      <c r="F3990" s="1318">
        <v>1.4</v>
      </c>
      <c r="G3990">
        <v>1.65</v>
      </c>
    </row>
    <row r="3991" spans="1:15" ht="15.75" thickBot="1"/>
    <row r="3992" spans="1:15">
      <c r="A3992" s="3572"/>
      <c r="B3992" s="3636"/>
      <c r="C3992" s="3636"/>
      <c r="D3992" s="3636"/>
      <c r="E3992" s="3636"/>
      <c r="F3992" s="3559"/>
    </row>
    <row r="3993" spans="1:15" ht="15.75" thickBot="1">
      <c r="A3993" s="3844"/>
      <c r="B3993" s="3931"/>
      <c r="C3993" s="3931"/>
      <c r="D3993" s="3931"/>
      <c r="E3993" s="3931"/>
      <c r="F3993" s="3848"/>
    </row>
    <row r="3994" spans="1:15">
      <c r="A3994" s="919" t="s">
        <v>2486</v>
      </c>
      <c r="B3994" s="485" t="s">
        <v>115</v>
      </c>
      <c r="C3994" s="1309" t="s">
        <v>1058</v>
      </c>
      <c r="D3994" s="485"/>
      <c r="E3994" s="1310">
        <f>(G3994-F3994)/G3994</f>
        <v>0.36842105263157893</v>
      </c>
      <c r="F3994" s="660">
        <v>1.2</v>
      </c>
      <c r="G3994">
        <v>1.9</v>
      </c>
      <c r="H3994">
        <v>6000</v>
      </c>
      <c r="O3994" s="584">
        <f>(G3994-F3994)*H3994</f>
        <v>4200</v>
      </c>
    </row>
    <row r="3996" spans="1:15" ht="15.75" thickBot="1"/>
    <row r="3997" spans="1:15">
      <c r="A3997" s="3572"/>
      <c r="B3997" s="3636"/>
      <c r="C3997" s="3636"/>
      <c r="D3997" s="3636"/>
      <c r="E3997" s="3636"/>
      <c r="F3997" s="3559"/>
    </row>
    <row r="3998" spans="1:15" ht="15.75" thickBot="1">
      <c r="A3998" s="3696"/>
      <c r="B3998" s="3927"/>
      <c r="C3998" s="3927"/>
      <c r="D3998" s="3927"/>
      <c r="E3998" s="3927"/>
      <c r="F3998" s="3930"/>
    </row>
    <row r="3999" spans="1:15">
      <c r="A3999" s="879" t="s">
        <v>2491</v>
      </c>
      <c r="B3999" s="449" t="s">
        <v>115</v>
      </c>
      <c r="C3999" s="178" t="s">
        <v>53</v>
      </c>
      <c r="D3999" s="449"/>
      <c r="E3999" s="1364">
        <f>(G3999-F3999)/G3999</f>
        <v>0.14772727272727273</v>
      </c>
      <c r="F3999" s="1365">
        <v>0.75</v>
      </c>
      <c r="G3999">
        <v>0.88</v>
      </c>
      <c r="H3999">
        <v>1315</v>
      </c>
      <c r="O3999" s="584">
        <f>(G3999-F3999)*H3999</f>
        <v>170.95000000000002</v>
      </c>
    </row>
    <row r="4000" spans="1:15">
      <c r="A4000" s="1311"/>
      <c r="B4000" s="1309"/>
      <c r="C4000" s="1309" t="s">
        <v>730</v>
      </c>
      <c r="D4000" s="1309"/>
      <c r="E4000" s="1310">
        <f>(G4000-F4000)/G4000</f>
        <v>0.15584415584415584</v>
      </c>
      <c r="F4000" s="1367">
        <v>0.65</v>
      </c>
      <c r="G4000">
        <v>0.77</v>
      </c>
      <c r="H4000">
        <v>672</v>
      </c>
      <c r="O4000" s="584">
        <f>(G4000-F4000)*H4000</f>
        <v>80.64</v>
      </c>
    </row>
    <row r="4001" spans="1:7" ht="15.75" thickBot="1">
      <c r="A4001" s="1315"/>
      <c r="B4001" s="1356"/>
      <c r="C4001" s="1356" t="s">
        <v>2210</v>
      </c>
      <c r="D4001" s="1356"/>
      <c r="E4001" s="1366">
        <f>(G4001-F4001)/G4001</f>
        <v>0.15584415584415584</v>
      </c>
      <c r="F4001" s="1368">
        <v>0.65</v>
      </c>
      <c r="G4001">
        <v>0.77</v>
      </c>
    </row>
    <row r="4002" spans="1:7" ht="15.75" thickBot="1"/>
    <row r="4003" spans="1:7">
      <c r="A4003" s="3572"/>
      <c r="B4003" s="3636"/>
      <c r="C4003" s="3636"/>
      <c r="D4003" s="3636"/>
      <c r="E4003" s="3636"/>
      <c r="F4003" s="3559"/>
    </row>
    <row r="4004" spans="1:7" ht="15.75" thickBot="1">
      <c r="A4004" s="3696"/>
      <c r="B4004" s="3927"/>
      <c r="C4004" s="3927"/>
      <c r="D4004" s="3927"/>
      <c r="E4004" s="3927"/>
      <c r="F4004" s="3930"/>
    </row>
    <row r="4005" spans="1:7">
      <c r="A4005" s="879" t="s">
        <v>2498</v>
      </c>
      <c r="B4005" s="449" t="s">
        <v>106</v>
      </c>
      <c r="C4005" s="178" t="s">
        <v>554</v>
      </c>
      <c r="D4005" s="449"/>
      <c r="E4005" s="1364">
        <f>(G4005-F4005)/G4005</f>
        <v>0.19827586206896541</v>
      </c>
      <c r="F4005" s="1365">
        <v>0.93</v>
      </c>
      <c r="G4005">
        <v>1.1599999999999999</v>
      </c>
    </row>
    <row r="4006" spans="1:7" ht="15.75" thickBot="1">
      <c r="A4006" s="1315"/>
      <c r="B4006" s="1356"/>
      <c r="C4006" s="1356" t="s">
        <v>730</v>
      </c>
      <c r="D4006" s="1356"/>
      <c r="E4006" s="1366">
        <f>(G4006-F4006)/G4006</f>
        <v>0.19753086419753088</v>
      </c>
      <c r="F4006" s="1318">
        <v>0.65</v>
      </c>
      <c r="G4006">
        <v>0.81</v>
      </c>
    </row>
    <row r="4007" spans="1:7" ht="15.75" thickBot="1"/>
    <row r="4008" spans="1:7">
      <c r="A4008" s="3572"/>
      <c r="B4008" s="3636"/>
      <c r="C4008" s="3636"/>
      <c r="D4008" s="3636"/>
      <c r="E4008" s="3636"/>
      <c r="F4008" s="3559"/>
    </row>
    <row r="4009" spans="1:7" ht="15.75" thickBot="1">
      <c r="A4009" s="3696"/>
      <c r="B4009" s="3927"/>
      <c r="C4009" s="3927"/>
      <c r="D4009" s="3927"/>
      <c r="E4009" s="3927"/>
      <c r="F4009" s="3930"/>
    </row>
    <row r="4010" spans="1:7" ht="15.75" thickBot="1">
      <c r="A4010" s="879" t="s">
        <v>2499</v>
      </c>
      <c r="B4010" s="449" t="s">
        <v>106</v>
      </c>
      <c r="C4010" s="178" t="s">
        <v>1090</v>
      </c>
      <c r="D4010" s="449"/>
      <c r="E4010" s="1364">
        <f>(G4010-F4010)/G4010</f>
        <v>0.15</v>
      </c>
      <c r="F4010" s="1365">
        <v>1.19</v>
      </c>
      <c r="G4010">
        <v>1.4</v>
      </c>
    </row>
    <row r="4011" spans="1:7">
      <c r="A4011" s="1369"/>
      <c r="B4011" s="852"/>
      <c r="C4011" s="100" t="s">
        <v>1091</v>
      </c>
      <c r="D4011" s="852"/>
      <c r="E4011" s="1364">
        <f>(G4011-F4011)/G4011</f>
        <v>0.15</v>
      </c>
      <c r="F4011" s="1370">
        <v>1.19</v>
      </c>
      <c r="G4011">
        <v>1.4</v>
      </c>
    </row>
    <row r="4012" spans="1:7" ht="15.75" thickBot="1">
      <c r="A4012" s="1315"/>
      <c r="B4012" s="1356"/>
      <c r="C4012" s="1356" t="s">
        <v>1092</v>
      </c>
      <c r="D4012" s="1356"/>
      <c r="E4012" s="1366">
        <f>(G4012-F4012)/G4012</f>
        <v>0.15</v>
      </c>
      <c r="F4012" s="1318">
        <v>1.19</v>
      </c>
      <c r="G4012">
        <v>1.4</v>
      </c>
    </row>
    <row r="4013" spans="1:7" ht="15.75" thickBot="1"/>
    <row r="4014" spans="1:7">
      <c r="A4014" s="3572"/>
      <c r="B4014" s="3636"/>
      <c r="C4014" s="3636"/>
      <c r="D4014" s="3636"/>
      <c r="E4014" s="3636"/>
      <c r="F4014" s="3559"/>
    </row>
    <row r="4015" spans="1:7">
      <c r="A4015" s="3696"/>
      <c r="B4015" s="3927"/>
      <c r="C4015" s="3927"/>
      <c r="D4015" s="3927"/>
      <c r="E4015" s="3927"/>
      <c r="F4015" s="3930"/>
    </row>
    <row r="4016" spans="1:7">
      <c r="A4016" s="1309" t="s">
        <v>2509</v>
      </c>
      <c r="B4016" s="1312" t="s">
        <v>115</v>
      </c>
      <c r="C4016" s="1309" t="s">
        <v>623</v>
      </c>
      <c r="D4016" s="1312"/>
      <c r="E4016" s="1310">
        <f>(G4016-F4016)/G4016</f>
        <v>0.18032786885245905</v>
      </c>
      <c r="F4016" s="1380">
        <v>1.5</v>
      </c>
      <c r="G4016">
        <v>1.83</v>
      </c>
    </row>
    <row r="4017" spans="1:7">
      <c r="A4017" s="1309"/>
      <c r="B4017" s="1309"/>
      <c r="C4017" s="1309" t="s">
        <v>2115</v>
      </c>
      <c r="D4017" s="1309"/>
      <c r="E4017" s="1310">
        <f>(G4017-F4017)/G4017</f>
        <v>0.19858156028368798</v>
      </c>
      <c r="F4017" s="1309">
        <v>1.1299999999999999</v>
      </c>
      <c r="G4017">
        <v>1.41</v>
      </c>
    </row>
    <row r="4018" spans="1:7">
      <c r="A4018" s="1309"/>
      <c r="B4018" s="1309"/>
      <c r="C4018" s="1309" t="s">
        <v>2116</v>
      </c>
      <c r="D4018" s="1309"/>
      <c r="E4018" s="1310">
        <f>(G4018-F4018)/G4018</f>
        <v>0.19858156028368798</v>
      </c>
      <c r="F4018" s="1309">
        <v>1.1299999999999999</v>
      </c>
      <c r="G4018">
        <v>1.41</v>
      </c>
    </row>
    <row r="4019" spans="1:7">
      <c r="A4019" s="1309"/>
      <c r="B4019" s="1309"/>
      <c r="C4019" s="1309" t="s">
        <v>2066</v>
      </c>
      <c r="D4019" s="1309"/>
      <c r="E4019" s="1310">
        <f>(G4019-F4019)/G4019</f>
        <v>0.19858156028368798</v>
      </c>
      <c r="F4019" s="1309">
        <v>1.1299999999999999</v>
      </c>
      <c r="G4019">
        <v>1.41</v>
      </c>
    </row>
    <row r="4020" spans="1:7">
      <c r="A4020" s="1309"/>
      <c r="B4020" s="1309"/>
      <c r="C4020" s="1309"/>
      <c r="D4020" s="1309"/>
      <c r="E4020" s="1310" t="e">
        <f>(G4020-F4020)/G4020</f>
        <v>#DIV/0!</v>
      </c>
      <c r="F4020" s="1309"/>
    </row>
    <row r="4021" spans="1:7" ht="15.75" thickBot="1"/>
    <row r="4022" spans="1:7">
      <c r="A4022" s="3593"/>
      <c r="B4022" s="3922"/>
      <c r="C4022" s="3922"/>
      <c r="D4022" s="3922"/>
      <c r="E4022" s="3922"/>
      <c r="F4022" s="3616"/>
      <c r="G4022" s="1260"/>
    </row>
    <row r="4023" spans="1:7" ht="15.75" thickBot="1">
      <c r="A4023" s="3933"/>
      <c r="B4023" s="3923"/>
      <c r="C4023" s="3923"/>
      <c r="D4023" s="3923"/>
      <c r="E4023" s="3923"/>
      <c r="F4023" s="3926"/>
      <c r="G4023" s="1260"/>
    </row>
    <row r="4024" spans="1:7" ht="15.75">
      <c r="A4024" s="1381" t="s">
        <v>2510</v>
      </c>
      <c r="B4024" s="1382" t="s">
        <v>114</v>
      </c>
      <c r="C4024" s="1407" t="s">
        <v>2156</v>
      </c>
      <c r="D4024" s="1263"/>
      <c r="E4024" s="649">
        <f>(G4024-F4024)/G4024</f>
        <v>0.35023041474654382</v>
      </c>
      <c r="F4024" s="1258">
        <v>1.41</v>
      </c>
      <c r="G4024" s="1260">
        <v>2.17</v>
      </c>
    </row>
    <row r="4025" spans="1:7" ht="15.75">
      <c r="A4025" s="1383"/>
      <c r="B4025" s="1384"/>
      <c r="C4025" s="1385" t="s">
        <v>2192</v>
      </c>
      <c r="D4025" s="1386"/>
      <c r="E4025" s="1310">
        <f>(G4025-F4025)/G4025</f>
        <v>0.20030581039755346</v>
      </c>
      <c r="F4025" s="1387">
        <v>5.23</v>
      </c>
      <c r="G4025" s="1260">
        <v>6.54</v>
      </c>
    </row>
    <row r="4026" spans="1:7" ht="15.75">
      <c r="A4026" s="1383"/>
      <c r="B4026" s="1384"/>
      <c r="C4026" s="1385" t="s">
        <v>2194</v>
      </c>
      <c r="D4026" s="1386"/>
      <c r="E4026" s="1310">
        <f>(G4026-F4026)/G4026</f>
        <v>0.20030581039755346</v>
      </c>
      <c r="F4026" s="1387">
        <v>5.23</v>
      </c>
      <c r="G4026" s="1260">
        <v>6.54</v>
      </c>
    </row>
    <row r="4027" spans="1:7" ht="15.75">
      <c r="A4027" s="1383"/>
      <c r="B4027" s="1384"/>
      <c r="C4027" s="1385" t="s">
        <v>2266</v>
      </c>
      <c r="D4027" s="1386"/>
      <c r="E4027" s="1310">
        <f>(G4027-F4027)/G4027</f>
        <v>0.20030581039755346</v>
      </c>
      <c r="F4027" s="1387">
        <v>5.23</v>
      </c>
      <c r="G4027" s="1260">
        <v>6.54</v>
      </c>
    </row>
    <row r="4028" spans="1:7" ht="16.5" thickBot="1">
      <c r="A4028" s="1388"/>
      <c r="B4028" s="1389"/>
      <c r="C4028" s="1390" t="s">
        <v>2359</v>
      </c>
      <c r="D4028" s="1389"/>
      <c r="E4028" s="1366">
        <f>(G4028-F4028)/G4028</f>
        <v>0.20030581039755346</v>
      </c>
      <c r="F4028" s="1391">
        <v>5.23</v>
      </c>
      <c r="G4028" s="1260">
        <v>6.54</v>
      </c>
    </row>
    <row r="4029" spans="1:7" ht="15.75" thickBot="1"/>
    <row r="4030" spans="1:7">
      <c r="A4030" s="3572"/>
      <c r="B4030" s="3636"/>
      <c r="C4030" s="3636"/>
      <c r="D4030" s="3636"/>
      <c r="E4030" s="3636"/>
      <c r="F4030" s="3559"/>
    </row>
    <row r="4031" spans="1:7">
      <c r="A4031" s="3696"/>
      <c r="B4031" s="3927"/>
      <c r="C4031" s="3927"/>
      <c r="D4031" s="3927"/>
      <c r="E4031" s="3927"/>
      <c r="F4031" s="3930"/>
    </row>
    <row r="4032" spans="1:7">
      <c r="A4032" s="1309" t="s">
        <v>2526</v>
      </c>
      <c r="B4032" s="1312" t="s">
        <v>115</v>
      </c>
      <c r="C4032" s="1309" t="s">
        <v>858</v>
      </c>
      <c r="D4032" s="1312"/>
      <c r="E4032" s="1310">
        <f t="shared" ref="E4032:E4038" si="58">(G4032-F4032)/G4032</f>
        <v>0.20454545454545461</v>
      </c>
      <c r="F4032" s="1380">
        <v>0.7</v>
      </c>
      <c r="G4032">
        <v>0.88</v>
      </c>
    </row>
    <row r="4033" spans="1:7">
      <c r="A4033" s="1309"/>
      <c r="B4033" s="1309"/>
      <c r="C4033" s="1309" t="s">
        <v>905</v>
      </c>
      <c r="D4033" s="1309"/>
      <c r="E4033" s="1310">
        <f t="shared" si="58"/>
        <v>0.20833333333333337</v>
      </c>
      <c r="F4033" s="1309">
        <v>0.56999999999999995</v>
      </c>
      <c r="G4033">
        <v>0.72</v>
      </c>
    </row>
    <row r="4034" spans="1:7">
      <c r="A4034" s="1309"/>
      <c r="B4034" s="1309"/>
      <c r="C4034" s="1309" t="s">
        <v>1379</v>
      </c>
      <c r="D4034" s="1309"/>
      <c r="E4034" s="1310">
        <f t="shared" si="58"/>
        <v>0.20952380952380958</v>
      </c>
      <c r="F4034" s="1309">
        <v>0.83</v>
      </c>
      <c r="G4034">
        <v>1.05</v>
      </c>
    </row>
    <row r="4035" spans="1:7">
      <c r="A4035" s="1309"/>
      <c r="B4035" s="1309"/>
      <c r="C4035" s="1309" t="s">
        <v>1851</v>
      </c>
      <c r="D4035" s="1309"/>
      <c r="E4035" s="1310">
        <f t="shared" si="58"/>
        <v>0.19801980198019797</v>
      </c>
      <c r="F4035" s="1309">
        <v>0.81</v>
      </c>
      <c r="G4035">
        <v>1.01</v>
      </c>
    </row>
    <row r="4036" spans="1:7">
      <c r="A4036" s="1309"/>
      <c r="B4036" s="1309"/>
      <c r="C4036" s="1309" t="s">
        <v>920</v>
      </c>
      <c r="D4036" s="1309"/>
      <c r="E4036" s="1310">
        <f t="shared" si="58"/>
        <v>0.15068493150684931</v>
      </c>
      <c r="F4036" s="1309">
        <v>0.62</v>
      </c>
      <c r="G4036">
        <v>0.73</v>
      </c>
    </row>
    <row r="4037" spans="1:7">
      <c r="A4037" s="1309"/>
      <c r="B4037" s="1309"/>
      <c r="C4037" s="1309" t="s">
        <v>117</v>
      </c>
      <c r="D4037" s="1309"/>
      <c r="E4037" s="1310">
        <f t="shared" si="58"/>
        <v>0.15584415584415584</v>
      </c>
      <c r="F4037" s="1309">
        <v>0.65</v>
      </c>
      <c r="G4037">
        <v>0.77</v>
      </c>
    </row>
    <row r="4038" spans="1:7">
      <c r="A4038" s="1309"/>
      <c r="B4038" s="1309"/>
      <c r="C4038" s="1309" t="s">
        <v>517</v>
      </c>
      <c r="D4038" s="1309"/>
      <c r="E4038" s="1310">
        <f t="shared" si="58"/>
        <v>9.8214285714285796E-2</v>
      </c>
      <c r="F4038" s="1309">
        <v>1.01</v>
      </c>
      <c r="G4038">
        <v>1.1200000000000001</v>
      </c>
    </row>
    <row r="4039" spans="1:7" ht="15.75" thickBot="1"/>
    <row r="4040" spans="1:7">
      <c r="A4040" s="3572"/>
      <c r="B4040" s="3636"/>
      <c r="C4040" s="3636"/>
      <c r="D4040" s="3636"/>
      <c r="E4040" s="3636"/>
      <c r="F4040" s="3559"/>
    </row>
    <row r="4041" spans="1:7" ht="15.75" thickBot="1">
      <c r="A4041" s="3844"/>
      <c r="B4041" s="3931"/>
      <c r="C4041" s="3931"/>
      <c r="D4041" s="3931"/>
      <c r="E4041" s="3931"/>
      <c r="F4041" s="3848"/>
    </row>
    <row r="4042" spans="1:7">
      <c r="A4042" s="1410" t="s">
        <v>2534</v>
      </c>
      <c r="B4042" s="485" t="s">
        <v>106</v>
      </c>
      <c r="C4042" s="5" t="s">
        <v>2115</v>
      </c>
      <c r="D4042" s="5"/>
      <c r="E4042" s="649">
        <f>(G4042-F4042)/G4042</f>
        <v>0.14765100671140938</v>
      </c>
      <c r="F4042" s="603">
        <v>1.27</v>
      </c>
      <c r="G4042">
        <v>1.49</v>
      </c>
    </row>
    <row r="4043" spans="1:7">
      <c r="A4043" s="1311"/>
      <c r="B4043" s="1309"/>
      <c r="C4043" s="1309" t="s">
        <v>2116</v>
      </c>
      <c r="D4043" s="1309"/>
      <c r="E4043" s="1310">
        <f>(G4043-F4043)/G4043</f>
        <v>0.14765100671140938</v>
      </c>
      <c r="F4043" s="1367">
        <v>1.27</v>
      </c>
      <c r="G4043">
        <v>1.49</v>
      </c>
    </row>
    <row r="4044" spans="1:7">
      <c r="A4044" s="1311"/>
      <c r="B4044" s="1309"/>
      <c r="C4044" s="1309" t="s">
        <v>2066</v>
      </c>
      <c r="D4044" s="1309"/>
      <c r="E4044" s="1310">
        <f>(G4044-F4044)/G4044</f>
        <v>0.14765100671140938</v>
      </c>
      <c r="F4044" s="1367">
        <v>1.27</v>
      </c>
      <c r="G4044">
        <v>1.49</v>
      </c>
    </row>
    <row r="4045" spans="1:7">
      <c r="A4045" s="1311"/>
      <c r="B4045" s="1309"/>
      <c r="C4045" s="1309"/>
      <c r="D4045" s="1309"/>
      <c r="E4045" s="1309"/>
      <c r="F4045" s="1367"/>
    </row>
    <row r="4046" spans="1:7" ht="15.75" thickBot="1">
      <c r="A4046" s="1315"/>
      <c r="B4046" s="1356"/>
      <c r="C4046" s="1356"/>
      <c r="D4046" s="1356"/>
      <c r="E4046" s="1366" t="e">
        <f>(G4046-F4046)/G4046</f>
        <v>#DIV/0!</v>
      </c>
      <c r="F4046" s="1368"/>
    </row>
    <row r="4047" spans="1:7" ht="15.75" thickBot="1"/>
    <row r="4048" spans="1:7">
      <c r="A4048" s="3593"/>
      <c r="B4048" s="3922"/>
      <c r="C4048" s="3922"/>
      <c r="D4048" s="3922"/>
      <c r="E4048" s="3922"/>
      <c r="F4048" s="3616"/>
      <c r="G4048" s="1260"/>
    </row>
    <row r="4049" spans="1:7" ht="15.75" thickBot="1">
      <c r="A4049" s="3933"/>
      <c r="B4049" s="3923"/>
      <c r="C4049" s="3923"/>
      <c r="D4049" s="3923"/>
      <c r="E4049" s="3923"/>
      <c r="F4049" s="3926"/>
      <c r="G4049" s="1260"/>
    </row>
    <row r="4050" spans="1:7" ht="15.75">
      <c r="A4050" s="1381" t="s">
        <v>2535</v>
      </c>
      <c r="B4050" s="1382" t="s">
        <v>114</v>
      </c>
      <c r="C4050" s="1465" t="s">
        <v>1975</v>
      </c>
      <c r="D4050" s="1263"/>
      <c r="E4050" s="649">
        <f>(G4050-F4050)/G4050</f>
        <v>0.19871794871794873</v>
      </c>
      <c r="F4050" s="1258">
        <v>1.25</v>
      </c>
      <c r="G4050" s="1260">
        <v>1.56</v>
      </c>
    </row>
    <row r="4051" spans="1:7" ht="15.75">
      <c r="A4051" s="1383"/>
      <c r="B4051" s="1384"/>
      <c r="C4051" s="1385"/>
      <c r="D4051" s="1386"/>
      <c r="E4051" s="1310" t="e">
        <f>(G4051-F4051)/G4051</f>
        <v>#DIV/0!</v>
      </c>
      <c r="F4051" s="1387"/>
      <c r="G4051" s="1260"/>
    </row>
    <row r="4052" spans="1:7" ht="15.75">
      <c r="A4052" s="1383"/>
      <c r="B4052" s="1384"/>
      <c r="C4052" s="1385"/>
      <c r="D4052" s="1386"/>
      <c r="E4052" s="1310" t="e">
        <f>(G4052-F4052)/G4052</f>
        <v>#DIV/0!</v>
      </c>
      <c r="F4052" s="1387"/>
      <c r="G4052" s="1260"/>
    </row>
    <row r="4053" spans="1:7" ht="15.75">
      <c r="A4053" s="1383"/>
      <c r="B4053" s="1384"/>
      <c r="C4053" s="1385"/>
      <c r="D4053" s="1386"/>
      <c r="E4053" s="1310" t="e">
        <f>(G4053-F4053)/G4053</f>
        <v>#DIV/0!</v>
      </c>
      <c r="F4053" s="1387"/>
      <c r="G4053" s="1260"/>
    </row>
    <row r="4054" spans="1:7" ht="16.5" thickBot="1">
      <c r="A4054" s="1388"/>
      <c r="B4054" s="1389"/>
      <c r="C4054" s="1390"/>
      <c r="D4054" s="1389"/>
      <c r="E4054" s="1366" t="e">
        <f>(G4054-F4054)/G4054</f>
        <v>#DIV/0!</v>
      </c>
      <c r="F4054" s="1391"/>
      <c r="G4054" s="1260"/>
    </row>
    <row r="4055" spans="1:7" ht="15.75" thickBot="1"/>
    <row r="4056" spans="1:7">
      <c r="A4056" s="3572"/>
      <c r="B4056" s="3636"/>
      <c r="C4056" s="3636"/>
      <c r="D4056" s="3636"/>
      <c r="E4056" s="3636"/>
      <c r="F4056" s="3559"/>
    </row>
    <row r="4057" spans="1:7" ht="15.75" thickBot="1">
      <c r="A4057" s="3844"/>
      <c r="B4057" s="3931"/>
      <c r="C4057" s="3931"/>
      <c r="D4057" s="3931"/>
      <c r="E4057" s="3931"/>
      <c r="F4057" s="3848"/>
    </row>
    <row r="4058" spans="1:7">
      <c r="A4058" s="1410" t="s">
        <v>2536</v>
      </c>
      <c r="B4058" s="485" t="s">
        <v>106</v>
      </c>
      <c r="C4058" s="5" t="s">
        <v>858</v>
      </c>
      <c r="D4058" s="5"/>
      <c r="E4058" s="649">
        <f>(G4058-F4058)/G4058</f>
        <v>0.32978723404255317</v>
      </c>
      <c r="F4058" s="603">
        <v>0.63</v>
      </c>
      <c r="G4058">
        <v>0.94</v>
      </c>
    </row>
    <row r="4059" spans="1:7">
      <c r="A4059" s="1311"/>
      <c r="B4059" s="1309"/>
      <c r="C4059" s="1309" t="s">
        <v>730</v>
      </c>
      <c r="D4059" s="1309"/>
      <c r="E4059" s="1310">
        <f>(G4059-F4059)/G4059</f>
        <v>0.33333333333333331</v>
      </c>
      <c r="F4059" s="1367">
        <v>0.54</v>
      </c>
      <c r="G4059">
        <v>0.81</v>
      </c>
    </row>
    <row r="4060" spans="1:7">
      <c r="A4060" s="1311"/>
      <c r="B4060" s="1309"/>
      <c r="C4060" s="1309"/>
      <c r="D4060" s="1309"/>
      <c r="E4060" s="1310" t="e">
        <f>(G4060-F4060)/G4060</f>
        <v>#DIV/0!</v>
      </c>
      <c r="F4060" s="1367"/>
    </row>
    <row r="4061" spans="1:7">
      <c r="A4061" s="1311"/>
      <c r="B4061" s="1309"/>
      <c r="C4061" s="1309"/>
      <c r="D4061" s="1309"/>
      <c r="E4061" s="1309"/>
      <c r="F4061" s="1367"/>
    </row>
    <row r="4062" spans="1:7" ht="15.75" thickBot="1">
      <c r="A4062" s="1315"/>
      <c r="B4062" s="1356"/>
      <c r="C4062" s="1356"/>
      <c r="D4062" s="1356"/>
      <c r="E4062" s="1366" t="e">
        <f>(G4062-F4062)/G4062</f>
        <v>#DIV/0!</v>
      </c>
      <c r="F4062" s="1368"/>
    </row>
    <row r="4063" spans="1:7" ht="15.75" thickBot="1"/>
    <row r="4064" spans="1:7">
      <c r="A4064" s="3572"/>
      <c r="B4064" s="3636"/>
      <c r="C4064" s="3636"/>
      <c r="D4064" s="3636"/>
      <c r="E4064" s="3636"/>
      <c r="F4064" s="3559"/>
    </row>
    <row r="4065" spans="1:7">
      <c r="A4065" s="3696"/>
      <c r="B4065" s="3927"/>
      <c r="C4065" s="3927"/>
      <c r="D4065" s="3927"/>
      <c r="E4065" s="3927"/>
      <c r="F4065" s="3930"/>
    </row>
    <row r="4066" spans="1:7">
      <c r="A4066" s="977" t="s">
        <v>2537</v>
      </c>
      <c r="B4066" s="978" t="s">
        <v>115</v>
      </c>
      <c r="C4066" s="977" t="s">
        <v>2425</v>
      </c>
      <c r="D4066" s="978"/>
      <c r="E4066" s="979">
        <f t="shared" ref="E4066:E4072" si="59">(G4066-F4066)/G4066</f>
        <v>0.10270270270270279</v>
      </c>
      <c r="F4066" s="1411">
        <v>1.66</v>
      </c>
      <c r="G4066">
        <v>1.85</v>
      </c>
    </row>
    <row r="4067" spans="1:7">
      <c r="A4067" s="977"/>
      <c r="B4067" s="977"/>
      <c r="C4067" s="977" t="s">
        <v>2426</v>
      </c>
      <c r="D4067" s="977"/>
      <c r="E4067" s="979">
        <f t="shared" si="59"/>
        <v>0.10270270270270279</v>
      </c>
      <c r="F4067" s="977">
        <v>1.66</v>
      </c>
      <c r="G4067">
        <v>1.85</v>
      </c>
    </row>
    <row r="4068" spans="1:7">
      <c r="A4068" s="977"/>
      <c r="B4068" s="977"/>
      <c r="C4068" s="977"/>
      <c r="D4068" s="977"/>
      <c r="E4068" s="979" t="e">
        <f t="shared" si="59"/>
        <v>#DIV/0!</v>
      </c>
      <c r="F4068" s="977"/>
    </row>
    <row r="4069" spans="1:7">
      <c r="A4069" s="977"/>
      <c r="B4069" s="977"/>
      <c r="C4069" s="977"/>
      <c r="D4069" s="977"/>
      <c r="E4069" s="979" t="e">
        <f t="shared" si="59"/>
        <v>#DIV/0!</v>
      </c>
      <c r="F4069" s="977"/>
    </row>
    <row r="4070" spans="1:7">
      <c r="A4070" s="977"/>
      <c r="B4070" s="977"/>
      <c r="C4070" s="977"/>
      <c r="D4070" s="977"/>
      <c r="E4070" s="979" t="e">
        <f t="shared" si="59"/>
        <v>#DIV/0!</v>
      </c>
      <c r="F4070" s="977"/>
    </row>
    <row r="4071" spans="1:7">
      <c r="A4071" s="977"/>
      <c r="B4071" s="977"/>
      <c r="C4071" s="977"/>
      <c r="D4071" s="977"/>
      <c r="E4071" s="979" t="e">
        <f t="shared" si="59"/>
        <v>#DIV/0!</v>
      </c>
      <c r="F4071" s="977"/>
    </row>
    <row r="4072" spans="1:7">
      <c r="A4072" s="977"/>
      <c r="B4072" s="977"/>
      <c r="C4072" s="977"/>
      <c r="D4072" s="977"/>
      <c r="E4072" s="979" t="e">
        <f t="shared" si="59"/>
        <v>#DIV/0!</v>
      </c>
      <c r="F4072" s="977"/>
    </row>
    <row r="4075" spans="1:7" ht="15.75" thickBot="1"/>
    <row r="4076" spans="1:7">
      <c r="A4076" s="3593"/>
      <c r="B4076" s="3922"/>
      <c r="C4076" s="3922"/>
      <c r="D4076" s="3922"/>
      <c r="E4076" s="3922"/>
      <c r="F4076" s="3616"/>
      <c r="G4076" s="1260"/>
    </row>
    <row r="4077" spans="1:7" ht="15.75" thickBot="1">
      <c r="A4077" s="3933"/>
      <c r="B4077" s="3923"/>
      <c r="C4077" s="3923"/>
      <c r="D4077" s="3923"/>
      <c r="E4077" s="3923"/>
      <c r="F4077" s="3926"/>
      <c r="G4077" s="1260"/>
    </row>
    <row r="4078" spans="1:7" ht="15.75">
      <c r="A4078" s="1381" t="s">
        <v>2547</v>
      </c>
      <c r="B4078" s="1382" t="s">
        <v>114</v>
      </c>
      <c r="C4078" s="1465" t="s">
        <v>2548</v>
      </c>
      <c r="D4078" s="1263"/>
      <c r="E4078" s="649">
        <f>(G4078-F4078)/G4078</f>
        <v>9.8039215686274481E-2</v>
      </c>
      <c r="F4078" s="1258">
        <v>0.46</v>
      </c>
      <c r="G4078" s="1260">
        <v>0.51</v>
      </c>
    </row>
    <row r="4079" spans="1:7" ht="15.75">
      <c r="A4079" s="1383"/>
      <c r="B4079" s="1384"/>
      <c r="C4079" s="1385"/>
      <c r="D4079" s="1386"/>
      <c r="E4079" s="1310" t="e">
        <f>(G4079-F4079)/G4079</f>
        <v>#DIV/0!</v>
      </c>
      <c r="F4079" s="1387"/>
      <c r="G4079" s="1260"/>
    </row>
    <row r="4080" spans="1:7" ht="15.75">
      <c r="A4080" s="1383"/>
      <c r="B4080" s="1384"/>
      <c r="C4080" s="1385"/>
      <c r="D4080" s="1386"/>
      <c r="E4080" s="1310" t="e">
        <f>(G4080-F4080)/G4080</f>
        <v>#DIV/0!</v>
      </c>
      <c r="F4080" s="1387"/>
      <c r="G4080" s="1260"/>
    </row>
    <row r="4081" spans="1:7" ht="15.75">
      <c r="A4081" s="1383"/>
      <c r="B4081" s="1384"/>
      <c r="C4081" s="1385"/>
      <c r="D4081" s="1386"/>
      <c r="E4081" s="1310" t="e">
        <f>(G4081-F4081)/G4081</f>
        <v>#DIV/0!</v>
      </c>
      <c r="F4081" s="1387"/>
      <c r="G4081" s="1260"/>
    </row>
    <row r="4082" spans="1:7" ht="16.5" thickBot="1">
      <c r="A4082" s="1388"/>
      <c r="B4082" s="1389"/>
      <c r="C4082" s="1390"/>
      <c r="D4082" s="1389"/>
      <c r="E4082" s="1366" t="e">
        <f>(G4082-F4082)/G4082</f>
        <v>#DIV/0!</v>
      </c>
      <c r="F4082" s="1391"/>
      <c r="G4082" s="1260"/>
    </row>
    <row r="4083" spans="1:7" ht="15.75" thickBot="1"/>
    <row r="4084" spans="1:7">
      <c r="A4084" s="3593"/>
      <c r="B4084" s="3922"/>
      <c r="C4084" s="3922"/>
      <c r="D4084" s="3922"/>
      <c r="E4084" s="3922"/>
      <c r="F4084" s="3616"/>
      <c r="G4084" s="1260"/>
    </row>
    <row r="4085" spans="1:7" ht="15.75" thickBot="1">
      <c r="A4085" s="3933"/>
      <c r="B4085" s="3923"/>
      <c r="C4085" s="3923"/>
      <c r="D4085" s="3923"/>
      <c r="E4085" s="3923"/>
      <c r="F4085" s="3926"/>
      <c r="G4085" s="1260"/>
    </row>
    <row r="4086" spans="1:7" ht="15.75">
      <c r="A4086" s="1381" t="s">
        <v>2549</v>
      </c>
      <c r="B4086" s="1382" t="s">
        <v>114</v>
      </c>
      <c r="C4086" s="1340" t="s">
        <v>623</v>
      </c>
      <c r="D4086" s="1263"/>
      <c r="E4086" s="649">
        <f t="shared" ref="E4086:E4098" si="60">(G4086-F4086)/G4086</f>
        <v>0.10050251256281405</v>
      </c>
      <c r="F4086" s="1258">
        <v>1.79</v>
      </c>
      <c r="G4086" s="1260">
        <v>1.99</v>
      </c>
    </row>
    <row r="4087" spans="1:7" ht="15.75">
      <c r="A4087" s="1381"/>
      <c r="B4087" s="1382"/>
      <c r="C4087" s="1340" t="s">
        <v>1772</v>
      </c>
      <c r="D4087" s="1263"/>
      <c r="E4087" s="649">
        <f t="shared" si="60"/>
        <v>0.10050251256281405</v>
      </c>
      <c r="F4087" s="1258">
        <v>1.79</v>
      </c>
      <c r="G4087" s="1260">
        <v>1.99</v>
      </c>
    </row>
    <row r="4088" spans="1:7" ht="15.75">
      <c r="A4088" s="1381"/>
      <c r="B4088" s="1382"/>
      <c r="C4088" s="1340" t="s">
        <v>1650</v>
      </c>
      <c r="D4088" s="1263"/>
      <c r="E4088" s="649">
        <f t="shared" si="60"/>
        <v>0.10000000000000002</v>
      </c>
      <c r="F4088" s="1414">
        <v>6.3</v>
      </c>
      <c r="G4088" s="1415">
        <v>7</v>
      </c>
    </row>
    <row r="4089" spans="1:7" ht="15.75">
      <c r="A4089" s="1381"/>
      <c r="B4089" s="1382"/>
      <c r="C4089" s="1340" t="s">
        <v>1651</v>
      </c>
      <c r="D4089" s="1263"/>
      <c r="E4089" s="649">
        <f t="shared" si="60"/>
        <v>0.10000000000000002</v>
      </c>
      <c r="F4089" s="1414">
        <v>6.3</v>
      </c>
      <c r="G4089" s="1415">
        <v>7</v>
      </c>
    </row>
    <row r="4090" spans="1:7" ht="17.25" customHeight="1">
      <c r="A4090" s="1383"/>
      <c r="B4090" s="1384"/>
      <c r="C4090" s="1385" t="s">
        <v>1652</v>
      </c>
      <c r="D4090" s="1386"/>
      <c r="E4090" s="1310">
        <f t="shared" si="60"/>
        <v>0.10000000000000002</v>
      </c>
      <c r="F4090" s="1414">
        <v>6.3</v>
      </c>
      <c r="G4090" s="1415">
        <v>7</v>
      </c>
    </row>
    <row r="4091" spans="1:7" ht="17.25" customHeight="1">
      <c r="A4091" s="1383"/>
      <c r="B4091" s="1384"/>
      <c r="C4091" s="1385" t="s">
        <v>1908</v>
      </c>
      <c r="D4091" s="1386"/>
      <c r="E4091" s="1310">
        <f t="shared" si="60"/>
        <v>0.10000000000000002</v>
      </c>
      <c r="F4091" s="1414">
        <v>6.3</v>
      </c>
      <c r="G4091" s="1415">
        <v>7</v>
      </c>
    </row>
    <row r="4092" spans="1:7" ht="17.25" customHeight="1">
      <c r="A4092" s="1383"/>
      <c r="B4092" s="1384"/>
      <c r="C4092" s="1385" t="s">
        <v>2550</v>
      </c>
      <c r="D4092" s="1386"/>
      <c r="E4092" s="1310">
        <f t="shared" si="60"/>
        <v>0.10000000000000002</v>
      </c>
      <c r="F4092" s="1414">
        <v>6.3</v>
      </c>
      <c r="G4092" s="1415">
        <v>7</v>
      </c>
    </row>
    <row r="4093" spans="1:7" ht="17.25" customHeight="1">
      <c r="A4093" s="1383"/>
      <c r="B4093" s="1384"/>
      <c r="C4093" s="1385" t="s">
        <v>2551</v>
      </c>
      <c r="D4093" s="1386"/>
      <c r="E4093" s="1310">
        <f t="shared" si="60"/>
        <v>0.10000000000000002</v>
      </c>
      <c r="F4093" s="1414">
        <v>6.3</v>
      </c>
      <c r="G4093" s="1415">
        <v>7</v>
      </c>
    </row>
    <row r="4094" spans="1:7" ht="17.25" customHeight="1">
      <c r="A4094" s="1383"/>
      <c r="B4094" s="1384"/>
      <c r="C4094" s="1385" t="s">
        <v>2552</v>
      </c>
      <c r="D4094" s="1386"/>
      <c r="E4094" s="1310">
        <f t="shared" si="60"/>
        <v>0.10000000000000002</v>
      </c>
      <c r="F4094" s="1414">
        <v>6.3</v>
      </c>
      <c r="G4094" s="1415">
        <v>7</v>
      </c>
    </row>
    <row r="4095" spans="1:7" ht="17.25" customHeight="1">
      <c r="A4095" s="1383"/>
      <c r="B4095" s="1384"/>
      <c r="C4095" s="1385" t="s">
        <v>2553</v>
      </c>
      <c r="D4095" s="1386"/>
      <c r="E4095" s="1310">
        <f t="shared" si="60"/>
        <v>0.10000000000000002</v>
      </c>
      <c r="F4095" s="1414">
        <v>6.3</v>
      </c>
      <c r="G4095" s="1415">
        <v>7</v>
      </c>
    </row>
    <row r="4096" spans="1:7" ht="15.75">
      <c r="A4096" s="1383"/>
      <c r="B4096" s="1384"/>
      <c r="C4096" s="1385" t="s">
        <v>1763</v>
      </c>
      <c r="D4096" s="1386"/>
      <c r="E4096" s="1310">
        <f t="shared" si="60"/>
        <v>9.9830076465590403E-2</v>
      </c>
      <c r="F4096" s="1387">
        <v>21.19</v>
      </c>
      <c r="G4096" s="1260">
        <v>23.54</v>
      </c>
    </row>
    <row r="4097" spans="1:7" ht="15.75">
      <c r="A4097" s="1383"/>
      <c r="B4097" s="1384"/>
      <c r="C4097" s="1385" t="s">
        <v>1556</v>
      </c>
      <c r="D4097" s="1386"/>
      <c r="E4097" s="1310">
        <f t="shared" si="60"/>
        <v>9.9830076465590403E-2</v>
      </c>
      <c r="F4097" s="1387">
        <v>21.19</v>
      </c>
      <c r="G4097" s="1260">
        <v>23.54</v>
      </c>
    </row>
    <row r="4098" spans="1:7" ht="16.5" thickBot="1">
      <c r="A4098" s="1388"/>
      <c r="B4098" s="1389"/>
      <c r="C4098" s="1390" t="s">
        <v>1555</v>
      </c>
      <c r="D4098" s="1389"/>
      <c r="E4098" s="1366">
        <f t="shared" si="60"/>
        <v>9.9830076465590403E-2</v>
      </c>
      <c r="F4098" s="1391">
        <v>21.19</v>
      </c>
      <c r="G4098" s="1260">
        <v>23.54</v>
      </c>
    </row>
    <row r="4100" spans="1:7" ht="15.75" thickBot="1"/>
    <row r="4101" spans="1:7">
      <c r="A4101" s="3572"/>
      <c r="B4101" s="3636"/>
      <c r="C4101" s="3636"/>
      <c r="D4101" s="3636"/>
      <c r="E4101" s="3636"/>
      <c r="F4101" s="3559"/>
    </row>
    <row r="4102" spans="1:7" ht="15.75" thickBot="1">
      <c r="A4102" s="3844"/>
      <c r="B4102" s="3931"/>
      <c r="C4102" s="3931"/>
      <c r="D4102" s="3931"/>
      <c r="E4102" s="3931"/>
      <c r="F4102" s="3848"/>
    </row>
    <row r="4103" spans="1:7">
      <c r="A4103" s="1410" t="s">
        <v>2555</v>
      </c>
      <c r="B4103" s="485" t="s">
        <v>106</v>
      </c>
      <c r="C4103" s="1340" t="s">
        <v>623</v>
      </c>
      <c r="D4103" s="5"/>
      <c r="E4103" s="649">
        <f>(G4103-F4103)/G4103</f>
        <v>0.30150753768844224</v>
      </c>
      <c r="F4103" s="603">
        <v>1.39</v>
      </c>
      <c r="G4103">
        <v>1.99</v>
      </c>
    </row>
    <row r="4104" spans="1:7">
      <c r="A4104" s="1311"/>
      <c r="B4104" s="1309"/>
      <c r="C4104" s="1340" t="s">
        <v>1772</v>
      </c>
      <c r="D4104" s="1309"/>
      <c r="E4104" s="1310">
        <f>(G4104-F4104)/G4104</f>
        <v>0.30150753768844224</v>
      </c>
      <c r="F4104" s="1367">
        <v>1.39</v>
      </c>
      <c r="G4104">
        <v>1.99</v>
      </c>
    </row>
    <row r="4105" spans="1:7" ht="15.75" thickBot="1">
      <c r="A4105" s="1315"/>
      <c r="B4105" s="1356"/>
      <c r="C4105" s="1356" t="s">
        <v>905</v>
      </c>
      <c r="D4105" s="1356"/>
      <c r="E4105" s="1366">
        <f>(G4105-F4105)/G4105</f>
        <v>0.19480519480519484</v>
      </c>
      <c r="F4105" s="1368">
        <v>0.62</v>
      </c>
      <c r="G4105">
        <v>0.77</v>
      </c>
    </row>
    <row r="4107" spans="1:7" ht="15.75" thickBot="1"/>
    <row r="4108" spans="1:7">
      <c r="A4108" s="3572"/>
      <c r="B4108" s="3557"/>
      <c r="C4108" s="3557"/>
      <c r="D4108" s="3557"/>
      <c r="E4108" s="3557"/>
      <c r="F4108" s="3559"/>
    </row>
    <row r="4109" spans="1:7">
      <c r="A4109" s="3696"/>
      <c r="B4109" s="3927"/>
      <c r="C4109" s="3927"/>
      <c r="D4109" s="3927"/>
      <c r="E4109" s="3927"/>
      <c r="F4109" s="3930"/>
    </row>
    <row r="4110" spans="1:7">
      <c r="A4110" s="1309" t="s">
        <v>2563</v>
      </c>
      <c r="B4110" s="1312" t="s">
        <v>115</v>
      </c>
      <c r="C4110" s="1309" t="s">
        <v>858</v>
      </c>
      <c r="D4110" s="1312"/>
      <c r="E4110" s="1310">
        <f t="shared" ref="E4110:E4116" si="61">(G4110-F4110)/G4110</f>
        <v>0.20454545454545461</v>
      </c>
      <c r="F4110" s="1380">
        <v>0.7</v>
      </c>
      <c r="G4110">
        <v>0.88</v>
      </c>
    </row>
    <row r="4111" spans="1:7">
      <c r="A4111" s="1309"/>
      <c r="B4111" s="1309"/>
      <c r="C4111" s="1309" t="s">
        <v>905</v>
      </c>
      <c r="D4111" s="1309"/>
      <c r="E4111" s="1310">
        <f t="shared" si="61"/>
        <v>0.20833333333333337</v>
      </c>
      <c r="F4111" s="1309">
        <v>0.56999999999999995</v>
      </c>
      <c r="G4111">
        <v>0.72</v>
      </c>
    </row>
    <row r="4112" spans="1:7">
      <c r="A4112" s="1309"/>
      <c r="B4112" s="1309"/>
      <c r="C4112" s="1309" t="s">
        <v>1379</v>
      </c>
      <c r="D4112" s="1309"/>
      <c r="E4112" s="1310">
        <f t="shared" si="61"/>
        <v>0.20952380952380958</v>
      </c>
      <c r="F4112" s="1309">
        <v>0.83</v>
      </c>
      <c r="G4112">
        <v>1.05</v>
      </c>
    </row>
    <row r="4113" spans="1:9">
      <c r="A4113" s="1309"/>
      <c r="B4113" s="1309"/>
      <c r="C4113" s="1309" t="s">
        <v>1851</v>
      </c>
      <c r="D4113" s="1309"/>
      <c r="E4113" s="1310">
        <f t="shared" si="61"/>
        <v>0.19801980198019797</v>
      </c>
      <c r="F4113" s="1309">
        <v>0.81</v>
      </c>
      <c r="G4113">
        <v>1.01</v>
      </c>
    </row>
    <row r="4114" spans="1:9">
      <c r="A4114" s="1309"/>
      <c r="B4114" s="1309"/>
      <c r="C4114" s="1309" t="s">
        <v>920</v>
      </c>
      <c r="D4114" s="1309"/>
      <c r="E4114" s="1310">
        <f t="shared" si="61"/>
        <v>0.15068493150684931</v>
      </c>
      <c r="F4114" s="1309">
        <v>0.62</v>
      </c>
      <c r="G4114">
        <v>0.73</v>
      </c>
    </row>
    <row r="4115" spans="1:9">
      <c r="A4115" s="1309"/>
      <c r="B4115" s="1309"/>
      <c r="C4115" s="1309" t="s">
        <v>117</v>
      </c>
      <c r="D4115" s="1309"/>
      <c r="E4115" s="1310">
        <f t="shared" si="61"/>
        <v>0.15584415584415584</v>
      </c>
      <c r="F4115" s="1309">
        <v>0.65</v>
      </c>
      <c r="G4115">
        <v>0.77</v>
      </c>
    </row>
    <row r="4116" spans="1:9">
      <c r="A4116" s="1309"/>
      <c r="B4116" s="1309"/>
      <c r="C4116" s="1309" t="s">
        <v>517</v>
      </c>
      <c r="D4116" s="1309"/>
      <c r="E4116" s="1310">
        <f t="shared" si="61"/>
        <v>9.8214285714285796E-2</v>
      </c>
      <c r="F4116" s="1309">
        <v>1.01</v>
      </c>
      <c r="G4116">
        <v>1.1200000000000001</v>
      </c>
    </row>
    <row r="4117" spans="1:9" ht="15.75" thickBot="1"/>
    <row r="4118" spans="1:9">
      <c r="A4118" s="3572"/>
      <c r="B4118" s="3557"/>
      <c r="C4118" s="3557"/>
      <c r="D4118" s="3557"/>
      <c r="E4118" s="3557"/>
      <c r="F4118" s="3559"/>
    </row>
    <row r="4119" spans="1:9">
      <c r="A4119" s="3696"/>
      <c r="B4119" s="3927"/>
      <c r="C4119" s="3927"/>
      <c r="D4119" s="3927"/>
      <c r="E4119" s="3927"/>
      <c r="F4119" s="3930"/>
    </row>
    <row r="4120" spans="1:9">
      <c r="A4120" s="1309" t="s">
        <v>2564</v>
      </c>
      <c r="B4120" s="1312" t="s">
        <v>115</v>
      </c>
      <c r="C4120" s="1309" t="s">
        <v>687</v>
      </c>
      <c r="D4120" s="1312"/>
      <c r="E4120" s="1310">
        <f>(G4120-F4120)/G4120</f>
        <v>0.29850746268656714</v>
      </c>
      <c r="F4120" s="1380">
        <v>1.41</v>
      </c>
      <c r="G4120">
        <v>2.0099999999999998</v>
      </c>
    </row>
    <row r="4121" spans="1:9">
      <c r="A4121" s="1309"/>
      <c r="B4121" s="1309"/>
      <c r="C4121" s="1309" t="s">
        <v>686</v>
      </c>
      <c r="D4121" s="1309"/>
      <c r="E4121" s="1310">
        <f>(G4121-F4121)/G4121</f>
        <v>0.29850746268656714</v>
      </c>
      <c r="F4121" s="1309">
        <v>1.41</v>
      </c>
      <c r="G4121">
        <v>2.0099999999999998</v>
      </c>
    </row>
    <row r="4123" spans="1:9" ht="16.5" customHeight="1" thickBot="1"/>
    <row r="4124" spans="1:9">
      <c r="A4124" s="3572"/>
      <c r="B4124" s="3636"/>
      <c r="C4124" s="3636"/>
      <c r="D4124" s="3636"/>
      <c r="E4124" s="3636"/>
      <c r="F4124" s="3559"/>
    </row>
    <row r="4125" spans="1:9" ht="15.75" thickBot="1">
      <c r="A4125" s="3844"/>
      <c r="B4125" s="3932"/>
      <c r="C4125" s="3932"/>
      <c r="D4125" s="3932"/>
      <c r="E4125" s="3932"/>
      <c r="F4125" s="3848"/>
    </row>
    <row r="4126" spans="1:9">
      <c r="A4126" s="1410" t="s">
        <v>2574</v>
      </c>
      <c r="B4126" s="485" t="s">
        <v>106</v>
      </c>
      <c r="C4126" s="5" t="s">
        <v>1655</v>
      </c>
      <c r="D4126" s="5"/>
      <c r="E4126" s="649">
        <f t="shared" ref="E4126:E4151" si="62">(G4126-F4126)/G4126</f>
        <v>0.19999999999999987</v>
      </c>
      <c r="F4126" s="603">
        <v>1.1200000000000001</v>
      </c>
      <c r="G4126">
        <v>1.4</v>
      </c>
      <c r="I4126" t="s">
        <v>418</v>
      </c>
    </row>
    <row r="4127" spans="1:9">
      <c r="A4127" s="830"/>
      <c r="B4127" s="977"/>
      <c r="C4127" s="5" t="s">
        <v>231</v>
      </c>
      <c r="D4127" s="977"/>
      <c r="E4127" s="979">
        <f t="shared" si="62"/>
        <v>0.1974522292993631</v>
      </c>
      <c r="F4127" s="857">
        <v>1.26</v>
      </c>
      <c r="G4127">
        <v>1.57</v>
      </c>
      <c r="I4127" t="s">
        <v>418</v>
      </c>
    </row>
    <row r="4128" spans="1:9">
      <c r="A4128" s="1218"/>
      <c r="B4128" s="37"/>
      <c r="C4128" s="977" t="s">
        <v>2462</v>
      </c>
      <c r="D4128" s="37"/>
      <c r="E4128" s="979">
        <f t="shared" si="62"/>
        <v>0.1974522292993631</v>
      </c>
      <c r="F4128" s="1443">
        <v>1.26</v>
      </c>
      <c r="G4128">
        <v>1.57</v>
      </c>
      <c r="I4128" t="s">
        <v>418</v>
      </c>
    </row>
    <row r="4129" spans="1:9">
      <c r="A4129" s="1218"/>
      <c r="B4129" s="37"/>
      <c r="C4129" s="977" t="s">
        <v>436</v>
      </c>
      <c r="D4129" s="37"/>
      <c r="E4129" s="979">
        <f t="shared" si="62"/>
        <v>0.20149253731343283</v>
      </c>
      <c r="F4129" s="1443">
        <v>1.07</v>
      </c>
      <c r="G4129">
        <v>1.34</v>
      </c>
      <c r="I4129" t="s">
        <v>418</v>
      </c>
    </row>
    <row r="4130" spans="1:9">
      <c r="A4130" s="1218"/>
      <c r="B4130" s="37"/>
      <c r="C4130" s="977" t="s">
        <v>623</v>
      </c>
      <c r="D4130" s="37"/>
      <c r="E4130" s="979">
        <f t="shared" si="62"/>
        <v>0.2010050251256281</v>
      </c>
      <c r="F4130" s="1443">
        <v>1.59</v>
      </c>
      <c r="G4130">
        <v>1.99</v>
      </c>
      <c r="H4130" t="s">
        <v>2575</v>
      </c>
      <c r="I4130" t="s">
        <v>418</v>
      </c>
    </row>
    <row r="4131" spans="1:9">
      <c r="A4131" s="1218"/>
      <c r="B4131" s="37"/>
      <c r="C4131" s="977" t="s">
        <v>1772</v>
      </c>
      <c r="D4131" s="37"/>
      <c r="E4131" s="979">
        <f t="shared" si="62"/>
        <v>0.2010050251256281</v>
      </c>
      <c r="F4131" s="1443">
        <v>1.59</v>
      </c>
      <c r="G4131">
        <v>1.99</v>
      </c>
      <c r="H4131" t="s">
        <v>2576</v>
      </c>
      <c r="I4131" s="1482" t="s">
        <v>418</v>
      </c>
    </row>
    <row r="4132" spans="1:9">
      <c r="A4132" s="1218"/>
      <c r="B4132" s="37"/>
      <c r="C4132" s="1200" t="s">
        <v>1374</v>
      </c>
      <c r="D4132" s="37"/>
      <c r="E4132" s="979">
        <f t="shared" si="62"/>
        <v>0.10101010101010099</v>
      </c>
      <c r="F4132" s="1443">
        <v>0.89</v>
      </c>
      <c r="G4132">
        <v>0.99</v>
      </c>
      <c r="I4132" t="s">
        <v>418</v>
      </c>
    </row>
    <row r="4133" spans="1:9">
      <c r="A4133" s="1218"/>
      <c r="B4133" s="37"/>
      <c r="C4133" s="1200" t="s">
        <v>1301</v>
      </c>
      <c r="D4133" s="37"/>
      <c r="E4133" s="979">
        <f t="shared" si="62"/>
        <v>0.10101010101010099</v>
      </c>
      <c r="F4133" s="1443">
        <v>0.89</v>
      </c>
      <c r="G4133">
        <v>0.99</v>
      </c>
      <c r="I4133" t="s">
        <v>418</v>
      </c>
    </row>
    <row r="4134" spans="1:9">
      <c r="A4134" s="1218"/>
      <c r="B4134" s="37"/>
      <c r="C4134" s="1200" t="s">
        <v>2303</v>
      </c>
      <c r="D4134" s="37"/>
      <c r="E4134" s="979">
        <f t="shared" si="62"/>
        <v>0.10101010101010099</v>
      </c>
      <c r="F4134" s="1443">
        <v>0.89</v>
      </c>
      <c r="G4134">
        <v>0.99</v>
      </c>
      <c r="I4134" t="s">
        <v>418</v>
      </c>
    </row>
    <row r="4135" spans="1:9">
      <c r="A4135" s="1218"/>
      <c r="B4135" s="37"/>
      <c r="C4135" s="1200" t="s">
        <v>1499</v>
      </c>
      <c r="D4135" s="37"/>
      <c r="E4135" s="979">
        <f t="shared" si="62"/>
        <v>9.9089989888776583E-2</v>
      </c>
      <c r="F4135" s="1443">
        <v>8.91</v>
      </c>
      <c r="G4135">
        <v>9.89</v>
      </c>
      <c r="I4135" t="s">
        <v>418</v>
      </c>
    </row>
    <row r="4136" spans="1:9">
      <c r="A4136" s="1218"/>
      <c r="B4136" s="37"/>
      <c r="C4136" s="1200" t="s">
        <v>2052</v>
      </c>
      <c r="D4136" s="37"/>
      <c r="E4136" s="979">
        <f t="shared" si="62"/>
        <v>0.10024813895781637</v>
      </c>
      <c r="F4136" s="1443">
        <v>18.13</v>
      </c>
      <c r="G4136">
        <v>20.149999999999999</v>
      </c>
      <c r="I4136" t="s">
        <v>418</v>
      </c>
    </row>
    <row r="4137" spans="1:9">
      <c r="A4137" s="1218"/>
      <c r="B4137" s="37"/>
      <c r="C4137" s="1200" t="s">
        <v>868</v>
      </c>
      <c r="D4137" s="37"/>
      <c r="E4137" s="979">
        <f t="shared" si="62"/>
        <v>0.10035842293906799</v>
      </c>
      <c r="F4137" s="1443">
        <v>7.53</v>
      </c>
      <c r="G4137">
        <v>8.3699999999999992</v>
      </c>
      <c r="I4137" t="s">
        <v>418</v>
      </c>
    </row>
    <row r="4138" spans="1:9">
      <c r="A4138" s="1218"/>
      <c r="B4138" s="37"/>
      <c r="C4138" s="1200" t="s">
        <v>2274</v>
      </c>
      <c r="D4138" s="37"/>
      <c r="E4138" s="979">
        <f t="shared" si="62"/>
        <v>0.10106382978723402</v>
      </c>
      <c r="F4138" s="1443">
        <v>3.38</v>
      </c>
      <c r="G4138">
        <v>3.76</v>
      </c>
      <c r="I4138" t="s">
        <v>418</v>
      </c>
    </row>
    <row r="4139" spans="1:9">
      <c r="A4139" s="1218"/>
      <c r="B4139" s="37"/>
      <c r="C4139" s="1200" t="s">
        <v>1497</v>
      </c>
      <c r="D4139" s="37"/>
      <c r="E4139" s="979">
        <f t="shared" si="62"/>
        <v>0.10106382978723402</v>
      </c>
      <c r="F4139" s="1443">
        <v>3.38</v>
      </c>
      <c r="G4139">
        <v>3.76</v>
      </c>
      <c r="I4139" t="s">
        <v>418</v>
      </c>
    </row>
    <row r="4140" spans="1:9">
      <c r="A4140" s="1218"/>
      <c r="B4140" s="37"/>
      <c r="C4140" s="1200" t="s">
        <v>2275</v>
      </c>
      <c r="D4140" s="37"/>
      <c r="E4140" s="979">
        <f t="shared" si="62"/>
        <v>0.10035842293906799</v>
      </c>
      <c r="F4140" s="1443">
        <v>7.53</v>
      </c>
      <c r="G4140">
        <v>8.3699999999999992</v>
      </c>
      <c r="I4140" t="s">
        <v>418</v>
      </c>
    </row>
    <row r="4141" spans="1:9">
      <c r="A4141" s="1218"/>
      <c r="B4141" s="37"/>
      <c r="C4141" s="1200" t="s">
        <v>239</v>
      </c>
      <c r="D4141" s="37"/>
      <c r="E4141" s="979">
        <f t="shared" si="62"/>
        <v>0.10035842293906799</v>
      </c>
      <c r="F4141" s="1443">
        <v>7.53</v>
      </c>
      <c r="G4141">
        <v>8.3699999999999992</v>
      </c>
      <c r="I4141" t="s">
        <v>418</v>
      </c>
    </row>
    <row r="4142" spans="1:9">
      <c r="A4142" s="1218"/>
      <c r="B4142" s="37"/>
      <c r="C4142" s="1200" t="s">
        <v>2277</v>
      </c>
      <c r="D4142" s="37"/>
      <c r="E4142" s="979">
        <f t="shared" si="62"/>
        <v>0.10106382978723402</v>
      </c>
      <c r="F4142" s="1443">
        <v>3.38</v>
      </c>
      <c r="G4142">
        <v>3.76</v>
      </c>
      <c r="I4142" t="s">
        <v>418</v>
      </c>
    </row>
    <row r="4143" spans="1:9">
      <c r="A4143" s="1218"/>
      <c r="B4143" s="37"/>
      <c r="C4143" s="1200" t="s">
        <v>1722</v>
      </c>
      <c r="D4143" s="37"/>
      <c r="E4143" s="979">
        <f t="shared" si="62"/>
        <v>0.10106382978723402</v>
      </c>
      <c r="F4143" s="1443">
        <v>3.38</v>
      </c>
      <c r="G4143">
        <v>3.76</v>
      </c>
      <c r="I4143" t="s">
        <v>418</v>
      </c>
    </row>
    <row r="4144" spans="1:9">
      <c r="A4144" s="1218"/>
      <c r="B4144" s="37"/>
      <c r="C4144" s="1200" t="s">
        <v>2272</v>
      </c>
      <c r="D4144" s="37"/>
      <c r="E4144" s="979">
        <f t="shared" si="62"/>
        <v>0.10106382978723402</v>
      </c>
      <c r="F4144" s="1443">
        <v>3.38</v>
      </c>
      <c r="G4144">
        <v>3.76</v>
      </c>
      <c r="I4144" t="s">
        <v>418</v>
      </c>
    </row>
    <row r="4145" spans="1:9">
      <c r="A4145" s="1218"/>
      <c r="B4145" s="37"/>
      <c r="C4145" s="1200" t="s">
        <v>1496</v>
      </c>
      <c r="D4145" s="37"/>
      <c r="E4145" s="979">
        <f t="shared" si="62"/>
        <v>0.10106382978723402</v>
      </c>
      <c r="F4145" s="1443">
        <v>3.38</v>
      </c>
      <c r="G4145">
        <v>3.76</v>
      </c>
      <c r="I4145" t="s">
        <v>418</v>
      </c>
    </row>
    <row r="4146" spans="1:9">
      <c r="A4146" s="1218"/>
      <c r="B4146" s="37"/>
      <c r="C4146" s="1200" t="s">
        <v>2271</v>
      </c>
      <c r="D4146" s="37"/>
      <c r="E4146" s="979">
        <f t="shared" si="62"/>
        <v>0.10035842293906799</v>
      </c>
      <c r="F4146" s="1443">
        <v>7.53</v>
      </c>
      <c r="G4146">
        <v>8.3699999999999992</v>
      </c>
      <c r="I4146" t="s">
        <v>418</v>
      </c>
    </row>
    <row r="4147" spans="1:9">
      <c r="A4147" s="1218"/>
      <c r="B4147" s="37"/>
      <c r="C4147" s="1200" t="s">
        <v>238</v>
      </c>
      <c r="D4147" s="37"/>
      <c r="E4147" s="979">
        <f t="shared" si="62"/>
        <v>0.10035842293906799</v>
      </c>
      <c r="F4147" s="1443">
        <v>7.53</v>
      </c>
      <c r="G4147">
        <v>8.3699999999999992</v>
      </c>
      <c r="I4147" t="s">
        <v>418</v>
      </c>
    </row>
    <row r="4148" spans="1:9">
      <c r="A4148" s="1218"/>
      <c r="B4148" s="37"/>
      <c r="C4148" s="1200" t="s">
        <v>2273</v>
      </c>
      <c r="D4148" s="37"/>
      <c r="E4148" s="979">
        <f t="shared" si="62"/>
        <v>0.10024813895781637</v>
      </c>
      <c r="F4148" s="1443">
        <v>18.13</v>
      </c>
      <c r="G4148">
        <v>20.149999999999999</v>
      </c>
      <c r="I4148" t="s">
        <v>418</v>
      </c>
    </row>
    <row r="4149" spans="1:9">
      <c r="A4149" s="1218"/>
      <c r="B4149" s="37"/>
      <c r="C4149" s="1200" t="s">
        <v>71</v>
      </c>
      <c r="D4149" s="37"/>
      <c r="E4149" s="979">
        <f t="shared" si="62"/>
        <v>0.10024813895781637</v>
      </c>
      <c r="F4149" s="1443">
        <v>18.13</v>
      </c>
      <c r="G4149">
        <v>20.149999999999999</v>
      </c>
      <c r="I4149" t="s">
        <v>418</v>
      </c>
    </row>
    <row r="4150" spans="1:9">
      <c r="A4150" s="1218"/>
      <c r="B4150" s="37"/>
      <c r="C4150" s="1200" t="s">
        <v>1883</v>
      </c>
      <c r="D4150" s="37"/>
      <c r="E4150" s="979">
        <f t="shared" si="62"/>
        <v>0.10024813895781637</v>
      </c>
      <c r="F4150" s="1443">
        <v>18.13</v>
      </c>
      <c r="G4150">
        <v>20.149999999999999</v>
      </c>
      <c r="I4150" t="s">
        <v>418</v>
      </c>
    </row>
    <row r="4151" spans="1:9" ht="15.75" thickBot="1">
      <c r="A4151" s="1315"/>
      <c r="B4151" s="1217"/>
      <c r="C4151" s="1217" t="s">
        <v>2276</v>
      </c>
      <c r="D4151" s="1217"/>
      <c r="E4151" s="1444">
        <f t="shared" si="62"/>
        <v>0.10024813895781637</v>
      </c>
      <c r="F4151" s="1368">
        <v>18.13</v>
      </c>
      <c r="G4151">
        <v>20.149999999999999</v>
      </c>
      <c r="I4151" t="s">
        <v>418</v>
      </c>
    </row>
    <row r="4153" spans="1:9" ht="15.75" thickBot="1"/>
    <row r="4154" spans="1:9">
      <c r="A4154" s="3593"/>
      <c r="B4154" s="3922"/>
      <c r="C4154" s="3922"/>
      <c r="D4154" s="3922"/>
      <c r="E4154" s="3922"/>
      <c r="F4154" s="3616"/>
      <c r="G4154" s="1260"/>
    </row>
    <row r="4155" spans="1:9" ht="15.75" thickBot="1">
      <c r="A4155" s="3933"/>
      <c r="B4155" s="3923"/>
      <c r="C4155" s="3923"/>
      <c r="D4155" s="3923"/>
      <c r="E4155" s="3923"/>
      <c r="F4155" s="3926"/>
      <c r="G4155" s="1260"/>
    </row>
    <row r="4156" spans="1:9" ht="15.75">
      <c r="A4156" s="1381" t="s">
        <v>2577</v>
      </c>
      <c r="B4156" s="1382" t="s">
        <v>114</v>
      </c>
      <c r="C4156" s="1465" t="s">
        <v>2383</v>
      </c>
      <c r="D4156" s="1263"/>
      <c r="E4156" s="649">
        <f>(G4156-F4156)/G4156</f>
        <v>0.34951456310679607</v>
      </c>
      <c r="F4156" s="1258">
        <v>2.68</v>
      </c>
      <c r="G4156" s="1260">
        <v>4.12</v>
      </c>
    </row>
    <row r="4157" spans="1:9" ht="15.75">
      <c r="A4157" s="1381"/>
      <c r="B4157" s="1382"/>
      <c r="C4157" s="1340"/>
      <c r="D4157" s="1263"/>
      <c r="E4157" s="649"/>
      <c r="F4157" s="1258"/>
      <c r="G4157" s="1260"/>
    </row>
    <row r="4158" spans="1:9" ht="15.75">
      <c r="A4158" s="1381"/>
      <c r="B4158" s="1382"/>
      <c r="C4158" s="1340"/>
      <c r="D4158" s="1263"/>
      <c r="E4158" s="649"/>
      <c r="F4158" s="1414"/>
      <c r="G4158" s="1415"/>
    </row>
    <row r="4159" spans="1:9" ht="16.5" thickBot="1">
      <c r="A4159" s="1388"/>
      <c r="B4159" s="1389"/>
      <c r="C4159" s="1390"/>
      <c r="D4159" s="1389"/>
      <c r="E4159" s="1366"/>
      <c r="F4159" s="1391"/>
      <c r="G4159" s="1260"/>
    </row>
    <row r="4160" spans="1:9" ht="15.75" thickBot="1"/>
    <row r="4161" spans="1:7">
      <c r="A4161" s="3572"/>
      <c r="B4161" s="3636"/>
      <c r="C4161" s="3636"/>
      <c r="D4161" s="3636"/>
      <c r="E4161" s="3636"/>
      <c r="F4161" s="3559"/>
    </row>
    <row r="4162" spans="1:7" ht="15.75" thickBot="1">
      <c r="A4162" s="3844"/>
      <c r="B4162" s="3931"/>
      <c r="C4162" s="3931"/>
      <c r="D4162" s="3931"/>
      <c r="E4162" s="3931"/>
      <c r="F4162" s="3848"/>
    </row>
    <row r="4163" spans="1:7">
      <c r="A4163" s="1410" t="s">
        <v>2581</v>
      </c>
      <c r="B4163" s="485" t="s">
        <v>106</v>
      </c>
      <c r="C4163" s="1309" t="s">
        <v>1413</v>
      </c>
      <c r="D4163" s="5"/>
      <c r="E4163" s="649">
        <f>(G4163-F4163)/G4163</f>
        <v>0.15204678362573101</v>
      </c>
      <c r="F4163" s="603">
        <v>1.45</v>
      </c>
      <c r="G4163">
        <v>1.71</v>
      </c>
    </row>
    <row r="4164" spans="1:7" ht="15.75" thickBot="1">
      <c r="A4164" s="1315"/>
      <c r="B4164" s="1356"/>
      <c r="C4164" s="1356" t="s">
        <v>1429</v>
      </c>
      <c r="D4164" s="1356"/>
      <c r="E4164" s="1366">
        <f>(G4164-F4164)/G4164</f>
        <v>0.15204678362573101</v>
      </c>
      <c r="F4164" s="1368">
        <v>1.45</v>
      </c>
      <c r="G4164">
        <v>1.71</v>
      </c>
    </row>
    <row r="4165" spans="1:7" ht="15.75" thickBot="1"/>
    <row r="4166" spans="1:7">
      <c r="A4166" s="3572"/>
      <c r="B4166" s="3636"/>
      <c r="C4166" s="3636"/>
      <c r="D4166" s="3636"/>
      <c r="E4166" s="3636"/>
      <c r="F4166" s="3559"/>
    </row>
    <row r="4167" spans="1:7" ht="15.75" thickBot="1">
      <c r="A4167" s="3844"/>
      <c r="B4167" s="3928"/>
      <c r="C4167" s="3928"/>
      <c r="D4167" s="3928"/>
      <c r="E4167" s="3928"/>
      <c r="F4167" s="3848"/>
    </row>
    <row r="4168" spans="1:7">
      <c r="A4168" s="1410" t="s">
        <v>2599</v>
      </c>
      <c r="B4168" s="485" t="s">
        <v>106</v>
      </c>
      <c r="C4168" s="1231" t="s">
        <v>687</v>
      </c>
      <c r="D4168" s="5"/>
      <c r="E4168" s="649">
        <f>(G4168-F4168)/G4168</f>
        <v>0.35046728971962626</v>
      </c>
      <c r="F4168" s="603">
        <v>1.39</v>
      </c>
      <c r="G4168">
        <v>2.14</v>
      </c>
    </row>
    <row r="4169" spans="1:7" ht="15.75" thickBot="1">
      <c r="A4169" s="1315"/>
      <c r="B4169" s="1294"/>
      <c r="C4169" s="1294" t="s">
        <v>686</v>
      </c>
      <c r="D4169" s="1294"/>
      <c r="E4169" s="1457">
        <f>(G4169-F4169)/G4169</f>
        <v>0.35046728971962626</v>
      </c>
      <c r="F4169" s="1368">
        <v>1.39</v>
      </c>
      <c r="G4169">
        <v>2.14</v>
      </c>
    </row>
    <row r="4170" spans="1:7" ht="15.75" thickBot="1"/>
    <row r="4171" spans="1:7">
      <c r="A4171" s="3572"/>
      <c r="B4171" s="3636"/>
      <c r="C4171" s="3636"/>
      <c r="D4171" s="3636"/>
      <c r="E4171" s="3636"/>
      <c r="F4171" s="3559"/>
    </row>
    <row r="4172" spans="1:7" ht="15.75" thickBot="1">
      <c r="A4172" s="3844"/>
      <c r="B4172" s="3928"/>
      <c r="C4172" s="3928"/>
      <c r="D4172" s="3928"/>
      <c r="E4172" s="3928"/>
      <c r="F4172" s="3848"/>
    </row>
    <row r="4173" spans="1:7">
      <c r="A4173" s="1410" t="s">
        <v>2604</v>
      </c>
      <c r="B4173" s="485" t="s">
        <v>106</v>
      </c>
      <c r="C4173" s="1231" t="s">
        <v>1058</v>
      </c>
      <c r="D4173" s="5"/>
      <c r="E4173" s="649">
        <f>(G4173-F4173)/G4173</f>
        <v>0.11398963730569947</v>
      </c>
      <c r="F4173" s="603">
        <v>1.71</v>
      </c>
      <c r="G4173">
        <v>1.93</v>
      </c>
    </row>
    <row r="4174" spans="1:7" ht="15.75" thickBot="1">
      <c r="A4174" s="1315"/>
      <c r="B4174" s="1294"/>
      <c r="C4174" s="1294" t="s">
        <v>858</v>
      </c>
      <c r="D4174" s="1294"/>
      <c r="E4174" s="1457">
        <f>(G4174-F4174)/G4174</f>
        <v>0.16666666666666669</v>
      </c>
      <c r="F4174" s="1368">
        <v>0.75</v>
      </c>
      <c r="G4174">
        <v>0.9</v>
      </c>
    </row>
    <row r="4175" spans="1:7" ht="15.75" thickBot="1"/>
    <row r="4176" spans="1:7">
      <c r="A4176" s="3572"/>
      <c r="B4176" s="3557"/>
      <c r="C4176" s="3557"/>
      <c r="D4176" s="3557"/>
      <c r="E4176" s="3557"/>
      <c r="F4176" s="3559"/>
    </row>
    <row r="4177" spans="1:15">
      <c r="A4177" s="3696"/>
      <c r="B4177" s="3927"/>
      <c r="C4177" s="3927"/>
      <c r="D4177" s="3927"/>
      <c r="E4177" s="3927"/>
      <c r="F4177" s="3930"/>
    </row>
    <row r="4178" spans="1:15">
      <c r="A4178" s="1309" t="s">
        <v>2624</v>
      </c>
      <c r="B4178" s="1312" t="s">
        <v>115</v>
      </c>
      <c r="C4178" s="1309" t="s">
        <v>730</v>
      </c>
      <c r="D4178" s="1312"/>
      <c r="E4178" s="1310">
        <f>(G4178-F4178)/G4178</f>
        <v>0.20779220779220783</v>
      </c>
      <c r="F4178" s="1380">
        <v>0.61</v>
      </c>
      <c r="G4178">
        <v>0.77</v>
      </c>
    </row>
    <row r="4179" spans="1:15">
      <c r="A4179" s="1309"/>
      <c r="B4179" s="1309"/>
      <c r="C4179" s="1309" t="s">
        <v>554</v>
      </c>
      <c r="D4179" s="1309"/>
      <c r="E4179" s="1310">
        <f>(G4179-F4179)/G4179</f>
        <v>0.20909090909090916</v>
      </c>
      <c r="F4179" s="1309">
        <v>0.87</v>
      </c>
      <c r="G4179">
        <v>1.1000000000000001</v>
      </c>
    </row>
    <row r="4181" spans="1:15" ht="15.75" thickBot="1"/>
    <row r="4182" spans="1:15">
      <c r="A4182" s="3572"/>
      <c r="B4182" s="3636"/>
      <c r="C4182" s="3636"/>
      <c r="D4182" s="3636"/>
      <c r="E4182" s="3636"/>
      <c r="F4182" s="3559"/>
      <c r="O4182"/>
    </row>
    <row r="4183" spans="1:15" ht="15.75" thickBot="1">
      <c r="A4183" s="3844"/>
      <c r="B4183" s="3932"/>
      <c r="C4183" s="3932"/>
      <c r="D4183" s="3932"/>
      <c r="E4183" s="3932"/>
      <c r="F4183" s="3848"/>
      <c r="O4183"/>
    </row>
    <row r="4184" spans="1:15">
      <c r="A4184" s="1410" t="s">
        <v>2642</v>
      </c>
      <c r="B4184" s="485" t="s">
        <v>106</v>
      </c>
      <c r="C4184" s="1498" t="s">
        <v>2192</v>
      </c>
      <c r="D4184" s="5"/>
      <c r="E4184" s="649">
        <f t="shared" ref="E4184:E4189" si="63">(G4184-F4184)/G4184</f>
        <v>0.20060331825037708</v>
      </c>
      <c r="F4184" s="603">
        <v>5.3</v>
      </c>
      <c r="G4184">
        <v>6.63</v>
      </c>
      <c r="O4184"/>
    </row>
    <row r="4185" spans="1:15">
      <c r="A4185" s="830"/>
      <c r="B4185" s="977"/>
      <c r="C4185" s="1499" t="s">
        <v>2194</v>
      </c>
      <c r="D4185" s="977"/>
      <c r="E4185" s="979">
        <f t="shared" si="63"/>
        <v>0.20060331825037708</v>
      </c>
      <c r="F4185" s="603">
        <v>5.3</v>
      </c>
      <c r="G4185">
        <v>6.63</v>
      </c>
      <c r="O4185"/>
    </row>
    <row r="4186" spans="1:15">
      <c r="A4186" s="1218"/>
      <c r="B4186" s="37"/>
      <c r="C4186" s="1499" t="s">
        <v>2266</v>
      </c>
      <c r="D4186" s="37"/>
      <c r="E4186" s="979">
        <f t="shared" si="63"/>
        <v>0.20060331825037708</v>
      </c>
      <c r="F4186" s="603">
        <v>5.3</v>
      </c>
      <c r="G4186">
        <v>6.63</v>
      </c>
      <c r="O4186"/>
    </row>
    <row r="4187" spans="1:15">
      <c r="A4187" s="1218"/>
      <c r="B4187" s="37"/>
      <c r="C4187" s="977" t="s">
        <v>1090</v>
      </c>
      <c r="D4187" s="37"/>
      <c r="E4187" s="979">
        <f t="shared" si="63"/>
        <v>0.14925373134328371</v>
      </c>
      <c r="F4187" s="1443">
        <v>1.1399999999999999</v>
      </c>
      <c r="G4187">
        <v>1.34</v>
      </c>
      <c r="O4187"/>
    </row>
    <row r="4188" spans="1:15">
      <c r="A4188" s="1218"/>
      <c r="B4188" s="37"/>
      <c r="C4188" s="977" t="s">
        <v>1091</v>
      </c>
      <c r="D4188" s="37"/>
      <c r="E4188" s="979">
        <f t="shared" si="63"/>
        <v>0.16176470588235306</v>
      </c>
      <c r="F4188" s="1443">
        <v>1.1399999999999999</v>
      </c>
      <c r="G4188">
        <v>1.36</v>
      </c>
      <c r="O4188"/>
    </row>
    <row r="4189" spans="1:15" ht="15.75" thickBot="1">
      <c r="A4189" s="1315"/>
      <c r="B4189" s="1217"/>
      <c r="C4189" s="1217" t="s">
        <v>1092</v>
      </c>
      <c r="D4189" s="1217"/>
      <c r="E4189" s="1444">
        <f t="shared" si="63"/>
        <v>0.16788321167883224</v>
      </c>
      <c r="F4189" s="1368">
        <v>1.1399999999999999</v>
      </c>
      <c r="G4189">
        <v>1.37</v>
      </c>
      <c r="O4189"/>
    </row>
    <row r="4191" spans="1:15" ht="15.75" thickBot="1"/>
    <row r="4192" spans="1:15">
      <c r="A4192" s="3572"/>
      <c r="B4192" s="3636"/>
      <c r="C4192" s="3636"/>
      <c r="D4192" s="3636"/>
      <c r="E4192" s="3636"/>
      <c r="F4192" s="3559"/>
      <c r="O4192"/>
    </row>
    <row r="4193" spans="1:15" ht="15.75" thickBot="1">
      <c r="A4193" s="3844"/>
      <c r="B4193" s="3931"/>
      <c r="C4193" s="3931"/>
      <c r="D4193" s="3931"/>
      <c r="E4193" s="3931"/>
      <c r="F4193" s="3848"/>
      <c r="O4193"/>
    </row>
    <row r="4194" spans="1:15">
      <c r="A4194" s="1410" t="s">
        <v>2663</v>
      </c>
      <c r="B4194" s="485" t="s">
        <v>106</v>
      </c>
      <c r="C4194" s="1498" t="s">
        <v>2461</v>
      </c>
      <c r="D4194" s="5"/>
      <c r="E4194" s="649">
        <f t="shared" ref="E4194:E4202" si="64">(G4194-F4194)/G4194</f>
        <v>0.13043478260869565</v>
      </c>
      <c r="F4194" s="603">
        <v>0.2</v>
      </c>
      <c r="G4194">
        <v>0.23</v>
      </c>
      <c r="O4194"/>
    </row>
    <row r="4195" spans="1:15">
      <c r="A4195" s="1311"/>
      <c r="B4195" s="1519"/>
      <c r="C4195" s="1531" t="s">
        <v>1250</v>
      </c>
      <c r="D4195" s="1519"/>
      <c r="E4195" s="1532">
        <f t="shared" si="64"/>
        <v>0.13043478260869565</v>
      </c>
      <c r="F4195" s="1533">
        <v>0.2</v>
      </c>
      <c r="G4195">
        <v>0.23</v>
      </c>
      <c r="O4195"/>
    </row>
    <row r="4196" spans="1:15">
      <c r="A4196" s="1311"/>
      <c r="B4196" s="1519"/>
      <c r="C4196" s="1531" t="s">
        <v>1346</v>
      </c>
      <c r="D4196" s="1519"/>
      <c r="E4196" s="1532">
        <f t="shared" si="64"/>
        <v>0.13043478260869565</v>
      </c>
      <c r="F4196" s="1533">
        <v>0.2</v>
      </c>
      <c r="G4196">
        <v>0.23</v>
      </c>
      <c r="O4196"/>
    </row>
    <row r="4197" spans="1:15">
      <c r="A4197" s="1311"/>
      <c r="B4197" s="1519"/>
      <c r="C4197" s="1519" t="s">
        <v>1347</v>
      </c>
      <c r="D4197" s="1519"/>
      <c r="E4197" s="1532">
        <f t="shared" si="64"/>
        <v>0.13043478260869565</v>
      </c>
      <c r="F4197" s="1533">
        <v>0.2</v>
      </c>
      <c r="G4197">
        <v>0.23</v>
      </c>
      <c r="O4197"/>
    </row>
    <row r="4198" spans="1:15">
      <c r="A4198" s="1311"/>
      <c r="B4198" s="1519"/>
      <c r="C4198" s="1519" t="s">
        <v>1326</v>
      </c>
      <c r="D4198" s="1519"/>
      <c r="E4198" s="1532">
        <f t="shared" si="64"/>
        <v>0.13043478260869565</v>
      </c>
      <c r="F4198" s="1533">
        <v>0.2</v>
      </c>
      <c r="G4198">
        <v>0.23</v>
      </c>
      <c r="O4198"/>
    </row>
    <row r="4199" spans="1:15">
      <c r="A4199" s="1311"/>
      <c r="B4199" s="1519"/>
      <c r="C4199" s="1519" t="s">
        <v>1327</v>
      </c>
      <c r="D4199" s="1519"/>
      <c r="E4199" s="1532">
        <f t="shared" si="64"/>
        <v>0.13043478260869565</v>
      </c>
      <c r="F4199" s="1533">
        <v>0.2</v>
      </c>
      <c r="G4199">
        <v>0.23</v>
      </c>
      <c r="O4199"/>
    </row>
    <row r="4200" spans="1:15">
      <c r="A4200" s="1311"/>
      <c r="B4200" s="1519"/>
      <c r="C4200" s="1519" t="s">
        <v>1325</v>
      </c>
      <c r="D4200" s="1519"/>
      <c r="E4200" s="1532">
        <f t="shared" si="64"/>
        <v>0.13043478260869565</v>
      </c>
      <c r="F4200" s="1533">
        <v>0.2</v>
      </c>
      <c r="G4200">
        <v>0.23</v>
      </c>
      <c r="O4200"/>
    </row>
    <row r="4201" spans="1:15">
      <c r="A4201" s="1311"/>
      <c r="B4201" s="1519"/>
      <c r="C4201" s="1519" t="s">
        <v>623</v>
      </c>
      <c r="D4201" s="1519"/>
      <c r="E4201" s="1532">
        <f t="shared" si="64"/>
        <v>0.15075376884422112</v>
      </c>
      <c r="F4201" s="1534">
        <v>1.69</v>
      </c>
      <c r="G4201">
        <v>1.99</v>
      </c>
      <c r="O4201"/>
    </row>
    <row r="4202" spans="1:15" ht="15.75" thickBot="1">
      <c r="A4202" s="1315"/>
      <c r="B4202" s="1356"/>
      <c r="C4202" s="1356" t="s">
        <v>1772</v>
      </c>
      <c r="D4202" s="1356"/>
      <c r="E4202" s="1366">
        <f t="shared" si="64"/>
        <v>0.15075376884422112</v>
      </c>
      <c r="F4202" s="1535">
        <v>1.69</v>
      </c>
      <c r="G4202">
        <v>1.99</v>
      </c>
      <c r="O4202"/>
    </row>
    <row r="4203" spans="1:15" ht="15.75" thickBot="1"/>
    <row r="4204" spans="1:15">
      <c r="A4204" s="3572"/>
      <c r="B4204" s="3636"/>
      <c r="C4204" s="3636"/>
      <c r="D4204" s="3636"/>
      <c r="E4204" s="3636"/>
      <c r="F4204" s="3559"/>
      <c r="O4204"/>
    </row>
    <row r="4205" spans="1:15" ht="15.75" thickBot="1">
      <c r="A4205" s="3695"/>
      <c r="B4205" s="3929"/>
      <c r="C4205" s="3929"/>
      <c r="D4205" s="3929"/>
      <c r="E4205" s="3929"/>
      <c r="F4205" s="3930"/>
      <c r="O4205"/>
    </row>
    <row r="4206" spans="1:15" ht="15.75" thickBot="1">
      <c r="A4206" s="1539" t="s">
        <v>2674</v>
      </c>
      <c r="B4206" s="449" t="s">
        <v>106</v>
      </c>
      <c r="C4206" s="178" t="s">
        <v>550</v>
      </c>
      <c r="D4206" s="178"/>
      <c r="E4206" s="1364">
        <f t="shared" ref="E4206:E4211" si="65">(G4206-F4206)/G4206</f>
        <v>9.9962560838637277E-2</v>
      </c>
      <c r="F4206" s="881">
        <v>24.04</v>
      </c>
      <c r="G4206">
        <v>26.71</v>
      </c>
      <c r="O4206"/>
    </row>
    <row r="4207" spans="1:15" ht="15.75" thickBot="1">
      <c r="A4207" s="1540"/>
      <c r="B4207" s="1541"/>
      <c r="C4207" s="1519" t="s">
        <v>1259</v>
      </c>
      <c r="D4207" s="1519"/>
      <c r="E4207" s="1364">
        <f t="shared" si="65"/>
        <v>9.9962560838637277E-2</v>
      </c>
      <c r="F4207" s="1533">
        <v>24.04</v>
      </c>
      <c r="G4207">
        <v>26.71</v>
      </c>
      <c r="O4207"/>
    </row>
    <row r="4208" spans="1:15" ht="15.75" thickBot="1">
      <c r="A4208" s="1540"/>
      <c r="B4208" s="1541"/>
      <c r="C4208" s="1519" t="s">
        <v>549</v>
      </c>
      <c r="D4208" s="1519"/>
      <c r="E4208" s="1364">
        <f t="shared" si="65"/>
        <v>9.9935938500960844E-2</v>
      </c>
      <c r="F4208" s="1533">
        <v>28.1</v>
      </c>
      <c r="G4208">
        <v>31.22</v>
      </c>
      <c r="O4208"/>
    </row>
    <row r="4209" spans="1:15" ht="15.75" thickBot="1">
      <c r="A4209" s="1540"/>
      <c r="B4209" s="1541"/>
      <c r="C4209" s="1519" t="s">
        <v>1258</v>
      </c>
      <c r="D4209" s="1519"/>
      <c r="E4209" s="1364">
        <f t="shared" si="65"/>
        <v>9.9935938500960844E-2</v>
      </c>
      <c r="F4209" s="1533">
        <v>28.1</v>
      </c>
      <c r="G4209">
        <v>31.22</v>
      </c>
      <c r="O4209"/>
    </row>
    <row r="4210" spans="1:15">
      <c r="A4210" s="1540"/>
      <c r="B4210" s="1541"/>
      <c r="C4210" s="1519" t="s">
        <v>1270</v>
      </c>
      <c r="D4210" s="1519"/>
      <c r="E4210" s="1364">
        <f t="shared" si="65"/>
        <v>9.9850074962518798E-2</v>
      </c>
      <c r="F4210" s="1533">
        <v>30.02</v>
      </c>
      <c r="G4210">
        <v>33.35</v>
      </c>
      <c r="O4210"/>
    </row>
    <row r="4211" spans="1:15" ht="15.75" thickBot="1">
      <c r="A4211" s="1315"/>
      <c r="B4211" s="1356"/>
      <c r="C4211" s="1356" t="s">
        <v>1271</v>
      </c>
      <c r="D4211" s="1356"/>
      <c r="E4211" s="1366">
        <f t="shared" si="65"/>
        <v>9.9850074962518798E-2</v>
      </c>
      <c r="F4211" s="1368">
        <v>30.02</v>
      </c>
      <c r="G4211">
        <v>33.35</v>
      </c>
      <c r="O4211"/>
    </row>
    <row r="4212" spans="1:15" ht="15.75" thickBot="1"/>
    <row r="4213" spans="1:15">
      <c r="A4213" s="3593"/>
      <c r="B4213" s="3922"/>
      <c r="C4213" s="3922"/>
      <c r="D4213" s="3922"/>
      <c r="E4213" s="3922"/>
      <c r="F4213" s="3616"/>
      <c r="G4213" s="1260"/>
      <c r="O4213"/>
    </row>
    <row r="4214" spans="1:15" ht="15.75" thickBot="1">
      <c r="A4214" s="3933"/>
      <c r="B4214" s="3923"/>
      <c r="C4214" s="3923"/>
      <c r="D4214" s="3923"/>
      <c r="E4214" s="3923"/>
      <c r="F4214" s="3926"/>
      <c r="G4214" s="1260"/>
      <c r="O4214"/>
    </row>
    <row r="4215" spans="1:15" ht="15.75">
      <c r="A4215" s="1381" t="s">
        <v>2680</v>
      </c>
      <c r="B4215" s="1382" t="s">
        <v>114</v>
      </c>
      <c r="C4215" s="1555" t="s">
        <v>1810</v>
      </c>
      <c r="D4215" s="1263"/>
      <c r="E4215" s="649">
        <f>(G4215-F4215)/G4215</f>
        <v>0.18990384615384623</v>
      </c>
      <c r="F4215" s="1258">
        <v>20.22</v>
      </c>
      <c r="G4215" s="1260">
        <v>24.96</v>
      </c>
      <c r="O4215"/>
    </row>
    <row r="4216" spans="1:15" ht="15.75">
      <c r="A4216" s="1381"/>
      <c r="B4216" s="1382"/>
      <c r="C4216" s="1555" t="s">
        <v>1555</v>
      </c>
      <c r="D4216" s="1263"/>
      <c r="E4216" s="649">
        <f>(G4216-F4216)/G4216</f>
        <v>0.18990384615384623</v>
      </c>
      <c r="F4216" s="1258">
        <v>20.22</v>
      </c>
      <c r="G4216" s="1260">
        <v>24.96</v>
      </c>
      <c r="O4216"/>
    </row>
    <row r="4217" spans="1:15" ht="15.75">
      <c r="A4217" s="1381"/>
      <c r="B4217" s="1382"/>
      <c r="C4217" s="1555" t="s">
        <v>1556</v>
      </c>
      <c r="D4217" s="1263"/>
      <c r="E4217" s="649">
        <f>(G4217-F4217)/G4217</f>
        <v>0.18990384615384623</v>
      </c>
      <c r="F4217" s="1258">
        <v>20.22</v>
      </c>
      <c r="G4217" s="1260">
        <v>24.96</v>
      </c>
      <c r="O4217"/>
    </row>
    <row r="4218" spans="1:15" ht="16.5" thickBot="1">
      <c r="A4218" s="1388"/>
      <c r="B4218" s="1389"/>
      <c r="C4218" s="1390"/>
      <c r="D4218" s="1389"/>
      <c r="E4218" s="1557" t="e">
        <f>(G4218-F4218)/G4218</f>
        <v>#DIV/0!</v>
      </c>
      <c r="F4218" s="1391"/>
      <c r="G4218" s="1260"/>
      <c r="O4218"/>
    </row>
    <row r="4219" spans="1:15" ht="15.75" thickBot="1"/>
    <row r="4220" spans="1:15">
      <c r="A4220" s="3572"/>
      <c r="B4220" s="3636"/>
      <c r="C4220" s="3636"/>
      <c r="D4220" s="3636"/>
      <c r="E4220" s="3636"/>
      <c r="F4220" s="3559"/>
      <c r="O4220"/>
    </row>
    <row r="4221" spans="1:15">
      <c r="A4221" s="3695"/>
      <c r="B4221" s="3626"/>
      <c r="C4221" s="3626"/>
      <c r="D4221" s="3626"/>
      <c r="E4221" s="3626"/>
      <c r="F4221" s="3627"/>
      <c r="O4221"/>
    </row>
    <row r="4222" spans="1:15">
      <c r="A4222" s="1561" t="s">
        <v>2709</v>
      </c>
      <c r="B4222" s="1570" t="s">
        <v>115</v>
      </c>
      <c r="C4222" s="1561" t="s">
        <v>623</v>
      </c>
      <c r="D4222" s="1570"/>
      <c r="E4222" s="1571">
        <f>(G4222-F4222)/G4222</f>
        <v>0.25136612021857918</v>
      </c>
      <c r="F4222" s="1572">
        <v>1.37</v>
      </c>
      <c r="G4222">
        <v>1.83</v>
      </c>
      <c r="O4222"/>
    </row>
    <row r="4223" spans="1:15">
      <c r="A4223" s="1561"/>
      <c r="B4223" s="1561"/>
      <c r="C4223" s="1561" t="s">
        <v>1772</v>
      </c>
      <c r="D4223" s="1561"/>
      <c r="E4223" s="1571">
        <f>(G4223-F4223)/G4223</f>
        <v>0.25136612021857918</v>
      </c>
      <c r="F4223" s="1561">
        <v>1.37</v>
      </c>
      <c r="G4223">
        <v>1.83</v>
      </c>
      <c r="O4223"/>
    </row>
    <row r="4224" spans="1:15">
      <c r="A4224" s="1561"/>
      <c r="B4224" s="1561"/>
      <c r="C4224" s="1561" t="s">
        <v>1058</v>
      </c>
      <c r="D4224" s="1561"/>
      <c r="E4224" s="1571">
        <f>(G4224-F4224)/G4224</f>
        <v>0.19999999999999996</v>
      </c>
      <c r="F4224" s="1561">
        <v>1.52</v>
      </c>
      <c r="G4224">
        <v>1.9</v>
      </c>
      <c r="O4224"/>
    </row>
    <row r="4225" spans="1:15">
      <c r="A4225" s="1561"/>
      <c r="B4225" s="1561"/>
      <c r="C4225" s="1561" t="s">
        <v>1563</v>
      </c>
      <c r="D4225" s="1561"/>
      <c r="E4225" s="1571">
        <f>(G4225-F4225)/G4225</f>
        <v>0.20353982300884946</v>
      </c>
      <c r="F4225" s="1561">
        <v>0.9</v>
      </c>
      <c r="G4225">
        <v>1.1299999999999999</v>
      </c>
      <c r="O4225"/>
    </row>
    <row r="4227" spans="1:15" ht="15.75" thickBot="1"/>
    <row r="4228" spans="1:15">
      <c r="A4228" s="3572"/>
      <c r="B4228" s="3636"/>
      <c r="C4228" s="3636"/>
      <c r="D4228" s="3636"/>
      <c r="E4228" s="3636"/>
      <c r="F4228" s="3559"/>
      <c r="O4228"/>
    </row>
    <row r="4229" spans="1:15" ht="15.75" thickBot="1">
      <c r="A4229" s="3695"/>
      <c r="B4229" s="3626"/>
      <c r="C4229" s="3626"/>
      <c r="D4229" s="3626"/>
      <c r="E4229" s="3626"/>
      <c r="F4229" s="3627"/>
      <c r="O4229"/>
    </row>
    <row r="4230" spans="1:15">
      <c r="A4230" s="1539" t="s">
        <v>2712</v>
      </c>
      <c r="B4230" s="449" t="s">
        <v>106</v>
      </c>
      <c r="C4230" s="178" t="s">
        <v>1661</v>
      </c>
      <c r="D4230" s="178"/>
      <c r="E4230" s="1364">
        <f t="shared" ref="E4230:E4235" si="66">(G4230-F4230)/G4230</f>
        <v>0.20060331825037708</v>
      </c>
      <c r="F4230" s="881">
        <v>5.3</v>
      </c>
      <c r="G4230">
        <v>6.63</v>
      </c>
      <c r="O4230"/>
    </row>
    <row r="4231" spans="1:15">
      <c r="A4231" s="1540"/>
      <c r="B4231" s="1570"/>
      <c r="C4231" s="1561" t="s">
        <v>1660</v>
      </c>
      <c r="D4231" s="1561"/>
      <c r="E4231" s="1571">
        <f t="shared" si="66"/>
        <v>0.20060331825037708</v>
      </c>
      <c r="F4231" s="1533">
        <v>5.3</v>
      </c>
      <c r="G4231">
        <v>6.63</v>
      </c>
      <c r="O4231"/>
    </row>
    <row r="4232" spans="1:15">
      <c r="A4232" s="1540"/>
      <c r="B4232" s="1570"/>
      <c r="C4232" s="1561" t="s">
        <v>2115</v>
      </c>
      <c r="D4232" s="1561"/>
      <c r="E4232" s="1571">
        <f t="shared" si="66"/>
        <v>0.15068493150684931</v>
      </c>
      <c r="F4232" s="1533">
        <v>1.24</v>
      </c>
      <c r="G4232">
        <v>1.46</v>
      </c>
      <c r="O4232"/>
    </row>
    <row r="4233" spans="1:15">
      <c r="A4233" s="1540"/>
      <c r="B4233" s="1570"/>
      <c r="C4233" s="1561" t="s">
        <v>2116</v>
      </c>
      <c r="D4233" s="1561"/>
      <c r="E4233" s="1571">
        <f t="shared" si="66"/>
        <v>0.15068493150684931</v>
      </c>
      <c r="F4233" s="1533">
        <v>1.24</v>
      </c>
      <c r="G4233">
        <v>1.46</v>
      </c>
      <c r="O4233"/>
    </row>
    <row r="4234" spans="1:15">
      <c r="A4234" s="1540"/>
      <c r="B4234" s="1570"/>
      <c r="C4234" s="1561" t="s">
        <v>2066</v>
      </c>
      <c r="D4234" s="1561"/>
      <c r="E4234" s="1571">
        <f t="shared" si="66"/>
        <v>0.15068493150684931</v>
      </c>
      <c r="F4234" s="1533">
        <v>1.24</v>
      </c>
      <c r="G4234">
        <v>1.46</v>
      </c>
      <c r="O4234"/>
    </row>
    <row r="4235" spans="1:15" ht="15.75" thickBot="1">
      <c r="A4235" s="1315"/>
      <c r="B4235" s="1356"/>
      <c r="C4235" s="1356"/>
      <c r="D4235" s="1356"/>
      <c r="E4235" s="1366" t="e">
        <f t="shared" si="66"/>
        <v>#DIV/0!</v>
      </c>
      <c r="F4235" s="1368"/>
      <c r="O4235"/>
    </row>
    <row r="4236" spans="1:15" ht="15.75" thickBot="1"/>
    <row r="4237" spans="1:15">
      <c r="A4237" s="3572"/>
      <c r="B4237" s="3636"/>
      <c r="C4237" s="3636"/>
      <c r="D4237" s="3636"/>
      <c r="E4237" s="3636"/>
      <c r="F4237" s="3559"/>
      <c r="O4237"/>
    </row>
    <row r="4238" spans="1:15">
      <c r="A4238" s="3695"/>
      <c r="B4238" s="3626"/>
      <c r="C4238" s="3626"/>
      <c r="D4238" s="3626"/>
      <c r="E4238" s="3626"/>
      <c r="F4238" s="3627"/>
      <c r="O4238"/>
    </row>
    <row r="4239" spans="1:15">
      <c r="A4239" s="1311" t="s">
        <v>2714</v>
      </c>
      <c r="B4239" s="1570" t="s">
        <v>115</v>
      </c>
      <c r="C4239" s="1561" t="s">
        <v>1346</v>
      </c>
      <c r="D4239" s="1570"/>
      <c r="E4239" s="1571">
        <f t="shared" ref="E4239:E4245" si="67">(G4239-F4239)/G4239</f>
        <v>0.26315789473684204</v>
      </c>
      <c r="F4239" s="1579">
        <v>0.14000000000000001</v>
      </c>
      <c r="G4239">
        <v>0.19</v>
      </c>
      <c r="O4239"/>
    </row>
    <row r="4240" spans="1:15">
      <c r="A4240" s="1311"/>
      <c r="B4240" s="1561"/>
      <c r="C4240" s="1561" t="s">
        <v>1347</v>
      </c>
      <c r="D4240" s="1561"/>
      <c r="E4240" s="1571">
        <f t="shared" si="67"/>
        <v>0.26315789473684204</v>
      </c>
      <c r="F4240" s="1579">
        <v>0.14000000000000001</v>
      </c>
      <c r="G4240">
        <v>0.19</v>
      </c>
      <c r="O4240"/>
    </row>
    <row r="4241" spans="1:15">
      <c r="A4241" s="1311"/>
      <c r="B4241" s="1561"/>
      <c r="C4241" s="1561" t="s">
        <v>1326</v>
      </c>
      <c r="D4241" s="1561"/>
      <c r="E4241" s="1571">
        <f t="shared" si="67"/>
        <v>0.26315789473684204</v>
      </c>
      <c r="F4241" s="1579">
        <v>0.14000000000000001</v>
      </c>
      <c r="G4241">
        <v>0.19</v>
      </c>
      <c r="O4241"/>
    </row>
    <row r="4242" spans="1:15">
      <c r="A4242" s="1311"/>
      <c r="B4242" s="1561"/>
      <c r="C4242" s="1561" t="s">
        <v>1327</v>
      </c>
      <c r="D4242" s="1561"/>
      <c r="E4242" s="1571">
        <f t="shared" si="67"/>
        <v>0.26315789473684204</v>
      </c>
      <c r="F4242" s="1579">
        <v>0.14000000000000001</v>
      </c>
      <c r="G4242">
        <v>0.19</v>
      </c>
      <c r="O4242"/>
    </row>
    <row r="4243" spans="1:15">
      <c r="A4243" s="1311"/>
      <c r="B4243" s="1561"/>
      <c r="C4243" s="1561" t="s">
        <v>1325</v>
      </c>
      <c r="D4243" s="1561"/>
      <c r="E4243" s="1571">
        <f t="shared" si="67"/>
        <v>0.26315789473684204</v>
      </c>
      <c r="F4243" s="1579">
        <v>0.14000000000000001</v>
      </c>
      <c r="G4243">
        <v>0.19</v>
      </c>
      <c r="O4243"/>
    </row>
    <row r="4244" spans="1:15">
      <c r="A4244" s="1311"/>
      <c r="B4244" s="1561"/>
      <c r="C4244" s="1561"/>
      <c r="D4244" s="1561"/>
      <c r="E4244" s="1571" t="e">
        <f t="shared" si="67"/>
        <v>#DIV/0!</v>
      </c>
      <c r="F4244" s="1533"/>
      <c r="O4244"/>
    </row>
    <row r="4245" spans="1:15" ht="15.75" thickBot="1">
      <c r="A4245" s="1315"/>
      <c r="B4245" s="1356"/>
      <c r="C4245" s="1356"/>
      <c r="D4245" s="1356"/>
      <c r="E4245" s="1366" t="e">
        <f t="shared" si="67"/>
        <v>#DIV/0!</v>
      </c>
      <c r="F4245" s="1368"/>
      <c r="O4245"/>
    </row>
    <row r="4246" spans="1:15" ht="15.75" thickBot="1"/>
    <row r="4247" spans="1:15">
      <c r="A4247" s="3572"/>
      <c r="B4247" s="3636"/>
      <c r="C4247" s="3636"/>
      <c r="D4247" s="3636"/>
      <c r="E4247" s="3636"/>
      <c r="F4247" s="3559"/>
      <c r="O4247"/>
    </row>
    <row r="4248" spans="1:15">
      <c r="A4248" s="3695"/>
      <c r="B4248" s="3626"/>
      <c r="C4248" s="3626"/>
      <c r="D4248" s="3626"/>
      <c r="E4248" s="3626"/>
      <c r="F4248" s="3627"/>
      <c r="O4248"/>
    </row>
    <row r="4249" spans="1:15">
      <c r="A4249" s="1311" t="s">
        <v>2723</v>
      </c>
      <c r="B4249" s="1570" t="s">
        <v>115</v>
      </c>
      <c r="C4249" s="1561" t="s">
        <v>1883</v>
      </c>
      <c r="D4249" s="1570"/>
      <c r="E4249" s="1571">
        <f t="shared" ref="E4249:E4260" si="68">(G4249-F4249)/G4249</f>
        <v>9.9783080260303678E-2</v>
      </c>
      <c r="F4249" s="1579">
        <v>16.600000000000001</v>
      </c>
      <c r="G4249">
        <v>18.440000000000001</v>
      </c>
      <c r="O4249"/>
    </row>
    <row r="4250" spans="1:15">
      <c r="A4250" s="1311"/>
      <c r="B4250" s="1561"/>
      <c r="C4250" s="1561" t="s">
        <v>2276</v>
      </c>
      <c r="D4250" s="1561"/>
      <c r="E4250" s="1571">
        <f t="shared" si="68"/>
        <v>9.9783080260303678E-2</v>
      </c>
      <c r="F4250" s="1579">
        <v>16.600000000000001</v>
      </c>
      <c r="G4250">
        <v>18.440000000000001</v>
      </c>
      <c r="O4250"/>
    </row>
    <row r="4251" spans="1:15">
      <c r="A4251" s="1311"/>
      <c r="B4251" s="1561"/>
      <c r="C4251" s="1561" t="s">
        <v>2566</v>
      </c>
      <c r="D4251" s="1561"/>
      <c r="E4251" s="1571">
        <f t="shared" si="68"/>
        <v>9.9783080260303678E-2</v>
      </c>
      <c r="F4251" s="1579">
        <v>16.600000000000001</v>
      </c>
      <c r="G4251">
        <v>18.440000000000001</v>
      </c>
      <c r="O4251"/>
    </row>
    <row r="4252" spans="1:15">
      <c r="A4252" s="1311"/>
      <c r="B4252" s="1561"/>
      <c r="C4252" s="1561" t="s">
        <v>72</v>
      </c>
      <c r="D4252" s="1561"/>
      <c r="E4252" s="1571">
        <f t="shared" si="68"/>
        <v>9.9783080260303678E-2</v>
      </c>
      <c r="F4252" s="1579">
        <v>16.600000000000001</v>
      </c>
      <c r="G4252">
        <v>18.440000000000001</v>
      </c>
      <c r="O4252"/>
    </row>
    <row r="4253" spans="1:15">
      <c r="A4253" s="1311"/>
      <c r="B4253" s="1561"/>
      <c r="C4253" s="1561" t="s">
        <v>2273</v>
      </c>
      <c r="D4253" s="1561"/>
      <c r="E4253" s="1571">
        <f t="shared" si="68"/>
        <v>9.9783080260303678E-2</v>
      </c>
      <c r="F4253" s="1579">
        <v>16.600000000000001</v>
      </c>
      <c r="G4253">
        <v>18.440000000000001</v>
      </c>
      <c r="O4253"/>
    </row>
    <row r="4254" spans="1:15">
      <c r="A4254" s="1311"/>
      <c r="B4254" s="1561"/>
      <c r="C4254" s="1561" t="s">
        <v>71</v>
      </c>
      <c r="D4254" s="1561"/>
      <c r="E4254" s="1571">
        <f t="shared" si="68"/>
        <v>9.9783080260303678E-2</v>
      </c>
      <c r="F4254" s="1579">
        <v>16.600000000000001</v>
      </c>
      <c r="G4254">
        <v>18.440000000000001</v>
      </c>
      <c r="O4254"/>
    </row>
    <row r="4255" spans="1:15">
      <c r="A4255" s="1496"/>
      <c r="B4255" s="1566"/>
      <c r="C4255" s="1566" t="s">
        <v>549</v>
      </c>
      <c r="D4255" s="1566"/>
      <c r="E4255" s="1571">
        <f t="shared" si="68"/>
        <v>9.0725126475547993E-2</v>
      </c>
      <c r="F4255" s="1603">
        <v>26.96</v>
      </c>
      <c r="G4255">
        <v>29.65</v>
      </c>
      <c r="O4255"/>
    </row>
    <row r="4256" spans="1:15">
      <c r="A4256" s="1496"/>
      <c r="B4256" s="1566"/>
      <c r="C4256" s="1566" t="s">
        <v>1258</v>
      </c>
      <c r="D4256" s="1566"/>
      <c r="E4256" s="1571">
        <f t="shared" si="68"/>
        <v>9.0725126475547993E-2</v>
      </c>
      <c r="F4256" s="1603">
        <v>26.96</v>
      </c>
      <c r="G4256">
        <v>29.65</v>
      </c>
      <c r="O4256"/>
    </row>
    <row r="4257" spans="1:15">
      <c r="A4257" s="1496"/>
      <c r="B4257" s="1566"/>
      <c r="C4257" s="1566" t="s">
        <v>550</v>
      </c>
      <c r="D4257" s="1566"/>
      <c r="E4257" s="1571">
        <f t="shared" si="68"/>
        <v>9.9921935987509841E-2</v>
      </c>
      <c r="F4257" s="1603">
        <v>23.06</v>
      </c>
      <c r="G4257">
        <v>25.62</v>
      </c>
      <c r="O4257"/>
    </row>
    <row r="4258" spans="1:15">
      <c r="A4258" s="1496"/>
      <c r="B4258" s="1566"/>
      <c r="C4258" s="1566" t="s">
        <v>1259</v>
      </c>
      <c r="D4258" s="1566"/>
      <c r="E4258" s="1571">
        <f t="shared" si="68"/>
        <v>9.9921935987509841E-2</v>
      </c>
      <c r="F4258" s="1603">
        <v>23.06</v>
      </c>
      <c r="G4258">
        <v>25.62</v>
      </c>
      <c r="O4258"/>
    </row>
    <row r="4259" spans="1:15">
      <c r="A4259" s="1496"/>
      <c r="B4259" s="1566"/>
      <c r="C4259" s="1566" t="s">
        <v>1270</v>
      </c>
      <c r="D4259" s="1566"/>
      <c r="E4259" s="1571">
        <f t="shared" si="68"/>
        <v>0.10003125976867769</v>
      </c>
      <c r="F4259" s="1603">
        <v>28.79</v>
      </c>
      <c r="G4259">
        <v>31.99</v>
      </c>
      <c r="O4259"/>
    </row>
    <row r="4260" spans="1:15" ht="15.75" thickBot="1">
      <c r="A4260" s="1315"/>
      <c r="B4260" s="1356"/>
      <c r="C4260" s="1356" t="s">
        <v>1271</v>
      </c>
      <c r="D4260" s="1356"/>
      <c r="E4260" s="1366">
        <f t="shared" si="68"/>
        <v>0.10003125976867769</v>
      </c>
      <c r="F4260" s="1368">
        <v>28.79</v>
      </c>
      <c r="G4260">
        <v>31.99</v>
      </c>
      <c r="O4260"/>
    </row>
    <row r="4262" spans="1:15" ht="15.75" thickBot="1"/>
    <row r="4263" spans="1:15">
      <c r="A4263" s="3572"/>
      <c r="B4263" s="3636"/>
      <c r="C4263" s="3636"/>
      <c r="D4263" s="3636"/>
      <c r="E4263" s="3636"/>
      <c r="F4263" s="3559"/>
      <c r="O4263"/>
    </row>
    <row r="4264" spans="1:15" ht="15.75" thickBot="1">
      <c r="A4264" s="3695"/>
      <c r="B4264" s="3626"/>
      <c r="C4264" s="3626"/>
      <c r="D4264" s="3626"/>
      <c r="E4264" s="3626"/>
      <c r="F4264" s="3627"/>
      <c r="O4264"/>
    </row>
    <row r="4265" spans="1:15">
      <c r="A4265" s="1539" t="s">
        <v>2730</v>
      </c>
      <c r="B4265" s="449" t="s">
        <v>106</v>
      </c>
      <c r="C4265" s="178" t="s">
        <v>1379</v>
      </c>
      <c r="D4265" s="178"/>
      <c r="E4265" s="1364">
        <f t="shared" ref="E4265:E4270" si="69">(G4265-F4265)/G4265</f>
        <v>0.2710280373831776</v>
      </c>
      <c r="F4265" s="881">
        <v>0.78</v>
      </c>
      <c r="G4265">
        <v>1.07</v>
      </c>
      <c r="O4265"/>
    </row>
    <row r="4266" spans="1:15">
      <c r="A4266" s="1540"/>
      <c r="B4266" s="1570"/>
      <c r="C4266" s="1853" t="s">
        <v>2461</v>
      </c>
      <c r="D4266" s="1561"/>
      <c r="E4266" s="1571">
        <f t="shared" si="69"/>
        <v>0.13043478260869565</v>
      </c>
      <c r="F4266" s="1533">
        <v>0.2</v>
      </c>
      <c r="G4266">
        <v>0.23</v>
      </c>
      <c r="O4266"/>
    </row>
    <row r="4267" spans="1:15">
      <c r="A4267" s="1540"/>
      <c r="B4267" s="1570"/>
      <c r="C4267" s="1853" t="s">
        <v>2462</v>
      </c>
      <c r="D4267" s="1561"/>
      <c r="E4267" s="1571">
        <f t="shared" si="69"/>
        <v>0.15286624203821655</v>
      </c>
      <c r="F4267" s="1533">
        <v>1.33</v>
      </c>
      <c r="G4267">
        <v>1.57</v>
      </c>
      <c r="O4267"/>
    </row>
    <row r="4268" spans="1:15">
      <c r="A4268" s="1540"/>
      <c r="B4268" s="1570"/>
      <c r="C4268" s="1853" t="s">
        <v>231</v>
      </c>
      <c r="D4268" s="1561"/>
      <c r="E4268" s="1571">
        <f t="shared" si="69"/>
        <v>0.15286624203821655</v>
      </c>
      <c r="F4268" s="1533">
        <v>1.33</v>
      </c>
      <c r="G4268">
        <v>1.57</v>
      </c>
      <c r="O4268"/>
    </row>
    <row r="4269" spans="1:15">
      <c r="A4269" s="1540"/>
      <c r="B4269" s="1570"/>
      <c r="C4269" s="1853" t="s">
        <v>436</v>
      </c>
      <c r="D4269" s="1561"/>
      <c r="E4269" s="1571">
        <f t="shared" si="69"/>
        <v>0.14925373134328371</v>
      </c>
      <c r="F4269" s="1533">
        <v>1.1399999999999999</v>
      </c>
      <c r="G4269">
        <v>1.34</v>
      </c>
      <c r="O4269"/>
    </row>
    <row r="4270" spans="1:15" ht="15.75" thickBot="1">
      <c r="A4270" s="1315"/>
      <c r="B4270" s="1356"/>
      <c r="C4270" s="1854" t="s">
        <v>1655</v>
      </c>
      <c r="D4270" s="1356"/>
      <c r="E4270" s="1366">
        <f t="shared" si="69"/>
        <v>0.15</v>
      </c>
      <c r="F4270" s="1368">
        <v>1.19</v>
      </c>
      <c r="G4270">
        <v>1.4</v>
      </c>
      <c r="O4270"/>
    </row>
    <row r="4272" spans="1:15" ht="15.75" thickBot="1"/>
    <row r="4273" spans="1:15">
      <c r="A4273" s="3572"/>
      <c r="B4273" s="3636"/>
      <c r="C4273" s="3636"/>
      <c r="D4273" s="3636"/>
      <c r="E4273" s="3636"/>
      <c r="F4273" s="3559"/>
      <c r="O4273"/>
    </row>
    <row r="4274" spans="1:15">
      <c r="A4274" s="3695"/>
      <c r="B4274" s="3626"/>
      <c r="C4274" s="3626"/>
      <c r="D4274" s="3626"/>
      <c r="E4274" s="3626"/>
      <c r="F4274" s="3627"/>
      <c r="O4274"/>
    </row>
    <row r="4275" spans="1:15">
      <c r="A4275" s="1311" t="s">
        <v>2745</v>
      </c>
      <c r="B4275" s="1570" t="s">
        <v>115</v>
      </c>
      <c r="C4275" s="1561" t="s">
        <v>869</v>
      </c>
      <c r="D4275" s="1570"/>
      <c r="E4275" s="1571">
        <f>(G4275-F4275)/G4275</f>
        <v>0.14960629921259838</v>
      </c>
      <c r="F4275" s="1579">
        <v>1.08</v>
      </c>
      <c r="G4275">
        <v>1.27</v>
      </c>
      <c r="O4275"/>
    </row>
    <row r="4276" spans="1:15">
      <c r="A4276" s="1311"/>
      <c r="B4276" s="1561"/>
      <c r="C4276" s="1561" t="s">
        <v>940</v>
      </c>
      <c r="D4276" s="1561"/>
      <c r="E4276" s="1571">
        <f>(G4276-F4276)/G4276</f>
        <v>0.14934114202049786</v>
      </c>
      <c r="F4276" s="1579">
        <v>5.81</v>
      </c>
      <c r="G4276">
        <v>6.83</v>
      </c>
      <c r="O4276"/>
    </row>
    <row r="4277" spans="1:15">
      <c r="A4277" s="1311"/>
      <c r="B4277" s="1561"/>
      <c r="C4277" s="1561" t="s">
        <v>1379</v>
      </c>
      <c r="D4277" s="1561"/>
      <c r="E4277" s="1571">
        <f>(G4277-F4277)/G4277</f>
        <v>0.24761904761904763</v>
      </c>
      <c r="F4277" s="1579">
        <v>0.79</v>
      </c>
      <c r="G4277">
        <v>1.05</v>
      </c>
      <c r="O4277"/>
    </row>
    <row r="4278" spans="1:15" ht="15.75" thickBot="1">
      <c r="A4278" s="1315"/>
      <c r="B4278" s="1356"/>
      <c r="C4278" s="1356"/>
      <c r="D4278" s="1356"/>
      <c r="E4278" s="1366" t="e">
        <f>(G4278-F4278)/G4278</f>
        <v>#DIV/0!</v>
      </c>
      <c r="F4278" s="1368"/>
      <c r="O4278"/>
    </row>
    <row r="4279" spans="1:15" ht="15.75" thickBot="1">
      <c r="O4279"/>
    </row>
    <row r="4280" spans="1:15">
      <c r="A4280" s="3572"/>
      <c r="B4280" s="3636"/>
      <c r="C4280" s="3636"/>
      <c r="D4280" s="3636"/>
      <c r="E4280" s="3636"/>
      <c r="F4280" s="3559"/>
      <c r="O4280"/>
    </row>
    <row r="4281" spans="1:15">
      <c r="A4281" s="3695"/>
      <c r="B4281" s="3626"/>
      <c r="C4281" s="3626"/>
      <c r="D4281" s="3626"/>
      <c r="E4281" s="3626"/>
      <c r="F4281" s="3627"/>
      <c r="O4281"/>
    </row>
    <row r="4282" spans="1:15">
      <c r="A4282" s="1311" t="s">
        <v>2746</v>
      </c>
      <c r="B4282" s="1570" t="s">
        <v>115</v>
      </c>
      <c r="C4282" s="1561" t="s">
        <v>2115</v>
      </c>
      <c r="D4282" s="1570"/>
      <c r="E4282" s="1571">
        <f>(G4282-F4282)/G4282</f>
        <v>0.19858156028368798</v>
      </c>
      <c r="F4282" s="1579">
        <v>1.1299999999999999</v>
      </c>
      <c r="G4282">
        <v>1.41</v>
      </c>
      <c r="O4282"/>
    </row>
    <row r="4283" spans="1:15">
      <c r="A4283" s="1311"/>
      <c r="B4283" s="1561"/>
      <c r="C4283" s="1561" t="s">
        <v>2116</v>
      </c>
      <c r="D4283" s="1561"/>
      <c r="E4283" s="1571">
        <f>(G4283-F4283)/G4283</f>
        <v>0.19858156028368798</v>
      </c>
      <c r="F4283" s="1579">
        <v>1.1299999999999999</v>
      </c>
      <c r="G4283">
        <v>1.41</v>
      </c>
      <c r="O4283"/>
    </row>
    <row r="4284" spans="1:15">
      <c r="A4284" s="1311"/>
      <c r="B4284" s="1561"/>
      <c r="C4284" s="1561" t="s">
        <v>2066</v>
      </c>
      <c r="D4284" s="1561"/>
      <c r="E4284" s="1571">
        <f>(G4284-F4284)/G4284</f>
        <v>0.19858156028368798</v>
      </c>
      <c r="F4284" s="1579">
        <v>1.1299999999999999</v>
      </c>
      <c r="G4284">
        <v>1.41</v>
      </c>
      <c r="O4284"/>
    </row>
    <row r="4285" spans="1:15" ht="15.75" thickBot="1">
      <c r="A4285" s="1315"/>
      <c r="B4285" s="1356"/>
      <c r="C4285" s="1356"/>
      <c r="D4285" s="1356"/>
      <c r="E4285" s="1366" t="e">
        <f>(G4285-F4285)/G4285</f>
        <v>#DIV/0!</v>
      </c>
      <c r="F4285" s="1368"/>
      <c r="O4285"/>
    </row>
    <row r="4286" spans="1:15" ht="15.75" thickBot="1"/>
    <row r="4287" spans="1:15">
      <c r="A4287" s="3572"/>
      <c r="B4287" s="3636"/>
      <c r="C4287" s="3636"/>
      <c r="D4287" s="3636"/>
      <c r="E4287" s="3636"/>
      <c r="F4287" s="3559"/>
      <c r="O4287"/>
    </row>
    <row r="4288" spans="1:15" ht="15.75" thickBot="1">
      <c r="A4288" s="3695"/>
      <c r="B4288" s="3626"/>
      <c r="C4288" s="3626"/>
      <c r="D4288" s="3626"/>
      <c r="E4288" s="3626"/>
      <c r="F4288" s="3627"/>
      <c r="O4288"/>
    </row>
    <row r="4289" spans="1:15">
      <c r="A4289" s="1539" t="s">
        <v>2751</v>
      </c>
      <c r="B4289" s="449" t="s">
        <v>106</v>
      </c>
      <c r="C4289" s="1852" t="s">
        <v>2207</v>
      </c>
      <c r="D4289" s="178"/>
      <c r="E4289" s="1364">
        <f t="shared" ref="E4289:E4294" si="70">(G4289-F4289)/G4289</f>
        <v>0.37288135593220334</v>
      </c>
      <c r="F4289" s="881">
        <v>0.37</v>
      </c>
      <c r="G4289">
        <v>0.59</v>
      </c>
      <c r="O4289"/>
    </row>
    <row r="4290" spans="1:15">
      <c r="A4290" s="1540"/>
      <c r="B4290" s="1570"/>
      <c r="C4290" s="1853" t="s">
        <v>906</v>
      </c>
      <c r="D4290" s="1609"/>
      <c r="E4290" s="1571">
        <f t="shared" si="70"/>
        <v>0.37068965517241376</v>
      </c>
      <c r="F4290" s="1533">
        <v>0.73</v>
      </c>
      <c r="G4290">
        <v>1.1599999999999999</v>
      </c>
      <c r="O4290"/>
    </row>
    <row r="4291" spans="1:15">
      <c r="A4291" s="1540"/>
      <c r="B4291" s="1570"/>
      <c r="C4291" s="1561" t="s">
        <v>858</v>
      </c>
      <c r="D4291" s="1561"/>
      <c r="E4291" s="1571">
        <f t="shared" si="70"/>
        <v>0.3</v>
      </c>
      <c r="F4291" s="1533">
        <v>0.63</v>
      </c>
      <c r="G4291">
        <v>0.9</v>
      </c>
      <c r="O4291"/>
    </row>
    <row r="4292" spans="1:15">
      <c r="A4292" s="1540"/>
      <c r="B4292" s="1570"/>
      <c r="C4292" s="1561" t="s">
        <v>730</v>
      </c>
      <c r="D4292" s="1561"/>
      <c r="E4292" s="1571">
        <f t="shared" si="70"/>
        <v>0.29487179487179482</v>
      </c>
      <c r="F4292" s="1533">
        <v>0.55000000000000004</v>
      </c>
      <c r="G4292">
        <v>0.78</v>
      </c>
      <c r="O4292"/>
    </row>
    <row r="4293" spans="1:15">
      <c r="A4293" s="1540"/>
      <c r="B4293" s="1570"/>
      <c r="C4293" s="1561"/>
      <c r="D4293" s="1561"/>
      <c r="E4293" s="1571" t="e">
        <f t="shared" si="70"/>
        <v>#DIV/0!</v>
      </c>
      <c r="F4293" s="1533"/>
      <c r="O4293"/>
    </row>
    <row r="4294" spans="1:15" ht="15.75" thickBot="1">
      <c r="A4294" s="1315"/>
      <c r="B4294" s="1356"/>
      <c r="C4294" s="1356"/>
      <c r="D4294" s="1356"/>
      <c r="E4294" s="1366" t="e">
        <f t="shared" si="70"/>
        <v>#DIV/0!</v>
      </c>
      <c r="F4294" s="1368"/>
      <c r="O4294"/>
    </row>
    <row r="4296" spans="1:15" ht="15.75" thickBot="1"/>
    <row r="4297" spans="1:15">
      <c r="A4297" s="3593"/>
      <c r="B4297" s="3922"/>
      <c r="C4297" s="3922"/>
      <c r="D4297" s="3922"/>
      <c r="E4297" s="3922"/>
      <c r="F4297" s="3616"/>
      <c r="G4297" s="1260"/>
      <c r="O4297"/>
    </row>
    <row r="4298" spans="1:15" ht="15.75" thickBot="1">
      <c r="A4298" s="3933"/>
      <c r="B4298" s="3923"/>
      <c r="C4298" s="3923"/>
      <c r="D4298" s="3923"/>
      <c r="E4298" s="3923"/>
      <c r="F4298" s="3926"/>
      <c r="G4298" s="1260"/>
      <c r="O4298"/>
    </row>
    <row r="4299" spans="1:15" ht="15.75">
      <c r="A4299" s="1381" t="s">
        <v>2763</v>
      </c>
      <c r="B4299" s="1382" t="s">
        <v>114</v>
      </c>
      <c r="C4299" s="1561" t="s">
        <v>623</v>
      </c>
      <c r="D4299" s="1263"/>
      <c r="E4299" s="649">
        <f>(G4299-F4299)/G4299</f>
        <v>0.30150753768844224</v>
      </c>
      <c r="F4299" s="1258">
        <v>1.39</v>
      </c>
      <c r="G4299" s="1260">
        <v>1.99</v>
      </c>
      <c r="O4299"/>
    </row>
    <row r="4300" spans="1:15" ht="15.75">
      <c r="A4300" s="1381"/>
      <c r="B4300" s="1382"/>
      <c r="C4300" s="1561" t="s">
        <v>1772</v>
      </c>
      <c r="D4300" s="1263"/>
      <c r="E4300" s="649">
        <f>(G4300-F4300)/G4300</f>
        <v>0.30150753768844224</v>
      </c>
      <c r="F4300" s="1258">
        <v>1.39</v>
      </c>
      <c r="G4300" s="1260">
        <v>1.99</v>
      </c>
      <c r="O4300"/>
    </row>
    <row r="4301" spans="1:15" ht="15.75">
      <c r="A4301" s="1381"/>
      <c r="B4301" s="1382"/>
      <c r="C4301" s="1555"/>
      <c r="D4301" s="1263"/>
      <c r="E4301" s="649" t="e">
        <f>(G4301-F4301)/G4301</f>
        <v>#DIV/0!</v>
      </c>
      <c r="F4301" s="1258"/>
      <c r="G4301" s="1260"/>
      <c r="O4301"/>
    </row>
    <row r="4303" spans="1:15" ht="15.75" thickBot="1"/>
    <row r="4304" spans="1:15">
      <c r="A4304" s="3572"/>
      <c r="B4304" s="3636"/>
      <c r="C4304" s="3636"/>
      <c r="D4304" s="3636"/>
      <c r="E4304" s="3636"/>
      <c r="F4304" s="3559"/>
      <c r="O4304"/>
    </row>
    <row r="4305" spans="1:15">
      <c r="A4305" s="3695"/>
      <c r="B4305" s="3626"/>
      <c r="C4305" s="3626"/>
      <c r="D4305" s="3626"/>
      <c r="E4305" s="3626"/>
      <c r="F4305" s="3627"/>
      <c r="O4305"/>
    </row>
    <row r="4306" spans="1:15">
      <c r="A4306" s="1311" t="s">
        <v>2778</v>
      </c>
      <c r="B4306" s="1570" t="s">
        <v>115</v>
      </c>
      <c r="C4306" s="1561" t="s">
        <v>623</v>
      </c>
      <c r="D4306" s="1570"/>
      <c r="E4306" s="1571">
        <f>(G4306-F4306)/G4306</f>
        <v>0.25136612021857918</v>
      </c>
      <c r="F4306" s="1579">
        <v>1.37</v>
      </c>
      <c r="G4306">
        <v>1.83</v>
      </c>
      <c r="O4306"/>
    </row>
    <row r="4307" spans="1:15">
      <c r="A4307" s="1311"/>
      <c r="B4307" s="1561"/>
      <c r="C4307" s="1561" t="s">
        <v>1772</v>
      </c>
      <c r="D4307" s="1561"/>
      <c r="E4307" s="1571">
        <f>(G4307-F4307)/G4307</f>
        <v>0.25136612021857918</v>
      </c>
      <c r="F4307" s="1579">
        <v>1.37</v>
      </c>
      <c r="G4307">
        <v>1.83</v>
      </c>
      <c r="O4307"/>
    </row>
    <row r="4308" spans="1:15">
      <c r="A4308" s="1311"/>
      <c r="B4308" s="1561"/>
      <c r="C4308" s="1561"/>
      <c r="D4308" s="1561"/>
      <c r="E4308" s="1571"/>
      <c r="F4308" s="1579"/>
      <c r="O4308"/>
    </row>
    <row r="4309" spans="1:15" ht="15.75" thickBot="1">
      <c r="A4309" s="1315"/>
      <c r="B4309" s="1356"/>
      <c r="C4309" s="1356"/>
      <c r="D4309" s="1356"/>
      <c r="E4309" s="1366"/>
      <c r="F4309" s="1368"/>
      <c r="O4309"/>
    </row>
    <row r="4310" spans="1:15" ht="15.75" thickBot="1"/>
    <row r="4311" spans="1:15">
      <c r="A4311" s="3593"/>
      <c r="B4311" s="3922"/>
      <c r="C4311" s="3922"/>
      <c r="D4311" s="3922"/>
      <c r="E4311" s="3922"/>
      <c r="F4311" s="3616"/>
      <c r="G4311" s="1260"/>
      <c r="O4311"/>
    </row>
    <row r="4312" spans="1:15" ht="15.75" thickBot="1">
      <c r="A4312" s="3933"/>
      <c r="B4312" s="3923"/>
      <c r="C4312" s="3923"/>
      <c r="D4312" s="3923"/>
      <c r="E4312" s="3923"/>
      <c r="F4312" s="3926"/>
      <c r="G4312" s="1260"/>
      <c r="O4312"/>
    </row>
    <row r="4313" spans="1:15" ht="15.75">
      <c r="A4313" s="1381" t="s">
        <v>2780</v>
      </c>
      <c r="B4313" s="1382" t="s">
        <v>114</v>
      </c>
      <c r="C4313" s="1555" t="s">
        <v>2192</v>
      </c>
      <c r="D4313" s="1263"/>
      <c r="E4313" s="649">
        <f t="shared" ref="E4313:E4322" si="71">(G4313-F4313)/G4313</f>
        <v>0.20055710306406679</v>
      </c>
      <c r="F4313" s="1258">
        <v>5.74</v>
      </c>
      <c r="G4313" s="1260">
        <v>7.18</v>
      </c>
      <c r="O4313"/>
    </row>
    <row r="4314" spans="1:15" ht="15.75">
      <c r="A4314" s="1381"/>
      <c r="B4314" s="1382"/>
      <c r="C4314" s="1555" t="s">
        <v>2194</v>
      </c>
      <c r="D4314" s="1263"/>
      <c r="E4314" s="649">
        <f t="shared" si="71"/>
        <v>0.20055710306406679</v>
      </c>
      <c r="F4314" s="1258">
        <v>5.74</v>
      </c>
      <c r="G4314" s="1260">
        <v>7.18</v>
      </c>
      <c r="O4314"/>
    </row>
    <row r="4315" spans="1:15" ht="15.75">
      <c r="A4315" s="1381"/>
      <c r="B4315" s="1382"/>
      <c r="C4315" s="1555" t="s">
        <v>2266</v>
      </c>
      <c r="D4315" s="1263"/>
      <c r="E4315" s="649">
        <f t="shared" si="71"/>
        <v>0.20055710306406679</v>
      </c>
      <c r="F4315" s="1258">
        <v>5.74</v>
      </c>
      <c r="G4315" s="1260">
        <v>7.18</v>
      </c>
      <c r="O4315"/>
    </row>
    <row r="4316" spans="1:15" ht="15.75">
      <c r="A4316" s="1381"/>
      <c r="B4316" s="1382"/>
      <c r="C4316" s="1555" t="s">
        <v>2359</v>
      </c>
      <c r="D4316" s="1263"/>
      <c r="E4316" s="649">
        <f t="shared" si="71"/>
        <v>0.20055710306406679</v>
      </c>
      <c r="F4316" s="1258">
        <v>5.74</v>
      </c>
      <c r="G4316" s="1260">
        <v>7.18</v>
      </c>
      <c r="O4316"/>
    </row>
    <row r="4317" spans="1:15" ht="15.75">
      <c r="A4317" s="1381"/>
      <c r="B4317" s="1382"/>
      <c r="C4317" s="1555" t="s">
        <v>1660</v>
      </c>
      <c r="D4317" s="1263"/>
      <c r="E4317" s="649">
        <f t="shared" si="71"/>
        <v>0.20055710306406679</v>
      </c>
      <c r="F4317" s="1258">
        <v>5.74</v>
      </c>
      <c r="G4317" s="1260">
        <v>7.18</v>
      </c>
      <c r="O4317"/>
    </row>
    <row r="4318" spans="1:15" ht="15.75">
      <c r="A4318" s="1381"/>
      <c r="B4318" s="1382"/>
      <c r="C4318" s="1555" t="s">
        <v>1661</v>
      </c>
      <c r="D4318" s="1263"/>
      <c r="E4318" s="649">
        <f t="shared" si="71"/>
        <v>0.20055710306406679</v>
      </c>
      <c r="F4318" s="1258">
        <v>5.74</v>
      </c>
      <c r="G4318" s="1260">
        <v>7.18</v>
      </c>
      <c r="O4318"/>
    </row>
    <row r="4319" spans="1:15" ht="15.75">
      <c r="A4319" s="1381"/>
      <c r="B4319" s="1382"/>
      <c r="C4319" s="1555" t="s">
        <v>940</v>
      </c>
      <c r="D4319" s="1263"/>
      <c r="E4319" s="649">
        <f t="shared" si="71"/>
        <v>0.15006821282401087</v>
      </c>
      <c r="F4319" s="1258">
        <v>6.23</v>
      </c>
      <c r="G4319" s="1260">
        <v>7.33</v>
      </c>
      <c r="O4319"/>
    </row>
    <row r="4320" spans="1:15" ht="15.75">
      <c r="A4320" s="1381"/>
      <c r="B4320" s="1382"/>
      <c r="C4320" s="1555" t="s">
        <v>786</v>
      </c>
      <c r="D4320" s="1263"/>
      <c r="E4320" s="649">
        <f t="shared" si="71"/>
        <v>0.15006821282401087</v>
      </c>
      <c r="F4320" s="1258">
        <v>6.23</v>
      </c>
      <c r="G4320" s="1260">
        <v>7.33</v>
      </c>
      <c r="O4320"/>
    </row>
    <row r="4321" spans="1:15" ht="15.75">
      <c r="A4321" s="1381"/>
      <c r="B4321" s="1382"/>
      <c r="C4321" s="1555"/>
      <c r="D4321" s="1263"/>
      <c r="E4321" s="649" t="e">
        <f t="shared" si="71"/>
        <v>#DIV/0!</v>
      </c>
      <c r="F4321" s="1258"/>
      <c r="G4321" s="1260"/>
      <c r="O4321"/>
    </row>
    <row r="4322" spans="1:15" ht="16.5" thickBot="1">
      <c r="A4322" s="1388"/>
      <c r="B4322" s="1389"/>
      <c r="C4322" s="1390"/>
      <c r="D4322" s="1389"/>
      <c r="E4322" s="1557" t="e">
        <f t="shared" si="71"/>
        <v>#DIV/0!</v>
      </c>
      <c r="F4322" s="1391"/>
      <c r="G4322" s="1260"/>
      <c r="O4322"/>
    </row>
    <row r="4323" spans="1:15" ht="15.75" thickBot="1"/>
    <row r="4324" spans="1:15">
      <c r="A4324" s="3572"/>
      <c r="B4324" s="3636"/>
      <c r="C4324" s="3636"/>
      <c r="D4324" s="3636"/>
      <c r="E4324" s="3636"/>
      <c r="F4324" s="3559"/>
      <c r="O4324"/>
    </row>
    <row r="4325" spans="1:15" ht="15.75" thickBot="1">
      <c r="A4325" s="3844"/>
      <c r="B4325" s="3931"/>
      <c r="C4325" s="3931"/>
      <c r="D4325" s="3931"/>
      <c r="E4325" s="3931"/>
      <c r="F4325" s="3848"/>
      <c r="O4325"/>
    </row>
    <row r="4326" spans="1:15">
      <c r="A4326" s="1410" t="s">
        <v>2791</v>
      </c>
      <c r="B4326" s="485" t="s">
        <v>106</v>
      </c>
      <c r="C4326" s="1561" t="s">
        <v>1614</v>
      </c>
      <c r="D4326" s="5"/>
      <c r="E4326" s="649">
        <f>(G4326-F4326)/G4326</f>
        <v>0.32824427480916035</v>
      </c>
      <c r="F4326" s="603">
        <v>0.88</v>
      </c>
      <c r="G4326">
        <v>1.31</v>
      </c>
      <c r="O4326"/>
    </row>
    <row r="4327" spans="1:15" ht="15.75" thickBot="1">
      <c r="A4327" s="1315"/>
      <c r="B4327" s="1356"/>
      <c r="C4327" s="1356" t="s">
        <v>2792</v>
      </c>
      <c r="D4327" s="1356"/>
      <c r="E4327" s="1366">
        <f>(G4327-F4327)/G4327</f>
        <v>0.32824427480916035</v>
      </c>
      <c r="F4327" s="826">
        <v>0.88</v>
      </c>
      <c r="G4327">
        <v>1.31</v>
      </c>
      <c r="O4327"/>
    </row>
    <row r="4329" spans="1:15" ht="15.75" thickBot="1"/>
    <row r="4330" spans="1:15">
      <c r="A4330" s="3572"/>
      <c r="B4330" s="3636"/>
      <c r="C4330" s="3636"/>
      <c r="D4330" s="3636"/>
      <c r="E4330" s="3636"/>
      <c r="F4330" s="3559"/>
      <c r="O4330"/>
    </row>
    <row r="4331" spans="1:15">
      <c r="A4331" s="3695"/>
      <c r="B4331" s="3626"/>
      <c r="C4331" s="3626"/>
      <c r="D4331" s="3626"/>
      <c r="E4331" s="3626"/>
      <c r="F4331" s="3627"/>
      <c r="O4331"/>
    </row>
    <row r="4332" spans="1:15">
      <c r="A4332" s="1311" t="s">
        <v>2799</v>
      </c>
      <c r="B4332" s="1570" t="s">
        <v>115</v>
      </c>
      <c r="C4332" s="1561" t="s">
        <v>1883</v>
      </c>
      <c r="D4332" s="1570"/>
      <c r="E4332" s="1571">
        <f t="shared" ref="E4332:E4343" si="72">(G4332-F4332)/G4332</f>
        <v>9.9783080260303678E-2</v>
      </c>
      <c r="F4332" s="1579">
        <v>16.600000000000001</v>
      </c>
      <c r="G4332">
        <v>18.440000000000001</v>
      </c>
      <c r="O4332"/>
    </row>
    <row r="4333" spans="1:15">
      <c r="A4333" s="1311"/>
      <c r="B4333" s="1561"/>
      <c r="C4333" s="1561" t="s">
        <v>2276</v>
      </c>
      <c r="D4333" s="1561"/>
      <c r="E4333" s="1571">
        <f t="shared" si="72"/>
        <v>9.9783080260303678E-2</v>
      </c>
      <c r="F4333" s="1579">
        <v>16.600000000000001</v>
      </c>
      <c r="G4333">
        <v>18.440000000000001</v>
      </c>
      <c r="O4333"/>
    </row>
    <row r="4334" spans="1:15">
      <c r="A4334" s="1311"/>
      <c r="B4334" s="1561"/>
      <c r="C4334" s="1561" t="s">
        <v>2566</v>
      </c>
      <c r="D4334" s="1561"/>
      <c r="E4334" s="1571">
        <f t="shared" si="72"/>
        <v>9.9783080260303678E-2</v>
      </c>
      <c r="F4334" s="1579">
        <v>16.600000000000001</v>
      </c>
      <c r="G4334">
        <v>18.440000000000001</v>
      </c>
      <c r="O4334"/>
    </row>
    <row r="4335" spans="1:15">
      <c r="A4335" s="1311"/>
      <c r="B4335" s="1561"/>
      <c r="C4335" s="1561" t="s">
        <v>72</v>
      </c>
      <c r="D4335" s="1561"/>
      <c r="E4335" s="1571">
        <f t="shared" si="72"/>
        <v>9.9783080260303678E-2</v>
      </c>
      <c r="F4335" s="1579">
        <v>16.600000000000001</v>
      </c>
      <c r="G4335">
        <v>18.440000000000001</v>
      </c>
      <c r="O4335"/>
    </row>
    <row r="4336" spans="1:15">
      <c r="A4336" s="1311"/>
      <c r="B4336" s="1561"/>
      <c r="C4336" s="1561" t="s">
        <v>2273</v>
      </c>
      <c r="D4336" s="1561"/>
      <c r="E4336" s="1571">
        <f t="shared" si="72"/>
        <v>9.9783080260303678E-2</v>
      </c>
      <c r="F4336" s="1579">
        <v>16.600000000000001</v>
      </c>
      <c r="G4336">
        <v>18.440000000000001</v>
      </c>
      <c r="O4336"/>
    </row>
    <row r="4337" spans="1:15">
      <c r="A4337" s="1311"/>
      <c r="B4337" s="1561"/>
      <c r="C4337" s="1561" t="s">
        <v>71</v>
      </c>
      <c r="D4337" s="1561"/>
      <c r="E4337" s="1571">
        <f t="shared" si="72"/>
        <v>9.9783080260303678E-2</v>
      </c>
      <c r="F4337" s="1579">
        <v>16.600000000000001</v>
      </c>
      <c r="G4337">
        <v>18.440000000000001</v>
      </c>
      <c r="O4337"/>
    </row>
    <row r="4338" spans="1:15">
      <c r="A4338" s="1496"/>
      <c r="B4338" s="1566"/>
      <c r="C4338" s="1566" t="s">
        <v>549</v>
      </c>
      <c r="D4338" s="1566"/>
      <c r="E4338" s="1571">
        <f t="shared" si="72"/>
        <v>9.0725126475547993E-2</v>
      </c>
      <c r="F4338" s="1603">
        <v>26.96</v>
      </c>
      <c r="G4338">
        <v>29.65</v>
      </c>
      <c r="O4338"/>
    </row>
    <row r="4339" spans="1:15">
      <c r="A4339" s="1496"/>
      <c r="B4339" s="1566"/>
      <c r="C4339" s="1566" t="s">
        <v>1258</v>
      </c>
      <c r="D4339" s="1566"/>
      <c r="E4339" s="1571">
        <f t="shared" si="72"/>
        <v>9.0725126475547993E-2</v>
      </c>
      <c r="F4339" s="1603">
        <v>26.96</v>
      </c>
      <c r="G4339">
        <v>29.65</v>
      </c>
      <c r="O4339"/>
    </row>
    <row r="4340" spans="1:15">
      <c r="A4340" s="1496"/>
      <c r="B4340" s="1566"/>
      <c r="C4340" s="1566" t="s">
        <v>550</v>
      </c>
      <c r="D4340" s="1566"/>
      <c r="E4340" s="1571">
        <f t="shared" si="72"/>
        <v>9.9921935987509841E-2</v>
      </c>
      <c r="F4340" s="1603">
        <v>23.06</v>
      </c>
      <c r="G4340">
        <v>25.62</v>
      </c>
      <c r="O4340"/>
    </row>
    <row r="4341" spans="1:15">
      <c r="A4341" s="1496"/>
      <c r="B4341" s="1566"/>
      <c r="C4341" s="1566" t="s">
        <v>1259</v>
      </c>
      <c r="D4341" s="1566"/>
      <c r="E4341" s="1571">
        <f t="shared" si="72"/>
        <v>9.9921935987509841E-2</v>
      </c>
      <c r="F4341" s="1603">
        <v>23.06</v>
      </c>
      <c r="G4341">
        <v>25.62</v>
      </c>
      <c r="O4341"/>
    </row>
    <row r="4342" spans="1:15">
      <c r="A4342" s="1496"/>
      <c r="B4342" s="1566"/>
      <c r="C4342" s="1566" t="s">
        <v>1270</v>
      </c>
      <c r="D4342" s="1566"/>
      <c r="E4342" s="1571">
        <f t="shared" si="72"/>
        <v>0.10003125976867769</v>
      </c>
      <c r="F4342" s="1603">
        <v>28.79</v>
      </c>
      <c r="G4342">
        <v>31.99</v>
      </c>
      <c r="O4342"/>
    </row>
    <row r="4343" spans="1:15" ht="15.75" thickBot="1">
      <c r="A4343" s="1315"/>
      <c r="B4343" s="1356"/>
      <c r="C4343" s="1356" t="s">
        <v>1271</v>
      </c>
      <c r="D4343" s="1356"/>
      <c r="E4343" s="1366">
        <f t="shared" si="72"/>
        <v>0.10003125976867769</v>
      </c>
      <c r="F4343" s="1368">
        <v>28.79</v>
      </c>
      <c r="G4343">
        <v>31.99</v>
      </c>
      <c r="O4343"/>
    </row>
    <row r="4344" spans="1:15" ht="15.75" thickBot="1">
      <c r="O4344"/>
    </row>
    <row r="4345" spans="1:15">
      <c r="A4345" s="3572"/>
      <c r="B4345" s="3636"/>
      <c r="C4345" s="3636"/>
      <c r="D4345" s="3636"/>
      <c r="E4345" s="3636"/>
      <c r="F4345" s="3559"/>
      <c r="O4345"/>
    </row>
    <row r="4346" spans="1:15">
      <c r="A4346" s="3695"/>
      <c r="B4346" s="3626"/>
      <c r="C4346" s="3626"/>
      <c r="D4346" s="3626"/>
      <c r="E4346" s="3626"/>
      <c r="F4346" s="3627"/>
      <c r="O4346"/>
    </row>
    <row r="4347" spans="1:15">
      <c r="A4347" s="1311" t="s">
        <v>2800</v>
      </c>
      <c r="B4347" s="1570" t="s">
        <v>115</v>
      </c>
      <c r="C4347" s="1653" t="s">
        <v>730</v>
      </c>
      <c r="D4347" s="1654"/>
      <c r="E4347" s="1655">
        <f t="shared" ref="E4347:E4354" si="73">(G4347-F4347)/G4347</f>
        <v>0.15584415584415584</v>
      </c>
      <c r="F4347" s="1656">
        <v>0.65</v>
      </c>
      <c r="G4347">
        <v>0.77</v>
      </c>
      <c r="O4347"/>
    </row>
    <row r="4348" spans="1:15">
      <c r="A4348" s="1311"/>
      <c r="B4348" s="1657"/>
      <c r="C4348" s="1653" t="s">
        <v>554</v>
      </c>
      <c r="D4348" s="1657"/>
      <c r="E4348" s="1655">
        <f t="shared" si="73"/>
        <v>0.14545454545454556</v>
      </c>
      <c r="F4348" s="1656">
        <v>0.94</v>
      </c>
      <c r="G4348">
        <v>1.1000000000000001</v>
      </c>
      <c r="O4348"/>
    </row>
    <row r="4349" spans="1:15">
      <c r="A4349" s="1311"/>
      <c r="B4349" s="1657"/>
      <c r="C4349" s="1653" t="s">
        <v>2425</v>
      </c>
      <c r="D4349" s="1657"/>
      <c r="E4349" s="1655">
        <f t="shared" si="73"/>
        <v>9.7297297297297386E-2</v>
      </c>
      <c r="F4349" s="1656">
        <v>1.67</v>
      </c>
      <c r="G4349">
        <v>1.85</v>
      </c>
      <c r="O4349"/>
    </row>
    <row r="4350" spans="1:15">
      <c r="A4350" s="1311"/>
      <c r="B4350" s="1657"/>
      <c r="C4350" s="1653" t="s">
        <v>2426</v>
      </c>
      <c r="D4350" s="1657"/>
      <c r="E4350" s="1655">
        <f t="shared" si="73"/>
        <v>9.7297297297297386E-2</v>
      </c>
      <c r="F4350" s="1656">
        <v>1.67</v>
      </c>
      <c r="G4350">
        <v>1.85</v>
      </c>
      <c r="O4350"/>
    </row>
    <row r="4351" spans="1:15">
      <c r="A4351" s="1311"/>
      <c r="B4351" s="1657"/>
      <c r="C4351" s="1653" t="s">
        <v>2801</v>
      </c>
      <c r="D4351" s="1657"/>
      <c r="E4351" s="1655">
        <f t="shared" si="73"/>
        <v>9.876543209876551E-2</v>
      </c>
      <c r="F4351" s="1656">
        <v>1.46</v>
      </c>
      <c r="G4351">
        <v>1.62</v>
      </c>
      <c r="O4351"/>
    </row>
    <row r="4352" spans="1:15">
      <c r="A4352" s="1311"/>
      <c r="B4352" s="1657"/>
      <c r="C4352" s="1653" t="s">
        <v>2802</v>
      </c>
      <c r="D4352" s="1657"/>
      <c r="E4352" s="1655">
        <f t="shared" si="73"/>
        <v>9.876543209876551E-2</v>
      </c>
      <c r="F4352" s="1656">
        <v>1.46</v>
      </c>
      <c r="G4352">
        <v>1.62</v>
      </c>
      <c r="O4352"/>
    </row>
    <row r="4353" spans="1:15">
      <c r="A4353" s="1496"/>
      <c r="B4353" s="1566"/>
      <c r="C4353" s="1566"/>
      <c r="D4353" s="1566"/>
      <c r="E4353" s="1571" t="e">
        <f t="shared" si="73"/>
        <v>#DIV/0!</v>
      </c>
      <c r="F4353" s="1603"/>
      <c r="O4353"/>
    </row>
    <row r="4354" spans="1:15" ht="15.75" thickBot="1">
      <c r="A4354" s="1315"/>
      <c r="B4354" s="1356"/>
      <c r="C4354" s="1356"/>
      <c r="D4354" s="1356"/>
      <c r="E4354" s="1366" t="e">
        <f t="shared" si="73"/>
        <v>#DIV/0!</v>
      </c>
      <c r="F4354" s="1368"/>
      <c r="O4354"/>
    </row>
    <row r="4355" spans="1:15" ht="15.75" thickBot="1"/>
    <row r="4356" spans="1:15">
      <c r="A4356" s="3572"/>
      <c r="B4356" s="3557"/>
      <c r="C4356" s="3557"/>
      <c r="D4356" s="3557"/>
      <c r="E4356" s="3557"/>
      <c r="F4356" s="3559"/>
      <c r="O4356"/>
    </row>
    <row r="4357" spans="1:15" ht="15.75" thickBot="1">
      <c r="A4357" s="3993"/>
      <c r="B4357" s="3994"/>
      <c r="C4357" s="3994"/>
      <c r="D4357" s="3994"/>
      <c r="E4357" s="3994"/>
      <c r="F4357" s="3850"/>
      <c r="O4357"/>
    </row>
    <row r="4358" spans="1:15">
      <c r="A4358" s="1539" t="s">
        <v>2828</v>
      </c>
      <c r="B4358" s="1690" t="s">
        <v>106</v>
      </c>
      <c r="C4358" s="1855" t="s">
        <v>2462</v>
      </c>
      <c r="D4358" s="1685"/>
      <c r="E4358" s="1691">
        <f>(G4358-F4358)/G4358</f>
        <v>0.15286624203821655</v>
      </c>
      <c r="F4358" s="1692">
        <v>1.33</v>
      </c>
      <c r="G4358">
        <v>1.57</v>
      </c>
      <c r="O4358"/>
    </row>
    <row r="4359" spans="1:15">
      <c r="A4359" s="1693"/>
      <c r="B4359" s="1694"/>
      <c r="C4359" s="1855" t="s">
        <v>231</v>
      </c>
      <c r="D4359" s="1685"/>
      <c r="E4359" s="1691">
        <f>(G4359-F4359)/G4359</f>
        <v>0.15286624203821655</v>
      </c>
      <c r="F4359" s="1692">
        <v>1.33</v>
      </c>
      <c r="G4359">
        <v>1.57</v>
      </c>
      <c r="O4359"/>
    </row>
    <row r="4360" spans="1:15">
      <c r="A4360" s="1693"/>
      <c r="B4360" s="1694"/>
      <c r="C4360" s="1855" t="s">
        <v>436</v>
      </c>
      <c r="D4360" s="1685"/>
      <c r="E4360" s="1691">
        <f>(G4360-F4360)/G4360</f>
        <v>0.14925373134328371</v>
      </c>
      <c r="F4360" s="1692">
        <v>1.1399999999999999</v>
      </c>
      <c r="G4360">
        <v>1.34</v>
      </c>
      <c r="O4360"/>
    </row>
    <row r="4361" spans="1:15" ht="15.75" thickBot="1">
      <c r="A4361" s="1695"/>
      <c r="B4361" s="1696"/>
      <c r="C4361" s="1856" t="s">
        <v>1655</v>
      </c>
      <c r="D4361" s="1686"/>
      <c r="E4361" s="1697">
        <f>(G4361-F4361)/G4361</f>
        <v>0.15</v>
      </c>
      <c r="F4361" s="1368">
        <v>1.19</v>
      </c>
      <c r="G4361">
        <v>1.4</v>
      </c>
      <c r="O4361"/>
    </row>
    <row r="4362" spans="1:15" ht="15.75" thickBot="1"/>
    <row r="4363" spans="1:15">
      <c r="A4363" s="3572"/>
      <c r="B4363" s="3557"/>
      <c r="C4363" s="3557"/>
      <c r="D4363" s="3557"/>
      <c r="E4363" s="3557"/>
      <c r="F4363" s="3559"/>
      <c r="O4363"/>
    </row>
    <row r="4364" spans="1:15" ht="15.75" thickBot="1">
      <c r="A4364" s="3995"/>
      <c r="B4364" s="3626"/>
      <c r="C4364" s="3626"/>
      <c r="D4364" s="3626"/>
      <c r="E4364" s="3626"/>
      <c r="F4364" s="3627"/>
      <c r="O4364"/>
    </row>
    <row r="4365" spans="1:15">
      <c r="A4365" s="1539" t="s">
        <v>2832</v>
      </c>
      <c r="B4365" s="1690" t="s">
        <v>106</v>
      </c>
      <c r="C4365" s="1709" t="s">
        <v>1772</v>
      </c>
      <c r="D4365" s="1709"/>
      <c r="E4365" s="1710">
        <f>(G4365-F4365)/G4365</f>
        <v>0.28140703517587945</v>
      </c>
      <c r="F4365" s="1711">
        <v>1.43</v>
      </c>
      <c r="G4365">
        <v>1.99</v>
      </c>
      <c r="O4365"/>
    </row>
    <row r="4366" spans="1:15">
      <c r="A4366" s="1712"/>
      <c r="B4366" s="1713"/>
      <c r="C4366" s="1714" t="s">
        <v>1058</v>
      </c>
      <c r="D4366" s="1714"/>
      <c r="E4366" s="1715">
        <f>(G4366-F4366)/G4366</f>
        <v>0.30051813471502586</v>
      </c>
      <c r="F4366" s="1716">
        <v>1.35</v>
      </c>
      <c r="G4366">
        <v>1.93</v>
      </c>
      <c r="O4366"/>
    </row>
    <row r="4367" spans="1:15">
      <c r="A4367" s="1712"/>
      <c r="B4367" s="1713"/>
      <c r="C4367" s="1714"/>
      <c r="D4367" s="1714"/>
      <c r="E4367" s="1715" t="e">
        <f>(G4367-F4367)/G4367</f>
        <v>#DIV/0!</v>
      </c>
      <c r="F4367" s="1716"/>
      <c r="O4367"/>
    </row>
    <row r="4368" spans="1:15" ht="15.75" thickBot="1">
      <c r="A4368" s="1695"/>
      <c r="B4368" s="1717"/>
      <c r="C4368" s="1718"/>
      <c r="D4368" s="1718"/>
      <c r="E4368" s="1719" t="e">
        <f>(G4368-F4368)/G4368</f>
        <v>#DIV/0!</v>
      </c>
      <c r="F4368" s="1368"/>
      <c r="O4368"/>
    </row>
    <row r="4369" spans="1:15" ht="15.75" thickBot="1"/>
    <row r="4370" spans="1:15">
      <c r="A4370" s="3572"/>
      <c r="B4370" s="3636"/>
      <c r="C4370" s="3636"/>
      <c r="D4370" s="3636"/>
      <c r="E4370" s="3636"/>
      <c r="F4370" s="3559"/>
      <c r="O4370"/>
    </row>
    <row r="4371" spans="1:15">
      <c r="A4371" s="3995"/>
      <c r="B4371" s="3626"/>
      <c r="C4371" s="3626"/>
      <c r="D4371" s="3626"/>
      <c r="E4371" s="3626"/>
      <c r="F4371" s="3627"/>
      <c r="O4371"/>
    </row>
    <row r="4372" spans="1:15">
      <c r="A4372" s="1739" t="s">
        <v>2840</v>
      </c>
      <c r="B4372" s="1744" t="s">
        <v>115</v>
      </c>
      <c r="C4372" s="1745" t="s">
        <v>2115</v>
      </c>
      <c r="D4372" s="1746"/>
      <c r="E4372" s="1747">
        <f>(G4372-F4372)/G4372</f>
        <v>0.36170212765957444</v>
      </c>
      <c r="F4372" s="1748">
        <v>0.9</v>
      </c>
      <c r="G4372">
        <v>1.41</v>
      </c>
      <c r="O4372"/>
    </row>
    <row r="4373" spans="1:15">
      <c r="A4373" s="1739"/>
      <c r="B4373" s="1749"/>
      <c r="C4373" s="1745" t="s">
        <v>2116</v>
      </c>
      <c r="D4373" s="1749"/>
      <c r="E4373" s="1747">
        <f>(G4373-F4373)/G4373</f>
        <v>0.36170212765957444</v>
      </c>
      <c r="F4373" s="1748">
        <v>0.9</v>
      </c>
      <c r="G4373">
        <v>1.41</v>
      </c>
      <c r="O4373"/>
    </row>
    <row r="4374" spans="1:15">
      <c r="A4374" s="1739"/>
      <c r="B4374" s="1749"/>
      <c r="C4374" s="1745" t="s">
        <v>2066</v>
      </c>
      <c r="D4374" s="1749"/>
      <c r="E4374" s="1747">
        <f>(G4374-F4374)/G4374</f>
        <v>0.36170212765957444</v>
      </c>
      <c r="F4374" s="1748">
        <v>0.9</v>
      </c>
      <c r="G4374">
        <v>1.41</v>
      </c>
      <c r="O4374"/>
    </row>
    <row r="4375" spans="1:15" ht="15.75" thickBot="1"/>
    <row r="4376" spans="1:15">
      <c r="A4376" s="3572"/>
      <c r="B4376" s="3557"/>
      <c r="C4376" s="3557"/>
      <c r="D4376" s="3557"/>
      <c r="E4376" s="3557"/>
      <c r="F4376" s="3559"/>
      <c r="O4376"/>
    </row>
    <row r="4377" spans="1:15" ht="15.75" thickBot="1">
      <c r="A4377" s="4000"/>
      <c r="B4377" s="3994"/>
      <c r="C4377" s="3994"/>
      <c r="D4377" s="3994"/>
      <c r="E4377" s="3994"/>
      <c r="F4377" s="3850"/>
      <c r="O4377"/>
    </row>
    <row r="4378" spans="1:15">
      <c r="A4378" s="1539" t="s">
        <v>2868</v>
      </c>
      <c r="B4378" s="1690" t="s">
        <v>106</v>
      </c>
      <c r="C4378" s="1803" t="s">
        <v>1376</v>
      </c>
      <c r="D4378" s="1803"/>
      <c r="E4378" s="1822">
        <f>(G4378-F4378)/G4378</f>
        <v>0.38</v>
      </c>
      <c r="F4378" s="1823">
        <v>4.34</v>
      </c>
      <c r="G4378" s="39">
        <v>7</v>
      </c>
      <c r="O4378"/>
    </row>
    <row r="4379" spans="1:15">
      <c r="A4379" s="1824"/>
      <c r="B4379" s="1825"/>
      <c r="C4379" s="1803"/>
      <c r="D4379" s="1803"/>
      <c r="E4379" s="1822" t="e">
        <f>(G4379-F4379)/G4379</f>
        <v>#DIV/0!</v>
      </c>
      <c r="F4379" s="1823"/>
      <c r="O4379"/>
    </row>
    <row r="4380" spans="1:15">
      <c r="A4380" s="1824"/>
      <c r="B4380" s="1825"/>
      <c r="C4380" s="1803"/>
      <c r="D4380" s="1803"/>
      <c r="E4380" s="1822" t="e">
        <f>(G4380-F4380)/G4380</f>
        <v>#DIV/0!</v>
      </c>
      <c r="F4380" s="1823"/>
      <c r="O4380"/>
    </row>
    <row r="4381" spans="1:15" ht="15.75" thickBot="1">
      <c r="A4381" s="1695"/>
      <c r="B4381" s="1826"/>
      <c r="C4381" s="1804"/>
      <c r="D4381" s="1804"/>
      <c r="E4381" s="1827" t="e">
        <f>(G4381-F4381)/G4381</f>
        <v>#DIV/0!</v>
      </c>
      <c r="F4381" s="1368"/>
      <c r="O4381"/>
    </row>
    <row r="4382" spans="1:15" ht="15.75" thickBot="1"/>
    <row r="4383" spans="1:15">
      <c r="A4383" s="3572"/>
      <c r="B4383" s="3636"/>
      <c r="C4383" s="3636"/>
      <c r="D4383" s="3636"/>
      <c r="E4383" s="3636"/>
      <c r="F4383" s="3559"/>
      <c r="O4383"/>
    </row>
    <row r="4384" spans="1:15" ht="15.75" thickBot="1">
      <c r="A4384" s="3996"/>
      <c r="B4384" s="3626"/>
      <c r="C4384" s="3626"/>
      <c r="D4384" s="3626"/>
      <c r="E4384" s="3626"/>
      <c r="F4384" s="3997"/>
      <c r="O4384"/>
    </row>
    <row r="4385" spans="1:15">
      <c r="A4385" s="1864" t="s">
        <v>2879</v>
      </c>
      <c r="B4385" s="1865" t="s">
        <v>106</v>
      </c>
      <c r="C4385" s="1866" t="s">
        <v>2274</v>
      </c>
      <c r="D4385" s="1867"/>
      <c r="E4385" s="1868">
        <f t="shared" ref="E4385:E4403" si="74">(G4385-F4385)/G4385</f>
        <v>0.10106382978723402</v>
      </c>
      <c r="F4385" s="1869">
        <v>3.38</v>
      </c>
      <c r="G4385" s="1260">
        <v>3.76</v>
      </c>
      <c r="O4385"/>
    </row>
    <row r="4386" spans="1:15">
      <c r="A4386" s="1870"/>
      <c r="B4386" s="1871"/>
      <c r="C4386" s="1872" t="s">
        <v>1497</v>
      </c>
      <c r="D4386" s="1873"/>
      <c r="E4386" s="1874">
        <f t="shared" si="74"/>
        <v>0.10106382978723402</v>
      </c>
      <c r="F4386" s="1875">
        <v>3.38</v>
      </c>
      <c r="G4386" s="1260">
        <v>3.76</v>
      </c>
      <c r="O4386"/>
    </row>
    <row r="4387" spans="1:15">
      <c r="A4387" s="1870"/>
      <c r="B4387" s="1871"/>
      <c r="C4387" s="1872" t="s">
        <v>2275</v>
      </c>
      <c r="D4387" s="1873"/>
      <c r="E4387" s="1874">
        <f t="shared" si="74"/>
        <v>0.10035842293906799</v>
      </c>
      <c r="F4387" s="1875">
        <v>7.53</v>
      </c>
      <c r="G4387" s="1260">
        <v>8.3699999999999992</v>
      </c>
      <c r="O4387"/>
    </row>
    <row r="4388" spans="1:15">
      <c r="A4388" s="1870"/>
      <c r="B4388" s="1871"/>
      <c r="C4388" s="1872" t="s">
        <v>239</v>
      </c>
      <c r="D4388" s="1873"/>
      <c r="E4388" s="1874">
        <f t="shared" si="74"/>
        <v>0.10035842293906799</v>
      </c>
      <c r="F4388" s="1875">
        <v>7.53</v>
      </c>
      <c r="G4388" s="1260">
        <v>8.3699999999999992</v>
      </c>
      <c r="O4388"/>
    </row>
    <row r="4389" spans="1:15">
      <c r="A4389" s="1870"/>
      <c r="B4389" s="1871"/>
      <c r="C4389" s="1872" t="s">
        <v>2277</v>
      </c>
      <c r="D4389" s="1873"/>
      <c r="E4389" s="1874">
        <f t="shared" si="74"/>
        <v>0.10106382978723402</v>
      </c>
      <c r="F4389" s="1875">
        <v>3.38</v>
      </c>
      <c r="G4389" s="1260">
        <v>3.76</v>
      </c>
      <c r="O4389"/>
    </row>
    <row r="4390" spans="1:15">
      <c r="A4390" s="1870"/>
      <c r="B4390" s="1871"/>
      <c r="C4390" s="1872" t="s">
        <v>1722</v>
      </c>
      <c r="D4390" s="1873"/>
      <c r="E4390" s="1874">
        <f t="shared" si="74"/>
        <v>0.10106382978723402</v>
      </c>
      <c r="F4390" s="1875">
        <v>3.38</v>
      </c>
      <c r="G4390" s="1260">
        <v>3.76</v>
      </c>
      <c r="O4390"/>
    </row>
    <row r="4391" spans="1:15">
      <c r="A4391" s="1870"/>
      <c r="B4391" s="1871"/>
      <c r="C4391" s="1872" t="s">
        <v>2272</v>
      </c>
      <c r="D4391" s="1873"/>
      <c r="E4391" s="1874">
        <f t="shared" si="74"/>
        <v>0.10106382978723402</v>
      </c>
      <c r="F4391" s="1875">
        <v>3.38</v>
      </c>
      <c r="G4391" s="1260">
        <v>3.76</v>
      </c>
      <c r="O4391"/>
    </row>
    <row r="4392" spans="1:15">
      <c r="A4392" s="1870"/>
      <c r="B4392" s="1871"/>
      <c r="C4392" s="1872" t="s">
        <v>1496</v>
      </c>
      <c r="D4392" s="1873"/>
      <c r="E4392" s="1874">
        <f t="shared" si="74"/>
        <v>0.10106382978723402</v>
      </c>
      <c r="F4392" s="1875">
        <v>3.38</v>
      </c>
      <c r="G4392" s="1260">
        <v>3.76</v>
      </c>
      <c r="O4392"/>
    </row>
    <row r="4393" spans="1:15">
      <c r="A4393" s="1870"/>
      <c r="B4393" s="1871"/>
      <c r="C4393" s="1872" t="s">
        <v>2271</v>
      </c>
      <c r="D4393" s="1873"/>
      <c r="E4393" s="1874">
        <f t="shared" si="74"/>
        <v>0.10035842293906799</v>
      </c>
      <c r="F4393" s="1875">
        <v>7.53</v>
      </c>
      <c r="G4393" s="1260">
        <v>8.3699999999999992</v>
      </c>
      <c r="O4393"/>
    </row>
    <row r="4394" spans="1:15">
      <c r="A4394" s="1870"/>
      <c r="B4394" s="1871"/>
      <c r="C4394" s="1872" t="s">
        <v>238</v>
      </c>
      <c r="D4394" s="1873"/>
      <c r="E4394" s="1876">
        <f t="shared" si="74"/>
        <v>0.10035842293906799</v>
      </c>
      <c r="F4394" s="1875">
        <v>7.53</v>
      </c>
      <c r="G4394" s="1260">
        <v>8.3699999999999992</v>
      </c>
      <c r="O4394"/>
    </row>
    <row r="4395" spans="1:15">
      <c r="A4395" s="1870"/>
      <c r="B4395" s="1871"/>
      <c r="C4395" s="1872" t="s">
        <v>2273</v>
      </c>
      <c r="D4395" s="1873"/>
      <c r="E4395" s="1876">
        <f t="shared" si="74"/>
        <v>0.10024813895781637</v>
      </c>
      <c r="F4395" s="1875">
        <v>18.13</v>
      </c>
      <c r="G4395" s="1260">
        <v>20.149999999999999</v>
      </c>
      <c r="O4395"/>
    </row>
    <row r="4396" spans="1:15">
      <c r="A4396" s="1870"/>
      <c r="B4396" s="1871"/>
      <c r="C4396" s="1872" t="s">
        <v>71</v>
      </c>
      <c r="D4396" s="1873"/>
      <c r="E4396" s="1876">
        <f t="shared" si="74"/>
        <v>0.10024813895781637</v>
      </c>
      <c r="F4396" s="1875">
        <v>18.13</v>
      </c>
      <c r="G4396" s="1260">
        <v>20.149999999999999</v>
      </c>
      <c r="O4396"/>
    </row>
    <row r="4397" spans="1:15">
      <c r="A4397" s="1870"/>
      <c r="B4397" s="1871"/>
      <c r="C4397" s="1872" t="s">
        <v>1883</v>
      </c>
      <c r="D4397" s="1873"/>
      <c r="E4397" s="1876">
        <f t="shared" si="74"/>
        <v>0.10024813895781637</v>
      </c>
      <c r="F4397" s="1875">
        <v>18.13</v>
      </c>
      <c r="G4397" s="1260">
        <v>20.149999999999999</v>
      </c>
      <c r="O4397"/>
    </row>
    <row r="4398" spans="1:15">
      <c r="A4398" s="1870"/>
      <c r="B4398" s="1871"/>
      <c r="C4398" s="1872" t="s">
        <v>2276</v>
      </c>
      <c r="D4398" s="1873"/>
      <c r="E4398" s="1876">
        <f t="shared" si="74"/>
        <v>0.10024813895781637</v>
      </c>
      <c r="F4398" s="1875">
        <v>18.13</v>
      </c>
      <c r="G4398" s="1260">
        <v>20.149999999999999</v>
      </c>
      <c r="O4398"/>
    </row>
    <row r="4399" spans="1:15">
      <c r="A4399" s="1870"/>
      <c r="B4399" s="1871"/>
      <c r="C4399" s="1872" t="s">
        <v>2281</v>
      </c>
      <c r="D4399" s="1873"/>
      <c r="E4399" s="1876">
        <f t="shared" si="74"/>
        <v>0.10035842293906799</v>
      </c>
      <c r="F4399" s="1875">
        <v>7.53</v>
      </c>
      <c r="G4399" s="1260">
        <v>8.3699999999999992</v>
      </c>
      <c r="O4399"/>
    </row>
    <row r="4400" spans="1:15">
      <c r="A4400" s="1870"/>
      <c r="B4400" s="1871"/>
      <c r="C4400" s="1872" t="s">
        <v>2282</v>
      </c>
      <c r="D4400" s="1873"/>
      <c r="E4400" s="1876">
        <f t="shared" si="74"/>
        <v>0.10035842293906799</v>
      </c>
      <c r="F4400" s="1875">
        <v>7.53</v>
      </c>
      <c r="G4400" s="1260">
        <v>8.3699999999999992</v>
      </c>
      <c r="O4400"/>
    </row>
    <row r="4401" spans="1:15">
      <c r="A4401" s="1870"/>
      <c r="B4401" s="1871"/>
      <c r="C4401" s="1872" t="s">
        <v>2880</v>
      </c>
      <c r="D4401" s="1873"/>
      <c r="E4401" s="1876">
        <f t="shared" si="74"/>
        <v>0.10024813895781637</v>
      </c>
      <c r="F4401" s="1875">
        <v>18.13</v>
      </c>
      <c r="G4401" s="1260">
        <v>20.149999999999999</v>
      </c>
      <c r="O4401"/>
    </row>
    <row r="4402" spans="1:15">
      <c r="A4402" s="1870"/>
      <c r="B4402" s="1871"/>
      <c r="C4402" s="1872" t="s">
        <v>2881</v>
      </c>
      <c r="D4402" s="1873"/>
      <c r="E4402" s="1876">
        <f t="shared" si="74"/>
        <v>0.10024813895781637</v>
      </c>
      <c r="F4402" s="1875">
        <v>18.13</v>
      </c>
      <c r="G4402" s="1260">
        <v>20.149999999999999</v>
      </c>
      <c r="O4402"/>
    </row>
    <row r="4403" spans="1:15" ht="15.75" thickBot="1">
      <c r="A4403" s="1877"/>
      <c r="B4403" s="1878"/>
      <c r="C4403" s="1879" t="s">
        <v>1644</v>
      </c>
      <c r="D4403" s="1880"/>
      <c r="E4403" s="1881">
        <f t="shared" si="74"/>
        <v>0.14855072463768107</v>
      </c>
      <c r="F4403" s="1882">
        <v>2.35</v>
      </c>
      <c r="G4403" s="1260">
        <v>2.76</v>
      </c>
      <c r="O4403"/>
    </row>
    <row r="4404" spans="1:15" ht="15.75" thickBot="1">
      <c r="O4404"/>
    </row>
    <row r="4405" spans="1:15">
      <c r="A4405" s="3572"/>
      <c r="B4405" s="3636"/>
      <c r="C4405" s="3636"/>
      <c r="D4405" s="3636"/>
      <c r="E4405" s="3636"/>
      <c r="F4405" s="3559"/>
      <c r="O4405"/>
    </row>
    <row r="4406" spans="1:15">
      <c r="A4406" s="3996"/>
      <c r="B4406" s="3626"/>
      <c r="C4406" s="3626"/>
      <c r="D4406" s="3626"/>
      <c r="E4406" s="3626"/>
      <c r="F4406" s="3997"/>
      <c r="O4406"/>
    </row>
    <row r="4407" spans="1:15">
      <c r="A4407" s="1883" t="s">
        <v>2882</v>
      </c>
      <c r="B4407" s="1884" t="s">
        <v>115</v>
      </c>
      <c r="C4407" s="1885" t="s">
        <v>623</v>
      </c>
      <c r="D4407" s="1825"/>
      <c r="E4407" s="1822">
        <f>(G4407-F4407)/G4407</f>
        <v>0.30054644808743169</v>
      </c>
      <c r="F4407" s="1886">
        <v>1.28</v>
      </c>
      <c r="G4407">
        <v>1.83</v>
      </c>
      <c r="O4407"/>
    </row>
    <row r="4408" spans="1:15">
      <c r="A4408" s="1883"/>
      <c r="B4408" s="1887"/>
      <c r="C4408" s="1885" t="s">
        <v>1772</v>
      </c>
      <c r="D4408" s="1803"/>
      <c r="E4408" s="1822">
        <f>(G4408-F4408)/G4408</f>
        <v>0.30054644808743169</v>
      </c>
      <c r="F4408" s="1886">
        <v>1.28</v>
      </c>
      <c r="G4408">
        <v>1.83</v>
      </c>
      <c r="O4408"/>
    </row>
    <row r="4409" spans="1:15">
      <c r="A4409" s="1883"/>
      <c r="B4409" s="1887"/>
      <c r="C4409" s="1885"/>
      <c r="D4409" s="1803"/>
      <c r="E4409" s="1822"/>
      <c r="F4409" s="1886"/>
      <c r="O4409"/>
    </row>
    <row r="4410" spans="1:15" ht="15.75" thickBot="1"/>
    <row r="4411" spans="1:15">
      <c r="A4411" s="3572"/>
      <c r="B4411" s="3636"/>
      <c r="C4411" s="3636"/>
      <c r="D4411" s="3636"/>
      <c r="E4411" s="3636"/>
      <c r="F4411" s="3559"/>
      <c r="O4411"/>
    </row>
    <row r="4412" spans="1:15">
      <c r="A4412" s="3996"/>
      <c r="B4412" s="3626"/>
      <c r="C4412" s="3626"/>
      <c r="D4412" s="3626"/>
      <c r="E4412" s="3626"/>
      <c r="F4412" s="3627"/>
      <c r="O4412"/>
    </row>
    <row r="4413" spans="1:15">
      <c r="A4413" s="1899" t="s">
        <v>2886</v>
      </c>
      <c r="B4413" s="1884" t="s">
        <v>115</v>
      </c>
      <c r="C4413" s="1900" t="s">
        <v>1644</v>
      </c>
      <c r="D4413" s="1884"/>
      <c r="E4413" s="1901">
        <f t="shared" ref="E4413:E4421" si="75">(G4413-F4413)/G4413</f>
        <v>0.14930555555555547</v>
      </c>
      <c r="F4413" s="1902">
        <v>2.4500000000000002</v>
      </c>
      <c r="G4413">
        <v>2.88</v>
      </c>
      <c r="O4413"/>
    </row>
    <row r="4414" spans="1:15">
      <c r="A4414" s="1899"/>
      <c r="B4414" s="1884"/>
      <c r="C4414" s="1900" t="s">
        <v>2273</v>
      </c>
      <c r="D4414" s="1884"/>
      <c r="E4414" s="1901">
        <f t="shared" si="75"/>
        <v>9.9783080260303678E-2</v>
      </c>
      <c r="F4414" s="1902">
        <v>16.600000000000001</v>
      </c>
      <c r="G4414">
        <v>18.440000000000001</v>
      </c>
      <c r="O4414"/>
    </row>
    <row r="4415" spans="1:15">
      <c r="A4415" s="1899"/>
      <c r="B4415" s="1884"/>
      <c r="C4415" s="1900" t="s">
        <v>71</v>
      </c>
      <c r="D4415" s="1884"/>
      <c r="E4415" s="1901">
        <f t="shared" si="75"/>
        <v>9.9783080260303678E-2</v>
      </c>
      <c r="F4415" s="1902">
        <v>16.600000000000001</v>
      </c>
      <c r="G4415">
        <v>18.440000000000001</v>
      </c>
      <c r="O4415"/>
    </row>
    <row r="4416" spans="1:15">
      <c r="A4416" s="1899"/>
      <c r="B4416" s="1884"/>
      <c r="C4416" s="1900" t="s">
        <v>1883</v>
      </c>
      <c r="D4416" s="1884"/>
      <c r="E4416" s="1901">
        <f t="shared" si="75"/>
        <v>9.9783080260303678E-2</v>
      </c>
      <c r="F4416" s="1902">
        <v>16.600000000000001</v>
      </c>
      <c r="G4416">
        <v>18.440000000000001</v>
      </c>
      <c r="O4416"/>
    </row>
    <row r="4417" spans="1:15">
      <c r="A4417" s="1899"/>
      <c r="B4417" s="1884"/>
      <c r="C4417" s="1900" t="s">
        <v>2276</v>
      </c>
      <c r="D4417" s="1884"/>
      <c r="E4417" s="1901">
        <f t="shared" si="75"/>
        <v>9.9783080260303678E-2</v>
      </c>
      <c r="F4417" s="1902">
        <v>16.600000000000001</v>
      </c>
      <c r="G4417">
        <v>18.440000000000001</v>
      </c>
      <c r="O4417"/>
    </row>
    <row r="4418" spans="1:15">
      <c r="A4418" s="1899"/>
      <c r="B4418" s="1884"/>
      <c r="C4418" s="1900" t="s">
        <v>2275</v>
      </c>
      <c r="D4418" s="1884"/>
      <c r="E4418" s="1901">
        <f t="shared" si="75"/>
        <v>0.10052219321148831</v>
      </c>
      <c r="F4418" s="1902">
        <v>6.89</v>
      </c>
      <c r="G4418">
        <v>7.66</v>
      </c>
      <c r="O4418"/>
    </row>
    <row r="4419" spans="1:15">
      <c r="A4419" s="1899"/>
      <c r="B4419" s="1884"/>
      <c r="C4419" s="1900" t="s">
        <v>239</v>
      </c>
      <c r="D4419" s="1884"/>
      <c r="E4419" s="1901">
        <f t="shared" si="75"/>
        <v>0.10052219321148831</v>
      </c>
      <c r="F4419" s="1902">
        <v>6.89</v>
      </c>
      <c r="G4419">
        <v>7.66</v>
      </c>
      <c r="O4419"/>
    </row>
    <row r="4420" spans="1:15">
      <c r="A4420" s="1899"/>
      <c r="B4420" s="1884"/>
      <c r="C4420" s="1900" t="s">
        <v>2271</v>
      </c>
      <c r="D4420" s="1884"/>
      <c r="E4420" s="1901">
        <f t="shared" si="75"/>
        <v>0.10052219321148831</v>
      </c>
      <c r="F4420" s="1902">
        <v>6.89</v>
      </c>
      <c r="G4420">
        <v>7.66</v>
      </c>
      <c r="O4420"/>
    </row>
    <row r="4421" spans="1:15" ht="15.75" thickBot="1">
      <c r="A4421" s="1903"/>
      <c r="B4421" s="1826"/>
      <c r="C4421" s="1904" t="s">
        <v>238</v>
      </c>
      <c r="D4421" s="1826"/>
      <c r="E4421" s="1827">
        <f t="shared" si="75"/>
        <v>0.10052219321148831</v>
      </c>
      <c r="F4421" s="1905">
        <v>6.89</v>
      </c>
      <c r="G4421">
        <v>7.66</v>
      </c>
      <c r="O4421"/>
    </row>
    <row r="4423" spans="1:15" ht="15.75" thickBot="1"/>
    <row r="4424" spans="1:15">
      <c r="A4424" s="3572"/>
      <c r="B4424" s="3636"/>
      <c r="C4424" s="3636"/>
      <c r="D4424" s="3636"/>
      <c r="E4424" s="3636"/>
      <c r="F4424" s="3559"/>
      <c r="O4424"/>
    </row>
    <row r="4425" spans="1:15" ht="15.75" thickBot="1">
      <c r="A4425" s="3999"/>
      <c r="B4425" s="3994"/>
      <c r="C4425" s="3994"/>
      <c r="D4425" s="3994"/>
      <c r="E4425" s="3994"/>
      <c r="F4425" s="3850"/>
      <c r="O4425"/>
    </row>
    <row r="4426" spans="1:15">
      <c r="A4426" s="1539" t="s">
        <v>2915</v>
      </c>
      <c r="B4426" s="449" t="s">
        <v>106</v>
      </c>
      <c r="C4426" s="1949" t="s">
        <v>2916</v>
      </c>
      <c r="D4426" s="1949"/>
      <c r="E4426" s="1970">
        <f>(G4426-F4426)/G4426</f>
        <v>0.38012958963282945</v>
      </c>
      <c r="F4426" s="1971">
        <v>8.61</v>
      </c>
      <c r="G4426" s="39">
        <v>13.89</v>
      </c>
      <c r="O4426"/>
    </row>
    <row r="4427" spans="1:15">
      <c r="A4427" s="1712"/>
      <c r="B4427" s="1964"/>
      <c r="C4427" s="1949"/>
      <c r="D4427" s="1949"/>
      <c r="E4427" s="1970" t="e">
        <f>(G4427-F4427)/G4427</f>
        <v>#DIV/0!</v>
      </c>
      <c r="F4427" s="1971"/>
      <c r="O4427"/>
    </row>
    <row r="4428" spans="1:15">
      <c r="A4428" s="1712"/>
      <c r="B4428" s="1964"/>
      <c r="C4428" s="1949"/>
      <c r="D4428" s="1949"/>
      <c r="E4428" s="1970" t="e">
        <f>(G4428-F4428)/G4428</f>
        <v>#DIV/0!</v>
      </c>
      <c r="F4428" s="1971"/>
      <c r="O4428"/>
    </row>
    <row r="4430" spans="1:15" ht="15.75" thickBot="1"/>
    <row r="4431" spans="1:15">
      <c r="A4431" s="3593"/>
      <c r="B4431" s="3601"/>
      <c r="C4431" s="3601"/>
      <c r="D4431" s="3601"/>
      <c r="E4431" s="3601"/>
      <c r="F4431" s="3616"/>
      <c r="G4431" s="1260"/>
      <c r="O4431"/>
    </row>
    <row r="4432" spans="1:15" ht="15.75" thickBot="1">
      <c r="A4432" s="3933"/>
      <c r="B4432" s="3998"/>
      <c r="C4432" s="3998"/>
      <c r="D4432" s="3998"/>
      <c r="E4432" s="3998"/>
      <c r="F4432" s="3926"/>
      <c r="G4432" s="1260"/>
      <c r="O4432"/>
    </row>
    <row r="4433" spans="1:15">
      <c r="A4433" s="1381" t="s">
        <v>2919</v>
      </c>
      <c r="B4433" s="1382" t="s">
        <v>114</v>
      </c>
      <c r="C4433" s="1972" t="s">
        <v>2550</v>
      </c>
      <c r="D4433" s="1263"/>
      <c r="E4433" s="649">
        <f t="shared" ref="E4433:E4442" si="76">(G4433-F4433)/G4433</f>
        <v>0.29966703662597116</v>
      </c>
      <c r="F4433" s="1973">
        <v>6.31</v>
      </c>
      <c r="G4433" s="1260">
        <v>9.01</v>
      </c>
      <c r="O4433"/>
    </row>
    <row r="4434" spans="1:15">
      <c r="A4434" s="1381"/>
      <c r="B4434" s="1382"/>
      <c r="C4434" s="1972" t="s">
        <v>2551</v>
      </c>
      <c r="D4434" s="1263"/>
      <c r="E4434" s="649">
        <f t="shared" si="76"/>
        <v>0.29966703662597116</v>
      </c>
      <c r="F4434" s="1973">
        <v>6.31</v>
      </c>
      <c r="G4434" s="1260">
        <v>9.01</v>
      </c>
      <c r="O4434"/>
    </row>
    <row r="4435" spans="1:15">
      <c r="A4435" s="1381"/>
      <c r="B4435" s="1382"/>
      <c r="C4435" s="1972" t="s">
        <v>2552</v>
      </c>
      <c r="D4435" s="1263"/>
      <c r="E4435" s="649">
        <f t="shared" si="76"/>
        <v>0.29966703662597116</v>
      </c>
      <c r="F4435" s="1973">
        <v>6.31</v>
      </c>
      <c r="G4435" s="1260">
        <v>9.01</v>
      </c>
      <c r="O4435"/>
    </row>
    <row r="4436" spans="1:15">
      <c r="A4436" s="1381"/>
      <c r="B4436" s="1382"/>
      <c r="C4436" s="1972" t="s">
        <v>2553</v>
      </c>
      <c r="D4436" s="1263"/>
      <c r="E4436" s="649">
        <f t="shared" si="76"/>
        <v>0.29966703662597116</v>
      </c>
      <c r="F4436" s="1973">
        <v>6.31</v>
      </c>
      <c r="G4436" s="1260">
        <v>9.01</v>
      </c>
      <c r="O4436"/>
    </row>
    <row r="4437" spans="1:15">
      <c r="A4437" s="1381"/>
      <c r="B4437" s="1382"/>
      <c r="C4437" s="1972" t="s">
        <v>1763</v>
      </c>
      <c r="D4437" s="1263"/>
      <c r="E4437" s="649">
        <f t="shared" si="76"/>
        <v>0.17009916094584276</v>
      </c>
      <c r="F4437" s="1973">
        <v>21.76</v>
      </c>
      <c r="G4437" s="1260">
        <v>26.22</v>
      </c>
      <c r="O4437"/>
    </row>
    <row r="4438" spans="1:15">
      <c r="A4438" s="1381"/>
      <c r="B4438" s="1382"/>
      <c r="C4438" s="1972" t="s">
        <v>1556</v>
      </c>
      <c r="D4438" s="1263"/>
      <c r="E4438" s="649">
        <f t="shared" si="76"/>
        <v>0.17009916094584276</v>
      </c>
      <c r="F4438" s="1973">
        <v>21.76</v>
      </c>
      <c r="G4438" s="1260">
        <v>26.22</v>
      </c>
      <c r="O4438"/>
    </row>
    <row r="4439" spans="1:15">
      <c r="A4439" s="1381"/>
      <c r="B4439" s="1382"/>
      <c r="C4439" s="1972" t="s">
        <v>1557</v>
      </c>
      <c r="D4439" s="1263"/>
      <c r="E4439" s="649">
        <f t="shared" si="76"/>
        <v>0.17009916094584276</v>
      </c>
      <c r="F4439" s="1973">
        <v>21.76</v>
      </c>
      <c r="G4439" s="1260">
        <v>26.22</v>
      </c>
      <c r="O4439"/>
    </row>
    <row r="4440" spans="1:15">
      <c r="A4440" s="1381"/>
      <c r="B4440" s="1382"/>
      <c r="C4440" s="1972" t="s">
        <v>1555</v>
      </c>
      <c r="D4440" s="1263"/>
      <c r="E4440" s="649">
        <f t="shared" si="76"/>
        <v>0.17009916094584276</v>
      </c>
      <c r="F4440" s="1973">
        <v>21.76</v>
      </c>
      <c r="G4440" s="1260">
        <v>26.22</v>
      </c>
      <c r="O4440"/>
    </row>
    <row r="4441" spans="1:15">
      <c r="A4441" s="1381"/>
      <c r="B4441" s="1382"/>
      <c r="C4441" s="1972" t="s">
        <v>1810</v>
      </c>
      <c r="D4441" s="1263"/>
      <c r="E4441" s="649">
        <f t="shared" si="76"/>
        <v>0.17009916094584276</v>
      </c>
      <c r="F4441" s="1973">
        <v>21.76</v>
      </c>
      <c r="G4441" s="1260">
        <v>26.22</v>
      </c>
      <c r="O4441"/>
    </row>
    <row r="4442" spans="1:15" ht="16.5" thickBot="1">
      <c r="A4442" s="1388"/>
      <c r="B4442" s="1974"/>
      <c r="C4442" s="1975"/>
      <c r="D4442" s="1974"/>
      <c r="E4442" s="1557" t="e">
        <f t="shared" si="76"/>
        <v>#DIV/0!</v>
      </c>
      <c r="F4442" s="1391"/>
      <c r="G4442" s="1260"/>
      <c r="O4442"/>
    </row>
    <row r="4443" spans="1:15" ht="15.75" thickBot="1"/>
    <row r="4444" spans="1:15">
      <c r="A4444" s="3572"/>
      <c r="B4444" s="3636"/>
      <c r="C4444" s="3636"/>
      <c r="D4444" s="3636"/>
      <c r="E4444" s="3636"/>
      <c r="F4444" s="3559"/>
      <c r="O4444"/>
    </row>
    <row r="4445" spans="1:15">
      <c r="A4445" s="3635"/>
      <c r="B4445" s="4003"/>
      <c r="C4445" s="4003"/>
      <c r="D4445" s="4003"/>
      <c r="E4445" s="4003"/>
      <c r="F4445" s="4004"/>
      <c r="O4445"/>
    </row>
    <row r="4446" spans="1:15">
      <c r="A4446" s="1712" t="s">
        <v>2920</v>
      </c>
      <c r="B4446" s="1976" t="s">
        <v>106</v>
      </c>
      <c r="C4446" s="1977" t="s">
        <v>686</v>
      </c>
      <c r="D4446" s="1978"/>
      <c r="E4446" s="1979">
        <f>(G4446-F4446)/G4446</f>
        <v>0.32195121951219513</v>
      </c>
      <c r="F4446" s="1980">
        <v>1.39</v>
      </c>
      <c r="G4446" s="436">
        <v>2.0499999999999998</v>
      </c>
      <c r="O4446"/>
    </row>
    <row r="4447" spans="1:15">
      <c r="A4447" s="1712"/>
      <c r="B4447" s="1976"/>
      <c r="C4447" s="1977" t="s">
        <v>687</v>
      </c>
      <c r="D4447" s="1978"/>
      <c r="E4447" s="1979">
        <f>(G4447-F4447)/G4447</f>
        <v>0.32195121951219513</v>
      </c>
      <c r="F4447" s="1980">
        <v>1.39</v>
      </c>
      <c r="G4447" s="429">
        <v>2.0499999999999998</v>
      </c>
      <c r="O4447"/>
    </row>
    <row r="4448" spans="1:15">
      <c r="A4448" s="1712"/>
      <c r="B4448" s="1976"/>
      <c r="C4448" s="1977" t="s">
        <v>858</v>
      </c>
      <c r="D4448" s="1978"/>
      <c r="E4448" s="1979">
        <f>(G4448-F4448)/G4448</f>
        <v>0.3</v>
      </c>
      <c r="F4448" s="1980">
        <v>0.63</v>
      </c>
      <c r="G4448" s="429">
        <v>0.9</v>
      </c>
      <c r="O4448"/>
    </row>
    <row r="4449" spans="1:15" ht="15.75" thickBot="1">
      <c r="A4449" s="1315"/>
      <c r="B4449" s="1718"/>
      <c r="C4449" s="1981" t="s">
        <v>1268</v>
      </c>
      <c r="D4449" s="1718"/>
      <c r="E4449" s="1719">
        <f>(G4449-F4449)/G4449</f>
        <v>0.30392156862745101</v>
      </c>
      <c r="F4449" s="1905">
        <v>0.71</v>
      </c>
      <c r="G4449" s="429">
        <v>1.02</v>
      </c>
      <c r="O4449"/>
    </row>
    <row r="4452" spans="1:15" ht="15.75" thickBot="1"/>
    <row r="4453" spans="1:15">
      <c r="A4453" s="3593"/>
      <c r="B4453" s="3922"/>
      <c r="C4453" s="3922"/>
      <c r="D4453" s="3922"/>
      <c r="E4453" s="3922"/>
      <c r="F4453" s="3616"/>
      <c r="G4453" s="1260"/>
      <c r="O4453"/>
    </row>
    <row r="4454" spans="1:15" ht="15.75" thickBot="1">
      <c r="A4454" s="3933"/>
      <c r="B4454" s="4002"/>
      <c r="C4454" s="4002"/>
      <c r="D4454" s="4002"/>
      <c r="E4454" s="4002"/>
      <c r="F4454" s="3926"/>
      <c r="G4454" s="1260"/>
      <c r="O4454"/>
    </row>
    <row r="4455" spans="1:15">
      <c r="A4455" s="1381" t="s">
        <v>2922</v>
      </c>
      <c r="B4455" s="1382" t="s">
        <v>114</v>
      </c>
      <c r="C4455" s="1956" t="s">
        <v>623</v>
      </c>
      <c r="D4455" s="1263"/>
      <c r="E4455" s="649">
        <f>(G4455-F4455)/G4455</f>
        <v>0.30150753768844224</v>
      </c>
      <c r="F4455" s="1982">
        <v>1.39</v>
      </c>
      <c r="G4455" s="1260">
        <v>1.99</v>
      </c>
      <c r="O4455"/>
    </row>
    <row r="4456" spans="1:15" ht="15.75" thickBot="1"/>
    <row r="4457" spans="1:15">
      <c r="A4457" s="3572"/>
      <c r="B4457" s="3636"/>
      <c r="C4457" s="3636"/>
      <c r="D4457" s="3636"/>
      <c r="E4457" s="3636"/>
      <c r="F4457" s="3559"/>
    </row>
    <row r="4458" spans="1:15">
      <c r="A4458" s="4005"/>
      <c r="B4458" s="4006"/>
      <c r="C4458" s="4006"/>
      <c r="D4458" s="4006"/>
      <c r="E4458" s="4006"/>
      <c r="F4458" s="4007"/>
    </row>
    <row r="4459" spans="1:15">
      <c r="A4459" s="2019" t="s">
        <v>2934</v>
      </c>
      <c r="B4459" s="2020" t="s">
        <v>115</v>
      </c>
      <c r="C4459" s="2021" t="s">
        <v>869</v>
      </c>
      <c r="D4459" s="2022">
        <v>1.1100000000000001</v>
      </c>
      <c r="E4459" s="2023">
        <f>(G4459-F4459)/G4459</f>
        <v>0.12598425196850388</v>
      </c>
      <c r="F4459" s="2024">
        <v>1.1100000000000001</v>
      </c>
      <c r="G4459" s="541">
        <v>1.27</v>
      </c>
    </row>
    <row r="4460" spans="1:15">
      <c r="A4460" s="2019"/>
      <c r="B4460" s="2020"/>
      <c r="C4460" s="2021" t="s">
        <v>870</v>
      </c>
      <c r="D4460" s="2022">
        <v>1.1100000000000001</v>
      </c>
      <c r="E4460" s="2023">
        <f>(G4460-F4460)/G4460</f>
        <v>0.12598425196850388</v>
      </c>
      <c r="F4460" s="2024">
        <v>1.1100000000000001</v>
      </c>
      <c r="G4460" s="541">
        <v>1.27</v>
      </c>
    </row>
    <row r="4461" spans="1:15">
      <c r="A4461" s="2019"/>
      <c r="B4461" s="2020"/>
      <c r="C4461" s="2021" t="s">
        <v>940</v>
      </c>
      <c r="D4461" s="2022">
        <v>5.94</v>
      </c>
      <c r="E4461" s="2023">
        <f>(G4461-F4461)/G4461</f>
        <v>0.13030746705710097</v>
      </c>
      <c r="F4461" s="2024">
        <v>5.94</v>
      </c>
      <c r="G4461" s="541">
        <v>6.83</v>
      </c>
    </row>
    <row r="4462" spans="1:15" ht="15.75" thickBot="1">
      <c r="A4462" s="1903"/>
      <c r="B4462" s="2001"/>
      <c r="C4462" s="2025" t="s">
        <v>786</v>
      </c>
      <c r="D4462" s="2026">
        <v>5.94</v>
      </c>
      <c r="E4462" s="2027">
        <f>(G4462-F4462)/G4462</f>
        <v>0.13030746705710097</v>
      </c>
      <c r="F4462" s="1905">
        <v>5.94</v>
      </c>
      <c r="G4462" s="541">
        <v>6.83</v>
      </c>
    </row>
    <row r="4464" spans="1:15" ht="15.75" thickBot="1"/>
    <row r="4465" spans="1:15">
      <c r="A4465" s="3572"/>
      <c r="B4465" s="3636"/>
      <c r="C4465" s="3636"/>
      <c r="D4465" s="3636"/>
      <c r="E4465" s="3636"/>
      <c r="F4465" s="3559"/>
      <c r="O4465"/>
    </row>
    <row r="4466" spans="1:15" ht="15.75" thickBot="1">
      <c r="A4466" s="3844"/>
      <c r="B4466" s="4001"/>
      <c r="C4466" s="4001"/>
      <c r="D4466" s="4001"/>
      <c r="E4466" s="4001"/>
      <c r="F4466" s="3848"/>
      <c r="O4466"/>
    </row>
    <row r="4467" spans="1:15">
      <c r="A4467" s="1410" t="s">
        <v>2935</v>
      </c>
      <c r="B4467" s="485" t="s">
        <v>106</v>
      </c>
      <c r="C4467" s="2028" t="s">
        <v>940</v>
      </c>
      <c r="D4467" s="5"/>
      <c r="E4467" s="649">
        <f t="shared" ref="E4467:E4481" si="77">(G4467-F4467)/G4467</f>
        <v>0.16049382716049382</v>
      </c>
      <c r="F4467" s="2029">
        <v>6.12</v>
      </c>
      <c r="G4467">
        <v>7.29</v>
      </c>
      <c r="O4467"/>
    </row>
    <row r="4468" spans="1:15">
      <c r="A4468" s="2030"/>
      <c r="B4468" s="1921"/>
      <c r="C4468" s="2031" t="s">
        <v>786</v>
      </c>
      <c r="D4468" s="1777"/>
      <c r="E4468" s="2032">
        <f t="shared" si="77"/>
        <v>0.16049382716049382</v>
      </c>
      <c r="F4468" s="2033">
        <v>6.12</v>
      </c>
      <c r="G4468">
        <v>7.29</v>
      </c>
      <c r="O4468"/>
    </row>
    <row r="4469" spans="1:15">
      <c r="A4469" s="2030"/>
      <c r="B4469" s="1921"/>
      <c r="C4469" s="2031" t="s">
        <v>2461</v>
      </c>
      <c r="D4469" s="1777"/>
      <c r="E4469" s="2032">
        <f t="shared" si="77"/>
        <v>0.13043478260869565</v>
      </c>
      <c r="F4469" s="2033">
        <v>0.2</v>
      </c>
      <c r="G4469">
        <v>0.23</v>
      </c>
      <c r="O4469"/>
    </row>
    <row r="4470" spans="1:15">
      <c r="A4470" s="2030"/>
      <c r="B4470" s="1921"/>
      <c r="C4470" s="2031" t="s">
        <v>231</v>
      </c>
      <c r="D4470" s="1777"/>
      <c r="E4470" s="2032">
        <f t="shared" si="77"/>
        <v>0.15286624203821655</v>
      </c>
      <c r="F4470" s="2033">
        <v>1.33</v>
      </c>
      <c r="G4470">
        <v>1.57</v>
      </c>
      <c r="O4470"/>
    </row>
    <row r="4471" spans="1:15">
      <c r="A4471" s="2030"/>
      <c r="B4471" s="1921"/>
      <c r="C4471" s="2031" t="s">
        <v>1346</v>
      </c>
      <c r="D4471" s="1777"/>
      <c r="E4471" s="2032">
        <f t="shared" si="77"/>
        <v>0.13043478260869565</v>
      </c>
      <c r="F4471" s="2033">
        <v>0.2</v>
      </c>
      <c r="G4471">
        <v>0.23</v>
      </c>
      <c r="O4471"/>
    </row>
    <row r="4472" spans="1:15">
      <c r="A4472" s="2030"/>
      <c r="B4472" s="1921"/>
      <c r="C4472" s="2031" t="s">
        <v>1347</v>
      </c>
      <c r="D4472" s="1777"/>
      <c r="E4472" s="2032">
        <f t="shared" si="77"/>
        <v>0.13043478260869565</v>
      </c>
      <c r="F4472" s="2033">
        <v>0.2</v>
      </c>
      <c r="G4472">
        <v>0.23</v>
      </c>
      <c r="O4472"/>
    </row>
    <row r="4473" spans="1:15">
      <c r="A4473" s="2030"/>
      <c r="B4473" s="1921"/>
      <c r="C4473" s="2031" t="s">
        <v>1326</v>
      </c>
      <c r="D4473" s="1777"/>
      <c r="E4473" s="2032">
        <f t="shared" si="77"/>
        <v>0.13043478260869565</v>
      </c>
      <c r="F4473" s="2033">
        <v>0.2</v>
      </c>
      <c r="G4473">
        <v>0.23</v>
      </c>
      <c r="O4473"/>
    </row>
    <row r="4474" spans="1:15">
      <c r="A4474" s="2030"/>
      <c r="B4474" s="1921"/>
      <c r="C4474" s="2031" t="s">
        <v>1327</v>
      </c>
      <c r="D4474" s="1777"/>
      <c r="E4474" s="2032">
        <f t="shared" si="77"/>
        <v>0.13043478260869565</v>
      </c>
      <c r="F4474" s="2033">
        <v>0.2</v>
      </c>
      <c r="G4474">
        <v>0.23</v>
      </c>
      <c r="O4474"/>
    </row>
    <row r="4475" spans="1:15">
      <c r="A4475" s="2030"/>
      <c r="B4475" s="1921"/>
      <c r="C4475" s="2031" t="s">
        <v>1325</v>
      </c>
      <c r="D4475" s="1777"/>
      <c r="E4475" s="2032">
        <f t="shared" si="77"/>
        <v>0.13043478260869565</v>
      </c>
      <c r="F4475" s="2033">
        <v>0.2</v>
      </c>
      <c r="G4475">
        <v>0.23</v>
      </c>
      <c r="O4475"/>
    </row>
    <row r="4476" spans="1:15">
      <c r="A4476" s="2034"/>
      <c r="B4476" s="1777"/>
      <c r="C4476" s="2031" t="s">
        <v>1250</v>
      </c>
      <c r="D4476" s="1777"/>
      <c r="E4476" s="2032">
        <f t="shared" si="77"/>
        <v>0.13043478260869565</v>
      </c>
      <c r="F4476" s="2033">
        <v>0.2</v>
      </c>
      <c r="G4476">
        <v>0.23</v>
      </c>
      <c r="O4476"/>
    </row>
    <row r="4477" spans="1:15">
      <c r="A4477" s="2034"/>
      <c r="B4477" s="1777"/>
      <c r="C4477" s="1777" t="s">
        <v>436</v>
      </c>
      <c r="D4477" s="1777"/>
      <c r="E4477" s="1776">
        <f t="shared" si="77"/>
        <v>0.14925373134328371</v>
      </c>
      <c r="F4477" s="1711">
        <v>1.1399999999999999</v>
      </c>
      <c r="G4477">
        <v>1.34</v>
      </c>
      <c r="O4477"/>
    </row>
    <row r="4478" spans="1:15">
      <c r="A4478" s="2034"/>
      <c r="B4478" s="1777"/>
      <c r="C4478" s="1777" t="s">
        <v>1655</v>
      </c>
      <c r="D4478" s="1777"/>
      <c r="E4478" s="1776">
        <f t="shared" si="77"/>
        <v>0.15</v>
      </c>
      <c r="F4478" s="1711">
        <v>1.19</v>
      </c>
      <c r="G4478">
        <v>1.4</v>
      </c>
      <c r="O4478"/>
    </row>
    <row r="4479" spans="1:15">
      <c r="A4479" s="2034"/>
      <c r="B4479" s="1777"/>
      <c r="C4479" s="1777" t="s">
        <v>623</v>
      </c>
      <c r="D4479" s="1777"/>
      <c r="E4479" s="1776">
        <f t="shared" si="77"/>
        <v>0.15075376884422112</v>
      </c>
      <c r="F4479" s="1711">
        <v>1.69</v>
      </c>
      <c r="G4479">
        <v>1.99</v>
      </c>
      <c r="O4479"/>
    </row>
    <row r="4480" spans="1:15">
      <c r="A4480" s="2034"/>
      <c r="B4480" s="1777"/>
      <c r="C4480" s="1777" t="s">
        <v>1772</v>
      </c>
      <c r="D4480" s="1777"/>
      <c r="E4480" s="1776">
        <f t="shared" si="77"/>
        <v>0.15075376884422112</v>
      </c>
      <c r="F4480" s="1711">
        <v>1.69</v>
      </c>
      <c r="G4480">
        <v>1.99</v>
      </c>
      <c r="O4480"/>
    </row>
    <row r="4481" spans="1:15" ht="15.75" thickBot="1">
      <c r="A4481" s="1315"/>
      <c r="B4481" s="2035"/>
      <c r="C4481" s="2035" t="s">
        <v>2462</v>
      </c>
      <c r="D4481" s="2035"/>
      <c r="E4481" s="2036">
        <f t="shared" si="77"/>
        <v>0.15286624203821655</v>
      </c>
      <c r="F4481" s="1368">
        <v>1.33</v>
      </c>
      <c r="G4481">
        <v>1.57</v>
      </c>
      <c r="O4481"/>
    </row>
    <row r="4482" spans="1:15" ht="15.75" thickBot="1"/>
    <row r="4483" spans="1:15">
      <c r="A4483" s="3572"/>
      <c r="B4483" s="3636"/>
      <c r="C4483" s="3636"/>
      <c r="D4483" s="3636"/>
      <c r="E4483" s="3636"/>
      <c r="F4483" s="3559"/>
      <c r="O4483"/>
    </row>
    <row r="4484" spans="1:15" ht="15.75" thickBot="1">
      <c r="A4484" s="4008"/>
      <c r="B4484" s="3626"/>
      <c r="C4484" s="3626"/>
      <c r="D4484" s="3626"/>
      <c r="E4484" s="3626"/>
      <c r="F4484" s="3627"/>
      <c r="O4484"/>
    </row>
    <row r="4485" spans="1:15">
      <c r="A4485" s="1539" t="s">
        <v>2939</v>
      </c>
      <c r="B4485" s="449" t="s">
        <v>106</v>
      </c>
      <c r="C4485" s="2056" t="s">
        <v>2940</v>
      </c>
      <c r="D4485" s="2057"/>
      <c r="E4485" s="2058">
        <f t="shared" ref="E4485:E4496" si="78">(G4485-F4485)/G4485</f>
        <v>0.25149700598802394</v>
      </c>
      <c r="F4485" s="2059">
        <v>1.25</v>
      </c>
      <c r="G4485">
        <v>1.67</v>
      </c>
      <c r="O4485"/>
    </row>
    <row r="4486" spans="1:15">
      <c r="A4486" s="2030"/>
      <c r="B4486" s="2060"/>
      <c r="C4486" s="2061" t="s">
        <v>2941</v>
      </c>
      <c r="D4486" s="2062"/>
      <c r="E4486" s="2063">
        <f t="shared" si="78"/>
        <v>0.25149700598802394</v>
      </c>
      <c r="F4486" s="2024">
        <v>1.25</v>
      </c>
      <c r="G4486">
        <v>1.67</v>
      </c>
      <c r="O4486"/>
    </row>
    <row r="4487" spans="1:15">
      <c r="A4487" s="2030"/>
      <c r="B4487" s="2060"/>
      <c r="C4487" s="2061" t="s">
        <v>1258</v>
      </c>
      <c r="D4487" s="2062"/>
      <c r="E4487" s="2063">
        <f t="shared" si="78"/>
        <v>0.14990390775144138</v>
      </c>
      <c r="F4487" s="2024">
        <v>26.54</v>
      </c>
      <c r="G4487">
        <v>31.22</v>
      </c>
      <c r="O4487"/>
    </row>
    <row r="4488" spans="1:15">
      <c r="A4488" s="2030"/>
      <c r="B4488" s="2060"/>
      <c r="C4488" s="2061" t="s">
        <v>549</v>
      </c>
      <c r="D4488" s="2062"/>
      <c r="E4488" s="2063">
        <f t="shared" si="78"/>
        <v>0.14990390775144138</v>
      </c>
      <c r="F4488" s="2024">
        <v>26.54</v>
      </c>
      <c r="G4488">
        <v>31.22</v>
      </c>
      <c r="O4488"/>
    </row>
    <row r="4489" spans="1:15">
      <c r="A4489" s="2030"/>
      <c r="B4489" s="2060"/>
      <c r="C4489" s="2061" t="s">
        <v>550</v>
      </c>
      <c r="D4489" s="2062"/>
      <c r="E4489" s="2063">
        <f t="shared" si="78"/>
        <v>0.1501310370647698</v>
      </c>
      <c r="F4489" s="2024">
        <v>22.7</v>
      </c>
      <c r="G4489">
        <v>26.71</v>
      </c>
      <c r="O4489"/>
    </row>
    <row r="4490" spans="1:15">
      <c r="A4490" s="2030"/>
      <c r="B4490" s="2060"/>
      <c r="C4490" s="2061" t="s">
        <v>1259</v>
      </c>
      <c r="D4490" s="2062"/>
      <c r="E4490" s="2063">
        <f t="shared" si="78"/>
        <v>0.1501310370647698</v>
      </c>
      <c r="F4490" s="2024">
        <v>22.7</v>
      </c>
      <c r="G4490">
        <v>26.71</v>
      </c>
      <c r="O4490"/>
    </row>
    <row r="4491" spans="1:15">
      <c r="A4491" s="2030"/>
      <c r="B4491" s="2060"/>
      <c r="C4491" s="2061" t="s">
        <v>1263</v>
      </c>
      <c r="D4491" s="2062"/>
      <c r="E4491" s="2063">
        <f t="shared" si="78"/>
        <v>0.15151515151515146</v>
      </c>
      <c r="F4491" s="2024">
        <v>2.2400000000000002</v>
      </c>
      <c r="G4491">
        <v>2.64</v>
      </c>
      <c r="O4491"/>
    </row>
    <row r="4492" spans="1:15">
      <c r="A4492" s="2030"/>
      <c r="B4492" s="2060"/>
      <c r="C4492" s="2061" t="s">
        <v>153</v>
      </c>
      <c r="D4492" s="2062"/>
      <c r="E4492" s="2063">
        <f t="shared" si="78"/>
        <v>0.20192307692307698</v>
      </c>
      <c r="F4492" s="2024">
        <v>0.83</v>
      </c>
      <c r="G4492">
        <v>1.04</v>
      </c>
      <c r="O4492"/>
    </row>
    <row r="4493" spans="1:15">
      <c r="A4493" s="2030"/>
      <c r="B4493" s="2060"/>
      <c r="C4493" s="2061" t="s">
        <v>452</v>
      </c>
      <c r="D4493" s="2062"/>
      <c r="E4493" s="2063">
        <f t="shared" si="78"/>
        <v>0.20353982300884946</v>
      </c>
      <c r="F4493" s="2024">
        <v>0.9</v>
      </c>
      <c r="G4493">
        <v>1.1299999999999999</v>
      </c>
      <c r="O4493"/>
    </row>
    <row r="4494" spans="1:15">
      <c r="A4494" s="2034"/>
      <c r="B4494" s="2064"/>
      <c r="C4494" s="2061" t="s">
        <v>155</v>
      </c>
      <c r="D4494" s="2062"/>
      <c r="E4494" s="2063">
        <f t="shared" si="78"/>
        <v>0.20353982300884946</v>
      </c>
      <c r="F4494" s="2024">
        <v>0.9</v>
      </c>
      <c r="G4494">
        <v>1.1299999999999999</v>
      </c>
      <c r="O4494"/>
    </row>
    <row r="4495" spans="1:15">
      <c r="A4495" s="2034"/>
      <c r="B4495" s="2064"/>
      <c r="C4495" s="2061" t="s">
        <v>2207</v>
      </c>
      <c r="D4495" s="2062"/>
      <c r="E4495" s="2065">
        <f t="shared" si="78"/>
        <v>0.30508474576271188</v>
      </c>
      <c r="F4495" s="2024">
        <v>0.41</v>
      </c>
      <c r="G4495">
        <v>0.59</v>
      </c>
      <c r="O4495"/>
    </row>
    <row r="4496" spans="1:15" ht="15.75" thickBot="1">
      <c r="A4496" s="1315"/>
      <c r="B4496" s="2035"/>
      <c r="C4496" s="2066" t="s">
        <v>906</v>
      </c>
      <c r="D4496" s="2067"/>
      <c r="E4496" s="2068">
        <f t="shared" si="78"/>
        <v>0.30172413793103436</v>
      </c>
      <c r="F4496" s="1905">
        <v>0.81</v>
      </c>
      <c r="G4496">
        <v>1.1599999999999999</v>
      </c>
      <c r="O4496"/>
    </row>
    <row r="4498" spans="1:15" ht="15.75" thickBot="1"/>
    <row r="4499" spans="1:15">
      <c r="A4499" s="3572"/>
      <c r="B4499" s="3636"/>
      <c r="C4499" s="3636"/>
      <c r="D4499" s="3636"/>
      <c r="E4499" s="3636"/>
      <c r="F4499" s="3559"/>
      <c r="O4499"/>
    </row>
    <row r="4500" spans="1:15" ht="15.75" thickBot="1">
      <c r="A4500" s="4009"/>
      <c r="B4500" s="3628"/>
      <c r="C4500" s="3628"/>
      <c r="D4500" s="3628"/>
      <c r="E4500" s="3628"/>
      <c r="F4500" s="3629"/>
      <c r="O4500"/>
    </row>
    <row r="4501" spans="1:15">
      <c r="A4501" s="2135" t="s">
        <v>2967</v>
      </c>
      <c r="B4501" s="449" t="s">
        <v>115</v>
      </c>
      <c r="C4501" s="2056" t="s">
        <v>1563</v>
      </c>
      <c r="D4501" s="449"/>
      <c r="E4501" s="1364">
        <f t="shared" ref="E4501:E4510" si="79">(G4501-F4501)/G4501</f>
        <v>0.15044247787610615</v>
      </c>
      <c r="F4501" s="2059">
        <v>0.96</v>
      </c>
      <c r="G4501">
        <v>1.1299999999999999</v>
      </c>
      <c r="O4501"/>
    </row>
    <row r="4502" spans="1:15">
      <c r="A4502" s="2136"/>
      <c r="B4502" s="2060"/>
      <c r="C4502" s="2061" t="s">
        <v>730</v>
      </c>
      <c r="D4502" s="2060"/>
      <c r="E4502" s="2137">
        <f t="shared" si="79"/>
        <v>0.15584415584415584</v>
      </c>
      <c r="F4502" s="2138">
        <v>0.65</v>
      </c>
      <c r="G4502">
        <v>0.77</v>
      </c>
      <c r="O4502"/>
    </row>
    <row r="4503" spans="1:15">
      <c r="A4503" s="2136"/>
      <c r="B4503" s="2060"/>
      <c r="C4503" s="2061" t="s">
        <v>2425</v>
      </c>
      <c r="D4503" s="2060"/>
      <c r="E4503" s="2137">
        <f t="shared" si="79"/>
        <v>9.7297297297297386E-2</v>
      </c>
      <c r="F4503" s="2138">
        <v>1.67</v>
      </c>
      <c r="G4503">
        <v>1.85</v>
      </c>
      <c r="O4503"/>
    </row>
    <row r="4504" spans="1:15">
      <c r="A4504" s="2136"/>
      <c r="B4504" s="2060"/>
      <c r="C4504" s="2061" t="s">
        <v>2426</v>
      </c>
      <c r="D4504" s="2060"/>
      <c r="E4504" s="2137">
        <f t="shared" si="79"/>
        <v>9.7297297297297386E-2</v>
      </c>
      <c r="F4504" s="2138">
        <v>1.67</v>
      </c>
      <c r="G4504">
        <v>1.85</v>
      </c>
      <c r="O4504"/>
    </row>
    <row r="4505" spans="1:15">
      <c r="A4505" s="2136"/>
      <c r="B4505" s="2060"/>
      <c r="C4505" s="2061" t="s">
        <v>2801</v>
      </c>
      <c r="D4505" s="2060"/>
      <c r="E4505" s="2137">
        <f t="shared" si="79"/>
        <v>9.876543209876551E-2</v>
      </c>
      <c r="F4505" s="2138">
        <v>1.46</v>
      </c>
      <c r="G4505">
        <v>1.62</v>
      </c>
      <c r="O4505"/>
    </row>
    <row r="4506" spans="1:15">
      <c r="A4506" s="2136"/>
      <c r="B4506" s="2060"/>
      <c r="C4506" s="2061" t="s">
        <v>2802</v>
      </c>
      <c r="D4506" s="2060"/>
      <c r="E4506" s="2137">
        <f t="shared" si="79"/>
        <v>9.876543209876551E-2</v>
      </c>
      <c r="F4506" s="2138">
        <v>1.46</v>
      </c>
      <c r="G4506">
        <v>1.62</v>
      </c>
      <c r="O4506"/>
    </row>
    <row r="4507" spans="1:15">
      <c r="A4507" s="2136"/>
      <c r="B4507" s="2060"/>
      <c r="C4507" s="2061" t="s">
        <v>1090</v>
      </c>
      <c r="D4507" s="2060"/>
      <c r="E4507" s="2137">
        <f t="shared" si="79"/>
        <v>0.15037593984962419</v>
      </c>
      <c r="F4507" s="2138">
        <v>1.1299999999999999</v>
      </c>
      <c r="G4507">
        <v>1.33</v>
      </c>
      <c r="O4507"/>
    </row>
    <row r="4508" spans="1:15">
      <c r="A4508" s="2136"/>
      <c r="B4508" s="2060"/>
      <c r="C4508" s="2061" t="s">
        <v>1091</v>
      </c>
      <c r="D4508" s="2060"/>
      <c r="E4508" s="2137">
        <f t="shared" si="79"/>
        <v>0.15037593984962419</v>
      </c>
      <c r="F4508" s="2138">
        <v>1.1299999999999999</v>
      </c>
      <c r="G4508">
        <v>1.33</v>
      </c>
      <c r="O4508"/>
    </row>
    <row r="4509" spans="1:15">
      <c r="A4509" s="2136"/>
      <c r="B4509" s="2060"/>
      <c r="C4509" s="2061" t="s">
        <v>1092</v>
      </c>
      <c r="D4509" s="2060"/>
      <c r="E4509" s="2137">
        <f t="shared" si="79"/>
        <v>0.15037593984962419</v>
      </c>
      <c r="F4509" s="2138">
        <v>1.1299999999999999</v>
      </c>
      <c r="G4509">
        <v>1.33</v>
      </c>
      <c r="O4509"/>
    </row>
    <row r="4510" spans="1:15" ht="15.75" thickBot="1">
      <c r="A4510" s="1315"/>
      <c r="B4510" s="2123"/>
      <c r="C4510" s="2123" t="s">
        <v>920</v>
      </c>
      <c r="D4510" s="2123"/>
      <c r="E4510" s="2139">
        <f t="shared" si="79"/>
        <v>0.15068493150684931</v>
      </c>
      <c r="F4510" s="1368">
        <v>0.62</v>
      </c>
      <c r="G4510">
        <v>0.73</v>
      </c>
      <c r="O4510"/>
    </row>
    <row r="4511" spans="1:15" ht="15.75" thickBot="1">
      <c r="O4511"/>
    </row>
    <row r="4512" spans="1:15">
      <c r="A4512" s="3572"/>
      <c r="B4512" s="3636"/>
      <c r="C4512" s="3636"/>
      <c r="D4512" s="3636"/>
      <c r="E4512" s="3636"/>
      <c r="F4512" s="3559"/>
      <c r="O4512"/>
    </row>
    <row r="4513" spans="1:15" ht="15.75" thickBot="1">
      <c r="A4513" s="3677"/>
      <c r="B4513" s="3628"/>
      <c r="C4513" s="3628"/>
      <c r="D4513" s="3628"/>
      <c r="E4513" s="3628"/>
      <c r="F4513" s="3629"/>
      <c r="O4513"/>
    </row>
    <row r="4514" spans="1:15">
      <c r="A4514" s="1539" t="s">
        <v>2968</v>
      </c>
      <c r="B4514" s="449" t="s">
        <v>106</v>
      </c>
      <c r="C4514" s="2056" t="s">
        <v>2274</v>
      </c>
      <c r="D4514" s="2057"/>
      <c r="E4514" s="2058">
        <f t="shared" ref="E4514:E4532" si="80">(G4514-F4514)/G4514</f>
        <v>0.10106382978723402</v>
      </c>
      <c r="F4514" s="2059">
        <v>3.38</v>
      </c>
      <c r="G4514">
        <v>3.76</v>
      </c>
      <c r="O4514"/>
    </row>
    <row r="4515" spans="1:15">
      <c r="A4515" s="2140"/>
      <c r="B4515" s="2060"/>
      <c r="C4515" s="2061" t="s">
        <v>1497</v>
      </c>
      <c r="D4515" s="2062"/>
      <c r="E4515" s="2063">
        <f t="shared" si="80"/>
        <v>0.10106382978723402</v>
      </c>
      <c r="F4515" s="2138">
        <v>3.38</v>
      </c>
      <c r="G4515">
        <v>3.76</v>
      </c>
      <c r="O4515"/>
    </row>
    <row r="4516" spans="1:15">
      <c r="A4516" s="2140"/>
      <c r="B4516" s="2060"/>
      <c r="C4516" s="2061" t="s">
        <v>2275</v>
      </c>
      <c r="D4516" s="2062"/>
      <c r="E4516" s="2063">
        <f t="shared" si="80"/>
        <v>0.10035842293906799</v>
      </c>
      <c r="F4516" s="2138">
        <v>7.53</v>
      </c>
      <c r="G4516">
        <v>8.3699999999999992</v>
      </c>
      <c r="O4516"/>
    </row>
    <row r="4517" spans="1:15">
      <c r="A4517" s="2140"/>
      <c r="B4517" s="2060"/>
      <c r="C4517" s="2061" t="s">
        <v>239</v>
      </c>
      <c r="D4517" s="2062"/>
      <c r="E4517" s="2063">
        <f t="shared" si="80"/>
        <v>0.10035842293906799</v>
      </c>
      <c r="F4517" s="2138">
        <v>7.53</v>
      </c>
      <c r="G4517">
        <v>8.3699999999999992</v>
      </c>
      <c r="O4517"/>
    </row>
    <row r="4518" spans="1:15">
      <c r="A4518" s="2140"/>
      <c r="B4518" s="2060"/>
      <c r="C4518" s="2061" t="s">
        <v>2277</v>
      </c>
      <c r="D4518" s="2062"/>
      <c r="E4518" s="2063">
        <f t="shared" si="80"/>
        <v>0.10106382978723402</v>
      </c>
      <c r="F4518" s="2138">
        <v>3.38</v>
      </c>
      <c r="G4518">
        <v>3.76</v>
      </c>
      <c r="O4518"/>
    </row>
    <row r="4519" spans="1:15">
      <c r="A4519" s="2140"/>
      <c r="B4519" s="2060"/>
      <c r="C4519" s="2061" t="s">
        <v>1722</v>
      </c>
      <c r="D4519" s="2062"/>
      <c r="E4519" s="2063">
        <f t="shared" si="80"/>
        <v>0.10106382978723402</v>
      </c>
      <c r="F4519" s="2138">
        <v>3.38</v>
      </c>
      <c r="G4519">
        <v>3.76</v>
      </c>
      <c r="O4519"/>
    </row>
    <row r="4520" spans="1:15">
      <c r="A4520" s="2140"/>
      <c r="B4520" s="2060"/>
      <c r="C4520" s="2061" t="s">
        <v>2272</v>
      </c>
      <c r="D4520" s="2062"/>
      <c r="E4520" s="2063">
        <f t="shared" si="80"/>
        <v>0.10106382978723402</v>
      </c>
      <c r="F4520" s="2138">
        <v>3.38</v>
      </c>
      <c r="G4520">
        <v>3.76</v>
      </c>
      <c r="O4520"/>
    </row>
    <row r="4521" spans="1:15">
      <c r="A4521" s="2140"/>
      <c r="B4521" s="2060"/>
      <c r="C4521" s="2061" t="s">
        <v>1496</v>
      </c>
      <c r="D4521" s="2062"/>
      <c r="E4521" s="2063">
        <f t="shared" si="80"/>
        <v>0.10106382978723402</v>
      </c>
      <c r="F4521" s="2138">
        <v>3.38</v>
      </c>
      <c r="G4521">
        <v>3.76</v>
      </c>
      <c r="O4521"/>
    </row>
    <row r="4522" spans="1:15">
      <c r="A4522" s="2140"/>
      <c r="B4522" s="2060"/>
      <c r="C4522" s="2061" t="s">
        <v>2271</v>
      </c>
      <c r="D4522" s="2062"/>
      <c r="E4522" s="2063">
        <f t="shared" si="80"/>
        <v>0.10035842293906799</v>
      </c>
      <c r="F4522" s="2138">
        <v>7.53</v>
      </c>
      <c r="G4522">
        <v>8.3699999999999992</v>
      </c>
      <c r="O4522"/>
    </row>
    <row r="4523" spans="1:15">
      <c r="A4523" s="2141"/>
      <c r="B4523" s="2064"/>
      <c r="C4523" s="2061" t="s">
        <v>238</v>
      </c>
      <c r="D4523" s="2062"/>
      <c r="E4523" s="2063">
        <f t="shared" si="80"/>
        <v>0.10035842293906799</v>
      </c>
      <c r="F4523" s="2138">
        <v>7.53</v>
      </c>
      <c r="G4523">
        <v>8.3699999999999992</v>
      </c>
      <c r="O4523"/>
    </row>
    <row r="4524" spans="1:15">
      <c r="A4524" s="2141"/>
      <c r="B4524" s="2064"/>
      <c r="C4524" s="2061" t="s">
        <v>2273</v>
      </c>
      <c r="D4524" s="2062"/>
      <c r="E4524" s="2065">
        <f t="shared" si="80"/>
        <v>0.10024813895781637</v>
      </c>
      <c r="F4524" s="2138">
        <v>18.13</v>
      </c>
      <c r="G4524">
        <v>20.149999999999999</v>
      </c>
      <c r="O4524"/>
    </row>
    <row r="4525" spans="1:15">
      <c r="A4525" s="2141"/>
      <c r="B4525" s="2064"/>
      <c r="C4525" s="2061" t="s">
        <v>71</v>
      </c>
      <c r="D4525" s="2062"/>
      <c r="E4525" s="2065">
        <f t="shared" si="80"/>
        <v>0.10024813895781637</v>
      </c>
      <c r="F4525" s="2138">
        <v>18.13</v>
      </c>
      <c r="G4525">
        <v>20.149999999999999</v>
      </c>
      <c r="O4525"/>
    </row>
    <row r="4526" spans="1:15">
      <c r="A4526" s="2141"/>
      <c r="B4526" s="2064"/>
      <c r="C4526" s="2064" t="s">
        <v>1883</v>
      </c>
      <c r="D4526" s="2064"/>
      <c r="E4526" s="2048">
        <f t="shared" si="80"/>
        <v>0.10024813895781637</v>
      </c>
      <c r="F4526" s="2142">
        <v>18.13</v>
      </c>
      <c r="G4526">
        <v>20.149999999999999</v>
      </c>
      <c r="O4526"/>
    </row>
    <row r="4527" spans="1:15">
      <c r="A4527" s="2141"/>
      <c r="B4527" s="2064"/>
      <c r="C4527" s="2064" t="s">
        <v>2276</v>
      </c>
      <c r="D4527" s="2064"/>
      <c r="E4527" s="2048">
        <f t="shared" si="80"/>
        <v>0.10024813895781637</v>
      </c>
      <c r="F4527" s="2142">
        <v>18.13</v>
      </c>
      <c r="G4527">
        <v>20.149999999999999</v>
      </c>
      <c r="O4527"/>
    </row>
    <row r="4528" spans="1:15">
      <c r="A4528" s="2141"/>
      <c r="B4528" s="2064"/>
      <c r="C4528" s="2064" t="s">
        <v>2281</v>
      </c>
      <c r="D4528" s="2064"/>
      <c r="E4528" s="2048">
        <f t="shared" si="80"/>
        <v>0.10035842293906799</v>
      </c>
      <c r="F4528" s="2142">
        <v>7.53</v>
      </c>
      <c r="G4528">
        <v>8.3699999999999992</v>
      </c>
      <c r="O4528"/>
    </row>
    <row r="4529" spans="1:15">
      <c r="A4529" s="2141"/>
      <c r="B4529" s="2064"/>
      <c r="C4529" s="2064" t="s">
        <v>2282</v>
      </c>
      <c r="D4529" s="2064"/>
      <c r="E4529" s="2048">
        <f t="shared" si="80"/>
        <v>0.10035842293906799</v>
      </c>
      <c r="F4529" s="2142">
        <v>7.53</v>
      </c>
      <c r="G4529">
        <v>8.3699999999999992</v>
      </c>
      <c r="O4529"/>
    </row>
    <row r="4530" spans="1:15">
      <c r="A4530" s="2141"/>
      <c r="B4530" s="2064"/>
      <c r="C4530" s="2064" t="s">
        <v>2880</v>
      </c>
      <c r="D4530" s="2064"/>
      <c r="E4530" s="2048">
        <f t="shared" si="80"/>
        <v>0.10024813895781637</v>
      </c>
      <c r="F4530" s="2142">
        <v>18.13</v>
      </c>
      <c r="G4530">
        <v>20.149999999999999</v>
      </c>
      <c r="O4530"/>
    </row>
    <row r="4531" spans="1:15">
      <c r="A4531" s="2141"/>
      <c r="B4531" s="2064"/>
      <c r="C4531" s="2064" t="s">
        <v>2881</v>
      </c>
      <c r="D4531" s="2064"/>
      <c r="E4531" s="2048">
        <f t="shared" si="80"/>
        <v>0.10024813895781637</v>
      </c>
      <c r="F4531" s="2142">
        <v>18.13</v>
      </c>
      <c r="G4531">
        <v>20.149999999999999</v>
      </c>
      <c r="O4531"/>
    </row>
    <row r="4532" spans="1:15" ht="15.75" thickBot="1">
      <c r="A4532" s="1315"/>
      <c r="B4532" s="2123"/>
      <c r="C4532" s="2123" t="s">
        <v>1644</v>
      </c>
      <c r="D4532" s="2123"/>
      <c r="E4532" s="2143">
        <f t="shared" si="80"/>
        <v>0.14855072463768107</v>
      </c>
      <c r="F4532" s="1368">
        <v>2.35</v>
      </c>
      <c r="G4532">
        <v>2.76</v>
      </c>
      <c r="O4532"/>
    </row>
    <row r="4534" spans="1:15" ht="15.75" thickBot="1"/>
    <row r="4535" spans="1:15">
      <c r="A4535" s="3572"/>
      <c r="B4535" s="3636"/>
      <c r="C4535" s="3636"/>
      <c r="D4535" s="3636"/>
      <c r="E4535" s="3636"/>
      <c r="F4535" s="3559"/>
      <c r="O4535"/>
    </row>
    <row r="4536" spans="1:15" ht="15.75" thickBot="1">
      <c r="A4536" s="3677"/>
      <c r="B4536" s="3626"/>
      <c r="C4536" s="3626"/>
      <c r="D4536" s="3626"/>
      <c r="E4536" s="3626"/>
      <c r="F4536" s="3627"/>
      <c r="O4536"/>
    </row>
    <row r="4537" spans="1:15">
      <c r="A4537" s="1539" t="s">
        <v>2971</v>
      </c>
      <c r="B4537" s="449" t="s">
        <v>106</v>
      </c>
      <c r="C4537" s="1745" t="s">
        <v>2827</v>
      </c>
      <c r="D4537" s="2057"/>
      <c r="E4537" s="2058">
        <f>(G4537-F4537)/G4537</f>
        <v>0.19863013698630139</v>
      </c>
      <c r="F4537" s="2059">
        <v>1.17</v>
      </c>
      <c r="G4537">
        <v>1.46</v>
      </c>
      <c r="O4537"/>
    </row>
    <row r="4538" spans="1:15">
      <c r="A4538" s="2154"/>
      <c r="B4538" s="2060"/>
      <c r="C4538" s="2155" t="s">
        <v>2890</v>
      </c>
      <c r="D4538" s="2062"/>
      <c r="E4538" s="2063">
        <f>(G4538-F4538)/G4538</f>
        <v>0.19863013698630139</v>
      </c>
      <c r="F4538" s="2156">
        <v>1.17</v>
      </c>
      <c r="G4538">
        <v>1.46</v>
      </c>
      <c r="O4538"/>
    </row>
    <row r="4539" spans="1:15" ht="15.75" thickBot="1">
      <c r="A4539" s="1695"/>
      <c r="B4539" s="2096"/>
      <c r="C4539" s="2157" t="s">
        <v>2871</v>
      </c>
      <c r="D4539" s="2158"/>
      <c r="E4539" s="2159">
        <f>(G4539-F4539)/G4539</f>
        <v>0.19863013698630139</v>
      </c>
      <c r="F4539" s="1905">
        <v>1.17</v>
      </c>
      <c r="G4539">
        <v>1.46</v>
      </c>
      <c r="O4539"/>
    </row>
    <row r="4540" spans="1:15" ht="15.75" thickBot="1"/>
    <row r="4541" spans="1:15">
      <c r="A4541" s="3572"/>
      <c r="B4541" s="3557"/>
      <c r="C4541" s="3557"/>
      <c r="D4541" s="3557"/>
      <c r="E4541" s="3557"/>
      <c r="F4541" s="3559"/>
      <c r="O4541"/>
    </row>
    <row r="4542" spans="1:15" ht="15.75" thickBot="1">
      <c r="A4542" s="3677"/>
      <c r="B4542" s="3628"/>
      <c r="C4542" s="3628"/>
      <c r="D4542" s="3628"/>
      <c r="E4542" s="3628"/>
      <c r="F4542" s="3629"/>
      <c r="O4542"/>
    </row>
    <row r="4543" spans="1:15">
      <c r="A4543" s="2135" t="s">
        <v>2981</v>
      </c>
      <c r="B4543" s="1690" t="s">
        <v>115</v>
      </c>
      <c r="C4543" s="2181" t="s">
        <v>686</v>
      </c>
      <c r="D4543" s="1690"/>
      <c r="E4543" s="2182">
        <f>(G4543-F4543)/G4543</f>
        <v>0.34825870646766161</v>
      </c>
      <c r="F4543" s="2059">
        <v>1.31</v>
      </c>
      <c r="G4543">
        <v>2.0099999999999998</v>
      </c>
      <c r="O4543"/>
    </row>
    <row r="4544" spans="1:15">
      <c r="A4544" s="2183"/>
      <c r="B4544" s="2170"/>
      <c r="C4544" s="2184" t="s">
        <v>687</v>
      </c>
      <c r="D4544" s="2170"/>
      <c r="E4544" s="2185">
        <f>(G4544-F4544)/G4544</f>
        <v>0.34825870646766161</v>
      </c>
      <c r="F4544" s="2186">
        <v>1.31</v>
      </c>
      <c r="G4544">
        <v>2.0099999999999998</v>
      </c>
      <c r="O4544"/>
    </row>
    <row r="4545" spans="1:15">
      <c r="A4545" s="2183"/>
      <c r="B4545" s="2170"/>
      <c r="C4545" s="2184" t="s">
        <v>623</v>
      </c>
      <c r="D4545" s="2170"/>
      <c r="E4545" s="2185">
        <f>(G4545-F4545)/G4545</f>
        <v>0.30054644808743169</v>
      </c>
      <c r="F4545" s="2186">
        <v>1.28</v>
      </c>
      <c r="G4545">
        <v>1.83</v>
      </c>
      <c r="O4545"/>
    </row>
    <row r="4546" spans="1:15">
      <c r="A4546" s="2183"/>
      <c r="B4546" s="2170"/>
      <c r="C4546" s="2184" t="s">
        <v>1772</v>
      </c>
      <c r="D4546" s="2170"/>
      <c r="E4546" s="2185">
        <f>(G4546-F4546)/G4546</f>
        <v>0.30054644808743169</v>
      </c>
      <c r="F4546" s="2186">
        <v>1.28</v>
      </c>
      <c r="G4546">
        <v>1.83</v>
      </c>
      <c r="O4546"/>
    </row>
    <row r="4548" spans="1:15" ht="15.75" thickBot="1"/>
    <row r="4549" spans="1:15">
      <c r="A4549" s="3572"/>
      <c r="B4549" s="3636"/>
      <c r="C4549" s="3636"/>
      <c r="D4549" s="3636"/>
      <c r="E4549" s="3636"/>
      <c r="F4549" s="3559"/>
      <c r="O4549"/>
    </row>
    <row r="4550" spans="1:15" ht="15.75" thickBot="1">
      <c r="A4550" s="4010"/>
      <c r="B4550" s="3628"/>
      <c r="C4550" s="3628"/>
      <c r="D4550" s="3628"/>
      <c r="E4550" s="3628"/>
      <c r="F4550" s="3629"/>
      <c r="O4550"/>
    </row>
    <row r="4551" spans="1:15">
      <c r="A4551" s="1539" t="s">
        <v>2998</v>
      </c>
      <c r="B4551" s="449" t="s">
        <v>106</v>
      </c>
      <c r="C4551" s="2226" t="s">
        <v>730</v>
      </c>
      <c r="D4551" s="2057"/>
      <c r="E4551" s="2058">
        <f>(G4551-F4551)/G4551</f>
        <v>0.3125</v>
      </c>
      <c r="F4551" s="2059">
        <v>0.55000000000000004</v>
      </c>
      <c r="G4551">
        <v>0.8</v>
      </c>
      <c r="O4551"/>
    </row>
    <row r="4552" spans="1:15">
      <c r="A4552" s="2227"/>
      <c r="B4552" s="2170"/>
      <c r="C4552" s="2228" t="s">
        <v>858</v>
      </c>
      <c r="D4552" s="2229"/>
      <c r="E4552" s="2230">
        <f>(G4552-F4552)/G4552</f>
        <v>0.32258064516129037</v>
      </c>
      <c r="F4552" s="2186">
        <v>0.63</v>
      </c>
      <c r="G4552">
        <v>0.93</v>
      </c>
      <c r="O4552"/>
    </row>
    <row r="4553" spans="1:15" ht="15.75" thickBot="1">
      <c r="A4553" s="1695"/>
      <c r="B4553" s="2198"/>
      <c r="C4553" s="2231" t="s">
        <v>2999</v>
      </c>
      <c r="D4553" s="2067"/>
      <c r="E4553" s="2232">
        <f>(G4553-F4553)/G4553</f>
        <v>0.31952662721893493</v>
      </c>
      <c r="F4553" s="1905">
        <v>1.1499999999999999</v>
      </c>
      <c r="G4553">
        <v>1.69</v>
      </c>
      <c r="O4553"/>
    </row>
    <row r="4554" spans="1:15" ht="15.75" thickBot="1">
      <c r="O4554"/>
    </row>
    <row r="4555" spans="1:15">
      <c r="A4555" s="3593"/>
      <c r="B4555" s="3922"/>
      <c r="C4555" s="3922"/>
      <c r="D4555" s="3922"/>
      <c r="E4555" s="3922"/>
      <c r="F4555" s="3616"/>
      <c r="G4555" s="1260"/>
      <c r="O4555"/>
    </row>
    <row r="4556" spans="1:15" ht="15.75" thickBot="1">
      <c r="A4556" s="3933"/>
      <c r="B4556" s="4002"/>
      <c r="C4556" s="4002"/>
      <c r="D4556" s="4002"/>
      <c r="E4556" s="4002"/>
      <c r="F4556" s="3926"/>
      <c r="G4556" s="1260"/>
      <c r="O4556"/>
    </row>
    <row r="4557" spans="1:15" ht="15.75" thickBot="1">
      <c r="A4557" s="1074" t="s">
        <v>3000</v>
      </c>
      <c r="B4557" s="2233" t="s">
        <v>114</v>
      </c>
      <c r="C4557" s="2428" t="s">
        <v>2743</v>
      </c>
      <c r="D4557" s="2234"/>
      <c r="E4557" s="1557">
        <f>(G4557-F4557)/G4557</f>
        <v>0.19444444444444448</v>
      </c>
      <c r="F4557" s="2235">
        <v>0.57999999999999996</v>
      </c>
      <c r="G4557" s="1260">
        <v>0.72</v>
      </c>
      <c r="O4557"/>
    </row>
    <row r="4559" spans="1:15" ht="15.75" thickBot="1"/>
    <row r="4560" spans="1:15">
      <c r="A4560" s="3572"/>
      <c r="B4560" s="3636"/>
      <c r="C4560" s="3636"/>
      <c r="D4560" s="3636"/>
      <c r="E4560" s="3636"/>
      <c r="F4560" s="3559"/>
      <c r="O4560"/>
    </row>
    <row r="4561" spans="1:15" ht="15.75" thickBot="1">
      <c r="A4561" s="3877"/>
      <c r="B4561" s="3626"/>
      <c r="C4561" s="3626"/>
      <c r="D4561" s="3626"/>
      <c r="E4561" s="3626"/>
      <c r="F4561" s="3627"/>
      <c r="O4561"/>
    </row>
    <row r="4562" spans="1:15">
      <c r="A4562" s="2135" t="s">
        <v>3018</v>
      </c>
      <c r="B4562" s="449" t="s">
        <v>115</v>
      </c>
      <c r="C4562" s="2056" t="s">
        <v>730</v>
      </c>
      <c r="D4562" s="449"/>
      <c r="E4562" s="1364">
        <f>(G4562-F4562)/G4562</f>
        <v>0.32467532467532467</v>
      </c>
      <c r="F4562" s="2059">
        <v>0.52</v>
      </c>
      <c r="G4562">
        <v>0.77</v>
      </c>
      <c r="O4562"/>
    </row>
    <row r="4563" spans="1:15" ht="15.75" thickBot="1">
      <c r="A4563" s="1903"/>
      <c r="B4563" s="1717"/>
      <c r="C4563" s="2249" t="s">
        <v>858</v>
      </c>
      <c r="D4563" s="1717"/>
      <c r="E4563" s="1719">
        <f>(G4563-F4563)/G4563</f>
        <v>0.32954545454545459</v>
      </c>
      <c r="F4563" s="1905">
        <v>0.59</v>
      </c>
      <c r="G4563">
        <v>0.88</v>
      </c>
      <c r="O4563"/>
    </row>
    <row r="4564" spans="1:15" ht="15.75" thickBot="1">
      <c r="O4564"/>
    </row>
    <row r="4565" spans="1:15">
      <c r="A4565" s="3572"/>
      <c r="B4565" s="3636"/>
      <c r="C4565" s="3636"/>
      <c r="D4565" s="3636"/>
      <c r="E4565" s="3636"/>
      <c r="F4565" s="3559"/>
      <c r="O4565"/>
    </row>
    <row r="4566" spans="1:15" ht="15.75" thickBot="1">
      <c r="A4566" s="3877"/>
      <c r="B4566" s="3626"/>
      <c r="C4566" s="3626"/>
      <c r="D4566" s="3626"/>
      <c r="E4566" s="3626"/>
      <c r="F4566" s="3627"/>
      <c r="O4566"/>
    </row>
    <row r="4567" spans="1:15">
      <c r="A4567" s="2135" t="s">
        <v>3019</v>
      </c>
      <c r="B4567" s="449" t="s">
        <v>115</v>
      </c>
      <c r="C4567" s="2056" t="s">
        <v>1026</v>
      </c>
      <c r="D4567" s="449"/>
      <c r="E4567" s="1364">
        <f t="shared" ref="E4567:E4576" si="81">(G4567-F4567)/G4567</f>
        <v>7.3146292585170386E-2</v>
      </c>
      <c r="F4567" s="2059">
        <v>9.25</v>
      </c>
      <c r="G4567">
        <v>9.98</v>
      </c>
      <c r="O4567"/>
    </row>
    <row r="4568" spans="1:15">
      <c r="A4568" s="1920"/>
      <c r="B4568" s="1976"/>
      <c r="C4568" s="2250" t="s">
        <v>3020</v>
      </c>
      <c r="D4568" s="1976"/>
      <c r="E4568" s="1979">
        <f t="shared" si="81"/>
        <v>7.3146292585170386E-2</v>
      </c>
      <c r="F4568" s="2251">
        <v>9.25</v>
      </c>
      <c r="G4568">
        <v>9.98</v>
      </c>
      <c r="O4568"/>
    </row>
    <row r="4569" spans="1:15">
      <c r="A4569" s="1739"/>
      <c r="B4569" s="1978"/>
      <c r="C4569" s="1978" t="s">
        <v>1264</v>
      </c>
      <c r="D4569" s="1978"/>
      <c r="E4569" s="1979">
        <f t="shared" si="81"/>
        <v>7.3684210526315741E-2</v>
      </c>
      <c r="F4569" s="2252">
        <v>1.76</v>
      </c>
      <c r="G4569">
        <v>1.9</v>
      </c>
      <c r="O4569"/>
    </row>
    <row r="4570" spans="1:15">
      <c r="A4570" s="1739"/>
      <c r="B4570" s="1978"/>
      <c r="C4570" s="1978" t="s">
        <v>3021</v>
      </c>
      <c r="D4570" s="1978"/>
      <c r="E4570" s="1979">
        <f t="shared" si="81"/>
        <v>7.3684210526315741E-2</v>
      </c>
      <c r="F4570" s="2252">
        <v>1.76</v>
      </c>
      <c r="G4570">
        <v>1.9</v>
      </c>
      <c r="O4570"/>
    </row>
    <row r="4571" spans="1:15">
      <c r="A4571" s="1739"/>
      <c r="B4571" s="1978"/>
      <c r="C4571" s="1978" t="s">
        <v>1027</v>
      </c>
      <c r="D4571" s="1978"/>
      <c r="E4571" s="1979">
        <f t="shared" si="81"/>
        <v>7.31895223420648E-2</v>
      </c>
      <c r="F4571" s="2252">
        <v>12.03</v>
      </c>
      <c r="G4571">
        <v>12.98</v>
      </c>
      <c r="O4571"/>
    </row>
    <row r="4572" spans="1:15">
      <c r="A4572" s="1739"/>
      <c r="B4572" s="1978"/>
      <c r="C4572" s="1978" t="s">
        <v>1176</v>
      </c>
      <c r="D4572" s="1978"/>
      <c r="E4572" s="1979">
        <f t="shared" si="81"/>
        <v>7.31895223420648E-2</v>
      </c>
      <c r="F4572" s="2252">
        <v>12.03</v>
      </c>
      <c r="G4572">
        <v>12.98</v>
      </c>
      <c r="O4572"/>
    </row>
    <row r="4573" spans="1:15">
      <c r="A4573" s="1739"/>
      <c r="B4573" s="1978"/>
      <c r="C4573" s="1978" t="s">
        <v>549</v>
      </c>
      <c r="D4573" s="1978"/>
      <c r="E4573" s="1979">
        <f t="shared" si="81"/>
        <v>6.3743676222596871E-2</v>
      </c>
      <c r="F4573" s="2252">
        <v>27.76</v>
      </c>
      <c r="G4573">
        <v>29.65</v>
      </c>
      <c r="O4573"/>
    </row>
    <row r="4574" spans="1:15">
      <c r="A4574" s="1739"/>
      <c r="B4574" s="1978"/>
      <c r="C4574" s="1978" t="s">
        <v>1258</v>
      </c>
      <c r="D4574" s="1978"/>
      <c r="E4574" s="1979">
        <f t="shared" si="81"/>
        <v>6.3743676222596871E-2</v>
      </c>
      <c r="F4574" s="2252">
        <v>27.76</v>
      </c>
      <c r="G4574">
        <v>29.65</v>
      </c>
      <c r="O4574"/>
    </row>
    <row r="4575" spans="1:15">
      <c r="A4575" s="1739"/>
      <c r="B4575" s="1978"/>
      <c r="C4575" s="1978" t="s">
        <v>550</v>
      </c>
      <c r="D4575" s="1978"/>
      <c r="E4575" s="1979">
        <f t="shared" si="81"/>
        <v>7.2989851678376308E-2</v>
      </c>
      <c r="F4575" s="2252">
        <v>23.75</v>
      </c>
      <c r="G4575">
        <v>25.62</v>
      </c>
      <c r="O4575"/>
    </row>
    <row r="4576" spans="1:15" ht="15.75" thickBot="1">
      <c r="A4576" s="1315"/>
      <c r="B4576" s="1718"/>
      <c r="C4576" s="1718" t="s">
        <v>1259</v>
      </c>
      <c r="D4576" s="1718"/>
      <c r="E4576" s="1719">
        <f t="shared" si="81"/>
        <v>7.2989851678376308E-2</v>
      </c>
      <c r="F4576" s="1368">
        <v>23.75</v>
      </c>
      <c r="G4576">
        <v>25.62</v>
      </c>
      <c r="O4576"/>
    </row>
    <row r="4578" spans="1:15" ht="15.75" thickBot="1"/>
    <row r="4579" spans="1:15">
      <c r="A4579" s="3572"/>
      <c r="B4579" s="3636"/>
      <c r="C4579" s="3636"/>
      <c r="D4579" s="3636"/>
      <c r="E4579" s="3636"/>
      <c r="F4579" s="3559"/>
      <c r="O4579"/>
    </row>
    <row r="4580" spans="1:15" ht="15.75" thickBot="1">
      <c r="A4580" s="4012"/>
      <c r="B4580" s="3628"/>
      <c r="C4580" s="3628"/>
      <c r="D4580" s="3628"/>
      <c r="E4580" s="3628"/>
      <c r="F4580" s="3629"/>
      <c r="O4580"/>
    </row>
    <row r="4581" spans="1:15">
      <c r="A4581" s="1539" t="s">
        <v>3041</v>
      </c>
      <c r="B4581" s="449" t="s">
        <v>106</v>
      </c>
      <c r="C4581" s="2056" t="s">
        <v>549</v>
      </c>
      <c r="D4581" s="2057"/>
      <c r="E4581" s="2058">
        <f t="shared" ref="E4581:E4608" si="82">(G4581-F4581)/G4581</f>
        <v>0.14987562189054718</v>
      </c>
      <c r="F4581" s="2059">
        <v>27.34</v>
      </c>
      <c r="G4581">
        <v>32.159999999999997</v>
      </c>
      <c r="O4581"/>
    </row>
    <row r="4582" spans="1:15">
      <c r="A4582" s="1712"/>
      <c r="B4582" s="1976"/>
      <c r="C4582" s="2250" t="s">
        <v>1258</v>
      </c>
      <c r="D4582" s="2280"/>
      <c r="E4582" s="2281">
        <f t="shared" si="82"/>
        <v>0.14987562189054718</v>
      </c>
      <c r="F4582" s="2282">
        <v>27.34</v>
      </c>
      <c r="G4582">
        <v>32.159999999999997</v>
      </c>
      <c r="O4582"/>
    </row>
    <row r="4583" spans="1:15">
      <c r="A4583" s="1712"/>
      <c r="B4583" s="1976"/>
      <c r="C4583" s="2250" t="s">
        <v>550</v>
      </c>
      <c r="D4583" s="2280"/>
      <c r="E4583" s="2281">
        <f t="shared" si="82"/>
        <v>0.15012722646310442</v>
      </c>
      <c r="F4583" s="2282">
        <v>23.38</v>
      </c>
      <c r="G4583">
        <v>27.51</v>
      </c>
      <c r="O4583"/>
    </row>
    <row r="4584" spans="1:15">
      <c r="A4584" s="1712"/>
      <c r="B4584" s="1976"/>
      <c r="C4584" s="2250" t="s">
        <v>1259</v>
      </c>
      <c r="D4584" s="2280"/>
      <c r="E4584" s="2281">
        <f t="shared" si="82"/>
        <v>0.15012722646310442</v>
      </c>
      <c r="F4584" s="2282">
        <v>23.38</v>
      </c>
      <c r="G4584">
        <v>27.51</v>
      </c>
      <c r="O4584"/>
    </row>
    <row r="4585" spans="1:15">
      <c r="A4585" s="1712"/>
      <c r="B4585" s="1976"/>
      <c r="C4585" s="2250" t="s">
        <v>1270</v>
      </c>
      <c r="D4585" s="2280"/>
      <c r="E4585" s="2281">
        <f t="shared" si="82"/>
        <v>0.14992721979621548</v>
      </c>
      <c r="F4585" s="2282">
        <v>29.2</v>
      </c>
      <c r="G4585">
        <v>34.35</v>
      </c>
      <c r="O4585"/>
    </row>
    <row r="4586" spans="1:15">
      <c r="A4586" s="1712"/>
      <c r="B4586" s="1976"/>
      <c r="C4586" s="2250" t="s">
        <v>1271</v>
      </c>
      <c r="D4586" s="2280"/>
      <c r="E4586" s="2281">
        <f t="shared" si="82"/>
        <v>0.14992721979621548</v>
      </c>
      <c r="F4586" s="2282">
        <v>29.2</v>
      </c>
      <c r="G4586">
        <v>34.35</v>
      </c>
      <c r="O4586"/>
    </row>
    <row r="4587" spans="1:15">
      <c r="A4587" s="1712"/>
      <c r="B4587" s="1976"/>
      <c r="C4587" s="2250" t="s">
        <v>1026</v>
      </c>
      <c r="D4587" s="2280"/>
      <c r="E4587" s="2281">
        <f t="shared" si="82"/>
        <v>0.1503208065994501</v>
      </c>
      <c r="F4587" s="2282">
        <v>9.27</v>
      </c>
      <c r="G4587">
        <v>10.91</v>
      </c>
      <c r="O4587"/>
    </row>
    <row r="4588" spans="1:15">
      <c r="A4588" s="1712"/>
      <c r="B4588" s="1976"/>
      <c r="C4588" s="2250" t="s">
        <v>3020</v>
      </c>
      <c r="D4588" s="2280"/>
      <c r="E4588" s="2281">
        <f t="shared" si="82"/>
        <v>0.1503208065994501</v>
      </c>
      <c r="F4588" s="2282">
        <v>9.27</v>
      </c>
      <c r="G4588">
        <v>10.91</v>
      </c>
      <c r="O4588"/>
    </row>
    <row r="4589" spans="1:15">
      <c r="A4589" s="1712"/>
      <c r="B4589" s="1976"/>
      <c r="C4589" s="2250" t="s">
        <v>1027</v>
      </c>
      <c r="D4589" s="2280"/>
      <c r="E4589" s="2281">
        <f t="shared" si="82"/>
        <v>0.15025161754133715</v>
      </c>
      <c r="F4589" s="2282">
        <v>11.82</v>
      </c>
      <c r="G4589">
        <v>13.91</v>
      </c>
      <c r="O4589"/>
    </row>
    <row r="4590" spans="1:15">
      <c r="A4590" s="1739"/>
      <c r="B4590" s="1978"/>
      <c r="C4590" s="2250" t="s">
        <v>1176</v>
      </c>
      <c r="D4590" s="2280"/>
      <c r="E4590" s="2281">
        <f t="shared" si="82"/>
        <v>0.15025161754133715</v>
      </c>
      <c r="F4590" s="2282">
        <v>11.82</v>
      </c>
      <c r="G4590">
        <v>13.91</v>
      </c>
      <c r="O4590"/>
    </row>
    <row r="4591" spans="1:15">
      <c r="A4591" s="1739"/>
      <c r="B4591" s="1978"/>
      <c r="C4591" s="2250" t="s">
        <v>2274</v>
      </c>
      <c r="D4591" s="2280"/>
      <c r="E4591" s="2283">
        <f t="shared" si="82"/>
        <v>0.10077519379844964</v>
      </c>
      <c r="F4591" s="2282">
        <v>3.48</v>
      </c>
      <c r="G4591">
        <v>3.87</v>
      </c>
      <c r="O4591"/>
    </row>
    <row r="4592" spans="1:15">
      <c r="A4592" s="1739"/>
      <c r="B4592" s="1978"/>
      <c r="C4592" s="2250" t="s">
        <v>1497</v>
      </c>
      <c r="D4592" s="2280"/>
      <c r="E4592" s="2283">
        <f t="shared" si="82"/>
        <v>0.10077519379844964</v>
      </c>
      <c r="F4592" s="2282">
        <v>3.48</v>
      </c>
      <c r="G4592">
        <v>3.87</v>
      </c>
      <c r="O4592"/>
    </row>
    <row r="4593" spans="1:15">
      <c r="A4593" s="1739"/>
      <c r="B4593" s="1978"/>
      <c r="C4593" s="1978" t="s">
        <v>2275</v>
      </c>
      <c r="D4593" s="1978"/>
      <c r="E4593" s="2256">
        <f t="shared" si="82"/>
        <v>9.9767981438515022E-2</v>
      </c>
      <c r="F4593" s="2284">
        <v>7.76</v>
      </c>
      <c r="G4593">
        <v>8.6199999999999992</v>
      </c>
      <c r="O4593"/>
    </row>
    <row r="4594" spans="1:15">
      <c r="A4594" s="1739"/>
      <c r="B4594" s="1978"/>
      <c r="C4594" s="1978" t="s">
        <v>239</v>
      </c>
      <c r="D4594" s="1978"/>
      <c r="E4594" s="2256">
        <f t="shared" si="82"/>
        <v>9.9767981438515022E-2</v>
      </c>
      <c r="F4594" s="2284">
        <v>7.76</v>
      </c>
      <c r="G4594">
        <v>8.6199999999999992</v>
      </c>
      <c r="O4594"/>
    </row>
    <row r="4595" spans="1:15">
      <c r="A4595" s="1739"/>
      <c r="B4595" s="1978"/>
      <c r="C4595" s="1978" t="s">
        <v>2277</v>
      </c>
      <c r="D4595" s="1978"/>
      <c r="E4595" s="2256">
        <f t="shared" si="82"/>
        <v>0.10077519379844964</v>
      </c>
      <c r="F4595" s="2284">
        <v>3.48</v>
      </c>
      <c r="G4595">
        <v>3.87</v>
      </c>
      <c r="O4595"/>
    </row>
    <row r="4596" spans="1:15">
      <c r="A4596" s="1739"/>
      <c r="B4596" s="1978"/>
      <c r="C4596" s="1978" t="s">
        <v>1722</v>
      </c>
      <c r="D4596" s="1978"/>
      <c r="E4596" s="2256">
        <f t="shared" si="82"/>
        <v>0.10077519379844964</v>
      </c>
      <c r="F4596" s="2284">
        <v>3.48</v>
      </c>
      <c r="G4596">
        <v>3.87</v>
      </c>
      <c r="O4596"/>
    </row>
    <row r="4597" spans="1:15">
      <c r="A4597" s="1739"/>
      <c r="B4597" s="1978"/>
      <c r="C4597" s="1978" t="s">
        <v>2272</v>
      </c>
      <c r="D4597" s="1978"/>
      <c r="E4597" s="2256">
        <f t="shared" si="82"/>
        <v>0.10077519379844964</v>
      </c>
      <c r="F4597" s="2284">
        <v>3.48</v>
      </c>
      <c r="G4597">
        <v>3.87</v>
      </c>
      <c r="O4597"/>
    </row>
    <row r="4598" spans="1:15">
      <c r="A4598" s="1739"/>
      <c r="B4598" s="1978"/>
      <c r="C4598" s="1978" t="s">
        <v>1496</v>
      </c>
      <c r="D4598" s="1978"/>
      <c r="E4598" s="2256">
        <f t="shared" si="82"/>
        <v>0.10077519379844964</v>
      </c>
      <c r="F4598" s="2284">
        <v>3.48</v>
      </c>
      <c r="G4598">
        <v>3.87</v>
      </c>
      <c r="O4598"/>
    </row>
    <row r="4599" spans="1:15">
      <c r="A4599" s="1739"/>
      <c r="B4599" s="1978"/>
      <c r="C4599" s="1978" t="s">
        <v>2271</v>
      </c>
      <c r="D4599" s="1978"/>
      <c r="E4599" s="2256">
        <f t="shared" si="82"/>
        <v>9.9767981438515022E-2</v>
      </c>
      <c r="F4599" s="2284">
        <v>7.76</v>
      </c>
      <c r="G4599">
        <v>8.6199999999999992</v>
      </c>
      <c r="O4599"/>
    </row>
    <row r="4600" spans="1:15">
      <c r="A4600" s="1739"/>
      <c r="B4600" s="1978"/>
      <c r="C4600" s="1978" t="s">
        <v>238</v>
      </c>
      <c r="D4600" s="1978"/>
      <c r="E4600" s="2256">
        <f t="shared" si="82"/>
        <v>9.9767981438515022E-2</v>
      </c>
      <c r="F4600" s="2284">
        <v>7.76</v>
      </c>
      <c r="G4600">
        <v>8.6199999999999992</v>
      </c>
      <c r="O4600"/>
    </row>
    <row r="4601" spans="1:15">
      <c r="A4601" s="1739"/>
      <c r="B4601" s="1978"/>
      <c r="C4601" s="1978" t="s">
        <v>2273</v>
      </c>
      <c r="D4601" s="1978"/>
      <c r="E4601" s="2256">
        <f t="shared" si="82"/>
        <v>9.9759036144578331E-2</v>
      </c>
      <c r="F4601" s="2284">
        <v>18.68</v>
      </c>
      <c r="G4601">
        <v>20.75</v>
      </c>
      <c r="O4601"/>
    </row>
    <row r="4602" spans="1:15">
      <c r="A4602" s="1739"/>
      <c r="B4602" s="1978"/>
      <c r="C4602" s="1978" t="s">
        <v>71</v>
      </c>
      <c r="D4602" s="1978"/>
      <c r="E4602" s="2256">
        <f t="shared" si="82"/>
        <v>9.9759036144578331E-2</v>
      </c>
      <c r="F4602" s="2284">
        <v>18.68</v>
      </c>
      <c r="G4602">
        <v>20.75</v>
      </c>
      <c r="O4602"/>
    </row>
    <row r="4603" spans="1:15">
      <c r="A4603" s="1739"/>
      <c r="B4603" s="1978"/>
      <c r="C4603" s="1978" t="s">
        <v>1883</v>
      </c>
      <c r="D4603" s="1978"/>
      <c r="E4603" s="2256">
        <f t="shared" si="82"/>
        <v>9.9759036144578331E-2</v>
      </c>
      <c r="F4603" s="2284">
        <v>18.68</v>
      </c>
      <c r="G4603">
        <v>20.75</v>
      </c>
      <c r="O4603"/>
    </row>
    <row r="4604" spans="1:15">
      <c r="A4604" s="1739"/>
      <c r="B4604" s="1978"/>
      <c r="C4604" s="1978" t="s">
        <v>2276</v>
      </c>
      <c r="D4604" s="1978"/>
      <c r="E4604" s="2256">
        <f t="shared" si="82"/>
        <v>9.9759036144578331E-2</v>
      </c>
      <c r="F4604" s="2284">
        <v>18.68</v>
      </c>
      <c r="G4604">
        <v>20.75</v>
      </c>
      <c r="O4604"/>
    </row>
    <row r="4605" spans="1:15">
      <c r="A4605" s="1739"/>
      <c r="B4605" s="1978"/>
      <c r="C4605" s="1978" t="s">
        <v>2281</v>
      </c>
      <c r="D4605" s="1978"/>
      <c r="E4605" s="2256">
        <f t="shared" si="82"/>
        <v>9.9767981438515022E-2</v>
      </c>
      <c r="F4605" s="2284">
        <v>7.76</v>
      </c>
      <c r="G4605">
        <v>8.6199999999999992</v>
      </c>
      <c r="O4605"/>
    </row>
    <row r="4606" spans="1:15">
      <c r="A4606" s="1739"/>
      <c r="B4606" s="1978"/>
      <c r="C4606" s="1978" t="s">
        <v>2282</v>
      </c>
      <c r="D4606" s="1978"/>
      <c r="E4606" s="2256">
        <f t="shared" si="82"/>
        <v>9.9767981438515022E-2</v>
      </c>
      <c r="F4606" s="2284">
        <v>7.76</v>
      </c>
      <c r="G4606">
        <v>8.6199999999999992</v>
      </c>
      <c r="O4606"/>
    </row>
    <row r="4607" spans="1:15">
      <c r="A4607" s="1739"/>
      <c r="B4607" s="1978"/>
      <c r="C4607" s="1978" t="s">
        <v>2880</v>
      </c>
      <c r="D4607" s="1978"/>
      <c r="E4607" s="2256">
        <f t="shared" si="82"/>
        <v>9.9759036144578331E-2</v>
      </c>
      <c r="F4607" s="2284">
        <v>18.68</v>
      </c>
      <c r="G4607">
        <v>20.75</v>
      </c>
      <c r="O4607"/>
    </row>
    <row r="4608" spans="1:15" ht="15.75" thickBot="1">
      <c r="A4608" s="1315"/>
      <c r="B4608" s="1718"/>
      <c r="C4608" s="1718" t="s">
        <v>2881</v>
      </c>
      <c r="D4608" s="1718"/>
      <c r="E4608" s="1706">
        <f t="shared" si="82"/>
        <v>9.9759036144578331E-2</v>
      </c>
      <c r="F4608" s="1368">
        <v>18.68</v>
      </c>
      <c r="G4608">
        <v>20.75</v>
      </c>
      <c r="O4608"/>
    </row>
    <row r="4609" spans="1:15" ht="15.75" thickBot="1"/>
    <row r="4610" spans="1:15">
      <c r="A4610" s="3572"/>
      <c r="B4610" s="3636"/>
      <c r="C4610" s="3636"/>
      <c r="D4610" s="3636"/>
      <c r="E4610" s="3636"/>
      <c r="F4610" s="3559"/>
      <c r="O4610"/>
    </row>
    <row r="4611" spans="1:15" ht="15.75" thickBot="1">
      <c r="A4611" s="3844"/>
      <c r="B4611" s="4011"/>
      <c r="C4611" s="4011"/>
      <c r="D4611" s="4011"/>
      <c r="E4611" s="4011"/>
      <c r="F4611" s="3848"/>
      <c r="O4611"/>
    </row>
    <row r="4612" spans="1:15">
      <c r="A4612" s="2288" t="s">
        <v>3083</v>
      </c>
      <c r="B4612" s="2289" t="s">
        <v>106</v>
      </c>
      <c r="C4612" s="2290" t="s">
        <v>2916</v>
      </c>
      <c r="D4612" s="2175"/>
      <c r="E4612" s="2291">
        <f>(G4612-F4612)/G4612</f>
        <v>0.38012958963282945</v>
      </c>
      <c r="F4612" s="2292">
        <v>8.61</v>
      </c>
      <c r="G4612">
        <v>13.89</v>
      </c>
      <c r="O4612"/>
    </row>
    <row r="4613" spans="1:15">
      <c r="A4613" s="1712"/>
      <c r="B4613" s="1976"/>
      <c r="C4613" s="1977" t="s">
        <v>687</v>
      </c>
      <c r="D4613" s="1978"/>
      <c r="E4613" s="1979">
        <f>(G4613-F4613)/G4613</f>
        <v>0.33175355450236965</v>
      </c>
      <c r="F4613" s="2293">
        <v>1.41</v>
      </c>
      <c r="G4613">
        <v>2.11</v>
      </c>
      <c r="O4613"/>
    </row>
    <row r="4614" spans="1:15">
      <c r="A4614" s="1712"/>
      <c r="B4614" s="1976"/>
      <c r="C4614" s="1977" t="s">
        <v>686</v>
      </c>
      <c r="D4614" s="1978"/>
      <c r="E4614" s="1979">
        <f>(G4614-F4614)/G4614</f>
        <v>0.33175355450236965</v>
      </c>
      <c r="F4614" s="2293">
        <v>1.41</v>
      </c>
      <c r="G4614">
        <v>2.11</v>
      </c>
      <c r="O4614"/>
    </row>
    <row r="4615" spans="1:15">
      <c r="A4615" s="1712"/>
      <c r="B4615" s="1976"/>
      <c r="C4615" s="1977" t="s">
        <v>858</v>
      </c>
      <c r="D4615" s="1978"/>
      <c r="E4615" s="1979">
        <f>(G4615-F4615)/G4615</f>
        <v>0.30107526881720431</v>
      </c>
      <c r="F4615" s="2293">
        <v>0.65</v>
      </c>
      <c r="G4615">
        <v>0.93</v>
      </c>
      <c r="O4615"/>
    </row>
    <row r="4616" spans="1:15" ht="15.75" thickBot="1">
      <c r="A4616" s="1695"/>
      <c r="B4616" s="1717"/>
      <c r="C4616" s="1981" t="s">
        <v>730</v>
      </c>
      <c r="D4616" s="1718"/>
      <c r="E4616" s="1719">
        <f>(G4616-F4616)/G4616</f>
        <v>0.3</v>
      </c>
      <c r="F4616" s="1905">
        <v>0.56000000000000005</v>
      </c>
      <c r="G4616">
        <v>0.8</v>
      </c>
      <c r="O4616"/>
    </row>
    <row r="4617" spans="1:15" ht="15.75" thickBot="1"/>
    <row r="4618" spans="1:15">
      <c r="A4618" s="3572"/>
      <c r="B4618" s="3636"/>
      <c r="C4618" s="3636"/>
      <c r="D4618" s="3636"/>
      <c r="E4618" s="3636"/>
      <c r="F4618" s="3559"/>
      <c r="O4618"/>
    </row>
    <row r="4619" spans="1:15" ht="15.75" thickBot="1">
      <c r="A4619" s="3866"/>
      <c r="B4619" s="3626"/>
      <c r="C4619" s="3626"/>
      <c r="D4619" s="3626"/>
      <c r="E4619" s="3626"/>
      <c r="F4619" s="3627"/>
      <c r="O4619"/>
    </row>
    <row r="4620" spans="1:15">
      <c r="A4620" s="1539" t="s">
        <v>3059</v>
      </c>
      <c r="B4620" s="449" t="s">
        <v>115</v>
      </c>
      <c r="C4620" s="2295" t="s">
        <v>2983</v>
      </c>
      <c r="D4620" s="178"/>
      <c r="E4620" s="1364">
        <f t="shared" ref="E4620:E4625" si="83">(G4620-F4620)/G4620</f>
        <v>0.32121212121212112</v>
      </c>
      <c r="F4620" s="2059">
        <v>1.1200000000000001</v>
      </c>
      <c r="G4620">
        <v>1.65</v>
      </c>
      <c r="O4620"/>
    </row>
    <row r="4621" spans="1:15">
      <c r="A4621" s="1712"/>
      <c r="B4621" s="1976"/>
      <c r="C4621" s="1977" t="s">
        <v>2984</v>
      </c>
      <c r="D4621" s="1978"/>
      <c r="E4621" s="1979">
        <f t="shared" si="83"/>
        <v>0.32121212121212112</v>
      </c>
      <c r="F4621" s="2296">
        <v>1.1200000000000001</v>
      </c>
      <c r="G4621">
        <v>1.65</v>
      </c>
      <c r="O4621"/>
    </row>
    <row r="4622" spans="1:15">
      <c r="A4622" s="1712"/>
      <c r="B4622" s="1976"/>
      <c r="C4622" s="1977" t="s">
        <v>2940</v>
      </c>
      <c r="D4622" s="1978"/>
      <c r="E4622" s="1979">
        <f t="shared" si="83"/>
        <v>0.32121212121212112</v>
      </c>
      <c r="F4622" s="2296">
        <v>1.1200000000000001</v>
      </c>
      <c r="G4622">
        <v>1.65</v>
      </c>
      <c r="O4622"/>
    </row>
    <row r="4623" spans="1:15">
      <c r="A4623" s="1712"/>
      <c r="B4623" s="1976"/>
      <c r="C4623" s="1977" t="s">
        <v>2941</v>
      </c>
      <c r="D4623" s="1978"/>
      <c r="E4623" s="1979">
        <f t="shared" si="83"/>
        <v>0.32121212121212112</v>
      </c>
      <c r="F4623" s="2296">
        <v>1.1200000000000001</v>
      </c>
      <c r="G4623">
        <v>1.65</v>
      </c>
      <c r="O4623"/>
    </row>
    <row r="4624" spans="1:15">
      <c r="A4624" s="1712"/>
      <c r="B4624" s="1976"/>
      <c r="C4624" s="2509" t="s">
        <v>623</v>
      </c>
      <c r="D4624" s="1978"/>
      <c r="E4624" s="1979">
        <f t="shared" si="83"/>
        <v>0.30054644808743169</v>
      </c>
      <c r="F4624" s="2296">
        <v>1.28</v>
      </c>
      <c r="G4624">
        <v>1.83</v>
      </c>
      <c r="O4624"/>
    </row>
    <row r="4625" spans="1:15" ht="15.75" thickBot="1">
      <c r="A4625" s="1315"/>
      <c r="B4625" s="1718"/>
      <c r="C4625" s="2488" t="s">
        <v>1772</v>
      </c>
      <c r="D4625" s="1718"/>
      <c r="E4625" s="1706">
        <f t="shared" si="83"/>
        <v>0.30054644808743169</v>
      </c>
      <c r="F4625" s="1368">
        <v>1.28</v>
      </c>
      <c r="G4625">
        <v>1.83</v>
      </c>
      <c r="O4625"/>
    </row>
    <row r="4626" spans="1:15" ht="15.75" thickBot="1"/>
    <row r="4627" spans="1:15">
      <c r="A4627" s="3572"/>
      <c r="B4627" s="3636"/>
      <c r="C4627" s="3636"/>
      <c r="D4627" s="3636"/>
      <c r="E4627" s="3636"/>
      <c r="F4627" s="3559"/>
      <c r="O4627"/>
    </row>
    <row r="4628" spans="1:15" ht="15.75" thickBot="1">
      <c r="A4628" s="3844"/>
      <c r="B4628" s="4011"/>
      <c r="C4628" s="4011"/>
      <c r="D4628" s="4011"/>
      <c r="E4628" s="4011"/>
      <c r="F4628" s="3848"/>
      <c r="O4628"/>
    </row>
    <row r="4629" spans="1:15">
      <c r="A4629" s="2288" t="s">
        <v>3074</v>
      </c>
      <c r="B4629" s="2289" t="s">
        <v>106</v>
      </c>
      <c r="C4629" s="2290" t="s">
        <v>1614</v>
      </c>
      <c r="D4629" s="2175"/>
      <c r="E4629" s="2291">
        <f>(G4629-F4629)/G4629</f>
        <v>0.33333333333333337</v>
      </c>
      <c r="F4629" s="2292">
        <v>0.9</v>
      </c>
      <c r="G4629">
        <v>1.35</v>
      </c>
      <c r="O4629"/>
    </row>
    <row r="4630" spans="1:15">
      <c r="A4630" s="1712"/>
      <c r="B4630" s="1976"/>
      <c r="C4630" s="1977" t="s">
        <v>2792</v>
      </c>
      <c r="D4630" s="1978"/>
      <c r="E4630" s="1979">
        <f>(G4630-F4630)/G4630</f>
        <v>0.33333333333333337</v>
      </c>
      <c r="F4630" s="2346">
        <v>0.9</v>
      </c>
      <c r="G4630">
        <v>1.35</v>
      </c>
      <c r="O4630"/>
    </row>
    <row r="4631" spans="1:15">
      <c r="A4631" s="1712"/>
      <c r="B4631" s="1976"/>
      <c r="C4631" s="1977" t="s">
        <v>1058</v>
      </c>
      <c r="D4631" s="1978"/>
      <c r="E4631" s="1979">
        <f>(G4631-F4631)/G4631</f>
        <v>0.33165829145728637</v>
      </c>
      <c r="F4631" s="2346">
        <v>1.33</v>
      </c>
      <c r="G4631">
        <v>1.99</v>
      </c>
      <c r="O4631"/>
    </row>
    <row r="4632" spans="1:15">
      <c r="A4632" s="1712"/>
      <c r="B4632" s="1976"/>
      <c r="C4632" s="1977"/>
      <c r="D4632" s="1978"/>
      <c r="E4632" s="1979" t="e">
        <f>(G4632-F4632)/G4632</f>
        <v>#DIV/0!</v>
      </c>
      <c r="F4632" s="2346"/>
      <c r="O4632"/>
    </row>
    <row r="4633" spans="1:15" ht="15.75" thickBot="1">
      <c r="A4633" s="1695"/>
      <c r="B4633" s="1717"/>
      <c r="C4633" s="1981"/>
      <c r="D4633" s="1718"/>
      <c r="E4633" s="1719" t="e">
        <f>(G4633-F4633)/G4633</f>
        <v>#DIV/0!</v>
      </c>
      <c r="F4633" s="1905"/>
      <c r="O4633"/>
    </row>
    <row r="4634" spans="1:15" ht="15.75" thickBot="1">
      <c r="O4634"/>
    </row>
    <row r="4635" spans="1:15">
      <c r="A4635" s="3572"/>
      <c r="B4635" s="3636"/>
      <c r="C4635" s="3636"/>
      <c r="D4635" s="3636"/>
      <c r="E4635" s="3636"/>
      <c r="F4635" s="3559"/>
      <c r="O4635"/>
    </row>
    <row r="4636" spans="1:15" ht="15.75" thickBot="1">
      <c r="A4636" s="4014"/>
      <c r="B4636" s="3626"/>
      <c r="C4636" s="3626"/>
      <c r="D4636" s="3626"/>
      <c r="E4636" s="3626"/>
      <c r="F4636" s="3627"/>
      <c r="O4636"/>
    </row>
    <row r="4637" spans="1:15">
      <c r="A4637" s="1539" t="s">
        <v>3075</v>
      </c>
      <c r="B4637" s="449" t="s">
        <v>115</v>
      </c>
      <c r="C4637" s="2295" t="s">
        <v>920</v>
      </c>
      <c r="D4637" s="178"/>
      <c r="E4637" s="2347">
        <f t="shared" ref="E4637:E4645" si="84">(G4637-F4637)/G4637</f>
        <v>0.14666666666666664</v>
      </c>
      <c r="F4637" s="2059">
        <v>0.64</v>
      </c>
      <c r="G4637">
        <v>0.75</v>
      </c>
      <c r="O4637"/>
    </row>
    <row r="4638" spans="1:15">
      <c r="A4638" s="2288"/>
      <c r="B4638" s="2289"/>
      <c r="C4638" s="2290" t="s">
        <v>2827</v>
      </c>
      <c r="D4638" s="2175"/>
      <c r="E4638" s="1979">
        <f t="shared" si="84"/>
        <v>0.14482758620689654</v>
      </c>
      <c r="F4638" s="2292">
        <v>1.24</v>
      </c>
      <c r="G4638">
        <v>1.45</v>
      </c>
      <c r="O4638"/>
    </row>
    <row r="4639" spans="1:15">
      <c r="A4639" s="2288"/>
      <c r="B4639" s="2289"/>
      <c r="C4639" s="2290" t="s">
        <v>2890</v>
      </c>
      <c r="D4639" s="2175"/>
      <c r="E4639" s="1979">
        <f t="shared" si="84"/>
        <v>0.14482758620689654</v>
      </c>
      <c r="F4639" s="2292">
        <v>1.24</v>
      </c>
      <c r="G4639">
        <v>1.45</v>
      </c>
      <c r="O4639"/>
    </row>
    <row r="4640" spans="1:15">
      <c r="A4640" s="2288"/>
      <c r="B4640" s="2289"/>
      <c r="C4640" s="2290" t="s">
        <v>2871</v>
      </c>
      <c r="D4640" s="2175"/>
      <c r="E4640" s="1979">
        <f t="shared" si="84"/>
        <v>0.14482758620689654</v>
      </c>
      <c r="F4640" s="2292">
        <v>1.24</v>
      </c>
      <c r="G4640">
        <v>1.45</v>
      </c>
      <c r="O4640"/>
    </row>
    <row r="4641" spans="1:15">
      <c r="A4641" s="1712"/>
      <c r="B4641" s="1976"/>
      <c r="C4641" s="1977" t="s">
        <v>1563</v>
      </c>
      <c r="D4641" s="1978"/>
      <c r="E4641" s="1979">
        <f t="shared" si="84"/>
        <v>0.14655172413793099</v>
      </c>
      <c r="F4641" s="2346">
        <v>0.99</v>
      </c>
      <c r="G4641">
        <v>1.1599999999999999</v>
      </c>
      <c r="O4641"/>
    </row>
    <row r="4642" spans="1:15">
      <c r="A4642" s="1712"/>
      <c r="B4642" s="1976"/>
      <c r="C4642" s="1977" t="s">
        <v>554</v>
      </c>
      <c r="D4642" s="1978"/>
      <c r="E4642" s="1979">
        <f t="shared" si="84"/>
        <v>0.15044247787610615</v>
      </c>
      <c r="F4642" s="2346">
        <v>0.96</v>
      </c>
      <c r="G4642">
        <v>1.1299999999999999</v>
      </c>
      <c r="O4642"/>
    </row>
    <row r="4643" spans="1:15">
      <c r="A4643" s="1712"/>
      <c r="B4643" s="1976"/>
      <c r="C4643" s="1977" t="s">
        <v>1120</v>
      </c>
      <c r="D4643" s="1978"/>
      <c r="E4643" s="1979">
        <f t="shared" si="84"/>
        <v>0.14893617021276587</v>
      </c>
      <c r="F4643" s="2346">
        <v>0.4</v>
      </c>
      <c r="G4643">
        <v>0.47</v>
      </c>
      <c r="O4643"/>
    </row>
    <row r="4644" spans="1:15">
      <c r="A4644" s="1712"/>
      <c r="B4644" s="1976"/>
      <c r="C4644" s="1977" t="s">
        <v>1058</v>
      </c>
      <c r="D4644" s="1978"/>
      <c r="E4644" s="1979">
        <f t="shared" si="84"/>
        <v>0.14871794871794874</v>
      </c>
      <c r="F4644" s="2346">
        <v>1.66</v>
      </c>
      <c r="G4644">
        <v>1.95</v>
      </c>
      <c r="O4644"/>
    </row>
    <row r="4645" spans="1:15" ht="15.75" thickBot="1">
      <c r="A4645" s="1315"/>
      <c r="B4645" s="1718"/>
      <c r="C4645" s="1718"/>
      <c r="D4645" s="1718"/>
      <c r="E4645" s="1706" t="e">
        <f t="shared" si="84"/>
        <v>#DIV/0!</v>
      </c>
      <c r="F4645" s="1368"/>
      <c r="O4645"/>
    </row>
    <row r="4646" spans="1:15" ht="15.75" thickBot="1"/>
    <row r="4647" spans="1:15">
      <c r="A4647" s="3572"/>
      <c r="B4647" s="3636"/>
      <c r="C4647" s="3636"/>
      <c r="D4647" s="3636"/>
      <c r="E4647" s="3636"/>
      <c r="F4647" s="3559"/>
      <c r="O4647"/>
    </row>
    <row r="4648" spans="1:15" ht="15.75" thickBot="1">
      <c r="A4648" s="4013"/>
      <c r="B4648" s="3626"/>
      <c r="C4648" s="3626"/>
      <c r="D4648" s="3626"/>
      <c r="E4648" s="3626"/>
      <c r="F4648" s="3627"/>
      <c r="O4648"/>
    </row>
    <row r="4649" spans="1:15">
      <c r="A4649" s="1539" t="s">
        <v>3080</v>
      </c>
      <c r="B4649" s="449" t="s">
        <v>115</v>
      </c>
      <c r="C4649" s="2512" t="s">
        <v>623</v>
      </c>
      <c r="D4649" s="178"/>
      <c r="E4649" s="2347">
        <f>(G4649-F4649)/G4649</f>
        <v>0.30054644808743169</v>
      </c>
      <c r="F4649" s="2059">
        <v>1.28</v>
      </c>
      <c r="G4649">
        <v>1.83</v>
      </c>
      <c r="O4649"/>
    </row>
    <row r="4650" spans="1:15">
      <c r="A4650" s="2288"/>
      <c r="B4650" s="2289"/>
      <c r="C4650" s="2513" t="s">
        <v>1772</v>
      </c>
      <c r="D4650" s="2175"/>
      <c r="E4650" s="2353">
        <f>(G4650-F4650)/G4650</f>
        <v>0.30054644808743169</v>
      </c>
      <c r="F4650" s="2292">
        <v>1.28</v>
      </c>
      <c r="G4650">
        <v>1.83</v>
      </c>
      <c r="O4650"/>
    </row>
    <row r="4651" spans="1:15" ht="15.75" thickBot="1"/>
    <row r="4652" spans="1:15">
      <c r="A4652" s="3572"/>
      <c r="B4652" s="3557"/>
      <c r="C4652" s="3557"/>
      <c r="D4652" s="3557"/>
      <c r="E4652" s="3557"/>
      <c r="F4652" s="3559"/>
      <c r="O4652"/>
    </row>
    <row r="4653" spans="1:15">
      <c r="A4653" s="3635"/>
      <c r="B4653" s="4015"/>
      <c r="C4653" s="4015"/>
      <c r="D4653" s="4015"/>
      <c r="E4653" s="4015"/>
      <c r="F4653" s="4016"/>
      <c r="O4653"/>
    </row>
    <row r="4654" spans="1:15">
      <c r="A4654" s="1712" t="s">
        <v>3089</v>
      </c>
      <c r="B4654" s="1976" t="s">
        <v>106</v>
      </c>
      <c r="C4654" s="1977" t="s">
        <v>858</v>
      </c>
      <c r="D4654" s="1978"/>
      <c r="E4654" s="1979">
        <f>(G4654-F4654)/G4654</f>
        <v>0.30107526881720431</v>
      </c>
      <c r="F4654" s="2372">
        <v>0.65</v>
      </c>
      <c r="G4654">
        <v>0.93</v>
      </c>
      <c r="O4654"/>
    </row>
    <row r="4655" spans="1:15" ht="15.75" thickBot="1">
      <c r="A4655" s="1695"/>
      <c r="B4655" s="1717"/>
      <c r="C4655" s="1981" t="s">
        <v>730</v>
      </c>
      <c r="D4655" s="1718"/>
      <c r="E4655" s="1719">
        <f>(G4655-F4655)/G4655</f>
        <v>0.3</v>
      </c>
      <c r="F4655" s="1905">
        <v>0.56000000000000005</v>
      </c>
      <c r="G4655">
        <v>0.8</v>
      </c>
      <c r="O4655"/>
    </row>
    <row r="4656" spans="1:15" ht="15.75" thickBot="1">
      <c r="O4656"/>
    </row>
    <row r="4657" spans="1:15">
      <c r="A4657" s="3572"/>
      <c r="B4657" s="3557"/>
      <c r="C4657" s="3557"/>
      <c r="D4657" s="3557"/>
      <c r="E4657" s="3557"/>
      <c r="F4657" s="3559"/>
      <c r="O4657"/>
    </row>
    <row r="4658" spans="1:15" ht="15.75" thickBot="1">
      <c r="A4658" s="3844"/>
      <c r="B4658" s="4011"/>
      <c r="C4658" s="4011"/>
      <c r="D4658" s="4011"/>
      <c r="E4658" s="4011"/>
      <c r="F4658" s="3848"/>
      <c r="O4658"/>
    </row>
    <row r="4659" spans="1:15">
      <c r="A4659" s="2288" t="s">
        <v>3090</v>
      </c>
      <c r="B4659" s="2289" t="s">
        <v>115</v>
      </c>
      <c r="C4659" s="2290" t="s">
        <v>2827</v>
      </c>
      <c r="D4659" s="2175"/>
      <c r="E4659" s="2291">
        <f>(G4659-F4659)/G4659</f>
        <v>0.29655172413793102</v>
      </c>
      <c r="F4659" s="2292">
        <v>1.02</v>
      </c>
      <c r="G4659">
        <v>1.45</v>
      </c>
      <c r="O4659"/>
    </row>
    <row r="4660" spans="1:15">
      <c r="A4660" s="2288"/>
      <c r="B4660" s="2289"/>
      <c r="C4660" s="2290" t="s">
        <v>2890</v>
      </c>
      <c r="D4660" s="2175"/>
      <c r="E4660" s="1979">
        <f>(G4660-F4660)/G4660</f>
        <v>0.29655172413793102</v>
      </c>
      <c r="F4660" s="2292">
        <v>1.02</v>
      </c>
      <c r="G4660">
        <v>1.45</v>
      </c>
      <c r="O4660"/>
    </row>
    <row r="4661" spans="1:15" ht="15.75" thickBot="1">
      <c r="A4661" s="2373"/>
      <c r="B4661" s="2374"/>
      <c r="C4661" s="2375" t="s">
        <v>2871</v>
      </c>
      <c r="D4661" s="463"/>
      <c r="E4661" s="1719">
        <f>(G4661-F4661)/G4661</f>
        <v>0.29655172413793102</v>
      </c>
      <c r="F4661" s="2376">
        <v>1.02</v>
      </c>
      <c r="G4661">
        <v>1.45</v>
      </c>
      <c r="O4661"/>
    </row>
    <row r="4662" spans="1:15" ht="15.75" thickBot="1">
      <c r="O4662"/>
    </row>
    <row r="4663" spans="1:15">
      <c r="A4663" s="3572"/>
      <c r="B4663" s="3557"/>
      <c r="C4663" s="3557"/>
      <c r="D4663" s="3557"/>
      <c r="E4663" s="3557"/>
      <c r="F4663" s="3559"/>
      <c r="O4663"/>
    </row>
    <row r="4664" spans="1:15">
      <c r="A4664" s="3635"/>
      <c r="B4664" s="4015"/>
      <c r="C4664" s="4015"/>
      <c r="D4664" s="4015"/>
      <c r="E4664" s="4015"/>
      <c r="F4664" s="4016"/>
      <c r="O4664"/>
    </row>
    <row r="4665" spans="1:15">
      <c r="A4665" s="1712" t="s">
        <v>3091</v>
      </c>
      <c r="B4665" s="1976" t="s">
        <v>106</v>
      </c>
      <c r="C4665" s="1977" t="s">
        <v>2999</v>
      </c>
      <c r="D4665" s="1978"/>
      <c r="E4665" s="1979">
        <f>(G4665-F4665)/G4665</f>
        <v>0.32768361581920907</v>
      </c>
      <c r="F4665" s="2372">
        <v>1.19</v>
      </c>
      <c r="G4665">
        <v>1.77</v>
      </c>
      <c r="O4665"/>
    </row>
    <row r="4666" spans="1:15" ht="15.75" thickBot="1">
      <c r="A4666" s="1695"/>
      <c r="B4666" s="1717"/>
      <c r="C4666" s="1981"/>
      <c r="D4666" s="1718"/>
      <c r="E4666" s="1719" t="e">
        <f>(G4666-F4666)/G4666</f>
        <v>#DIV/0!</v>
      </c>
      <c r="F4666" s="1905"/>
      <c r="O4666"/>
    </row>
    <row r="4667" spans="1:15" ht="15.75" thickBot="1">
      <c r="O4667"/>
    </row>
    <row r="4668" spans="1:15">
      <c r="A4668" s="3572"/>
      <c r="B4668" s="3557"/>
      <c r="C4668" s="3557"/>
      <c r="D4668" s="3557"/>
      <c r="E4668" s="3557"/>
      <c r="F4668" s="3559"/>
      <c r="O4668"/>
    </row>
    <row r="4669" spans="1:15" ht="15.75" thickBot="1">
      <c r="A4669" s="3844"/>
      <c r="B4669" s="4011"/>
      <c r="C4669" s="4011"/>
      <c r="D4669" s="4011"/>
      <c r="E4669" s="4011"/>
      <c r="F4669" s="3848"/>
      <c r="O4669"/>
    </row>
    <row r="4670" spans="1:15">
      <c r="A4670" s="2288" t="s">
        <v>3092</v>
      </c>
      <c r="B4670" s="2289" t="s">
        <v>115</v>
      </c>
      <c r="C4670" s="2377" t="s">
        <v>2566</v>
      </c>
      <c r="D4670" s="2378"/>
      <c r="E4670" s="2379">
        <f t="shared" ref="E4670:E4685" si="85">(G4670-F4670)/G4670</f>
        <v>9.9799398194583847E-2</v>
      </c>
      <c r="F4670" s="2292">
        <v>17.95</v>
      </c>
      <c r="G4670">
        <v>19.940000000000001</v>
      </c>
      <c r="O4670"/>
    </row>
    <row r="4671" spans="1:15">
      <c r="A4671" s="1712"/>
      <c r="B4671" s="1976"/>
      <c r="C4671" s="2250" t="s">
        <v>72</v>
      </c>
      <c r="D4671" s="2280"/>
      <c r="E4671" s="2281">
        <f t="shared" si="85"/>
        <v>9.9799398194583847E-2</v>
      </c>
      <c r="F4671" s="2372">
        <v>17.95</v>
      </c>
      <c r="G4671">
        <v>19.940000000000001</v>
      </c>
      <c r="O4671"/>
    </row>
    <row r="4672" spans="1:15">
      <c r="A4672" s="1712"/>
      <c r="B4672" s="1976"/>
      <c r="C4672" s="2250" t="s">
        <v>1883</v>
      </c>
      <c r="D4672" s="2280"/>
      <c r="E4672" s="2281">
        <f t="shared" si="85"/>
        <v>9.9799398194583847E-2</v>
      </c>
      <c r="F4672" s="2372">
        <v>17.95</v>
      </c>
      <c r="G4672">
        <v>19.940000000000001</v>
      </c>
      <c r="O4672"/>
    </row>
    <row r="4673" spans="1:15">
      <c r="A4673" s="1712"/>
      <c r="B4673" s="1976"/>
      <c r="C4673" s="2250" t="s">
        <v>2276</v>
      </c>
      <c r="D4673" s="2280"/>
      <c r="E4673" s="2281">
        <f t="shared" si="85"/>
        <v>9.9799398194583847E-2</v>
      </c>
      <c r="F4673" s="2372">
        <v>17.95</v>
      </c>
      <c r="G4673">
        <v>19.940000000000001</v>
      </c>
      <c r="O4673"/>
    </row>
    <row r="4674" spans="1:15">
      <c r="A4674" s="1712"/>
      <c r="B4674" s="1976"/>
      <c r="C4674" s="2250" t="s">
        <v>2273</v>
      </c>
      <c r="D4674" s="2280"/>
      <c r="E4674" s="2281">
        <f t="shared" si="85"/>
        <v>9.9799398194583847E-2</v>
      </c>
      <c r="F4674" s="2372">
        <v>17.95</v>
      </c>
      <c r="G4674">
        <v>19.940000000000001</v>
      </c>
      <c r="O4674"/>
    </row>
    <row r="4675" spans="1:15">
      <c r="A4675" s="1712"/>
      <c r="B4675" s="1976"/>
      <c r="C4675" s="2250" t="s">
        <v>71</v>
      </c>
      <c r="D4675" s="2280"/>
      <c r="E4675" s="2281">
        <f t="shared" si="85"/>
        <v>9.9799398194583847E-2</v>
      </c>
      <c r="F4675" s="2372">
        <v>17.95</v>
      </c>
      <c r="G4675">
        <v>19.940000000000001</v>
      </c>
      <c r="O4675"/>
    </row>
    <row r="4676" spans="1:15">
      <c r="A4676" s="1712"/>
      <c r="B4676" s="1976"/>
      <c r="C4676" s="2250" t="s">
        <v>1499</v>
      </c>
      <c r="D4676" s="2280"/>
      <c r="E4676" s="2281">
        <f t="shared" si="85"/>
        <v>9.9118942731277568E-2</v>
      </c>
      <c r="F4676" s="2372">
        <v>8.18</v>
      </c>
      <c r="G4676">
        <v>9.08</v>
      </c>
      <c r="O4676"/>
    </row>
    <row r="4677" spans="1:15">
      <c r="A4677" s="1712"/>
      <c r="B4677" s="1976"/>
      <c r="C4677" s="2250" t="s">
        <v>2272</v>
      </c>
      <c r="D4677" s="2280"/>
      <c r="E4677" s="2281">
        <f t="shared" si="85"/>
        <v>0.10215053763440869</v>
      </c>
      <c r="F4677" s="2372">
        <v>3.34</v>
      </c>
      <c r="G4677">
        <v>3.72</v>
      </c>
      <c r="O4677"/>
    </row>
    <row r="4678" spans="1:15">
      <c r="A4678" s="1712"/>
      <c r="B4678" s="1976"/>
      <c r="C4678" s="2250" t="s">
        <v>1496</v>
      </c>
      <c r="D4678" s="2280"/>
      <c r="E4678" s="2281">
        <f t="shared" si="85"/>
        <v>0.10215053763440869</v>
      </c>
      <c r="F4678" s="2372">
        <v>3.34</v>
      </c>
      <c r="G4678">
        <v>3.72</v>
      </c>
      <c r="O4678"/>
    </row>
    <row r="4679" spans="1:15">
      <c r="A4679" s="1739"/>
      <c r="B4679" s="1978"/>
      <c r="C4679" s="2250" t="s">
        <v>2275</v>
      </c>
      <c r="D4679" s="2280"/>
      <c r="E4679" s="2281">
        <f t="shared" si="85"/>
        <v>0.10024154589371971</v>
      </c>
      <c r="F4679" s="2372">
        <v>7.45</v>
      </c>
      <c r="G4679">
        <v>8.2799999999999994</v>
      </c>
      <c r="O4679"/>
    </row>
    <row r="4680" spans="1:15">
      <c r="A4680" s="1739"/>
      <c r="B4680" s="1978"/>
      <c r="C4680" s="2250" t="s">
        <v>239</v>
      </c>
      <c r="D4680" s="2280"/>
      <c r="E4680" s="2283">
        <f t="shared" si="85"/>
        <v>0.10024154589371971</v>
      </c>
      <c r="F4680" s="2372">
        <v>7.45</v>
      </c>
      <c r="G4680">
        <v>8.2799999999999994</v>
      </c>
      <c r="O4680"/>
    </row>
    <row r="4681" spans="1:15">
      <c r="A4681" s="1739"/>
      <c r="B4681" s="1978"/>
      <c r="C4681" s="2250" t="s">
        <v>2271</v>
      </c>
      <c r="D4681" s="2280"/>
      <c r="E4681" s="2283">
        <f t="shared" si="85"/>
        <v>0.10024154589371971</v>
      </c>
      <c r="F4681" s="2372">
        <v>7.45</v>
      </c>
      <c r="G4681">
        <v>8.2799999999999994</v>
      </c>
      <c r="O4681"/>
    </row>
    <row r="4682" spans="1:15">
      <c r="A4682" s="1739"/>
      <c r="B4682" s="1978"/>
      <c r="C4682" s="1978" t="s">
        <v>238</v>
      </c>
      <c r="D4682" s="1978"/>
      <c r="E4682" s="2256">
        <f t="shared" si="85"/>
        <v>0.10024154589371971</v>
      </c>
      <c r="F4682" s="2380">
        <v>7.45</v>
      </c>
      <c r="G4682">
        <v>8.2799999999999994</v>
      </c>
      <c r="O4682"/>
    </row>
    <row r="4683" spans="1:15">
      <c r="A4683" s="1739"/>
      <c r="B4683" s="1978"/>
      <c r="C4683" s="1978" t="s">
        <v>2274</v>
      </c>
      <c r="D4683" s="1978"/>
      <c r="E4683" s="2256">
        <f t="shared" si="85"/>
        <v>0.10215053763440869</v>
      </c>
      <c r="F4683" s="2380">
        <v>3.34</v>
      </c>
      <c r="G4683">
        <v>3.72</v>
      </c>
      <c r="O4683"/>
    </row>
    <row r="4684" spans="1:15">
      <c r="A4684" s="1739"/>
      <c r="B4684" s="1978"/>
      <c r="C4684" s="1978" t="s">
        <v>1497</v>
      </c>
      <c r="D4684" s="1978"/>
      <c r="E4684" s="2256">
        <f t="shared" si="85"/>
        <v>0.10215053763440869</v>
      </c>
      <c r="F4684" s="2380">
        <v>3.34</v>
      </c>
      <c r="G4684">
        <v>3.72</v>
      </c>
      <c r="O4684"/>
    </row>
    <row r="4685" spans="1:15" ht="15.75" thickBot="1">
      <c r="A4685" s="1315"/>
      <c r="B4685" s="1718"/>
      <c r="C4685" s="1718" t="s">
        <v>1644</v>
      </c>
      <c r="D4685" s="1718"/>
      <c r="E4685" s="1706">
        <f t="shared" si="85"/>
        <v>9.9678456591639888E-2</v>
      </c>
      <c r="F4685" s="1368">
        <v>2.8</v>
      </c>
      <c r="G4685">
        <v>3.11</v>
      </c>
      <c r="O4685"/>
    </row>
    <row r="4687" spans="1:15" ht="15.75" thickBot="1"/>
    <row r="4688" spans="1:15">
      <c r="A4688" s="3572"/>
      <c r="B4688" s="3557"/>
      <c r="C4688" s="3557"/>
      <c r="D4688" s="3557"/>
      <c r="E4688" s="3557"/>
      <c r="F4688" s="3559"/>
      <c r="O4688"/>
    </row>
    <row r="4689" spans="1:15" ht="15.75" thickBot="1">
      <c r="A4689" s="3871"/>
      <c r="B4689" s="3626"/>
      <c r="C4689" s="3626"/>
      <c r="D4689" s="3626"/>
      <c r="E4689" s="3626"/>
      <c r="F4689" s="3627"/>
      <c r="O4689"/>
    </row>
    <row r="4690" spans="1:15">
      <c r="A4690" s="1539" t="s">
        <v>3119</v>
      </c>
      <c r="B4690" s="1690" t="s">
        <v>106</v>
      </c>
      <c r="C4690" s="2451" t="s">
        <v>3120</v>
      </c>
      <c r="D4690" s="2421"/>
      <c r="E4690" s="2182">
        <f t="shared" ref="E4690:E4695" si="86">(G4690-F4690)/G4690</f>
        <v>0.14941022280471819</v>
      </c>
      <c r="F4690" s="2059">
        <v>6.49</v>
      </c>
      <c r="G4690">
        <v>7.63</v>
      </c>
      <c r="O4690"/>
    </row>
    <row r="4691" spans="1:15">
      <c r="A4691" s="2227"/>
      <c r="B4691" s="2452"/>
      <c r="C4691" s="2453" t="s">
        <v>3121</v>
      </c>
      <c r="D4691" s="2440"/>
      <c r="E4691" s="2454">
        <f t="shared" si="86"/>
        <v>0.14941022280471819</v>
      </c>
      <c r="F4691" s="2455">
        <v>6.49</v>
      </c>
      <c r="G4691">
        <v>7.63</v>
      </c>
      <c r="O4691"/>
    </row>
    <row r="4692" spans="1:15">
      <c r="A4692" s="2227"/>
      <c r="B4692" s="2452"/>
      <c r="C4692" s="2453" t="s">
        <v>549</v>
      </c>
      <c r="D4692" s="2440"/>
      <c r="E4692" s="2454">
        <f t="shared" si="86"/>
        <v>0.10008883624518811</v>
      </c>
      <c r="F4692" s="2455">
        <v>30.39</v>
      </c>
      <c r="G4692">
        <v>33.770000000000003</v>
      </c>
      <c r="O4692"/>
    </row>
    <row r="4693" spans="1:15">
      <c r="A4693" s="2227"/>
      <c r="B4693" s="2452"/>
      <c r="C4693" s="2453" t="s">
        <v>1258</v>
      </c>
      <c r="D4693" s="2440"/>
      <c r="E4693" s="2454">
        <f t="shared" si="86"/>
        <v>0.10008883624518811</v>
      </c>
      <c r="F4693" s="2455">
        <v>30.39</v>
      </c>
      <c r="G4693">
        <v>33.770000000000003</v>
      </c>
      <c r="O4693"/>
    </row>
    <row r="4694" spans="1:15">
      <c r="A4694" s="2227"/>
      <c r="B4694" s="2452"/>
      <c r="C4694" s="2453" t="s">
        <v>550</v>
      </c>
      <c r="D4694" s="2440"/>
      <c r="E4694" s="2454">
        <f t="shared" si="86"/>
        <v>0.10003461405330566</v>
      </c>
      <c r="F4694" s="2455">
        <v>26</v>
      </c>
      <c r="G4694">
        <v>28.89</v>
      </c>
      <c r="O4694"/>
    </row>
    <row r="4695" spans="1:15" ht="15.75" thickBot="1">
      <c r="A4695" s="1315"/>
      <c r="B4695" s="2180"/>
      <c r="C4695" s="2180" t="s">
        <v>1259</v>
      </c>
      <c r="D4695" s="2180"/>
      <c r="E4695" s="2172">
        <f t="shared" si="86"/>
        <v>0.10003461405330566</v>
      </c>
      <c r="F4695" s="2456">
        <v>26</v>
      </c>
      <c r="G4695">
        <v>28.89</v>
      </c>
      <c r="O4695"/>
    </row>
    <row r="4697" spans="1:15" ht="15.75" thickBot="1"/>
    <row r="4698" spans="1:15">
      <c r="A4698" s="3572"/>
      <c r="B4698" s="3557"/>
      <c r="C4698" s="3557"/>
      <c r="D4698" s="3557"/>
      <c r="E4698" s="3557"/>
      <c r="F4698" s="3559"/>
      <c r="O4698"/>
    </row>
    <row r="4699" spans="1:15" ht="15.75" thickBot="1">
      <c r="A4699" s="3871"/>
      <c r="B4699" s="3626"/>
      <c r="C4699" s="3626"/>
      <c r="D4699" s="3626"/>
      <c r="E4699" s="3626"/>
      <c r="F4699" s="3627"/>
      <c r="O4699"/>
    </row>
    <row r="4700" spans="1:15">
      <c r="A4700" s="1539" t="s">
        <v>3126</v>
      </c>
      <c r="B4700" s="1690" t="s">
        <v>115</v>
      </c>
      <c r="C4700" s="2451" t="s">
        <v>2425</v>
      </c>
      <c r="D4700" s="2421"/>
      <c r="E4700" s="2182">
        <f>(G4700-F4700)/G4700</f>
        <v>0.15000000000000002</v>
      </c>
      <c r="F4700" s="2059">
        <v>1.7</v>
      </c>
      <c r="G4700" s="39">
        <v>2</v>
      </c>
      <c r="O4700"/>
    </row>
    <row r="4701" spans="1:15">
      <c r="A4701" s="2227"/>
      <c r="B4701" s="2452"/>
      <c r="C4701" s="2453" t="s">
        <v>2426</v>
      </c>
      <c r="D4701" s="2440"/>
      <c r="E4701" s="2454">
        <f>(G4701-F4701)/G4701</f>
        <v>0.15000000000000002</v>
      </c>
      <c r="F4701" s="2455">
        <v>1.7</v>
      </c>
      <c r="G4701" s="39">
        <v>2</v>
      </c>
      <c r="O4701"/>
    </row>
    <row r="4702" spans="1:15">
      <c r="A4702" s="2227"/>
      <c r="B4702" s="2452"/>
      <c r="C4702" s="2453" t="s">
        <v>2801</v>
      </c>
      <c r="D4702" s="2440"/>
      <c r="E4702" s="2454">
        <f>(G4702-F4702)/G4702</f>
        <v>0.14857142857142858</v>
      </c>
      <c r="F4702" s="2455">
        <v>1.49</v>
      </c>
      <c r="G4702" s="39">
        <v>1.75</v>
      </c>
      <c r="O4702"/>
    </row>
    <row r="4703" spans="1:15" ht="15.75" thickBot="1">
      <c r="A4703" s="1695"/>
      <c r="B4703" s="2171"/>
      <c r="C4703" s="2460" t="s">
        <v>2802</v>
      </c>
      <c r="D4703" s="2180"/>
      <c r="E4703" s="2461">
        <f>(G4703-F4703)/G4703</f>
        <v>0.14857142857142858</v>
      </c>
      <c r="F4703" s="2456">
        <v>1.49</v>
      </c>
      <c r="G4703" s="39">
        <v>1.75</v>
      </c>
      <c r="O4703"/>
    </row>
    <row r="4704" spans="1:15" ht="15.75" thickBot="1">
      <c r="O4704"/>
    </row>
    <row r="4705" spans="1:15">
      <c r="A4705" s="3572"/>
      <c r="B4705" s="3557"/>
      <c r="C4705" s="3557"/>
      <c r="D4705" s="3557"/>
      <c r="E4705" s="3557"/>
      <c r="F4705" s="3559"/>
      <c r="O4705"/>
    </row>
    <row r="4706" spans="1:15" ht="15.75" thickBot="1">
      <c r="A4706" s="3871"/>
      <c r="B4706" s="3626"/>
      <c r="C4706" s="3626"/>
      <c r="D4706" s="3626"/>
      <c r="E4706" s="3626"/>
      <c r="F4706" s="3627"/>
      <c r="O4706"/>
    </row>
    <row r="4707" spans="1:15">
      <c r="A4707" s="1539" t="s">
        <v>3127</v>
      </c>
      <c r="B4707" s="1690" t="s">
        <v>115</v>
      </c>
      <c r="C4707" s="2451" t="s">
        <v>686</v>
      </c>
      <c r="D4707" s="2421"/>
      <c r="E4707" s="2182">
        <f>(G4707-F4707)/G4707</f>
        <v>0.33027522935779824</v>
      </c>
      <c r="F4707" s="2059">
        <v>1.46</v>
      </c>
      <c r="G4707" s="39">
        <v>2.1800000000000002</v>
      </c>
      <c r="O4707"/>
    </row>
    <row r="4708" spans="1:15">
      <c r="A4708" s="2227"/>
      <c r="B4708" s="2462"/>
      <c r="C4708" s="2463" t="s">
        <v>687</v>
      </c>
      <c r="D4708" s="2464"/>
      <c r="E4708" s="2465">
        <f>(G4708-F4708)/G4708</f>
        <v>0.33027522935779824</v>
      </c>
      <c r="F4708" s="2455">
        <v>1.46</v>
      </c>
      <c r="G4708" s="39">
        <v>2.1800000000000002</v>
      </c>
      <c r="O4708"/>
    </row>
    <row r="4710" spans="1:15" ht="15.75" thickBot="1"/>
    <row r="4711" spans="1:15">
      <c r="A4711" s="3572"/>
      <c r="B4711" s="3557"/>
      <c r="C4711" s="3557"/>
      <c r="D4711" s="3557"/>
      <c r="E4711" s="3557"/>
      <c r="F4711" s="3559"/>
      <c r="O4711"/>
    </row>
    <row r="4712" spans="1:15" ht="15.75" thickBot="1">
      <c r="A4712" s="3871"/>
      <c r="B4712" s="3626"/>
      <c r="C4712" s="3626"/>
      <c r="D4712" s="3626"/>
      <c r="E4712" s="3626"/>
      <c r="F4712" s="3627"/>
      <c r="O4712"/>
    </row>
    <row r="4713" spans="1:15">
      <c r="A4713" s="1539" t="s">
        <v>3130</v>
      </c>
      <c r="B4713" s="1690" t="s">
        <v>106</v>
      </c>
      <c r="C4713" s="2181" t="s">
        <v>2274</v>
      </c>
      <c r="D4713" s="2468"/>
      <c r="E4713" s="2469">
        <f t="shared" ref="E4713:E4730" si="87">(G4713-F4713)/G4713</f>
        <v>9.8522167487684609E-2</v>
      </c>
      <c r="F4713" s="2059">
        <v>3.66</v>
      </c>
      <c r="G4713">
        <v>4.0599999999999996</v>
      </c>
      <c r="O4713"/>
    </row>
    <row r="4714" spans="1:15">
      <c r="A4714" s="2227"/>
      <c r="B4714" s="2462"/>
      <c r="C4714" s="2470" t="s">
        <v>1497</v>
      </c>
      <c r="D4714" s="2471"/>
      <c r="E4714" s="2472">
        <f t="shared" si="87"/>
        <v>9.8522167487684609E-2</v>
      </c>
      <c r="F4714" s="2455">
        <v>3.66</v>
      </c>
      <c r="G4714">
        <v>4.0599999999999996</v>
      </c>
      <c r="O4714"/>
    </row>
    <row r="4715" spans="1:15">
      <c r="A4715" s="2227"/>
      <c r="B4715" s="2462"/>
      <c r="C4715" s="2470" t="s">
        <v>2275</v>
      </c>
      <c r="D4715" s="2471"/>
      <c r="E4715" s="2472">
        <f t="shared" si="87"/>
        <v>9.9447513812154734E-2</v>
      </c>
      <c r="F4715" s="2455">
        <v>8.15</v>
      </c>
      <c r="G4715">
        <v>9.0500000000000007</v>
      </c>
      <c r="O4715"/>
    </row>
    <row r="4716" spans="1:15">
      <c r="A4716" s="2227"/>
      <c r="B4716" s="2462"/>
      <c r="C4716" s="2470" t="s">
        <v>239</v>
      </c>
      <c r="D4716" s="2471"/>
      <c r="E4716" s="2472">
        <f t="shared" si="87"/>
        <v>9.9447513812154734E-2</v>
      </c>
      <c r="F4716" s="2455">
        <v>8.15</v>
      </c>
      <c r="G4716">
        <v>9.0500000000000007</v>
      </c>
      <c r="O4716"/>
    </row>
    <row r="4717" spans="1:15">
      <c r="A4717" s="2227"/>
      <c r="B4717" s="2462"/>
      <c r="C4717" s="2470" t="s">
        <v>2277</v>
      </c>
      <c r="D4717" s="2471"/>
      <c r="E4717" s="2472">
        <f t="shared" si="87"/>
        <v>9.8522167487684609E-2</v>
      </c>
      <c r="F4717" s="2455">
        <v>3.66</v>
      </c>
      <c r="G4717">
        <v>4.0599999999999996</v>
      </c>
      <c r="H4717">
        <f>F4717*2</f>
        <v>7.32</v>
      </c>
      <c r="I4717">
        <f>40.26-1.73</f>
        <v>38.53</v>
      </c>
      <c r="J4717">
        <f>I4717/F4717</f>
        <v>10.527322404371585</v>
      </c>
      <c r="O4717"/>
    </row>
    <row r="4718" spans="1:15">
      <c r="A4718" s="2227"/>
      <c r="B4718" s="2462"/>
      <c r="C4718" s="2470" t="s">
        <v>1722</v>
      </c>
      <c r="D4718" s="2471"/>
      <c r="E4718" s="2472">
        <f t="shared" si="87"/>
        <v>9.8522167487684609E-2</v>
      </c>
      <c r="F4718" s="2455">
        <v>3.66</v>
      </c>
      <c r="G4718">
        <v>4.0599999999999996</v>
      </c>
      <c r="O4718"/>
    </row>
    <row r="4719" spans="1:15">
      <c r="A4719" s="2227"/>
      <c r="B4719" s="2462"/>
      <c r="C4719" s="2470" t="s">
        <v>2272</v>
      </c>
      <c r="D4719" s="2471"/>
      <c r="E4719" s="2472">
        <f t="shared" si="87"/>
        <v>9.8522167487684609E-2</v>
      </c>
      <c r="F4719" s="2455">
        <v>3.66</v>
      </c>
      <c r="G4719">
        <v>4.0599999999999996</v>
      </c>
      <c r="O4719"/>
    </row>
    <row r="4720" spans="1:15">
      <c r="A4720" s="2227"/>
      <c r="B4720" s="2462"/>
      <c r="C4720" s="2470" t="s">
        <v>1496</v>
      </c>
      <c r="D4720" s="2471"/>
      <c r="E4720" s="2472">
        <f t="shared" si="87"/>
        <v>9.8522167487684609E-2</v>
      </c>
      <c r="F4720" s="2455">
        <v>3.66</v>
      </c>
      <c r="G4720">
        <v>4.0599999999999996</v>
      </c>
      <c r="O4720"/>
    </row>
    <row r="4721" spans="1:15">
      <c r="A4721" s="2227"/>
      <c r="B4721" s="2462"/>
      <c r="C4721" s="2470" t="s">
        <v>2271</v>
      </c>
      <c r="D4721" s="2471"/>
      <c r="E4721" s="2472">
        <f t="shared" si="87"/>
        <v>9.9447513812154734E-2</v>
      </c>
      <c r="F4721" s="2455">
        <v>8.15</v>
      </c>
      <c r="G4721">
        <v>9.0500000000000007</v>
      </c>
      <c r="O4721"/>
    </row>
    <row r="4722" spans="1:15">
      <c r="A4722" s="2206"/>
      <c r="B4722" s="2464"/>
      <c r="C4722" s="2470" t="s">
        <v>238</v>
      </c>
      <c r="D4722" s="2471"/>
      <c r="E4722" s="2472">
        <f t="shared" si="87"/>
        <v>9.9447513812154734E-2</v>
      </c>
      <c r="F4722" s="2455">
        <v>8.15</v>
      </c>
      <c r="G4722">
        <v>9.0500000000000007</v>
      </c>
      <c r="O4722"/>
    </row>
    <row r="4723" spans="1:15">
      <c r="A4723" s="2206"/>
      <c r="B4723" s="2464"/>
      <c r="C4723" s="2470" t="s">
        <v>2281</v>
      </c>
      <c r="D4723" s="2471"/>
      <c r="E4723" s="2473">
        <f t="shared" si="87"/>
        <v>9.9447513812154734E-2</v>
      </c>
      <c r="F4723" s="2455">
        <v>8.15</v>
      </c>
      <c r="G4723">
        <v>9.0500000000000007</v>
      </c>
      <c r="O4723"/>
    </row>
    <row r="4724" spans="1:15">
      <c r="A4724" s="2206"/>
      <c r="B4724" s="2464"/>
      <c r="C4724" s="2470" t="s">
        <v>2282</v>
      </c>
      <c r="D4724" s="2471"/>
      <c r="E4724" s="2473">
        <f t="shared" si="87"/>
        <v>9.9447513812154734E-2</v>
      </c>
      <c r="F4724" s="2455">
        <v>8.15</v>
      </c>
      <c r="G4724">
        <v>9.0500000000000007</v>
      </c>
      <c r="O4724"/>
    </row>
    <row r="4725" spans="1:15">
      <c r="A4725" s="2206"/>
      <c r="B4725" s="2464"/>
      <c r="C4725" s="2464" t="s">
        <v>2273</v>
      </c>
      <c r="D4725" s="2464"/>
      <c r="E4725" s="2474">
        <f t="shared" si="87"/>
        <v>0.10004589261128957</v>
      </c>
      <c r="F4725" s="2441">
        <v>19.61</v>
      </c>
      <c r="G4725">
        <v>21.79</v>
      </c>
      <c r="O4725"/>
    </row>
    <row r="4726" spans="1:15">
      <c r="A4726" s="2206"/>
      <c r="B4726" s="2464"/>
      <c r="C4726" s="2464" t="s">
        <v>71</v>
      </c>
      <c r="D4726" s="2464"/>
      <c r="E4726" s="2474">
        <f t="shared" si="87"/>
        <v>0.10004589261128957</v>
      </c>
      <c r="F4726" s="2441">
        <v>19.61</v>
      </c>
      <c r="G4726">
        <v>21.79</v>
      </c>
      <c r="O4726"/>
    </row>
    <row r="4727" spans="1:15">
      <c r="A4727" s="2206"/>
      <c r="B4727" s="2464"/>
      <c r="C4727" s="2464" t="s">
        <v>1883</v>
      </c>
      <c r="D4727" s="2464"/>
      <c r="E4727" s="2474">
        <f t="shared" si="87"/>
        <v>0.10004589261128957</v>
      </c>
      <c r="F4727" s="2441">
        <v>19.61</v>
      </c>
      <c r="G4727">
        <v>21.79</v>
      </c>
      <c r="O4727"/>
    </row>
    <row r="4728" spans="1:15">
      <c r="A4728" s="2206"/>
      <c r="B4728" s="2464"/>
      <c r="C4728" s="2464" t="s">
        <v>2276</v>
      </c>
      <c r="D4728" s="2464"/>
      <c r="E4728" s="2474">
        <f t="shared" si="87"/>
        <v>0.10004589261128957</v>
      </c>
      <c r="F4728" s="2441">
        <v>19.61</v>
      </c>
      <c r="G4728">
        <v>21.79</v>
      </c>
      <c r="O4728"/>
    </row>
    <row r="4729" spans="1:15">
      <c r="A4729" s="2206"/>
      <c r="B4729" s="2464"/>
      <c r="C4729" s="2464" t="s">
        <v>2880</v>
      </c>
      <c r="D4729" s="2464"/>
      <c r="E4729" s="2474">
        <f t="shared" si="87"/>
        <v>0.10004589261128957</v>
      </c>
      <c r="F4729" s="2441">
        <v>19.61</v>
      </c>
      <c r="G4729">
        <v>21.79</v>
      </c>
      <c r="O4729"/>
    </row>
    <row r="4730" spans="1:15" ht="15.75" thickBot="1">
      <c r="A4730" s="1315"/>
      <c r="B4730" s="2180"/>
      <c r="C4730" s="2180" t="s">
        <v>2881</v>
      </c>
      <c r="D4730" s="2180"/>
      <c r="E4730" s="2172">
        <f t="shared" si="87"/>
        <v>0.10004589261128957</v>
      </c>
      <c r="F4730" s="2413">
        <v>19.61</v>
      </c>
      <c r="G4730">
        <v>21.79</v>
      </c>
      <c r="O4730"/>
    </row>
    <row r="4732" spans="1:15" ht="15.75" thickBot="1"/>
    <row r="4733" spans="1:15">
      <c r="A4733" s="3572"/>
      <c r="B4733" s="3557"/>
      <c r="C4733" s="3557"/>
      <c r="D4733" s="3557"/>
      <c r="E4733" s="3557"/>
      <c r="F4733" s="3559"/>
      <c r="O4733"/>
    </row>
    <row r="4734" spans="1:15" ht="15.75" thickBot="1">
      <c r="A4734" s="3871"/>
      <c r="B4734" s="3626"/>
      <c r="C4734" s="3626"/>
      <c r="D4734" s="3626"/>
      <c r="E4734" s="3626"/>
      <c r="F4734" s="3627"/>
      <c r="O4734"/>
    </row>
    <row r="4735" spans="1:15">
      <c r="A4735" s="1539" t="s">
        <v>3138</v>
      </c>
      <c r="B4735" s="1690" t="s">
        <v>115</v>
      </c>
      <c r="C4735" s="2451" t="s">
        <v>858</v>
      </c>
      <c r="D4735" s="2421"/>
      <c r="E4735" s="2182">
        <f>(G4735-F4735)/G4735</f>
        <v>0.33333333333333331</v>
      </c>
      <c r="F4735" s="2059">
        <v>0.64</v>
      </c>
      <c r="G4735" s="39">
        <v>0.96</v>
      </c>
      <c r="O4735"/>
    </row>
    <row r="4736" spans="1:15">
      <c r="A4736" s="2227"/>
      <c r="B4736" s="2493"/>
      <c r="C4736" s="2494"/>
      <c r="D4736" s="2495"/>
      <c r="E4736" s="2496" t="e">
        <f>(G4736-F4736)/G4736</f>
        <v>#DIV/0!</v>
      </c>
      <c r="F4736" s="2455"/>
      <c r="G4736" s="39"/>
      <c r="O4736"/>
    </row>
    <row r="4738" spans="1:15" ht="15.75" thickBot="1"/>
    <row r="4739" spans="1:15">
      <c r="A4739" s="3593"/>
      <c r="B4739" s="3601"/>
      <c r="C4739" s="3601"/>
      <c r="D4739" s="3601"/>
      <c r="E4739" s="3601"/>
      <c r="F4739" s="3616"/>
      <c r="G4739" s="1260"/>
      <c r="O4739"/>
    </row>
    <row r="4740" spans="1:15" ht="15.75" thickBot="1">
      <c r="A4740" s="3933"/>
      <c r="B4740" s="4017"/>
      <c r="C4740" s="4017"/>
      <c r="D4740" s="4017"/>
      <c r="E4740" s="4017"/>
      <c r="F4740" s="3925"/>
      <c r="G4740" s="1260"/>
      <c r="O4740"/>
    </row>
    <row r="4741" spans="1:15">
      <c r="A4741" s="2517" t="s">
        <v>3141</v>
      </c>
      <c r="B4741" s="2518" t="s">
        <v>114</v>
      </c>
      <c r="C4741" s="2519" t="s">
        <v>2550</v>
      </c>
      <c r="D4741" s="2520"/>
      <c r="E4741" s="2291">
        <f t="shared" ref="E4741:E4749" si="88">(G4741-F4741)/G4741</f>
        <v>0.2497376705141657</v>
      </c>
      <c r="F4741" s="2521">
        <v>7.15</v>
      </c>
      <c r="G4741" s="1260">
        <v>9.5299999999999994</v>
      </c>
      <c r="O4741"/>
    </row>
    <row r="4742" spans="1:15">
      <c r="A4742" s="2517"/>
      <c r="B4742" s="2518"/>
      <c r="C4742" s="2519" t="s">
        <v>2551</v>
      </c>
      <c r="D4742" s="2520"/>
      <c r="E4742" s="2291">
        <f t="shared" si="88"/>
        <v>0.2497376705141657</v>
      </c>
      <c r="F4742" s="2521">
        <v>7.15</v>
      </c>
      <c r="G4742" s="1260">
        <v>9.5299999999999994</v>
      </c>
      <c r="O4742"/>
    </row>
    <row r="4743" spans="1:15">
      <c r="A4743" s="2517"/>
      <c r="B4743" s="2518"/>
      <c r="C4743" s="2519" t="s">
        <v>2552</v>
      </c>
      <c r="D4743" s="2520"/>
      <c r="E4743" s="2291">
        <f t="shared" si="88"/>
        <v>0.2497376705141657</v>
      </c>
      <c r="F4743" s="2521">
        <v>7.15</v>
      </c>
      <c r="G4743" s="1260">
        <v>9.5299999999999994</v>
      </c>
      <c r="O4743"/>
    </row>
    <row r="4744" spans="1:15">
      <c r="A4744" s="2517"/>
      <c r="B4744" s="2518"/>
      <c r="C4744" s="2519" t="s">
        <v>2553</v>
      </c>
      <c r="D4744" s="2520"/>
      <c r="E4744" s="2291">
        <f t="shared" si="88"/>
        <v>0.2497376705141657</v>
      </c>
      <c r="F4744" s="2521">
        <v>7.15</v>
      </c>
      <c r="G4744" s="1260">
        <v>9.5299999999999994</v>
      </c>
      <c r="O4744"/>
    </row>
    <row r="4745" spans="1:15">
      <c r="A4745" s="2517"/>
      <c r="B4745" s="2518"/>
      <c r="C4745" s="2519" t="s">
        <v>1763</v>
      </c>
      <c r="D4745" s="2520"/>
      <c r="E4745" s="2291">
        <f t="shared" si="88"/>
        <v>0.15623869801084994</v>
      </c>
      <c r="F4745" s="2521">
        <v>23.33</v>
      </c>
      <c r="G4745" s="1260">
        <v>27.65</v>
      </c>
      <c r="O4745"/>
    </row>
    <row r="4746" spans="1:15">
      <c r="A4746" s="2517"/>
      <c r="B4746" s="2518"/>
      <c r="C4746" s="2519" t="s">
        <v>1556</v>
      </c>
      <c r="D4746" s="2520"/>
      <c r="E4746" s="2291">
        <f t="shared" si="88"/>
        <v>0.15623869801084994</v>
      </c>
      <c r="F4746" s="2521">
        <v>23.33</v>
      </c>
      <c r="G4746" s="1260">
        <v>27.65</v>
      </c>
      <c r="O4746"/>
    </row>
    <row r="4747" spans="1:15">
      <c r="A4747" s="2517"/>
      <c r="B4747" s="2518"/>
      <c r="C4747" s="2519" t="s">
        <v>1557</v>
      </c>
      <c r="D4747" s="2520"/>
      <c r="E4747" s="2291">
        <f t="shared" si="88"/>
        <v>0.15623869801084994</v>
      </c>
      <c r="F4747" s="2521">
        <v>23.33</v>
      </c>
      <c r="G4747" s="1260">
        <v>27.65</v>
      </c>
      <c r="O4747"/>
    </row>
    <row r="4748" spans="1:15">
      <c r="A4748" s="2517"/>
      <c r="B4748" s="2518"/>
      <c r="C4748" s="2519" t="s">
        <v>1555</v>
      </c>
      <c r="D4748" s="2520"/>
      <c r="E4748" s="2291">
        <f t="shared" si="88"/>
        <v>0.15623869801084994</v>
      </c>
      <c r="F4748" s="2521">
        <v>23.33</v>
      </c>
      <c r="G4748" s="1260">
        <v>27.65</v>
      </c>
      <c r="O4748"/>
    </row>
    <row r="4749" spans="1:15" ht="15.75" thickBot="1">
      <c r="A4749" s="1074"/>
      <c r="B4749" s="2233"/>
      <c r="C4749" s="2522" t="s">
        <v>1810</v>
      </c>
      <c r="D4749" s="2234"/>
      <c r="E4749" s="1557">
        <f t="shared" si="88"/>
        <v>0.15623869801084994</v>
      </c>
      <c r="F4749" s="2523">
        <v>23.33</v>
      </c>
      <c r="G4749" s="1260">
        <v>27.65</v>
      </c>
      <c r="O4749"/>
    </row>
    <row r="4750" spans="1:15" ht="15.75" thickBot="1"/>
    <row r="4751" spans="1:15">
      <c r="A4751" s="3572"/>
      <c r="B4751" s="3636"/>
      <c r="C4751" s="3636"/>
      <c r="D4751" s="3636"/>
      <c r="E4751" s="3636"/>
      <c r="F4751" s="3559"/>
      <c r="O4751"/>
    </row>
    <row r="4752" spans="1:15" ht="15.75" thickBot="1">
      <c r="A4752" s="3871"/>
      <c r="B4752" s="3626"/>
      <c r="C4752" s="3626"/>
      <c r="D4752" s="3626"/>
      <c r="E4752" s="3626"/>
      <c r="F4752" s="3627"/>
      <c r="O4752"/>
    </row>
    <row r="4753" spans="1:15">
      <c r="A4753" s="1539" t="s">
        <v>3167</v>
      </c>
      <c r="B4753" s="449" t="s">
        <v>115</v>
      </c>
      <c r="C4753" s="2295" t="s">
        <v>549</v>
      </c>
      <c r="D4753" s="178"/>
      <c r="E4753" s="1364">
        <f t="shared" ref="E4753:E4765" si="89">(G4753-F4753)/G4753</f>
        <v>0.12009879592466813</v>
      </c>
      <c r="F4753" s="2059">
        <v>28.5</v>
      </c>
      <c r="G4753" s="39">
        <v>32.39</v>
      </c>
      <c r="O4753"/>
    </row>
    <row r="4754" spans="1:15">
      <c r="A4754" s="2227"/>
      <c r="B4754" s="2548"/>
      <c r="C4754" s="2550" t="s">
        <v>1258</v>
      </c>
      <c r="D4754" s="2526"/>
      <c r="E4754" s="2551">
        <f t="shared" si="89"/>
        <v>0.12009879592466813</v>
      </c>
      <c r="F4754" s="2552">
        <v>28.5</v>
      </c>
      <c r="G4754" s="39">
        <v>32.39</v>
      </c>
      <c r="O4754"/>
    </row>
    <row r="4755" spans="1:15">
      <c r="A4755" s="2227"/>
      <c r="B4755" s="2548"/>
      <c r="C4755" s="2550" t="s">
        <v>550</v>
      </c>
      <c r="D4755" s="2526"/>
      <c r="E4755" s="2551">
        <f t="shared" si="89"/>
        <v>0.11981234211476002</v>
      </c>
      <c r="F4755" s="2552">
        <v>24.39</v>
      </c>
      <c r="G4755" s="39">
        <v>27.71</v>
      </c>
      <c r="O4755"/>
    </row>
    <row r="4756" spans="1:15">
      <c r="A4756" s="2227"/>
      <c r="B4756" s="2548"/>
      <c r="C4756" s="2550" t="s">
        <v>1259</v>
      </c>
      <c r="D4756" s="2526"/>
      <c r="E4756" s="2551">
        <f t="shared" si="89"/>
        <v>0.11981234211476002</v>
      </c>
      <c r="F4756" s="2552">
        <v>24.39</v>
      </c>
      <c r="G4756" s="39">
        <v>27.71</v>
      </c>
      <c r="O4756"/>
    </row>
    <row r="4757" spans="1:15">
      <c r="A4757" s="2206"/>
      <c r="B4757" s="2526"/>
      <c r="C4757" s="2526" t="s">
        <v>1026</v>
      </c>
      <c r="D4757" s="2526"/>
      <c r="E4757" s="2551">
        <f t="shared" si="89"/>
        <v>0.11955514365152912</v>
      </c>
      <c r="F4757" s="2528">
        <v>9.5</v>
      </c>
      <c r="G4757" s="39">
        <v>10.79</v>
      </c>
      <c r="O4757"/>
    </row>
    <row r="4758" spans="1:15">
      <c r="A4758" s="2206"/>
      <c r="B4758" s="2526"/>
      <c r="C4758" s="2526" t="s">
        <v>3020</v>
      </c>
      <c r="D4758" s="2526"/>
      <c r="E4758" s="2551">
        <f t="shared" si="89"/>
        <v>0.11955514365152912</v>
      </c>
      <c r="F4758" s="2528">
        <v>9.5</v>
      </c>
      <c r="G4758" s="39">
        <v>10.79</v>
      </c>
      <c r="O4758"/>
    </row>
    <row r="4759" spans="1:15">
      <c r="A4759" s="2206"/>
      <c r="B4759" s="2526"/>
      <c r="C4759" s="2526" t="s">
        <v>1027</v>
      </c>
      <c r="D4759" s="2526"/>
      <c r="E4759" s="2551">
        <f t="shared" si="89"/>
        <v>0.12037037037037034</v>
      </c>
      <c r="F4759" s="2528">
        <v>12.35</v>
      </c>
      <c r="G4759" s="39">
        <v>14.04</v>
      </c>
      <c r="O4759"/>
    </row>
    <row r="4760" spans="1:15">
      <c r="A4760" s="2206"/>
      <c r="B4760" s="2526"/>
      <c r="C4760" s="2526" t="s">
        <v>1176</v>
      </c>
      <c r="D4760" s="2526"/>
      <c r="E4760" s="2551">
        <f t="shared" si="89"/>
        <v>0.12037037037037034</v>
      </c>
      <c r="F4760" s="2528">
        <v>12.35</v>
      </c>
      <c r="G4760" s="39">
        <v>14.04</v>
      </c>
      <c r="O4760"/>
    </row>
    <row r="4761" spans="1:15">
      <c r="A4761" s="2206"/>
      <c r="B4761" s="2526"/>
      <c r="C4761" s="2526" t="s">
        <v>3168</v>
      </c>
      <c r="D4761" s="2526"/>
      <c r="E4761" s="2551">
        <f t="shared" si="89"/>
        <v>0.12006319115323844</v>
      </c>
      <c r="F4761" s="2528">
        <v>16.71</v>
      </c>
      <c r="G4761" s="39">
        <v>18.989999999999998</v>
      </c>
      <c r="O4761"/>
    </row>
    <row r="4762" spans="1:15">
      <c r="A4762" s="2206"/>
      <c r="B4762" s="2526"/>
      <c r="C4762" s="2526" t="s">
        <v>1177</v>
      </c>
      <c r="D4762" s="2526"/>
      <c r="E4762" s="2551">
        <f t="shared" si="89"/>
        <v>0.12006319115323844</v>
      </c>
      <c r="F4762" s="2528">
        <v>16.71</v>
      </c>
      <c r="G4762" s="39">
        <v>18.989999999999998</v>
      </c>
      <c r="O4762"/>
    </row>
    <row r="4763" spans="1:15">
      <c r="A4763" s="2206"/>
      <c r="B4763" s="2526"/>
      <c r="C4763" s="2526" t="s">
        <v>1270</v>
      </c>
      <c r="D4763" s="2526"/>
      <c r="E4763" s="2551">
        <f t="shared" si="89"/>
        <v>0.11994219653179196</v>
      </c>
      <c r="F4763" s="2528">
        <v>30.45</v>
      </c>
      <c r="G4763" s="39">
        <v>34.6</v>
      </c>
      <c r="O4763"/>
    </row>
    <row r="4764" spans="1:15">
      <c r="A4764" s="2206"/>
      <c r="B4764" s="2526"/>
      <c r="C4764" s="2526" t="s">
        <v>1271</v>
      </c>
      <c r="D4764" s="2526"/>
      <c r="E4764" s="2551">
        <f t="shared" si="89"/>
        <v>0.11994219653179196</v>
      </c>
      <c r="F4764" s="2528">
        <v>30.45</v>
      </c>
      <c r="G4764" s="39">
        <v>34.6</v>
      </c>
      <c r="O4764"/>
    </row>
    <row r="4765" spans="1:15" ht="15.75" thickBot="1">
      <c r="A4765" s="1315"/>
      <c r="B4765" s="2180"/>
      <c r="C4765" s="2180" t="s">
        <v>3169</v>
      </c>
      <c r="D4765" s="2180"/>
      <c r="E4765" s="2461">
        <f t="shared" si="89"/>
        <v>0.11993022241604885</v>
      </c>
      <c r="F4765" s="2413">
        <v>20.18</v>
      </c>
      <c r="G4765" s="39">
        <v>22.93</v>
      </c>
      <c r="O4765"/>
    </row>
    <row r="4766" spans="1:15" ht="15.75" thickBot="1">
      <c r="O4766"/>
    </row>
    <row r="4767" spans="1:15">
      <c r="A4767" s="3572"/>
      <c r="B4767" s="3636"/>
      <c r="C4767" s="3636"/>
      <c r="D4767" s="3636"/>
      <c r="E4767" s="3636"/>
      <c r="F4767" s="3559"/>
      <c r="O4767"/>
    </row>
    <row r="4768" spans="1:15" ht="15.75" thickBot="1">
      <c r="A4768" s="3871"/>
      <c r="B4768" s="3626"/>
      <c r="C4768" s="3626"/>
      <c r="D4768" s="3626"/>
      <c r="E4768" s="3626"/>
      <c r="F4768" s="3627"/>
      <c r="O4768"/>
    </row>
    <row r="4769" spans="1:15">
      <c r="A4769" s="1539" t="s">
        <v>3164</v>
      </c>
      <c r="B4769" s="449" t="s">
        <v>106</v>
      </c>
      <c r="C4769" s="2056" t="s">
        <v>2880</v>
      </c>
      <c r="D4769" s="2057"/>
      <c r="E4769" s="2058">
        <f t="shared" ref="E4769:E4778" si="90">(G4769-F4769)/G4769</f>
        <v>0.10004589261128957</v>
      </c>
      <c r="F4769" s="2059">
        <v>19.61</v>
      </c>
      <c r="G4769">
        <v>21.79</v>
      </c>
      <c r="O4769"/>
    </row>
    <row r="4770" spans="1:15">
      <c r="A4770" s="2227"/>
      <c r="B4770" s="2548"/>
      <c r="C4770" s="2553" t="s">
        <v>2881</v>
      </c>
      <c r="D4770" s="2554"/>
      <c r="E4770" s="2555">
        <f t="shared" si="90"/>
        <v>0.10004589261128957</v>
      </c>
      <c r="F4770" s="2552">
        <v>19.61</v>
      </c>
      <c r="G4770">
        <v>21.79</v>
      </c>
      <c r="O4770"/>
    </row>
    <row r="4771" spans="1:15">
      <c r="A4771" s="2227"/>
      <c r="B4771" s="2548"/>
      <c r="C4771" s="2553" t="s">
        <v>1883</v>
      </c>
      <c r="D4771" s="2554"/>
      <c r="E4771" s="2555">
        <f t="shared" si="90"/>
        <v>0.10004589261128957</v>
      </c>
      <c r="F4771" s="2552">
        <v>19.61</v>
      </c>
      <c r="G4771">
        <v>21.79</v>
      </c>
      <c r="O4771"/>
    </row>
    <row r="4772" spans="1:15">
      <c r="A4772" s="2227"/>
      <c r="B4772" s="2548"/>
      <c r="C4772" s="2553" t="s">
        <v>2276</v>
      </c>
      <c r="D4772" s="2554"/>
      <c r="E4772" s="2555">
        <f t="shared" si="90"/>
        <v>0.10004589261128957</v>
      </c>
      <c r="F4772" s="2552">
        <v>19.61</v>
      </c>
      <c r="G4772">
        <v>21.79</v>
      </c>
      <c r="O4772"/>
    </row>
    <row r="4773" spans="1:15">
      <c r="A4773" s="2227"/>
      <c r="B4773" s="2548"/>
      <c r="C4773" s="2553" t="s">
        <v>2273</v>
      </c>
      <c r="D4773" s="2554"/>
      <c r="E4773" s="2555">
        <f t="shared" si="90"/>
        <v>0.10004589261128957</v>
      </c>
      <c r="F4773" s="2552">
        <v>19.61</v>
      </c>
      <c r="G4773">
        <v>21.79</v>
      </c>
      <c r="O4773"/>
    </row>
    <row r="4774" spans="1:15">
      <c r="A4774" s="2227"/>
      <c r="B4774" s="2548"/>
      <c r="C4774" s="2553" t="s">
        <v>71</v>
      </c>
      <c r="D4774" s="2554"/>
      <c r="E4774" s="2555">
        <f t="shared" si="90"/>
        <v>0.10004589261128957</v>
      </c>
      <c r="F4774" s="2552">
        <v>19.61</v>
      </c>
      <c r="G4774">
        <v>21.79</v>
      </c>
      <c r="O4774"/>
    </row>
    <row r="4775" spans="1:15">
      <c r="A4775" s="2227"/>
      <c r="B4775" s="2548"/>
      <c r="C4775" s="2553" t="s">
        <v>2052</v>
      </c>
      <c r="D4775" s="2554"/>
      <c r="E4775" s="2555">
        <f t="shared" si="90"/>
        <v>0.10004589261128957</v>
      </c>
      <c r="F4775" s="2552">
        <v>19.61</v>
      </c>
      <c r="G4775">
        <v>21.79</v>
      </c>
      <c r="O4775"/>
    </row>
    <row r="4776" spans="1:15">
      <c r="A4776" s="2227"/>
      <c r="B4776" s="2548"/>
      <c r="C4776" s="2553" t="s">
        <v>2827</v>
      </c>
      <c r="D4776" s="2554"/>
      <c r="E4776" s="2555">
        <f t="shared" si="90"/>
        <v>0.20253164556962028</v>
      </c>
      <c r="F4776" s="2552">
        <v>1.26</v>
      </c>
      <c r="G4776">
        <v>1.58</v>
      </c>
      <c r="O4776"/>
    </row>
    <row r="4777" spans="1:15">
      <c r="A4777" s="2227"/>
      <c r="B4777" s="2548"/>
      <c r="C4777" s="2553" t="s">
        <v>2890</v>
      </c>
      <c r="D4777" s="2554"/>
      <c r="E4777" s="2555">
        <f t="shared" si="90"/>
        <v>0.20253164556962028</v>
      </c>
      <c r="F4777" s="2552">
        <v>1.26</v>
      </c>
      <c r="G4777">
        <v>1.58</v>
      </c>
      <c r="O4777"/>
    </row>
    <row r="4778" spans="1:15" ht="15.75" thickBot="1">
      <c r="A4778" s="1315"/>
      <c r="B4778" s="2180"/>
      <c r="C4778" s="2556" t="s">
        <v>2871</v>
      </c>
      <c r="D4778" s="2557"/>
      <c r="E4778" s="2558">
        <f t="shared" si="90"/>
        <v>0.20253164556962028</v>
      </c>
      <c r="F4778" s="2456">
        <v>1.26</v>
      </c>
      <c r="G4778">
        <v>1.58</v>
      </c>
      <c r="O4778"/>
    </row>
    <row r="4779" spans="1:15" ht="15.75" thickBot="1"/>
    <row r="4780" spans="1:15">
      <c r="A4780" s="3593"/>
      <c r="B4780" s="3601"/>
      <c r="C4780" s="3601"/>
      <c r="D4780" s="3601"/>
      <c r="E4780" s="3601"/>
      <c r="F4780" s="3616"/>
      <c r="G4780" s="1260"/>
      <c r="O4780"/>
    </row>
    <row r="4781" spans="1:15" ht="15.75" thickBot="1">
      <c r="A4781" s="3933"/>
      <c r="B4781" s="4017"/>
      <c r="C4781" s="4017"/>
      <c r="D4781" s="4017"/>
      <c r="E4781" s="4017"/>
      <c r="F4781" s="3925"/>
      <c r="G4781" s="1260"/>
      <c r="O4781"/>
    </row>
    <row r="4782" spans="1:15">
      <c r="A4782" s="2517" t="s">
        <v>3174</v>
      </c>
      <c r="B4782" s="2518" t="s">
        <v>114</v>
      </c>
      <c r="C4782" s="2809" t="s">
        <v>1891</v>
      </c>
      <c r="D4782" s="2520"/>
      <c r="E4782" s="2291">
        <f>(G4782-F4782)/G4782</f>
        <v>0.22499999999999992</v>
      </c>
      <c r="F4782" s="2566">
        <v>0.93</v>
      </c>
      <c r="G4782" s="1260">
        <v>1.2</v>
      </c>
      <c r="O4782"/>
    </row>
    <row r="4783" spans="1:15" ht="15.75" thickBot="1">
      <c r="A4783" s="1074"/>
      <c r="B4783" s="2233"/>
      <c r="C4783" s="2810" t="s">
        <v>1892</v>
      </c>
      <c r="D4783" s="2234"/>
      <c r="E4783" s="1557">
        <f>(G4783-F4783)/G4783</f>
        <v>0.21186440677966092</v>
      </c>
      <c r="F4783" s="2567">
        <v>0.93</v>
      </c>
      <c r="G4783" s="1260">
        <v>1.18</v>
      </c>
      <c r="O4783"/>
    </row>
    <row r="4784" spans="1:15" ht="15.75" thickBot="1">
      <c r="O4784"/>
    </row>
    <row r="4785" spans="1:15">
      <c r="A4785" s="3572"/>
      <c r="B4785" s="3557"/>
      <c r="C4785" s="3557"/>
      <c r="D4785" s="3557"/>
      <c r="E4785" s="3557"/>
      <c r="F4785" s="3559"/>
      <c r="O4785"/>
    </row>
    <row r="4786" spans="1:15" ht="15.75" thickBot="1">
      <c r="A4786" s="4018"/>
      <c r="B4786" s="3626"/>
      <c r="C4786" s="3626"/>
      <c r="D4786" s="3626"/>
      <c r="E4786" s="3626"/>
      <c r="F4786" s="3627"/>
      <c r="O4786"/>
    </row>
    <row r="4787" spans="1:15">
      <c r="A4787" s="1539" t="s">
        <v>3175</v>
      </c>
      <c r="B4787" s="1690" t="s">
        <v>115</v>
      </c>
      <c r="C4787" s="2451" t="s">
        <v>730</v>
      </c>
      <c r="D4787" s="2421"/>
      <c r="E4787" s="2182">
        <f>(G4787-F4787)/G4787</f>
        <v>0.25301204819277107</v>
      </c>
      <c r="F4787" s="2059">
        <v>0.62</v>
      </c>
      <c r="G4787" s="39">
        <v>0.83</v>
      </c>
      <c r="O4787"/>
    </row>
    <row r="4788" spans="1:15">
      <c r="A4788" s="2568"/>
      <c r="B4788" s="2569"/>
      <c r="C4788" s="2570" t="s">
        <v>2210</v>
      </c>
      <c r="D4788" s="2571"/>
      <c r="E4788" s="2572">
        <f>(G4788-F4788)/G4788</f>
        <v>0.25301204819277107</v>
      </c>
      <c r="F4788" s="2573">
        <v>0.62</v>
      </c>
      <c r="G4788" s="39">
        <v>0.83</v>
      </c>
      <c r="O4788"/>
    </row>
    <row r="4789" spans="1:15" ht="15.75" thickBot="1">
      <c r="A4789" s="1695"/>
      <c r="B4789" s="2574"/>
      <c r="C4789" s="2575" t="s">
        <v>858</v>
      </c>
      <c r="D4789" s="1316"/>
      <c r="E4789" s="1317">
        <f>(G4789-F4789)/G4789</f>
        <v>0.25</v>
      </c>
      <c r="F4789" s="1905">
        <v>0.72</v>
      </c>
      <c r="G4789" s="39">
        <v>0.96</v>
      </c>
      <c r="O4789"/>
    </row>
    <row r="4790" spans="1:15" ht="15.75" thickBot="1"/>
    <row r="4791" spans="1:15">
      <c r="A4791" s="3572"/>
      <c r="B4791" s="3557"/>
      <c r="C4791" s="3557"/>
      <c r="D4791" s="3557"/>
      <c r="E4791" s="3557"/>
      <c r="F4791" s="3559"/>
      <c r="O4791"/>
    </row>
    <row r="4792" spans="1:15" ht="15.75" thickBot="1">
      <c r="A4792" s="3871"/>
      <c r="B4792" s="3628"/>
      <c r="C4792" s="3628"/>
      <c r="D4792" s="3628"/>
      <c r="E4792" s="3628"/>
      <c r="F4792" s="3629"/>
      <c r="O4792"/>
    </row>
    <row r="4793" spans="1:15">
      <c r="A4793" s="1539" t="s">
        <v>3193</v>
      </c>
      <c r="B4793" s="1690" t="s">
        <v>115</v>
      </c>
      <c r="C4793" s="2451" t="s">
        <v>2273</v>
      </c>
      <c r="D4793" s="2421"/>
      <c r="E4793" s="2182">
        <f t="shared" ref="E4793:E4799" si="91">(G4793-F4793)/G4793</f>
        <v>9.9799398194583847E-2</v>
      </c>
      <c r="F4793" s="2059">
        <v>17.95</v>
      </c>
      <c r="G4793" s="39">
        <v>19.940000000000001</v>
      </c>
      <c r="O4793"/>
    </row>
    <row r="4794" spans="1:15">
      <c r="A4794" s="2568"/>
      <c r="B4794" s="2615"/>
      <c r="C4794" s="2616" t="s">
        <v>71</v>
      </c>
      <c r="D4794" s="2617"/>
      <c r="E4794" s="2618">
        <f t="shared" si="91"/>
        <v>9.9799398194583847E-2</v>
      </c>
      <c r="F4794" s="2619">
        <v>17.95</v>
      </c>
      <c r="G4794" s="39">
        <v>19.940000000000001</v>
      </c>
      <c r="O4794"/>
    </row>
    <row r="4795" spans="1:15">
      <c r="A4795" s="2568"/>
      <c r="B4795" s="2615"/>
      <c r="C4795" s="2616" t="s">
        <v>2566</v>
      </c>
      <c r="D4795" s="2617"/>
      <c r="E4795" s="2618">
        <f t="shared" si="91"/>
        <v>9.9799398194583847E-2</v>
      </c>
      <c r="F4795" s="2619">
        <v>17.95</v>
      </c>
      <c r="G4795" s="39">
        <v>19.940000000000001</v>
      </c>
      <c r="O4795"/>
    </row>
    <row r="4796" spans="1:15">
      <c r="A4796" s="2620"/>
      <c r="B4796" s="2617"/>
      <c r="C4796" s="2617" t="s">
        <v>72</v>
      </c>
      <c r="D4796" s="2617"/>
      <c r="E4796" s="2618">
        <f t="shared" si="91"/>
        <v>9.9799398194583847E-2</v>
      </c>
      <c r="F4796" s="2586">
        <v>17.95</v>
      </c>
      <c r="G4796" s="39">
        <v>19.940000000000001</v>
      </c>
      <c r="O4796"/>
    </row>
    <row r="4797" spans="1:15">
      <c r="A4797" s="2620"/>
      <c r="B4797" s="2617"/>
      <c r="C4797" s="2617" t="s">
        <v>1883</v>
      </c>
      <c r="D4797" s="2617"/>
      <c r="E4797" s="2618">
        <f t="shared" si="91"/>
        <v>9.9799398194583847E-2</v>
      </c>
      <c r="F4797" s="2586">
        <v>17.95</v>
      </c>
      <c r="G4797" s="39">
        <v>19.940000000000001</v>
      </c>
      <c r="O4797"/>
    </row>
    <row r="4798" spans="1:15">
      <c r="A4798" s="2620"/>
      <c r="B4798" s="2617"/>
      <c r="C4798" s="2617" t="s">
        <v>2276</v>
      </c>
      <c r="D4798" s="2617"/>
      <c r="E4798" s="2618">
        <f t="shared" si="91"/>
        <v>9.9799398194583847E-2</v>
      </c>
      <c r="F4798" s="2586">
        <v>17.95</v>
      </c>
      <c r="G4798" s="39">
        <v>19.940000000000001</v>
      </c>
      <c r="O4798"/>
    </row>
    <row r="4799" spans="1:15" ht="15.75" thickBot="1">
      <c r="A4799" s="1315"/>
      <c r="B4799" s="2621"/>
      <c r="C4799" s="2621" t="s">
        <v>2052</v>
      </c>
      <c r="D4799" s="2621"/>
      <c r="E4799" s="2618">
        <f t="shared" si="91"/>
        <v>9.9799398194583847E-2</v>
      </c>
      <c r="F4799" s="2413">
        <v>17.95</v>
      </c>
      <c r="G4799" s="39">
        <v>19.940000000000001</v>
      </c>
      <c r="O4799"/>
    </row>
    <row r="4800" spans="1:15" ht="15.75" thickBot="1">
      <c r="O4800"/>
    </row>
    <row r="4801" spans="1:15">
      <c r="A4801" s="3572"/>
      <c r="B4801" s="3557"/>
      <c r="C4801" s="3557"/>
      <c r="D4801" s="3557"/>
      <c r="E4801" s="3557"/>
      <c r="F4801" s="3559"/>
      <c r="O4801"/>
    </row>
    <row r="4802" spans="1:15" ht="15.75" thickBot="1">
      <c r="A4802" s="3871"/>
      <c r="B4802" s="3628"/>
      <c r="C4802" s="3628"/>
      <c r="D4802" s="3628"/>
      <c r="E4802" s="3628"/>
      <c r="F4802" s="3629"/>
      <c r="O4802"/>
    </row>
    <row r="4803" spans="1:15">
      <c r="A4803" s="1539" t="s">
        <v>3194</v>
      </c>
      <c r="B4803" s="1690" t="s">
        <v>115</v>
      </c>
      <c r="C4803" s="2654" t="s">
        <v>623</v>
      </c>
      <c r="D4803" s="2421"/>
      <c r="E4803" s="2182">
        <f>(G4803-F4803)/G4803</f>
        <v>0.27604166666666669</v>
      </c>
      <c r="F4803" s="2059">
        <v>1.39</v>
      </c>
      <c r="G4803" s="39">
        <v>1.92</v>
      </c>
      <c r="O4803"/>
    </row>
    <row r="4804" spans="1:15" ht="15.75" thickBot="1">
      <c r="A4804" s="1695"/>
      <c r="B4804" s="2596"/>
      <c r="C4804" s="2655" t="s">
        <v>1772</v>
      </c>
      <c r="D4804" s="2621"/>
      <c r="E4804" s="2622">
        <f>(G4804-F4804)/G4804</f>
        <v>0.27604166666666669</v>
      </c>
      <c r="F4804" s="2456">
        <v>1.39</v>
      </c>
      <c r="G4804" s="39">
        <v>1.92</v>
      </c>
      <c r="O4804"/>
    </row>
    <row r="4805" spans="1:15" ht="15.75" thickBot="1"/>
    <row r="4806" spans="1:15">
      <c r="A4806" s="3572"/>
      <c r="B4806" s="3557"/>
      <c r="C4806" s="3557"/>
      <c r="D4806" s="3557"/>
      <c r="E4806" s="3557"/>
      <c r="F4806" s="3559"/>
      <c r="O4806"/>
    </row>
    <row r="4807" spans="1:15" ht="15.75" thickBot="1">
      <c r="A4807" s="3871"/>
      <c r="B4807" s="3626"/>
      <c r="C4807" s="3626"/>
      <c r="D4807" s="3626"/>
      <c r="E4807" s="3626"/>
      <c r="F4807" s="3627"/>
      <c r="O4807"/>
    </row>
    <row r="4808" spans="1:15">
      <c r="A4808" s="1539" t="s">
        <v>3196</v>
      </c>
      <c r="B4808" s="1690" t="s">
        <v>106</v>
      </c>
      <c r="C4808" s="2181" t="s">
        <v>686</v>
      </c>
      <c r="D4808" s="2468"/>
      <c r="E4808" s="2469">
        <f>(G4808-F4808)/G4808</f>
        <v>0.33333333333333343</v>
      </c>
      <c r="F4808" s="2059">
        <v>1.48</v>
      </c>
      <c r="G4808">
        <v>2.2200000000000002</v>
      </c>
      <c r="O4808"/>
    </row>
    <row r="4809" spans="1:15" ht="15.75" thickBot="1">
      <c r="A4809" s="1695"/>
      <c r="B4809" s="2596"/>
      <c r="C4809" s="2623" t="s">
        <v>687</v>
      </c>
      <c r="D4809" s="2624"/>
      <c r="E4809" s="2625">
        <f>(G4809-F4809)/G4809</f>
        <v>0.33333333333333343</v>
      </c>
      <c r="F4809" s="2456">
        <v>1.48</v>
      </c>
      <c r="G4809">
        <v>2.2200000000000002</v>
      </c>
      <c r="O4809"/>
    </row>
    <row r="4810" spans="1:15" ht="15.75" thickBot="1"/>
    <row r="4811" spans="1:15">
      <c r="A4811" s="3572"/>
      <c r="B4811" s="3557"/>
      <c r="C4811" s="3557"/>
      <c r="D4811" s="3557"/>
      <c r="E4811" s="3557"/>
      <c r="F4811" s="3559"/>
      <c r="O4811"/>
    </row>
    <row r="4812" spans="1:15" ht="15.75" thickBot="1">
      <c r="A4812" s="3871"/>
      <c r="B4812" s="3626"/>
      <c r="C4812" s="3626"/>
      <c r="D4812" s="3626"/>
      <c r="E4812" s="3626"/>
      <c r="F4812" s="3627"/>
      <c r="O4812"/>
    </row>
    <row r="4813" spans="1:15">
      <c r="A4813" s="1539" t="s">
        <v>3210</v>
      </c>
      <c r="B4813" s="1690" t="s">
        <v>115</v>
      </c>
      <c r="C4813" s="2451" t="s">
        <v>1644</v>
      </c>
      <c r="D4813" s="2421"/>
      <c r="E4813" s="2182">
        <f t="shared" ref="E4813:E4826" si="92">(G4813-F4813)/G4813</f>
        <v>9.9678456591639888E-2</v>
      </c>
      <c r="F4813" s="2059">
        <v>2.8</v>
      </c>
      <c r="G4813" s="39">
        <v>3.11</v>
      </c>
      <c r="O4813"/>
    </row>
    <row r="4814" spans="1:15">
      <c r="A4814" s="2568"/>
      <c r="B4814" s="2615"/>
      <c r="C4814" s="2616" t="s">
        <v>1498</v>
      </c>
      <c r="D4814" s="2617"/>
      <c r="E4814" s="2618">
        <f t="shared" si="92"/>
        <v>9.9462365591397872E-2</v>
      </c>
      <c r="F4814" s="2619">
        <v>3.35</v>
      </c>
      <c r="G4814" s="39">
        <v>3.72</v>
      </c>
      <c r="O4814"/>
    </row>
    <row r="4815" spans="1:15">
      <c r="A4815" s="2568"/>
      <c r="B4815" s="2615"/>
      <c r="C4815" s="2616" t="s">
        <v>2274</v>
      </c>
      <c r="D4815" s="2617"/>
      <c r="E4815" s="2618">
        <f t="shared" si="92"/>
        <v>9.9462365591397872E-2</v>
      </c>
      <c r="F4815" s="2619">
        <v>3.35</v>
      </c>
      <c r="G4815" s="39">
        <v>3.72</v>
      </c>
      <c r="O4815"/>
    </row>
    <row r="4816" spans="1:15">
      <c r="A4816" s="2620"/>
      <c r="B4816" s="2617"/>
      <c r="C4816" s="2617" t="s">
        <v>1497</v>
      </c>
      <c r="D4816" s="2617"/>
      <c r="E4816" s="2618">
        <f t="shared" si="92"/>
        <v>9.9462365591397872E-2</v>
      </c>
      <c r="F4816" s="2586">
        <v>3.35</v>
      </c>
      <c r="G4816" s="39">
        <v>3.72</v>
      </c>
      <c r="O4816"/>
    </row>
    <row r="4817" spans="1:15">
      <c r="A4817" s="2620"/>
      <c r="B4817" s="2617"/>
      <c r="C4817" s="2617" t="s">
        <v>2272</v>
      </c>
      <c r="D4817" s="2617"/>
      <c r="E4817" s="2618">
        <f t="shared" si="92"/>
        <v>9.9462365591397872E-2</v>
      </c>
      <c r="F4817" s="2586">
        <v>3.35</v>
      </c>
      <c r="G4817" s="39">
        <v>3.72</v>
      </c>
      <c r="O4817"/>
    </row>
    <row r="4818" spans="1:15">
      <c r="A4818" s="2620"/>
      <c r="B4818" s="2617"/>
      <c r="C4818" s="2617" t="s">
        <v>1496</v>
      </c>
      <c r="D4818" s="2617"/>
      <c r="E4818" s="2618">
        <f t="shared" si="92"/>
        <v>9.9462365591397872E-2</v>
      </c>
      <c r="F4818" s="2586">
        <v>3.35</v>
      </c>
      <c r="G4818" s="39">
        <v>3.72</v>
      </c>
      <c r="O4818"/>
    </row>
    <row r="4819" spans="1:15">
      <c r="A4819" s="2620"/>
      <c r="B4819" s="2617"/>
      <c r="C4819" s="2617" t="s">
        <v>2275</v>
      </c>
      <c r="D4819" s="2617"/>
      <c r="E4819" s="2618">
        <f t="shared" si="92"/>
        <v>0.10024154589371971</v>
      </c>
      <c r="F4819" s="2586">
        <v>7.45</v>
      </c>
      <c r="G4819" s="39">
        <v>8.2799999999999994</v>
      </c>
      <c r="O4819"/>
    </row>
    <row r="4820" spans="1:15">
      <c r="A4820" s="2620"/>
      <c r="B4820" s="2617"/>
      <c r="C4820" s="2617" t="s">
        <v>239</v>
      </c>
      <c r="D4820" s="2617"/>
      <c r="E4820" s="2648">
        <f t="shared" si="92"/>
        <v>0.10024154589371971</v>
      </c>
      <c r="F4820" s="2586">
        <v>7.45</v>
      </c>
      <c r="G4820" s="39">
        <v>8.2799999999999994</v>
      </c>
      <c r="O4820"/>
    </row>
    <row r="4821" spans="1:15">
      <c r="A4821" s="2620"/>
      <c r="B4821" s="2617"/>
      <c r="C4821" s="2617" t="s">
        <v>2271</v>
      </c>
      <c r="D4821" s="2617"/>
      <c r="E4821" s="2648">
        <f t="shared" si="92"/>
        <v>0.10024154589371971</v>
      </c>
      <c r="F4821" s="2586">
        <v>7.45</v>
      </c>
      <c r="G4821" s="792">
        <v>8.2799999999999994</v>
      </c>
      <c r="O4821"/>
    </row>
    <row r="4822" spans="1:15">
      <c r="A4822" s="2620"/>
      <c r="B4822" s="2617"/>
      <c r="C4822" s="2617" t="s">
        <v>238</v>
      </c>
      <c r="D4822" s="2617"/>
      <c r="E4822" s="2648">
        <f t="shared" si="92"/>
        <v>0.10024154589371971</v>
      </c>
      <c r="F4822" s="2586">
        <v>7.45</v>
      </c>
      <c r="G4822" s="792">
        <v>8.2799999999999994</v>
      </c>
      <c r="O4822"/>
    </row>
    <row r="4823" spans="1:15">
      <c r="A4823" s="2620"/>
      <c r="B4823" s="2617"/>
      <c r="C4823" s="2617" t="s">
        <v>2273</v>
      </c>
      <c r="D4823" s="2617"/>
      <c r="E4823" s="2648">
        <f t="shared" si="92"/>
        <v>9.9799398194583847E-2</v>
      </c>
      <c r="F4823" s="2586">
        <v>17.95</v>
      </c>
      <c r="G4823" s="792">
        <v>19.940000000000001</v>
      </c>
      <c r="O4823"/>
    </row>
    <row r="4824" spans="1:15">
      <c r="A4824" s="2620"/>
      <c r="B4824" s="2617"/>
      <c r="C4824" s="2617" t="s">
        <v>71</v>
      </c>
      <c r="D4824" s="2617"/>
      <c r="E4824" s="2648">
        <f t="shared" si="92"/>
        <v>9.9799398194583847E-2</v>
      </c>
      <c r="F4824" s="2586">
        <v>17.95</v>
      </c>
      <c r="G4824" s="792">
        <v>19.940000000000001</v>
      </c>
      <c r="O4824"/>
    </row>
    <row r="4825" spans="1:15">
      <c r="A4825" s="2620"/>
      <c r="B4825" s="2617"/>
      <c r="C4825" s="2617" t="s">
        <v>1883</v>
      </c>
      <c r="D4825" s="2617"/>
      <c r="E4825" s="2648">
        <f t="shared" si="92"/>
        <v>9.9799398194583847E-2</v>
      </c>
      <c r="F4825" s="2586">
        <v>17.95</v>
      </c>
      <c r="G4825" s="792">
        <v>19.940000000000001</v>
      </c>
      <c r="O4825"/>
    </row>
    <row r="4826" spans="1:15" ht="15.75" thickBot="1">
      <c r="A4826" s="1315"/>
      <c r="B4826" s="2621"/>
      <c r="C4826" s="2621" t="s">
        <v>2276</v>
      </c>
      <c r="D4826" s="2621"/>
      <c r="E4826" s="2639">
        <f t="shared" si="92"/>
        <v>9.9799398194583847E-2</v>
      </c>
      <c r="F4826" s="2413">
        <v>17.95</v>
      </c>
      <c r="G4826" s="792">
        <v>19.940000000000001</v>
      </c>
      <c r="O4826"/>
    </row>
    <row r="4827" spans="1:15" ht="15.75" thickBot="1"/>
    <row r="4828" spans="1:15">
      <c r="A4828" s="3572"/>
      <c r="B4828" s="3557"/>
      <c r="C4828" s="3557"/>
      <c r="D4828" s="3557"/>
      <c r="E4828" s="3557"/>
      <c r="F4828" s="3559"/>
      <c r="O4828"/>
    </row>
    <row r="4829" spans="1:15" ht="15.75" thickBot="1">
      <c r="A4829" s="3871"/>
      <c r="B4829" s="3628"/>
      <c r="C4829" s="3628"/>
      <c r="D4829" s="3628"/>
      <c r="E4829" s="3628"/>
      <c r="F4829" s="3629"/>
      <c r="O4829"/>
    </row>
    <row r="4830" spans="1:15">
      <c r="A4830" s="2668">
        <v>43511</v>
      </c>
      <c r="B4830" s="1690" t="s">
        <v>3229</v>
      </c>
      <c r="C4830" s="2451" t="s">
        <v>858</v>
      </c>
      <c r="D4830" s="2421"/>
      <c r="E4830" s="2182">
        <f>(G4830-F4830)/G4830</f>
        <v>0.30000000000000004</v>
      </c>
      <c r="F4830" s="2059">
        <v>0.7</v>
      </c>
      <c r="G4830" s="39">
        <v>1</v>
      </c>
      <c r="O4830"/>
    </row>
    <row r="4831" spans="1:15" ht="15.75" thickBot="1">
      <c r="A4831" s="1695"/>
      <c r="B4831" s="2596"/>
      <c r="C4831" s="2669" t="s">
        <v>730</v>
      </c>
      <c r="D4831" s="2621"/>
      <c r="E4831" s="2622">
        <f>(G4831-F4831)/G4831</f>
        <v>0.2988505747126437</v>
      </c>
      <c r="F4831" s="2456">
        <v>0.61</v>
      </c>
      <c r="G4831" s="39">
        <v>0.87</v>
      </c>
      <c r="O4831"/>
    </row>
    <row r="4832" spans="1:15" ht="15.75" thickBot="1">
      <c r="O4832"/>
    </row>
    <row r="4833" spans="1:15">
      <c r="A4833" s="3572"/>
      <c r="B4833" s="3557"/>
      <c r="C4833" s="3557"/>
      <c r="D4833" s="3557"/>
      <c r="E4833" s="3557"/>
      <c r="F4833" s="3559"/>
      <c r="O4833"/>
    </row>
    <row r="4834" spans="1:15" ht="15.75" thickBot="1">
      <c r="A4834" s="3871"/>
      <c r="B4834" s="3628"/>
      <c r="C4834" s="3628"/>
      <c r="D4834" s="3628"/>
      <c r="E4834" s="3628"/>
      <c r="F4834" s="3629"/>
      <c r="O4834"/>
    </row>
    <row r="4835" spans="1:15">
      <c r="A4835" s="2668" t="s">
        <v>3230</v>
      </c>
      <c r="B4835" s="1690" t="s">
        <v>3229</v>
      </c>
      <c r="C4835" s="2723" t="s">
        <v>623</v>
      </c>
      <c r="D4835" s="2421"/>
      <c r="E4835" s="2182">
        <f>(G4835-F4835)/G4835</f>
        <v>0.30208333333333326</v>
      </c>
      <c r="F4835" s="2059">
        <v>1.34</v>
      </c>
      <c r="G4835" s="39">
        <v>1.92</v>
      </c>
      <c r="O4835"/>
    </row>
    <row r="4836" spans="1:15" ht="15.75" thickBot="1">
      <c r="A4836" s="1695"/>
      <c r="B4836" s="2596"/>
      <c r="C4836" s="2724" t="s">
        <v>1772</v>
      </c>
      <c r="D4836" s="2621"/>
      <c r="E4836" s="2622">
        <f>(G4836-F4836)/G4836</f>
        <v>0.30208333333333326</v>
      </c>
      <c r="F4836" s="2456">
        <v>1.34</v>
      </c>
      <c r="G4836" s="39">
        <v>1.92</v>
      </c>
      <c r="O4836"/>
    </row>
    <row r="4837" spans="1:15" ht="15.75" thickBot="1"/>
    <row r="4838" spans="1:15">
      <c r="A4838" s="3572"/>
      <c r="B4838" s="3557"/>
      <c r="C4838" s="3557"/>
      <c r="D4838" s="3557"/>
      <c r="E4838" s="3557"/>
      <c r="F4838" s="3559"/>
      <c r="O4838"/>
    </row>
    <row r="4839" spans="1:15" ht="15.75" thickBot="1">
      <c r="A4839" s="3871"/>
      <c r="B4839" s="3626"/>
      <c r="C4839" s="3626"/>
      <c r="D4839" s="3626"/>
      <c r="E4839" s="3626"/>
      <c r="F4839" s="3627"/>
      <c r="O4839"/>
    </row>
    <row r="4840" spans="1:15">
      <c r="A4840" s="1539" t="s">
        <v>3239</v>
      </c>
      <c r="B4840" s="1690" t="s">
        <v>106</v>
      </c>
      <c r="C4840" s="2181" t="s">
        <v>2801</v>
      </c>
      <c r="D4840" s="2468"/>
      <c r="E4840" s="2469">
        <f>(G4840-F4840)/G4840</f>
        <v>9.6774193548387177E-2</v>
      </c>
      <c r="F4840" s="2059">
        <v>1.68</v>
      </c>
      <c r="G4840">
        <v>1.86</v>
      </c>
      <c r="O4840"/>
    </row>
    <row r="4841" spans="1:15">
      <c r="A4841" s="2568"/>
      <c r="B4841" s="2493"/>
      <c r="C4841" s="2677" t="s">
        <v>2802</v>
      </c>
      <c r="D4841" s="2678"/>
      <c r="E4841" s="2679">
        <f t="shared" ref="E4841:E4876" si="93">(G4841-F4841)/G4841</f>
        <v>9.6774193548387177E-2</v>
      </c>
      <c r="F4841" s="2619">
        <v>1.68</v>
      </c>
      <c r="G4841">
        <v>1.86</v>
      </c>
      <c r="O4841"/>
    </row>
    <row r="4842" spans="1:15">
      <c r="A4842" s="2568"/>
      <c r="B4842" s="2493"/>
      <c r="C4842" s="2677" t="s">
        <v>2425</v>
      </c>
      <c r="D4842" s="2678"/>
      <c r="E4842" s="2679">
        <f t="shared" si="93"/>
        <v>9.6153846153846242E-2</v>
      </c>
      <c r="F4842" s="2619">
        <v>1.88</v>
      </c>
      <c r="G4842">
        <v>2.08</v>
      </c>
      <c r="O4842"/>
    </row>
    <row r="4843" spans="1:15">
      <c r="A4843" s="2568"/>
      <c r="B4843" s="2493"/>
      <c r="C4843" s="2677" t="s">
        <v>2426</v>
      </c>
      <c r="D4843" s="2678"/>
      <c r="E4843" s="2679">
        <f t="shared" si="93"/>
        <v>9.6153846153846242E-2</v>
      </c>
      <c r="F4843" s="2619">
        <v>1.88</v>
      </c>
      <c r="G4843">
        <v>2.08</v>
      </c>
      <c r="O4843"/>
    </row>
    <row r="4844" spans="1:15">
      <c r="A4844" s="2568"/>
      <c r="B4844" s="2493"/>
      <c r="C4844" s="2677" t="s">
        <v>1254</v>
      </c>
      <c r="D4844" s="2678"/>
      <c r="E4844" s="2679">
        <f t="shared" si="93"/>
        <v>0.1</v>
      </c>
      <c r="F4844" s="2619">
        <v>11.25</v>
      </c>
      <c r="G4844">
        <v>12.5</v>
      </c>
      <c r="O4844"/>
    </row>
    <row r="4845" spans="1:15">
      <c r="A4845" s="2568"/>
      <c r="B4845" s="2493"/>
      <c r="C4845" s="2677" t="s">
        <v>1253</v>
      </c>
      <c r="D4845" s="2678"/>
      <c r="E4845" s="2679">
        <f t="shared" si="93"/>
        <v>0.1</v>
      </c>
      <c r="F4845" s="2619">
        <v>11.25</v>
      </c>
      <c r="G4845">
        <v>12.5</v>
      </c>
      <c r="O4845"/>
    </row>
    <row r="4846" spans="1:15">
      <c r="A4846" s="2568"/>
      <c r="B4846" s="2493"/>
      <c r="C4846" s="2677" t="s">
        <v>1255</v>
      </c>
      <c r="D4846" s="2678"/>
      <c r="E4846" s="2679">
        <f t="shared" si="93"/>
        <v>9.9426386233269673E-2</v>
      </c>
      <c r="F4846" s="2619">
        <v>9.42</v>
      </c>
      <c r="G4846">
        <v>10.46</v>
      </c>
      <c r="O4846"/>
    </row>
    <row r="4847" spans="1:15">
      <c r="A4847" s="2568"/>
      <c r="B4847" s="2493"/>
      <c r="C4847" s="2677" t="s">
        <v>1256</v>
      </c>
      <c r="D4847" s="2678"/>
      <c r="E4847" s="2679">
        <f t="shared" si="93"/>
        <v>9.9426386233269673E-2</v>
      </c>
      <c r="F4847" s="2619">
        <v>9.42</v>
      </c>
      <c r="G4847">
        <v>10.46</v>
      </c>
      <c r="O4847"/>
    </row>
    <row r="4848" spans="1:15">
      <c r="A4848" s="2568"/>
      <c r="B4848" s="2493"/>
      <c r="C4848" s="2677" t="s">
        <v>549</v>
      </c>
      <c r="D4848" s="2678"/>
      <c r="E4848" s="2679">
        <f t="shared" si="93"/>
        <v>0.10011280315848846</v>
      </c>
      <c r="F4848" s="2619">
        <v>31.91</v>
      </c>
      <c r="G4848">
        <v>35.46</v>
      </c>
      <c r="O4848"/>
    </row>
    <row r="4849" spans="1:15">
      <c r="A4849" s="2620"/>
      <c r="B4849" s="2495"/>
      <c r="C4849" s="2677" t="s">
        <v>1258</v>
      </c>
      <c r="D4849" s="2678"/>
      <c r="E4849" s="2679">
        <f t="shared" si="93"/>
        <v>0.10011280315848846</v>
      </c>
      <c r="F4849" s="2619">
        <v>31.91</v>
      </c>
      <c r="G4849">
        <v>35.46</v>
      </c>
      <c r="O4849"/>
    </row>
    <row r="4850" spans="1:15">
      <c r="A4850" s="2620"/>
      <c r="B4850" s="2495"/>
      <c r="C4850" s="2495" t="s">
        <v>550</v>
      </c>
      <c r="D4850" s="2495"/>
      <c r="E4850" s="2679">
        <f t="shared" si="93"/>
        <v>9.990108803165175E-2</v>
      </c>
      <c r="F4850" s="2586">
        <v>27.3</v>
      </c>
      <c r="G4850">
        <v>30.33</v>
      </c>
      <c r="O4850"/>
    </row>
    <row r="4851" spans="1:15">
      <c r="A4851" s="2620"/>
      <c r="B4851" s="2495"/>
      <c r="C4851" s="2495" t="s">
        <v>1259</v>
      </c>
      <c r="D4851" s="2495"/>
      <c r="E4851" s="2679">
        <f t="shared" si="93"/>
        <v>9.990108803165175E-2</v>
      </c>
      <c r="F4851" s="2586">
        <v>27.3</v>
      </c>
      <c r="G4851">
        <v>30.33</v>
      </c>
      <c r="O4851"/>
    </row>
    <row r="4852" spans="1:15">
      <c r="A4852" s="2620"/>
      <c r="B4852" s="2495"/>
      <c r="C4852" s="2495" t="s">
        <v>1294</v>
      </c>
      <c r="D4852" s="2495"/>
      <c r="E4852" s="2679">
        <f t="shared" si="93"/>
        <v>9.9728629579375894E-2</v>
      </c>
      <c r="F4852" s="2586">
        <v>13.27</v>
      </c>
      <c r="G4852">
        <v>14.74</v>
      </c>
      <c r="O4852"/>
    </row>
    <row r="4853" spans="1:15">
      <c r="A4853" s="2620"/>
      <c r="B4853" s="2495"/>
      <c r="C4853" s="2495" t="s">
        <v>1295</v>
      </c>
      <c r="D4853" s="2495"/>
      <c r="E4853" s="2679">
        <f t="shared" si="93"/>
        <v>9.9925428784489179E-2</v>
      </c>
      <c r="F4853" s="2586">
        <v>12.07</v>
      </c>
      <c r="G4853">
        <v>13.41</v>
      </c>
      <c r="O4853"/>
    </row>
    <row r="4854" spans="1:15">
      <c r="A4854" s="2620"/>
      <c r="B4854" s="2495"/>
      <c r="C4854" s="2495" t="s">
        <v>1026</v>
      </c>
      <c r="D4854" s="2495"/>
      <c r="E4854" s="2679">
        <f t="shared" si="93"/>
        <v>9.9750623441396458E-2</v>
      </c>
      <c r="F4854" s="2586">
        <v>10.83</v>
      </c>
      <c r="G4854">
        <v>12.03</v>
      </c>
      <c r="O4854"/>
    </row>
    <row r="4855" spans="1:15">
      <c r="A4855" s="2620"/>
      <c r="B4855" s="2495"/>
      <c r="C4855" s="2495" t="s">
        <v>3020</v>
      </c>
      <c r="D4855" s="2495"/>
      <c r="E4855" s="2679">
        <f t="shared" si="93"/>
        <v>9.9750623441396458E-2</v>
      </c>
      <c r="F4855" s="2586">
        <v>10.83</v>
      </c>
      <c r="G4855">
        <v>12.03</v>
      </c>
      <c r="O4855"/>
    </row>
    <row r="4856" spans="1:15">
      <c r="A4856" s="2620"/>
      <c r="B4856" s="2495"/>
      <c r="C4856" s="2495" t="s">
        <v>1027</v>
      </c>
      <c r="D4856" s="2495"/>
      <c r="E4856" s="2679">
        <f t="shared" si="93"/>
        <v>0.10039113428943931</v>
      </c>
      <c r="F4856" s="2586">
        <v>13.8</v>
      </c>
      <c r="G4856">
        <v>15.34</v>
      </c>
      <c r="O4856"/>
    </row>
    <row r="4857" spans="1:15">
      <c r="A4857" s="2620"/>
      <c r="B4857" s="2495"/>
      <c r="C4857" s="2495" t="s">
        <v>1176</v>
      </c>
      <c r="D4857" s="2495"/>
      <c r="E4857" s="2679">
        <f t="shared" si="93"/>
        <v>0.10039113428943931</v>
      </c>
      <c r="F4857" s="2586">
        <v>13.8</v>
      </c>
      <c r="G4857">
        <v>15.34</v>
      </c>
      <c r="O4857"/>
    </row>
    <row r="4858" spans="1:15">
      <c r="A4858" s="2620"/>
      <c r="B4858" s="2495"/>
      <c r="C4858" s="2495" t="s">
        <v>1263</v>
      </c>
      <c r="D4858" s="2495"/>
      <c r="E4858" s="2679">
        <f t="shared" si="93"/>
        <v>9.9999999999999936E-2</v>
      </c>
      <c r="F4858" s="2586">
        <v>2.7</v>
      </c>
      <c r="G4858">
        <v>3</v>
      </c>
      <c r="O4858"/>
    </row>
    <row r="4859" spans="1:15">
      <c r="A4859" s="2620"/>
      <c r="B4859" s="2495"/>
      <c r="C4859" s="2495" t="s">
        <v>2274</v>
      </c>
      <c r="D4859" s="2495"/>
      <c r="E4859" s="2679">
        <f t="shared" si="93"/>
        <v>0.10070257611241212</v>
      </c>
      <c r="F4859" s="2586">
        <v>3.84</v>
      </c>
      <c r="G4859">
        <v>4.2699999999999996</v>
      </c>
      <c r="O4859"/>
    </row>
    <row r="4860" spans="1:15">
      <c r="A4860" s="2620"/>
      <c r="B4860" s="2495"/>
      <c r="C4860" s="2495" t="s">
        <v>1497</v>
      </c>
      <c r="D4860" s="2495"/>
      <c r="E4860" s="2679">
        <f t="shared" si="93"/>
        <v>0.10070257611241212</v>
      </c>
      <c r="F4860" s="2586">
        <v>3.84</v>
      </c>
      <c r="G4860">
        <v>4.2699999999999996</v>
      </c>
      <c r="O4860"/>
    </row>
    <row r="4861" spans="1:15">
      <c r="A4861" s="2620"/>
      <c r="B4861" s="2495"/>
      <c r="C4861" s="2495" t="s">
        <v>2275</v>
      </c>
      <c r="D4861" s="2495"/>
      <c r="E4861" s="2679">
        <f t="shared" si="93"/>
        <v>9.9999999999999922E-2</v>
      </c>
      <c r="F4861" s="2586">
        <v>8.5500000000000007</v>
      </c>
      <c r="G4861">
        <v>9.5</v>
      </c>
      <c r="O4861"/>
    </row>
    <row r="4862" spans="1:15">
      <c r="A4862" s="2620"/>
      <c r="B4862" s="2495"/>
      <c r="C4862" s="2495" t="s">
        <v>239</v>
      </c>
      <c r="D4862" s="2495"/>
      <c r="E4862" s="2679">
        <f t="shared" si="93"/>
        <v>9.9999999999999922E-2</v>
      </c>
      <c r="F4862" s="2586">
        <v>8.5500000000000007</v>
      </c>
      <c r="G4862">
        <v>9.5</v>
      </c>
      <c r="O4862"/>
    </row>
    <row r="4863" spans="1:15">
      <c r="A4863" s="2620"/>
      <c r="B4863" s="2495"/>
      <c r="C4863" s="2495" t="s">
        <v>2277</v>
      </c>
      <c r="D4863" s="2495"/>
      <c r="E4863" s="2679">
        <f t="shared" si="93"/>
        <v>0.10070257611241212</v>
      </c>
      <c r="F4863" s="2586">
        <v>3.84</v>
      </c>
      <c r="G4863">
        <v>4.2699999999999996</v>
      </c>
      <c r="O4863"/>
    </row>
    <row r="4864" spans="1:15">
      <c r="A4864" s="2620"/>
      <c r="B4864" s="2495"/>
      <c r="C4864" s="2495" t="s">
        <v>1722</v>
      </c>
      <c r="D4864" s="2495"/>
      <c r="E4864" s="2679">
        <f t="shared" si="93"/>
        <v>0.10070257611241212</v>
      </c>
      <c r="F4864" s="2586">
        <v>3.84</v>
      </c>
      <c r="G4864">
        <v>4.2699999999999996</v>
      </c>
      <c r="O4864"/>
    </row>
    <row r="4865" spans="1:15">
      <c r="A4865" s="2620"/>
      <c r="B4865" s="2495"/>
      <c r="C4865" s="2495" t="s">
        <v>2272</v>
      </c>
      <c r="D4865" s="2495"/>
      <c r="E4865" s="2679">
        <f t="shared" si="93"/>
        <v>0.10070257611241212</v>
      </c>
      <c r="F4865" s="2586">
        <v>3.84</v>
      </c>
      <c r="G4865">
        <v>4.2699999999999996</v>
      </c>
      <c r="O4865"/>
    </row>
    <row r="4866" spans="1:15">
      <c r="A4866" s="2620"/>
      <c r="B4866" s="2495"/>
      <c r="C4866" s="2495" t="s">
        <v>1496</v>
      </c>
      <c r="D4866" s="2495"/>
      <c r="E4866" s="2679">
        <f t="shared" si="93"/>
        <v>0.10070257611241212</v>
      </c>
      <c r="F4866" s="2586">
        <v>3.84</v>
      </c>
      <c r="G4866">
        <v>4.2699999999999996</v>
      </c>
      <c r="O4866"/>
    </row>
    <row r="4867" spans="1:15">
      <c r="A4867" s="2620"/>
      <c r="B4867" s="2495"/>
      <c r="C4867" s="2495" t="s">
        <v>2271</v>
      </c>
      <c r="D4867" s="2495"/>
      <c r="E4867" s="2679">
        <f t="shared" si="93"/>
        <v>9.9999999999999922E-2</v>
      </c>
      <c r="F4867" s="2586">
        <v>8.5500000000000007</v>
      </c>
      <c r="G4867">
        <v>9.5</v>
      </c>
      <c r="O4867"/>
    </row>
    <row r="4868" spans="1:15">
      <c r="A4868" s="2620"/>
      <c r="B4868" s="2495"/>
      <c r="C4868" s="2495" t="s">
        <v>238</v>
      </c>
      <c r="D4868" s="2495"/>
      <c r="E4868" s="2679">
        <f t="shared" si="93"/>
        <v>9.9999999999999922E-2</v>
      </c>
      <c r="F4868" s="2586">
        <v>8.5500000000000007</v>
      </c>
      <c r="G4868">
        <v>9.5</v>
      </c>
      <c r="O4868"/>
    </row>
    <row r="4869" spans="1:15">
      <c r="A4869" s="2620"/>
      <c r="B4869" s="2495"/>
      <c r="C4869" s="2495" t="s">
        <v>2273</v>
      </c>
      <c r="D4869" s="2495"/>
      <c r="E4869" s="2679">
        <f t="shared" si="93"/>
        <v>0.10008741258741255</v>
      </c>
      <c r="F4869" s="2586">
        <v>20.59</v>
      </c>
      <c r="G4869">
        <v>22.88</v>
      </c>
      <c r="O4869"/>
    </row>
    <row r="4870" spans="1:15">
      <c r="A4870" s="2620"/>
      <c r="B4870" s="2495"/>
      <c r="C4870" s="2495" t="s">
        <v>71</v>
      </c>
      <c r="D4870" s="2495"/>
      <c r="E4870" s="2679">
        <f t="shared" si="93"/>
        <v>0.10008741258741255</v>
      </c>
      <c r="F4870" s="2586">
        <v>20.59</v>
      </c>
      <c r="G4870">
        <v>22.88</v>
      </c>
      <c r="O4870"/>
    </row>
    <row r="4871" spans="1:15">
      <c r="A4871" s="2620"/>
      <c r="B4871" s="2495"/>
      <c r="C4871" s="2495" t="s">
        <v>1883</v>
      </c>
      <c r="D4871" s="2495"/>
      <c r="E4871" s="2679">
        <f t="shared" si="93"/>
        <v>0.10008741258741255</v>
      </c>
      <c r="F4871" s="2586">
        <v>20.59</v>
      </c>
      <c r="G4871">
        <v>22.88</v>
      </c>
      <c r="O4871"/>
    </row>
    <row r="4872" spans="1:15">
      <c r="A4872" s="2620"/>
      <c r="B4872" s="2495"/>
      <c r="C4872" s="2495" t="s">
        <v>2276</v>
      </c>
      <c r="D4872" s="2495"/>
      <c r="E4872" s="2679">
        <f t="shared" si="93"/>
        <v>0.10008741258741255</v>
      </c>
      <c r="F4872" s="2586">
        <v>20.59</v>
      </c>
      <c r="G4872">
        <v>22.88</v>
      </c>
      <c r="O4872"/>
    </row>
    <row r="4873" spans="1:15">
      <c r="A4873" s="2620"/>
      <c r="B4873" s="2495"/>
      <c r="C4873" s="2495" t="s">
        <v>2281</v>
      </c>
      <c r="D4873" s="2495"/>
      <c r="E4873" s="2679">
        <f t="shared" si="93"/>
        <v>9.9999999999999922E-2</v>
      </c>
      <c r="F4873" s="2586">
        <v>8.5500000000000007</v>
      </c>
      <c r="G4873">
        <v>9.5</v>
      </c>
      <c r="O4873"/>
    </row>
    <row r="4874" spans="1:15">
      <c r="A4874" s="2620"/>
      <c r="B4874" s="2495"/>
      <c r="C4874" s="2495" t="s">
        <v>2282</v>
      </c>
      <c r="D4874" s="2495"/>
      <c r="E4874" s="2679">
        <f t="shared" si="93"/>
        <v>9.9999999999999922E-2</v>
      </c>
      <c r="F4874" s="2586">
        <v>8.5500000000000007</v>
      </c>
      <c r="G4874">
        <v>9.5</v>
      </c>
      <c r="O4874"/>
    </row>
    <row r="4875" spans="1:15">
      <c r="A4875" s="2620"/>
      <c r="B4875" s="2495"/>
      <c r="C4875" s="2495" t="s">
        <v>2880</v>
      </c>
      <c r="D4875" s="2495"/>
      <c r="E4875" s="2679">
        <f t="shared" si="93"/>
        <v>0.10008741258741255</v>
      </c>
      <c r="F4875" s="2586">
        <v>20.59</v>
      </c>
      <c r="G4875">
        <v>22.88</v>
      </c>
      <c r="O4875"/>
    </row>
    <row r="4876" spans="1:15" ht="15.75" thickBot="1">
      <c r="A4876" s="1315"/>
      <c r="B4876" s="2621"/>
      <c r="C4876" s="2621" t="s">
        <v>2881</v>
      </c>
      <c r="D4876" s="2621"/>
      <c r="E4876" s="2625">
        <f t="shared" si="93"/>
        <v>0.10008741258741255</v>
      </c>
      <c r="F4876" s="2413">
        <v>20.59</v>
      </c>
      <c r="G4876">
        <v>22.88</v>
      </c>
      <c r="O4876"/>
    </row>
    <row r="4878" spans="1:15" ht="15.75" thickBot="1"/>
    <row r="4879" spans="1:15">
      <c r="A4879" s="3593"/>
      <c r="B4879" s="3601"/>
      <c r="C4879" s="3601"/>
      <c r="D4879" s="3601"/>
      <c r="E4879" s="3601"/>
      <c r="F4879" s="3616"/>
      <c r="G4879" s="1260"/>
      <c r="O4879"/>
    </row>
    <row r="4880" spans="1:15" ht="15.75" thickBot="1">
      <c r="A4880" s="3933"/>
      <c r="B4880" s="3924"/>
      <c r="C4880" s="3924"/>
      <c r="D4880" s="3924"/>
      <c r="E4880" s="3924"/>
      <c r="F4880" s="3925"/>
      <c r="G4880" s="1260"/>
      <c r="O4880"/>
    </row>
    <row r="4881" spans="1:15">
      <c r="A4881" s="2517" t="s">
        <v>3265</v>
      </c>
      <c r="B4881" s="2518" t="s">
        <v>114</v>
      </c>
      <c r="C4881" s="2809" t="s">
        <v>2455</v>
      </c>
      <c r="D4881" s="2520"/>
      <c r="E4881" s="2291">
        <f t="shared" ref="E4881:E4886" si="94">(G4881-F4881)/G4881</f>
        <v>0.18404907975460114</v>
      </c>
      <c r="F4881" s="2683">
        <v>1.33</v>
      </c>
      <c r="G4881" s="1260">
        <v>1.63</v>
      </c>
      <c r="O4881"/>
    </row>
    <row r="4882" spans="1:15">
      <c r="A4882" s="2517"/>
      <c r="B4882" s="2518"/>
      <c r="C4882" s="2809" t="s">
        <v>2743</v>
      </c>
      <c r="D4882" s="2520"/>
      <c r="E4882" s="2291">
        <f t="shared" si="94"/>
        <v>0.21333333333333337</v>
      </c>
      <c r="F4882" s="2683">
        <v>0.59</v>
      </c>
      <c r="G4882" s="1260">
        <v>0.75</v>
      </c>
      <c r="O4882"/>
    </row>
    <row r="4883" spans="1:15">
      <c r="A4883" s="2517"/>
      <c r="B4883" s="2518"/>
      <c r="C4883" s="2519" t="s">
        <v>2550</v>
      </c>
      <c r="D4883" s="2520"/>
      <c r="E4883" s="2291">
        <f t="shared" si="94"/>
        <v>0.3504721930745015</v>
      </c>
      <c r="F4883" s="2683">
        <v>6.19</v>
      </c>
      <c r="G4883" s="1260">
        <v>9.5299999999999994</v>
      </c>
      <c r="O4883"/>
    </row>
    <row r="4884" spans="1:15">
      <c r="A4884" s="2517"/>
      <c r="B4884" s="2518"/>
      <c r="C4884" s="2519" t="s">
        <v>2551</v>
      </c>
      <c r="D4884" s="2520"/>
      <c r="E4884" s="2291">
        <f t="shared" si="94"/>
        <v>0.3504721930745015</v>
      </c>
      <c r="F4884" s="2683">
        <v>6.19</v>
      </c>
      <c r="G4884" s="1260">
        <v>9.5299999999999994</v>
      </c>
      <c r="O4884"/>
    </row>
    <row r="4885" spans="1:15">
      <c r="A4885" s="2517"/>
      <c r="B4885" s="2518"/>
      <c r="C4885" s="2519" t="s">
        <v>2552</v>
      </c>
      <c r="D4885" s="2520"/>
      <c r="E4885" s="2291">
        <f t="shared" si="94"/>
        <v>0.3504721930745015</v>
      </c>
      <c r="F4885" s="2683">
        <v>6.19</v>
      </c>
      <c r="G4885" s="1260">
        <v>9.5299999999999994</v>
      </c>
      <c r="O4885"/>
    </row>
    <row r="4886" spans="1:15" ht="15.75" thickBot="1">
      <c r="A4886" s="1074"/>
      <c r="B4886" s="2233"/>
      <c r="C4886" s="2684" t="s">
        <v>2553</v>
      </c>
      <c r="D4886" s="2234"/>
      <c r="E4886" s="1557">
        <f t="shared" si="94"/>
        <v>0.3504721930745015</v>
      </c>
      <c r="F4886" s="2685">
        <v>6.19</v>
      </c>
      <c r="G4886" s="1260">
        <v>9.5299999999999994</v>
      </c>
      <c r="O4886"/>
    </row>
    <row r="4889" spans="1:15" ht="15.75" thickBot="1"/>
    <row r="4890" spans="1:15">
      <c r="A4890" s="3572"/>
      <c r="B4890" s="3557"/>
      <c r="C4890" s="3557"/>
      <c r="D4890" s="3557"/>
      <c r="E4890" s="3557"/>
      <c r="F4890" s="3559"/>
      <c r="O4890"/>
    </row>
    <row r="4891" spans="1:15" ht="15.75" thickBot="1">
      <c r="A4891" s="3871"/>
      <c r="B4891" s="3628"/>
      <c r="C4891" s="3628"/>
      <c r="D4891" s="3628"/>
      <c r="E4891" s="3628"/>
      <c r="F4891" s="3629"/>
      <c r="O4891"/>
    </row>
    <row r="4892" spans="1:15">
      <c r="A4892" s="1539" t="s">
        <v>3284</v>
      </c>
      <c r="B4892" s="1690" t="s">
        <v>106</v>
      </c>
      <c r="C4892" s="2181" t="s">
        <v>2801</v>
      </c>
      <c r="D4892" s="2468"/>
      <c r="E4892" s="2469">
        <f>(G4892-F4892)/G4892</f>
        <v>9.6774193548387177E-2</v>
      </c>
      <c r="F4892" s="2059">
        <v>1.68</v>
      </c>
      <c r="G4892" s="39">
        <v>1.86</v>
      </c>
      <c r="O4892"/>
    </row>
    <row r="4893" spans="1:15">
      <c r="A4893" s="2711"/>
      <c r="B4893" s="2704"/>
      <c r="C4893" s="2712" t="s">
        <v>2802</v>
      </c>
      <c r="D4893" s="2713"/>
      <c r="E4893" s="2714">
        <f t="shared" ref="E4893:E4912" si="95">(G4893-F4893)/G4893</f>
        <v>9.6774193548387177E-2</v>
      </c>
      <c r="F4893" s="2715">
        <v>1.68</v>
      </c>
      <c r="G4893" s="39">
        <v>1.86</v>
      </c>
      <c r="O4893"/>
    </row>
    <row r="4894" spans="1:15">
      <c r="A4894" s="2711"/>
      <c r="B4894" s="2704"/>
      <c r="C4894" s="2712" t="s">
        <v>2425</v>
      </c>
      <c r="D4894" s="2713"/>
      <c r="E4894" s="2714">
        <f t="shared" si="95"/>
        <v>9.6153846153846242E-2</v>
      </c>
      <c r="F4894" s="2715">
        <v>1.88</v>
      </c>
      <c r="G4894" s="39">
        <v>2.08</v>
      </c>
      <c r="O4894"/>
    </row>
    <row r="4895" spans="1:15">
      <c r="A4895" s="2711"/>
      <c r="B4895" s="2704"/>
      <c r="C4895" s="2712" t="s">
        <v>2426</v>
      </c>
      <c r="D4895" s="2713"/>
      <c r="E4895" s="2714">
        <f t="shared" si="95"/>
        <v>9.6153846153846242E-2</v>
      </c>
      <c r="F4895" s="2715">
        <v>1.88</v>
      </c>
      <c r="G4895" s="39">
        <v>2.08</v>
      </c>
      <c r="O4895"/>
    </row>
    <row r="4896" spans="1:15">
      <c r="A4896" s="2711"/>
      <c r="B4896" s="2704"/>
      <c r="C4896" s="2712" t="s">
        <v>1254</v>
      </c>
      <c r="D4896" s="2713"/>
      <c r="E4896" s="2714">
        <f t="shared" si="95"/>
        <v>0.1</v>
      </c>
      <c r="F4896" s="2715">
        <v>11.25</v>
      </c>
      <c r="G4896" s="39">
        <v>12.5</v>
      </c>
      <c r="O4896"/>
    </row>
    <row r="4897" spans="1:15">
      <c r="A4897" s="2711"/>
      <c r="B4897" s="2704"/>
      <c r="C4897" s="2712" t="s">
        <v>1253</v>
      </c>
      <c r="D4897" s="2713"/>
      <c r="E4897" s="2714">
        <f t="shared" si="95"/>
        <v>0.1</v>
      </c>
      <c r="F4897" s="2715">
        <v>11.25</v>
      </c>
      <c r="G4897" s="39">
        <v>12.5</v>
      </c>
      <c r="O4897"/>
    </row>
    <row r="4898" spans="1:15">
      <c r="A4898" s="2711"/>
      <c r="B4898" s="2704"/>
      <c r="C4898" s="2712" t="s">
        <v>1255</v>
      </c>
      <c r="D4898" s="2713"/>
      <c r="E4898" s="2714">
        <f t="shared" si="95"/>
        <v>9.9426386233269673E-2</v>
      </c>
      <c r="F4898" s="2715">
        <v>9.42</v>
      </c>
      <c r="G4898" s="39">
        <v>10.46</v>
      </c>
      <c r="O4898"/>
    </row>
    <row r="4899" spans="1:15">
      <c r="A4899" s="2711"/>
      <c r="B4899" s="2704"/>
      <c r="C4899" s="2712" t="s">
        <v>1256</v>
      </c>
      <c r="D4899" s="2713"/>
      <c r="E4899" s="2714">
        <f t="shared" si="95"/>
        <v>9.9426386233269673E-2</v>
      </c>
      <c r="F4899" s="2715">
        <v>9.42</v>
      </c>
      <c r="G4899" s="39">
        <v>10.46</v>
      </c>
      <c r="O4899"/>
    </row>
    <row r="4900" spans="1:15">
      <c r="A4900" s="2711"/>
      <c r="B4900" s="2704"/>
      <c r="C4900" s="2712" t="s">
        <v>549</v>
      </c>
      <c r="D4900" s="2713"/>
      <c r="E4900" s="2714">
        <f t="shared" si="95"/>
        <v>0.10011280315848846</v>
      </c>
      <c r="F4900" s="2715">
        <v>31.91</v>
      </c>
      <c r="G4900" s="39">
        <v>35.46</v>
      </c>
      <c r="O4900"/>
    </row>
    <row r="4901" spans="1:15">
      <c r="A4901" s="2699"/>
      <c r="B4901" s="2692"/>
      <c r="C4901" s="2712" t="s">
        <v>1258</v>
      </c>
      <c r="D4901" s="2713"/>
      <c r="E4901" s="2714">
        <f t="shared" si="95"/>
        <v>0.10011280315848846</v>
      </c>
      <c r="F4901" s="2715">
        <v>31.91</v>
      </c>
      <c r="G4901" s="39">
        <v>35.46</v>
      </c>
      <c r="O4901"/>
    </row>
    <row r="4902" spans="1:15">
      <c r="A4902" s="2699"/>
      <c r="B4902" s="2692"/>
      <c r="C4902" s="2692" t="s">
        <v>550</v>
      </c>
      <c r="D4902" s="2692"/>
      <c r="E4902" s="2714">
        <f t="shared" si="95"/>
        <v>9.990108803165175E-2</v>
      </c>
      <c r="F4902" s="2716">
        <v>27.3</v>
      </c>
      <c r="G4902" s="39">
        <v>30.33</v>
      </c>
      <c r="O4902"/>
    </row>
    <row r="4903" spans="1:15">
      <c r="A4903" s="2699"/>
      <c r="B4903" s="2692"/>
      <c r="C4903" s="2692" t="s">
        <v>1259</v>
      </c>
      <c r="D4903" s="2692"/>
      <c r="E4903" s="2714">
        <f t="shared" si="95"/>
        <v>9.990108803165175E-2</v>
      </c>
      <c r="F4903" s="2716">
        <v>27.3</v>
      </c>
      <c r="G4903" s="39">
        <v>30.33</v>
      </c>
      <c r="O4903"/>
    </row>
    <row r="4904" spans="1:15">
      <c r="A4904" s="2699"/>
      <c r="B4904" s="2692"/>
      <c r="C4904" s="2692" t="s">
        <v>1294</v>
      </c>
      <c r="D4904" s="2692"/>
      <c r="E4904" s="2714">
        <f t="shared" si="95"/>
        <v>9.9728629579375894E-2</v>
      </c>
      <c r="F4904" s="2716">
        <v>13.27</v>
      </c>
      <c r="G4904" s="39">
        <v>14.74</v>
      </c>
      <c r="O4904"/>
    </row>
    <row r="4905" spans="1:15">
      <c r="A4905" s="2699"/>
      <c r="B4905" s="2692"/>
      <c r="C4905" s="2692" t="s">
        <v>1295</v>
      </c>
      <c r="D4905" s="2692"/>
      <c r="E4905" s="2714">
        <f t="shared" si="95"/>
        <v>9.9925428784489179E-2</v>
      </c>
      <c r="F4905" s="2716">
        <v>12.07</v>
      </c>
      <c r="G4905" s="39">
        <v>13.41</v>
      </c>
      <c r="O4905"/>
    </row>
    <row r="4906" spans="1:15">
      <c r="A4906" s="2699"/>
      <c r="B4906" s="2692"/>
      <c r="C4906" s="2692" t="s">
        <v>1026</v>
      </c>
      <c r="D4906" s="2692"/>
      <c r="E4906" s="2714">
        <f t="shared" si="95"/>
        <v>9.9750623441396458E-2</v>
      </c>
      <c r="F4906" s="2716">
        <v>10.83</v>
      </c>
      <c r="G4906" s="39">
        <v>12.03</v>
      </c>
      <c r="O4906"/>
    </row>
    <row r="4907" spans="1:15">
      <c r="A4907" s="2699"/>
      <c r="B4907" s="2692"/>
      <c r="C4907" s="2692" t="s">
        <v>3020</v>
      </c>
      <c r="D4907" s="2692"/>
      <c r="E4907" s="2714">
        <f t="shared" si="95"/>
        <v>9.9750623441396458E-2</v>
      </c>
      <c r="F4907" s="2716">
        <v>10.83</v>
      </c>
      <c r="G4907" s="39">
        <v>12.03</v>
      </c>
      <c r="O4907"/>
    </row>
    <row r="4908" spans="1:15">
      <c r="A4908" s="2699"/>
      <c r="B4908" s="2692"/>
      <c r="C4908" s="2692" t="s">
        <v>1027</v>
      </c>
      <c r="D4908" s="2692"/>
      <c r="E4908" s="2714">
        <f t="shared" si="95"/>
        <v>0.10039113428943931</v>
      </c>
      <c r="F4908" s="2716">
        <v>13.8</v>
      </c>
      <c r="G4908" s="39">
        <v>15.34</v>
      </c>
      <c r="O4908"/>
    </row>
    <row r="4909" spans="1:15">
      <c r="A4909" s="2699"/>
      <c r="B4909" s="2692"/>
      <c r="C4909" s="2692" t="s">
        <v>1176</v>
      </c>
      <c r="D4909" s="2692"/>
      <c r="E4909" s="2714">
        <f t="shared" si="95"/>
        <v>0.10039113428943931</v>
      </c>
      <c r="F4909" s="2716">
        <v>13.8</v>
      </c>
      <c r="G4909" s="39">
        <v>15.34</v>
      </c>
      <c r="O4909"/>
    </row>
    <row r="4910" spans="1:15">
      <c r="A4910" s="2699"/>
      <c r="B4910" s="2692"/>
      <c r="C4910" s="2692" t="s">
        <v>1263</v>
      </c>
      <c r="D4910" s="2692"/>
      <c r="E4910" s="2714">
        <f t="shared" si="95"/>
        <v>9.9999999999999936E-2</v>
      </c>
      <c r="F4910" s="2716">
        <v>2.7</v>
      </c>
      <c r="G4910" s="39">
        <v>3</v>
      </c>
      <c r="O4910"/>
    </row>
    <row r="4911" spans="1:15">
      <c r="A4911" s="2699"/>
      <c r="B4911" s="2692"/>
      <c r="C4911" s="2692" t="s">
        <v>3206</v>
      </c>
      <c r="D4911" s="2692"/>
      <c r="E4911" s="2714">
        <f t="shared" si="95"/>
        <v>0.14685314685314682</v>
      </c>
      <c r="F4911" s="2716">
        <v>1.22</v>
      </c>
      <c r="G4911" s="39">
        <v>1.43</v>
      </c>
      <c r="O4911"/>
    </row>
    <row r="4912" spans="1:15" ht="15.75" thickBot="1">
      <c r="A4912" s="1315"/>
      <c r="B4912" s="1316"/>
      <c r="C4912" s="1316" t="s">
        <v>3207</v>
      </c>
      <c r="D4912" s="1316"/>
      <c r="E4912" s="2717">
        <f t="shared" si="95"/>
        <v>0.14685314685314682</v>
      </c>
      <c r="F4912" s="2718">
        <v>1.22</v>
      </c>
      <c r="G4912" s="39">
        <v>1.43</v>
      </c>
      <c r="O4912"/>
    </row>
    <row r="4915" spans="1:15" ht="15.75" thickBot="1"/>
    <row r="4916" spans="1:15">
      <c r="A4916" s="3572"/>
      <c r="B4916" s="3557"/>
      <c r="C4916" s="3557"/>
      <c r="D4916" s="3557"/>
      <c r="E4916" s="3557"/>
      <c r="F4916" s="3559"/>
      <c r="O4916"/>
    </row>
    <row r="4917" spans="1:15" ht="15.75" thickBot="1">
      <c r="A4917" s="3871"/>
      <c r="B4917" s="3628"/>
      <c r="C4917" s="3628"/>
      <c r="D4917" s="3628"/>
      <c r="E4917" s="3628"/>
      <c r="F4917" s="3629"/>
      <c r="O4917"/>
    </row>
    <row r="4918" spans="1:15">
      <c r="A4918" s="2668" t="s">
        <v>3286</v>
      </c>
      <c r="B4918" s="1690" t="s">
        <v>3229</v>
      </c>
      <c r="C4918" s="2451" t="s">
        <v>686</v>
      </c>
      <c r="D4918" s="2421"/>
      <c r="E4918" s="2182">
        <f>(G4918-F4918)/G4918</f>
        <v>0.3493449781659389</v>
      </c>
      <c r="F4918" s="2059">
        <v>1.49</v>
      </c>
      <c r="G4918" s="39">
        <v>2.29</v>
      </c>
      <c r="O4918"/>
    </row>
    <row r="4919" spans="1:15">
      <c r="A4919" s="2711"/>
      <c r="B4919" s="2704"/>
      <c r="C4919" s="2720" t="s">
        <v>687</v>
      </c>
      <c r="D4919" s="2692"/>
      <c r="E4919" s="2721">
        <f>(G4919-F4919)/G4919</f>
        <v>0.3493449781659389</v>
      </c>
      <c r="F4919" s="2715">
        <v>1.49</v>
      </c>
      <c r="G4919" s="39">
        <v>2.29</v>
      </c>
      <c r="O4919"/>
    </row>
    <row r="4920" spans="1:15">
      <c r="A4920" s="2699"/>
      <c r="B4920" s="2692"/>
      <c r="C4920" s="2692" t="s">
        <v>1092</v>
      </c>
      <c r="D4920" s="2692"/>
      <c r="E4920" s="2721">
        <f>(G4920-F4920)/G4920</f>
        <v>0.20529801324503313</v>
      </c>
      <c r="F4920" s="2716">
        <v>1.2</v>
      </c>
      <c r="G4920">
        <v>1.51</v>
      </c>
      <c r="O4920"/>
    </row>
    <row r="4921" spans="1:15">
      <c r="A4921" s="2699"/>
      <c r="B4921" s="2692"/>
      <c r="C4921" s="2692" t="s">
        <v>1091</v>
      </c>
      <c r="D4921" s="2692"/>
      <c r="E4921" s="2721">
        <f>(G4921-F4921)/G4921</f>
        <v>0.20529801324503313</v>
      </c>
      <c r="F4921" s="2716">
        <v>1.2</v>
      </c>
      <c r="G4921">
        <v>1.51</v>
      </c>
      <c r="O4921"/>
    </row>
    <row r="4922" spans="1:15" ht="15.75" thickBot="1">
      <c r="A4922" s="1315"/>
      <c r="B4922" s="1316"/>
      <c r="C4922" s="1316" t="s">
        <v>1090</v>
      </c>
      <c r="D4922" s="1316"/>
      <c r="E4922" s="1317">
        <f>(G4922-F4922)/G4922</f>
        <v>0.20529801324503313</v>
      </c>
      <c r="F4922" s="2718">
        <v>1.2</v>
      </c>
      <c r="G4922">
        <v>1.51</v>
      </c>
      <c r="O4922"/>
    </row>
    <row r="4924" spans="1:15" ht="15.75" thickBot="1"/>
    <row r="4925" spans="1:15">
      <c r="A4925" s="3572"/>
      <c r="B4925" s="3557"/>
      <c r="C4925" s="3557"/>
      <c r="D4925" s="3557"/>
      <c r="E4925" s="3557"/>
      <c r="F4925" s="3559"/>
      <c r="O4925"/>
    </row>
    <row r="4926" spans="1:15" ht="15.75" thickBot="1">
      <c r="A4926" s="3871"/>
      <c r="B4926" s="3628"/>
      <c r="C4926" s="3628"/>
      <c r="D4926" s="3628"/>
      <c r="E4926" s="3628"/>
      <c r="F4926" s="3629"/>
      <c r="O4926"/>
    </row>
    <row r="4927" spans="1:15">
      <c r="A4927" s="1539" t="s">
        <v>3289</v>
      </c>
      <c r="B4927" s="1690" t="s">
        <v>106</v>
      </c>
      <c r="C4927" s="2181" t="s">
        <v>1376</v>
      </c>
      <c r="D4927" s="2468"/>
      <c r="E4927" s="2469"/>
      <c r="F4927" s="2059">
        <v>4.58</v>
      </c>
      <c r="G4927" s="39"/>
      <c r="O4927"/>
    </row>
    <row r="4928" spans="1:15">
      <c r="A4928" s="2711"/>
      <c r="B4928" s="2704"/>
      <c r="C4928" s="2712" t="s">
        <v>858</v>
      </c>
      <c r="D4928" s="2713"/>
      <c r="E4928" s="2714"/>
      <c r="F4928" s="2715">
        <v>0.69</v>
      </c>
      <c r="G4928" s="39"/>
      <c r="O4928"/>
    </row>
    <row r="4929" spans="1:15">
      <c r="A4929" s="2711"/>
      <c r="B4929" s="2704"/>
      <c r="C4929" s="2712" t="s">
        <v>730</v>
      </c>
      <c r="D4929" s="2713"/>
      <c r="E4929" s="2714"/>
      <c r="F4929" s="2715">
        <v>0.59</v>
      </c>
      <c r="G4929" s="39"/>
      <c r="O4929"/>
    </row>
    <row r="4930" spans="1:15">
      <c r="A4930" s="2711"/>
      <c r="B4930" s="2704"/>
      <c r="C4930" s="2712"/>
      <c r="D4930" s="2713"/>
      <c r="E4930" s="2714"/>
      <c r="F4930" s="2715"/>
      <c r="G4930" s="39"/>
      <c r="O4930"/>
    </row>
    <row r="4931" spans="1:15">
      <c r="A4931" s="2711"/>
      <c r="B4931" s="2704"/>
      <c r="C4931" s="2712"/>
      <c r="D4931" s="2713"/>
      <c r="E4931" s="2714"/>
      <c r="F4931" s="2715"/>
      <c r="G4931" s="39"/>
      <c r="O4931"/>
    </row>
    <row r="4932" spans="1:15">
      <c r="A4932" s="2711"/>
      <c r="B4932" s="2704"/>
      <c r="C4932" s="2712"/>
      <c r="D4932" s="2713"/>
      <c r="E4932" s="2714"/>
      <c r="F4932" s="2715"/>
      <c r="G4932" s="39"/>
      <c r="O4932"/>
    </row>
    <row r="4933" spans="1:15">
      <c r="A4933" s="2711"/>
      <c r="B4933" s="2704"/>
      <c r="C4933" s="2712"/>
      <c r="D4933" s="2713"/>
      <c r="E4933" s="2714"/>
      <c r="F4933" s="2715"/>
      <c r="G4933" s="39"/>
      <c r="O4933"/>
    </row>
    <row r="4934" spans="1:15">
      <c r="A4934" s="2711"/>
      <c r="B4934" s="2704"/>
      <c r="C4934" s="2712"/>
      <c r="D4934" s="2713"/>
      <c r="E4934" s="2714"/>
      <c r="F4934" s="2715"/>
      <c r="G4934" s="39"/>
      <c r="O4934"/>
    </row>
    <row r="4935" spans="1:15">
      <c r="A4935" s="2711"/>
      <c r="B4935" s="2704"/>
      <c r="C4935" s="2712"/>
      <c r="D4935" s="2713"/>
      <c r="E4935" s="2714"/>
      <c r="F4935" s="2715"/>
      <c r="G4935" s="39"/>
      <c r="O4935"/>
    </row>
    <row r="4936" spans="1:15">
      <c r="A4936" s="2699"/>
      <c r="B4936" s="2692"/>
      <c r="C4936" s="2712"/>
      <c r="D4936" s="2713"/>
      <c r="E4936" s="2714"/>
      <c r="F4936" s="2715"/>
      <c r="G4936" s="39"/>
      <c r="O4936"/>
    </row>
    <row r="4937" spans="1:15">
      <c r="A4937" s="2699"/>
      <c r="B4937" s="2692"/>
      <c r="C4937" s="2692"/>
      <c r="D4937" s="2692"/>
      <c r="E4937" s="2714"/>
      <c r="F4937" s="2716"/>
      <c r="G4937" s="39"/>
      <c r="O4937"/>
    </row>
    <row r="4938" spans="1:15">
      <c r="A4938" s="2699"/>
      <c r="B4938" s="2692"/>
      <c r="C4938" s="2692"/>
      <c r="D4938" s="2692"/>
      <c r="E4938" s="2714"/>
      <c r="F4938" s="2716"/>
      <c r="G4938" s="39"/>
      <c r="O4938"/>
    </row>
    <row r="4939" spans="1:15" ht="15.75" thickBot="1"/>
    <row r="4940" spans="1:15">
      <c r="A4940" s="3593"/>
      <c r="B4940" s="3601"/>
      <c r="C4940" s="3601"/>
      <c r="D4940" s="3601"/>
      <c r="E4940" s="3601"/>
      <c r="F4940" s="3616"/>
      <c r="G4940" s="1260"/>
      <c r="O4940"/>
    </row>
    <row r="4941" spans="1:15" ht="15.75" thickBot="1">
      <c r="A4941" s="3933"/>
      <c r="B4941" s="3924"/>
      <c r="C4941" s="3924"/>
      <c r="D4941" s="3924"/>
      <c r="E4941" s="3924"/>
      <c r="F4941" s="3925"/>
      <c r="G4941" s="1260"/>
      <c r="O4941"/>
    </row>
    <row r="4942" spans="1:15">
      <c r="A4942" s="2517" t="s">
        <v>3309</v>
      </c>
      <c r="B4942" s="2518" t="s">
        <v>114</v>
      </c>
      <c r="C4942" s="2519" t="s">
        <v>3307</v>
      </c>
      <c r="D4942" s="2520"/>
      <c r="E4942" s="2291">
        <f t="shared" ref="E4942:E4947" si="96">(G4942-F4942)/G4942</f>
        <v>0.1947368421052631</v>
      </c>
      <c r="F4942" s="2683">
        <v>1.53</v>
      </c>
      <c r="G4942" s="1260">
        <v>1.9</v>
      </c>
      <c r="O4942"/>
    </row>
    <row r="4943" spans="1:15">
      <c r="A4943" s="2517"/>
      <c r="B4943" s="2518"/>
      <c r="C4943" s="2519" t="s">
        <v>3308</v>
      </c>
      <c r="D4943" s="2520"/>
      <c r="E4943" s="2291">
        <f t="shared" si="96"/>
        <v>0.1947368421052631</v>
      </c>
      <c r="F4943" s="2683">
        <v>1.53</v>
      </c>
      <c r="G4943" s="1260">
        <v>1.9</v>
      </c>
      <c r="O4943"/>
    </row>
    <row r="4944" spans="1:15">
      <c r="A4944" s="2517"/>
      <c r="B4944" s="2518"/>
      <c r="C4944" s="2519"/>
      <c r="D4944" s="2520"/>
      <c r="E4944" s="2291" t="e">
        <f t="shared" si="96"/>
        <v>#DIV/0!</v>
      </c>
      <c r="F4944" s="2683"/>
      <c r="G4944" s="1260"/>
      <c r="O4944"/>
    </row>
    <row r="4945" spans="1:15">
      <c r="A4945" s="2517"/>
      <c r="B4945" s="2518"/>
      <c r="C4945" s="2519"/>
      <c r="D4945" s="2520"/>
      <c r="E4945" s="2291" t="e">
        <f t="shared" si="96"/>
        <v>#DIV/0!</v>
      </c>
      <c r="F4945" s="2683"/>
      <c r="G4945" s="1260"/>
      <c r="O4945"/>
    </row>
    <row r="4946" spans="1:15">
      <c r="A4946" s="2517"/>
      <c r="B4946" s="2518"/>
      <c r="C4946" s="2519"/>
      <c r="D4946" s="2520"/>
      <c r="E4946" s="2291" t="e">
        <f t="shared" si="96"/>
        <v>#DIV/0!</v>
      </c>
      <c r="F4946" s="2683"/>
      <c r="G4946" s="1260"/>
      <c r="O4946"/>
    </row>
    <row r="4947" spans="1:15" ht="15.75" thickBot="1">
      <c r="A4947" s="1074"/>
      <c r="B4947" s="2233"/>
      <c r="C4947" s="2684"/>
      <c r="D4947" s="2234"/>
      <c r="E4947" s="1557" t="e">
        <f t="shared" si="96"/>
        <v>#DIV/0!</v>
      </c>
      <c r="F4947" s="2685"/>
      <c r="G4947" s="1260"/>
      <c r="O4947"/>
    </row>
    <row r="4949" spans="1:15" ht="15.75" thickBot="1"/>
    <row r="4950" spans="1:15">
      <c r="A4950" s="3593"/>
      <c r="B4950" s="3601"/>
      <c r="C4950" s="3601"/>
      <c r="D4950" s="3601"/>
      <c r="E4950" s="3601"/>
      <c r="F4950" s="3616"/>
      <c r="G4950" s="1260"/>
      <c r="O4950"/>
    </row>
    <row r="4951" spans="1:15" ht="15.75" thickBot="1">
      <c r="A4951" s="3933"/>
      <c r="B4951" s="3924"/>
      <c r="C4951" s="3924"/>
      <c r="D4951" s="3924"/>
      <c r="E4951" s="3924"/>
      <c r="F4951" s="3925"/>
      <c r="G4951" s="1260"/>
      <c r="O4951"/>
    </row>
    <row r="4952" spans="1:15">
      <c r="A4952" s="2517" t="s">
        <v>3309</v>
      </c>
      <c r="B4952" s="2518" t="s">
        <v>114</v>
      </c>
      <c r="C4952" s="2519" t="s">
        <v>2176</v>
      </c>
      <c r="D4952" s="2520"/>
      <c r="E4952" s="2291">
        <f t="shared" ref="E4952:E4957" si="97">(G4952-F4952)/G4952</f>
        <v>0.24696356275303646</v>
      </c>
      <c r="F4952" s="2683">
        <v>1.86</v>
      </c>
      <c r="G4952" s="1260">
        <v>2.4700000000000002</v>
      </c>
      <c r="O4952"/>
    </row>
    <row r="4953" spans="1:15">
      <c r="A4953" s="2517" t="s">
        <v>3310</v>
      </c>
      <c r="B4953" s="2518"/>
      <c r="C4953" s="2519" t="s">
        <v>1891</v>
      </c>
      <c r="D4953" s="2520"/>
      <c r="E4953" s="2291">
        <f t="shared" si="97"/>
        <v>0.26190476190476186</v>
      </c>
      <c r="F4953" s="2683">
        <v>0.93</v>
      </c>
      <c r="G4953" s="1260">
        <v>1.26</v>
      </c>
      <c r="O4953"/>
    </row>
    <row r="4954" spans="1:15">
      <c r="A4954" s="2517"/>
      <c r="B4954" s="2518"/>
      <c r="C4954" s="2519" t="s">
        <v>3064</v>
      </c>
      <c r="D4954" s="2520"/>
      <c r="E4954" s="2291" t="e">
        <f t="shared" si="97"/>
        <v>#DIV/0!</v>
      </c>
      <c r="F4954" s="2683">
        <v>4.51</v>
      </c>
      <c r="G4954" s="1260"/>
      <c r="O4954"/>
    </row>
    <row r="4955" spans="1:15">
      <c r="A4955" s="2517"/>
      <c r="B4955" s="2518"/>
      <c r="C4955" s="2519"/>
      <c r="D4955" s="2520"/>
      <c r="E4955" s="2291" t="e">
        <f t="shared" si="97"/>
        <v>#DIV/0!</v>
      </c>
      <c r="F4955" s="2683"/>
      <c r="G4955" s="1260"/>
      <c r="O4955"/>
    </row>
    <row r="4956" spans="1:15">
      <c r="A4956" s="2517"/>
      <c r="B4956" s="2518"/>
      <c r="C4956" s="2519"/>
      <c r="D4956" s="2520"/>
      <c r="E4956" s="2291" t="e">
        <f t="shared" si="97"/>
        <v>#DIV/0!</v>
      </c>
      <c r="F4956" s="2683"/>
      <c r="G4956" s="1260"/>
      <c r="O4956"/>
    </row>
    <row r="4957" spans="1:15" ht="15.75" thickBot="1">
      <c r="A4957" s="1074"/>
      <c r="B4957" s="2233"/>
      <c r="C4957" s="2684"/>
      <c r="D4957" s="2234"/>
      <c r="E4957" s="1557" t="e">
        <f t="shared" si="97"/>
        <v>#DIV/0!</v>
      </c>
      <c r="F4957" s="2685"/>
      <c r="G4957" s="1260"/>
      <c r="O4957"/>
    </row>
    <row r="4959" spans="1:15" ht="15.75" thickBot="1"/>
    <row r="4960" spans="1:15">
      <c r="A4960" s="3572"/>
      <c r="B4960" s="3557"/>
      <c r="C4960" s="3557"/>
      <c r="D4960" s="3557"/>
      <c r="E4960" s="3557"/>
      <c r="F4960" s="3559"/>
      <c r="O4960"/>
    </row>
    <row r="4961" spans="1:15" ht="15.75" thickBot="1">
      <c r="A4961" s="3871"/>
      <c r="B4961" s="3628"/>
      <c r="C4961" s="3628"/>
      <c r="D4961" s="3628"/>
      <c r="E4961" s="3628"/>
      <c r="F4961" s="3629"/>
      <c r="O4961"/>
    </row>
    <row r="4962" spans="1:15">
      <c r="A4962" s="1539" t="s">
        <v>3314</v>
      </c>
      <c r="B4962" s="1690" t="s">
        <v>106</v>
      </c>
      <c r="C4962" s="2181" t="s">
        <v>2192</v>
      </c>
      <c r="D4962" s="2468"/>
      <c r="E4962" s="2469"/>
      <c r="F4962" s="2059">
        <v>6.27</v>
      </c>
      <c r="G4962" s="39"/>
      <c r="O4962"/>
    </row>
    <row r="4963" spans="1:15">
      <c r="A4963" s="2711"/>
      <c r="B4963" s="2704"/>
      <c r="C4963" s="2712" t="s">
        <v>2194</v>
      </c>
      <c r="D4963" s="2713"/>
      <c r="E4963" s="2714"/>
      <c r="F4963" s="2715">
        <v>6.27</v>
      </c>
      <c r="G4963" s="39"/>
      <c r="O4963"/>
    </row>
    <row r="4964" spans="1:15">
      <c r="A4964" s="2711"/>
      <c r="B4964" s="2704"/>
      <c r="C4964" s="2712" t="s">
        <v>2266</v>
      </c>
      <c r="D4964" s="2713"/>
      <c r="E4964" s="2714"/>
      <c r="F4964" s="2715">
        <v>6.27</v>
      </c>
      <c r="G4964" s="39"/>
      <c r="O4964"/>
    </row>
    <row r="4965" spans="1:15">
      <c r="A4965" s="2711"/>
      <c r="B4965" s="2704"/>
      <c r="C4965" s="2712" t="s">
        <v>2080</v>
      </c>
      <c r="D4965" s="2713"/>
      <c r="E4965" s="2714"/>
      <c r="F4965" s="2715">
        <v>0.77</v>
      </c>
      <c r="G4965" s="39"/>
      <c r="O4965"/>
    </row>
    <row r="4966" spans="1:15">
      <c r="A4966" s="2711"/>
      <c r="B4966" s="2704"/>
      <c r="C4966" s="2712" t="s">
        <v>3315</v>
      </c>
      <c r="D4966" s="2713"/>
      <c r="E4966" s="2714"/>
      <c r="F4966" s="2715">
        <v>0.77</v>
      </c>
      <c r="G4966" s="39"/>
      <c r="O4966"/>
    </row>
    <row r="4967" spans="1:15">
      <c r="A4967" s="2711"/>
      <c r="B4967" s="2704"/>
      <c r="C4967" s="2712" t="s">
        <v>1949</v>
      </c>
      <c r="D4967" s="2713"/>
      <c r="E4967" s="2714"/>
      <c r="F4967" s="2715">
        <v>0.77</v>
      </c>
      <c r="G4967" s="39"/>
      <c r="O4967"/>
    </row>
    <row r="4968" spans="1:15">
      <c r="A4968" s="2711"/>
      <c r="B4968" s="2704"/>
      <c r="C4968" s="2712" t="s">
        <v>3316</v>
      </c>
      <c r="D4968" s="2713"/>
      <c r="E4968" s="2714"/>
      <c r="F4968" s="2715">
        <v>0.77</v>
      </c>
      <c r="G4968" s="39"/>
      <c r="O4968"/>
    </row>
    <row r="4969" spans="1:15">
      <c r="A4969" s="2711"/>
      <c r="B4969" s="2704"/>
      <c r="C4969" s="2712" t="s">
        <v>1950</v>
      </c>
      <c r="D4969" s="2713"/>
      <c r="E4969" s="2714"/>
      <c r="F4969" s="2715">
        <v>0.77</v>
      </c>
      <c r="G4969" s="39"/>
      <c r="O4969"/>
    </row>
    <row r="4970" spans="1:15">
      <c r="A4970" s="2711"/>
      <c r="B4970" s="2704"/>
      <c r="C4970" s="2712" t="s">
        <v>3317</v>
      </c>
      <c r="D4970" s="2713"/>
      <c r="E4970" s="2714"/>
      <c r="F4970" s="2715">
        <v>0.77</v>
      </c>
      <c r="G4970" s="39"/>
      <c r="O4970"/>
    </row>
    <row r="4971" spans="1:15">
      <c r="A4971" s="2699"/>
      <c r="B4971" s="2692"/>
      <c r="C4971" s="2712"/>
      <c r="D4971" s="2713"/>
      <c r="E4971" s="2714"/>
      <c r="F4971" s="2715"/>
      <c r="G4971" s="39"/>
      <c r="O4971"/>
    </row>
    <row r="4972" spans="1:15">
      <c r="A4972" s="2699"/>
      <c r="B4972" s="2692"/>
      <c r="C4972" s="2692"/>
      <c r="D4972" s="2692"/>
      <c r="E4972" s="2714"/>
      <c r="F4972" s="2716"/>
      <c r="G4972" s="39"/>
      <c r="O4972"/>
    </row>
    <row r="4973" spans="1:15">
      <c r="A4973" s="2699"/>
      <c r="B4973" s="2692"/>
      <c r="C4973" s="2692"/>
      <c r="D4973" s="2692"/>
      <c r="E4973" s="2714"/>
      <c r="F4973" s="2716"/>
      <c r="G4973" s="39"/>
      <c r="O4973"/>
    </row>
    <row r="4974" spans="1:15" ht="15.75" thickBot="1"/>
    <row r="4975" spans="1:15">
      <c r="A4975" s="3572"/>
      <c r="B4975" s="3557"/>
      <c r="C4975" s="3557"/>
      <c r="D4975" s="3557"/>
      <c r="E4975" s="3557"/>
      <c r="F4975" s="3559"/>
    </row>
    <row r="4976" spans="1:15" ht="15.75" thickBot="1">
      <c r="A4976" s="3871"/>
      <c r="B4976" s="3628"/>
      <c r="C4976" s="3628"/>
      <c r="D4976" s="3628"/>
      <c r="E4976" s="3628"/>
      <c r="F4976" s="3629"/>
    </row>
    <row r="4977" spans="1:7">
      <c r="A4977" s="2668" t="s">
        <v>3349</v>
      </c>
      <c r="B4977" s="1690" t="s">
        <v>3229</v>
      </c>
      <c r="C4977" s="2723" t="s">
        <v>623</v>
      </c>
      <c r="D4977" s="2421"/>
      <c r="E4977" s="2182">
        <f>(G4977-F4977)/G4977</f>
        <v>0.29687499999999994</v>
      </c>
      <c r="F4977" s="2059">
        <v>1.35</v>
      </c>
      <c r="G4977" s="39">
        <v>1.92</v>
      </c>
    </row>
    <row r="4978" spans="1:7">
      <c r="A4978" s="2711"/>
      <c r="B4978" s="2760"/>
      <c r="C4978" s="2980" t="s">
        <v>1772</v>
      </c>
      <c r="D4978" s="2756"/>
      <c r="E4978" s="2761">
        <f>(G4978-F4978)/G4978</f>
        <v>0.29687499999999994</v>
      </c>
      <c r="F4978" s="2762">
        <v>1.35</v>
      </c>
      <c r="G4978" s="39">
        <v>1.92</v>
      </c>
    </row>
    <row r="4979" spans="1:7">
      <c r="A4979" s="2699"/>
      <c r="B4979" s="2756"/>
      <c r="C4979" s="2756" t="s">
        <v>2273</v>
      </c>
      <c r="D4979" s="2756"/>
      <c r="E4979" s="2761">
        <f t="shared" ref="E4979:E4985" si="98">(G4979-F4979)/G4979</f>
        <v>9.9808978032473725E-2</v>
      </c>
      <c r="F4979" s="2757">
        <v>18.850000000000001</v>
      </c>
      <c r="G4979">
        <v>20.94</v>
      </c>
    </row>
    <row r="4980" spans="1:7">
      <c r="A4980" s="2699"/>
      <c r="B4980" s="2756"/>
      <c r="C4980" s="2756" t="s">
        <v>71</v>
      </c>
      <c r="D4980" s="2756"/>
      <c r="E4980" s="2761">
        <f t="shared" si="98"/>
        <v>9.9808978032473725E-2</v>
      </c>
      <c r="F4980" s="2757">
        <v>18.850000000000001</v>
      </c>
      <c r="G4980">
        <v>20.94</v>
      </c>
    </row>
    <row r="4981" spans="1:7">
      <c r="A4981" s="2699"/>
      <c r="B4981" s="2756"/>
      <c r="C4981" s="2756" t="s">
        <v>2566</v>
      </c>
      <c r="D4981" s="2756"/>
      <c r="E4981" s="2761">
        <f t="shared" si="98"/>
        <v>9.9808978032473725E-2</v>
      </c>
      <c r="F4981" s="2757">
        <v>18.850000000000001</v>
      </c>
      <c r="G4981">
        <v>20.94</v>
      </c>
    </row>
    <row r="4982" spans="1:7">
      <c r="A4982" s="2699"/>
      <c r="B4982" s="2756"/>
      <c r="C4982" s="2756" t="s">
        <v>72</v>
      </c>
      <c r="D4982" s="2756"/>
      <c r="E4982" s="2761">
        <f t="shared" si="98"/>
        <v>9.9808978032473725E-2</v>
      </c>
      <c r="F4982" s="2757">
        <v>18.850000000000001</v>
      </c>
      <c r="G4982">
        <v>20.94</v>
      </c>
    </row>
    <row r="4983" spans="1:7">
      <c r="A4983" s="2699"/>
      <c r="B4983" s="2756"/>
      <c r="C4983" s="2756" t="s">
        <v>1883</v>
      </c>
      <c r="D4983" s="2756"/>
      <c r="E4983" s="2761">
        <f t="shared" si="98"/>
        <v>9.9808978032473725E-2</v>
      </c>
      <c r="F4983" s="2757">
        <v>18.850000000000001</v>
      </c>
      <c r="G4983">
        <v>20.94</v>
      </c>
    </row>
    <row r="4984" spans="1:7">
      <c r="A4984" s="2699"/>
      <c r="B4984" s="2756"/>
      <c r="C4984" s="2756" t="s">
        <v>2276</v>
      </c>
      <c r="D4984" s="2756"/>
      <c r="E4984" s="2761">
        <f t="shared" si="98"/>
        <v>9.9808978032473725E-2</v>
      </c>
      <c r="F4984" s="2757">
        <v>18.850000000000001</v>
      </c>
      <c r="G4984">
        <v>20.94</v>
      </c>
    </row>
    <row r="4985" spans="1:7" ht="15.75" thickBot="1">
      <c r="A4985" s="1315"/>
      <c r="B4985" s="2758"/>
      <c r="C4985" s="2758" t="s">
        <v>2052</v>
      </c>
      <c r="D4985" s="2758"/>
      <c r="E4985" s="2763">
        <f t="shared" si="98"/>
        <v>9.9808978032473725E-2</v>
      </c>
      <c r="F4985" s="2764">
        <v>18.850000000000001</v>
      </c>
      <c r="G4985">
        <v>20.94</v>
      </c>
    </row>
    <row r="4986" spans="1:7" ht="15.75" thickBot="1"/>
    <row r="4987" spans="1:7">
      <c r="A4987" s="3572"/>
      <c r="B4987" s="3557"/>
      <c r="C4987" s="3557"/>
      <c r="D4987" s="3557"/>
      <c r="E4987" s="3557"/>
      <c r="F4987" s="3559"/>
    </row>
    <row r="4988" spans="1:7" ht="15.75" thickBot="1">
      <c r="A4988" s="3871"/>
      <c r="B4988" s="3628"/>
      <c r="C4988" s="3628"/>
      <c r="D4988" s="3628"/>
      <c r="E4988" s="3628"/>
      <c r="F4988" s="3629"/>
    </row>
    <row r="4989" spans="1:7">
      <c r="A4989" s="2668" t="s">
        <v>3350</v>
      </c>
      <c r="B4989" s="1690" t="s">
        <v>3229</v>
      </c>
      <c r="C4989" s="2765" t="s">
        <v>1563</v>
      </c>
      <c r="D4989" s="2766"/>
      <c r="E4989" s="2767">
        <f t="shared" ref="E4989:E4994" si="99">(G4989-F4989)/G4989</f>
        <v>0.1953125</v>
      </c>
      <c r="F4989" s="2768">
        <v>1.03</v>
      </c>
      <c r="G4989" s="2769">
        <v>1.28</v>
      </c>
    </row>
    <row r="4990" spans="1:7">
      <c r="A4990" s="2711"/>
      <c r="B4990" s="2760"/>
      <c r="C4990" s="2770" t="s">
        <v>2426</v>
      </c>
      <c r="D4990" s="2771"/>
      <c r="E4990" s="2772">
        <f t="shared" si="99"/>
        <v>0.14761904761904765</v>
      </c>
      <c r="F4990" s="2773">
        <v>1.79</v>
      </c>
      <c r="G4990" s="2769">
        <v>2.1</v>
      </c>
    </row>
    <row r="4991" spans="1:7">
      <c r="A4991" s="2699"/>
      <c r="B4991" s="2756"/>
      <c r="C4991" s="2771" t="s">
        <v>2425</v>
      </c>
      <c r="D4991" s="2771"/>
      <c r="E4991" s="2772">
        <f t="shared" si="99"/>
        <v>0.14761904761904765</v>
      </c>
      <c r="F4991" s="2774">
        <v>1.79</v>
      </c>
      <c r="G4991" s="2769">
        <v>2.1</v>
      </c>
    </row>
    <row r="4992" spans="1:7">
      <c r="A4992" s="2699"/>
      <c r="B4992" s="2756"/>
      <c r="C4992" s="2771" t="s">
        <v>2801</v>
      </c>
      <c r="D4992" s="2771"/>
      <c r="E4992" s="2772">
        <f t="shared" si="99"/>
        <v>0.15217391304347827</v>
      </c>
      <c r="F4992" s="2774">
        <v>1.56</v>
      </c>
      <c r="G4992" s="2769">
        <v>1.84</v>
      </c>
    </row>
    <row r="4993" spans="1:7">
      <c r="A4993" s="2699"/>
      <c r="B4993" s="2756"/>
      <c r="C4993" s="2771" t="s">
        <v>2802</v>
      </c>
      <c r="D4993" s="2771"/>
      <c r="E4993" s="2772">
        <f t="shared" si="99"/>
        <v>0.15217391304347827</v>
      </c>
      <c r="F4993" s="2774">
        <v>1.56</v>
      </c>
      <c r="G4993" s="2769">
        <v>1.84</v>
      </c>
    </row>
    <row r="4994" spans="1:7" ht="15.75" thickBot="1">
      <c r="A4994" s="1315"/>
      <c r="B4994" s="2758"/>
      <c r="C4994" s="2758" t="s">
        <v>1058</v>
      </c>
      <c r="D4994" s="2758"/>
      <c r="E4994" s="2775">
        <f t="shared" si="99"/>
        <v>0.19999999999999998</v>
      </c>
      <c r="F4994" s="2776">
        <v>1.72</v>
      </c>
      <c r="G4994" s="2769">
        <v>2.15</v>
      </c>
    </row>
    <row r="4996" spans="1:7" ht="15.75" thickBot="1"/>
    <row r="4997" spans="1:7">
      <c r="A4997" s="3572"/>
      <c r="B4997" s="3557"/>
      <c r="C4997" s="3557"/>
      <c r="D4997" s="3557"/>
      <c r="E4997" s="3557"/>
      <c r="F4997" s="3559"/>
    </row>
    <row r="4998" spans="1:7" ht="15.75" thickBot="1">
      <c r="A4998" s="3871"/>
      <c r="B4998" s="3628"/>
      <c r="C4998" s="3628"/>
      <c r="D4998" s="3628"/>
      <c r="E4998" s="3628"/>
      <c r="F4998" s="3629"/>
    </row>
    <row r="4999" spans="1:7">
      <c r="A4999" s="1539" t="s">
        <v>3354</v>
      </c>
      <c r="B4999" s="1690" t="s">
        <v>106</v>
      </c>
      <c r="C4999" s="2181" t="s">
        <v>1614</v>
      </c>
      <c r="D4999" s="2468"/>
      <c r="E4999" s="2469">
        <f t="shared" ref="E4999:E5004" si="100">(G4999-F4999)/G4999</f>
        <v>0.32885906040268453</v>
      </c>
      <c r="F4999" s="2059">
        <v>1</v>
      </c>
      <c r="G4999" s="39">
        <v>1.49</v>
      </c>
    </row>
    <row r="5000" spans="1:7">
      <c r="A5000" s="2711"/>
      <c r="B5000" s="2760"/>
      <c r="C5000" s="2793" t="s">
        <v>2792</v>
      </c>
      <c r="D5000" s="2794"/>
      <c r="E5000" s="2795">
        <f t="shared" si="100"/>
        <v>0.32885906040268453</v>
      </c>
      <c r="F5000" s="2762">
        <v>1</v>
      </c>
      <c r="G5000" s="39">
        <v>1.49</v>
      </c>
    </row>
    <row r="5001" spans="1:7">
      <c r="A5001" s="2711"/>
      <c r="B5001" s="2760"/>
      <c r="C5001" s="2793" t="s">
        <v>549</v>
      </c>
      <c r="D5001" s="2794"/>
      <c r="E5001" s="2795">
        <f t="shared" si="100"/>
        <v>0.10011280315848846</v>
      </c>
      <c r="F5001" s="2762">
        <v>31.91</v>
      </c>
      <c r="G5001" s="39">
        <v>35.46</v>
      </c>
    </row>
    <row r="5002" spans="1:7">
      <c r="A5002" s="2711"/>
      <c r="B5002" s="2760"/>
      <c r="C5002" s="2793" t="s">
        <v>1258</v>
      </c>
      <c r="D5002" s="2794"/>
      <c r="E5002" s="2795">
        <f t="shared" si="100"/>
        <v>0.10011280315848846</v>
      </c>
      <c r="F5002" s="2762">
        <v>31.91</v>
      </c>
      <c r="G5002" s="39">
        <v>35.46</v>
      </c>
    </row>
    <row r="5003" spans="1:7">
      <c r="A5003" s="2699"/>
      <c r="B5003" s="2756"/>
      <c r="C5003" s="2756" t="s">
        <v>550</v>
      </c>
      <c r="D5003" s="2756"/>
      <c r="E5003" s="2795">
        <f t="shared" si="100"/>
        <v>9.990108803165175E-2</v>
      </c>
      <c r="F5003" s="2740">
        <v>27.3</v>
      </c>
      <c r="G5003" s="39">
        <v>30.33</v>
      </c>
    </row>
    <row r="5004" spans="1:7" ht="15.75" thickBot="1">
      <c r="A5004" s="1315"/>
      <c r="B5004" s="2758"/>
      <c r="C5004" s="2758" t="s">
        <v>1259</v>
      </c>
      <c r="D5004" s="2758"/>
      <c r="E5004" s="2796">
        <f t="shared" si="100"/>
        <v>9.990108803165175E-2</v>
      </c>
      <c r="F5004" s="2743">
        <v>27.3</v>
      </c>
      <c r="G5004" s="39">
        <v>30.33</v>
      </c>
    </row>
    <row r="5005" spans="1:7" ht="15.75" thickBot="1"/>
    <row r="5006" spans="1:7">
      <c r="A5006" s="3572"/>
      <c r="B5006" s="3557"/>
      <c r="C5006" s="3557"/>
      <c r="D5006" s="3557"/>
      <c r="E5006" s="3557"/>
      <c r="F5006" s="3559"/>
    </row>
    <row r="5007" spans="1:7" ht="15.75" thickBot="1">
      <c r="A5007" s="3871"/>
      <c r="B5007" s="3628"/>
      <c r="C5007" s="3628"/>
      <c r="D5007" s="3628"/>
      <c r="E5007" s="3628"/>
      <c r="F5007" s="3629"/>
    </row>
    <row r="5008" spans="1:7">
      <c r="A5008" s="2668" t="s">
        <v>3358</v>
      </c>
      <c r="B5008" s="1690" t="s">
        <v>3229</v>
      </c>
      <c r="C5008" s="2765" t="s">
        <v>3120</v>
      </c>
      <c r="D5008" s="2766"/>
      <c r="E5008" s="2767">
        <f>(G5008-F5008)/G5008</f>
        <v>0.19972067039106142</v>
      </c>
      <c r="F5008" s="2768">
        <v>5.73</v>
      </c>
      <c r="G5008" s="2769">
        <v>7.16</v>
      </c>
    </row>
    <row r="5009" spans="1:7" ht="15.75" thickBot="1">
      <c r="A5009" s="1695"/>
      <c r="B5009" s="2797"/>
      <c r="C5009" s="2798" t="s">
        <v>3121</v>
      </c>
      <c r="D5009" s="2799"/>
      <c r="E5009" s="2800">
        <f>(G5009-F5009)/G5009</f>
        <v>0.19972067039106142</v>
      </c>
      <c r="F5009" s="2801">
        <v>5.73</v>
      </c>
      <c r="G5009" s="2769">
        <v>7.16</v>
      </c>
    </row>
    <row r="5011" spans="1:7" ht="15.75" thickBot="1"/>
    <row r="5012" spans="1:7">
      <c r="A5012" s="3572"/>
      <c r="B5012" s="3557"/>
      <c r="C5012" s="3557"/>
      <c r="D5012" s="3557"/>
      <c r="E5012" s="3557"/>
      <c r="F5012" s="3559"/>
    </row>
    <row r="5013" spans="1:7" ht="15.75" thickBot="1">
      <c r="A5013" s="3871"/>
      <c r="B5013" s="3628"/>
      <c r="C5013" s="3628"/>
      <c r="D5013" s="3628"/>
      <c r="E5013" s="3628"/>
      <c r="F5013" s="3629"/>
    </row>
    <row r="5014" spans="1:7">
      <c r="A5014" s="1539" t="s">
        <v>3363</v>
      </c>
      <c r="B5014" s="1690" t="s">
        <v>106</v>
      </c>
      <c r="C5014" s="2181" t="s">
        <v>2999</v>
      </c>
      <c r="D5014" s="2468"/>
      <c r="E5014" s="2469">
        <f>(G5014-F5014)/G5014</f>
        <v>0.19892473118279574</v>
      </c>
      <c r="F5014" s="2059">
        <v>1.49</v>
      </c>
      <c r="G5014" s="39">
        <v>1.86</v>
      </c>
    </row>
    <row r="5015" spans="1:7">
      <c r="A5015" s="2711"/>
      <c r="B5015" s="2760"/>
      <c r="C5015" s="2793" t="s">
        <v>2273</v>
      </c>
      <c r="D5015" s="2794"/>
      <c r="E5015" s="2795">
        <f t="shared" ref="E5015:E5021" si="101">(G5015-F5015)/G5015</f>
        <v>0.10008741258741255</v>
      </c>
      <c r="F5015" s="2762">
        <v>20.59</v>
      </c>
      <c r="G5015" s="39">
        <v>22.88</v>
      </c>
    </row>
    <row r="5016" spans="1:7">
      <c r="A5016" s="2711"/>
      <c r="B5016" s="2760"/>
      <c r="C5016" s="2793" t="s">
        <v>71</v>
      </c>
      <c r="D5016" s="2794"/>
      <c r="E5016" s="2795">
        <f t="shared" si="101"/>
        <v>0.10008741258741255</v>
      </c>
      <c r="F5016" s="2762">
        <v>20.59</v>
      </c>
      <c r="G5016" s="39">
        <v>22.88</v>
      </c>
    </row>
    <row r="5017" spans="1:7">
      <c r="A5017" s="2711"/>
      <c r="B5017" s="2760"/>
      <c r="C5017" s="2793" t="s">
        <v>1883</v>
      </c>
      <c r="D5017" s="2794"/>
      <c r="E5017" s="2795">
        <f t="shared" si="101"/>
        <v>0.10008741258741255</v>
      </c>
      <c r="F5017" s="2762">
        <v>20.59</v>
      </c>
      <c r="G5017" s="39">
        <v>22.88</v>
      </c>
    </row>
    <row r="5018" spans="1:7">
      <c r="A5018" s="2699"/>
      <c r="B5018" s="2756"/>
      <c r="C5018" s="2756" t="s">
        <v>2276</v>
      </c>
      <c r="D5018" s="2756"/>
      <c r="E5018" s="2795">
        <f t="shared" si="101"/>
        <v>0.10008741258741255</v>
      </c>
      <c r="F5018" s="2740">
        <v>20.59</v>
      </c>
      <c r="G5018" s="39">
        <v>22.88</v>
      </c>
    </row>
    <row r="5019" spans="1:7">
      <c r="A5019" s="2699"/>
      <c r="B5019" s="2756"/>
      <c r="C5019" s="2756" t="s">
        <v>2880</v>
      </c>
      <c r="D5019" s="2756"/>
      <c r="E5019" s="2795">
        <f t="shared" si="101"/>
        <v>0.10008741258741255</v>
      </c>
      <c r="F5019" s="2740">
        <v>20.59</v>
      </c>
      <c r="G5019" s="39">
        <v>22.88</v>
      </c>
    </row>
    <row r="5020" spans="1:7">
      <c r="A5020" s="2699"/>
      <c r="B5020" s="2756"/>
      <c r="C5020" s="2756" t="s">
        <v>2881</v>
      </c>
      <c r="D5020" s="2756"/>
      <c r="E5020" s="2795">
        <f t="shared" si="101"/>
        <v>0.10008741258741255</v>
      </c>
      <c r="F5020" s="2740">
        <v>20.59</v>
      </c>
      <c r="G5020" s="39">
        <v>22.88</v>
      </c>
    </row>
    <row r="5021" spans="1:7" ht="15.75" thickBot="1">
      <c r="A5021" s="1315"/>
      <c r="B5021" s="2758"/>
      <c r="C5021" s="2758" t="s">
        <v>2052</v>
      </c>
      <c r="D5021" s="2758"/>
      <c r="E5021" s="2795">
        <f t="shared" si="101"/>
        <v>0.10008741258741255</v>
      </c>
      <c r="F5021" s="2743">
        <v>20.59</v>
      </c>
      <c r="G5021" s="39">
        <v>22.88</v>
      </c>
    </row>
    <row r="5022" spans="1:7" ht="15.75" thickBot="1"/>
    <row r="5023" spans="1:7">
      <c r="A5023" s="3572"/>
      <c r="B5023" s="3557"/>
      <c r="C5023" s="3557"/>
      <c r="D5023" s="3557"/>
      <c r="E5023" s="3557"/>
      <c r="F5023" s="3559"/>
    </row>
    <row r="5024" spans="1:7" ht="15.75" thickBot="1">
      <c r="A5024" s="3871"/>
      <c r="B5024" s="3628"/>
      <c r="C5024" s="3628"/>
      <c r="D5024" s="3628"/>
      <c r="E5024" s="3628"/>
      <c r="F5024" s="3629"/>
    </row>
    <row r="5025" spans="1:15">
      <c r="A5025" s="1539" t="s">
        <v>3364</v>
      </c>
      <c r="B5025" s="1690" t="s">
        <v>106</v>
      </c>
      <c r="C5025" s="2181" t="s">
        <v>3365</v>
      </c>
      <c r="D5025" s="2468"/>
      <c r="E5025" s="2469">
        <f>(G5025-F5025)/G5025</f>
        <v>0.15040650406504069</v>
      </c>
      <c r="F5025" s="2059">
        <v>6.27</v>
      </c>
      <c r="G5025" s="39">
        <v>7.38</v>
      </c>
    </row>
    <row r="5026" spans="1:15">
      <c r="A5026" s="2711"/>
      <c r="B5026" s="2760"/>
      <c r="C5026" s="2793" t="s">
        <v>3366</v>
      </c>
      <c r="D5026" s="2794"/>
      <c r="E5026" s="2795">
        <f>(G5026-F5026)/G5026</f>
        <v>0.15040650406504069</v>
      </c>
      <c r="F5026" s="2762">
        <v>6.27</v>
      </c>
      <c r="G5026" s="39">
        <v>7.38</v>
      </c>
    </row>
    <row r="5027" spans="1:15">
      <c r="A5027" s="2711"/>
      <c r="B5027" s="2760"/>
      <c r="C5027" s="2793" t="s">
        <v>3206</v>
      </c>
      <c r="D5027" s="2794"/>
      <c r="E5027" s="2795">
        <f>(G5027-F5027)/G5027</f>
        <v>0.14685314685314682</v>
      </c>
      <c r="F5027" s="2762">
        <v>1.22</v>
      </c>
      <c r="G5027" s="39">
        <v>1.43</v>
      </c>
    </row>
    <row r="5028" spans="1:15" ht="15.75" thickBot="1">
      <c r="A5028" s="1695"/>
      <c r="B5028" s="2797"/>
      <c r="C5028" s="2813" t="s">
        <v>3207</v>
      </c>
      <c r="D5028" s="2814"/>
      <c r="E5028" s="2796">
        <f>(G5028-F5028)/G5028</f>
        <v>0.14685314685314682</v>
      </c>
      <c r="F5028" s="2815">
        <v>1.22</v>
      </c>
      <c r="G5028" s="39">
        <v>1.43</v>
      </c>
    </row>
    <row r="5029" spans="1:15" ht="15.75" thickBot="1"/>
    <row r="5030" spans="1:15" s="2821" customFormat="1">
      <c r="A5030" s="3593"/>
      <c r="B5030" s="3601"/>
      <c r="C5030" s="3601"/>
      <c r="D5030" s="3601"/>
      <c r="E5030" s="3601"/>
      <c r="F5030" s="3616"/>
      <c r="G5030" s="1260"/>
      <c r="O5030" s="176"/>
    </row>
    <row r="5031" spans="1:15" s="2821" customFormat="1" ht="15.75" thickBot="1">
      <c r="A5031" s="4025"/>
      <c r="B5031" s="4026"/>
      <c r="C5031" s="4026"/>
      <c r="D5031" s="4026"/>
      <c r="E5031" s="4026"/>
      <c r="F5031" s="4027"/>
      <c r="G5031" s="1260"/>
      <c r="O5031" s="176"/>
    </row>
    <row r="5032" spans="1:15" s="2821" customFormat="1">
      <c r="A5032" s="2517" t="s">
        <v>3380</v>
      </c>
      <c r="B5032" s="2518" t="s">
        <v>114</v>
      </c>
      <c r="C5032" s="2854" t="s">
        <v>2192</v>
      </c>
      <c r="D5032" s="2520"/>
      <c r="E5032" s="2291">
        <f>(G5032-F5032)/G5032</f>
        <v>0.14987405541561716</v>
      </c>
      <c r="F5032" s="2855">
        <v>6.75</v>
      </c>
      <c r="G5032" s="1260">
        <v>7.94</v>
      </c>
      <c r="O5032" s="176"/>
    </row>
    <row r="5033" spans="1:15" s="2821" customFormat="1">
      <c r="A5033" s="2517"/>
      <c r="B5033" s="2518"/>
      <c r="C5033" s="2854" t="s">
        <v>2194</v>
      </c>
      <c r="D5033" s="2520"/>
      <c r="E5033" s="2291">
        <f>(G5033-F5033)/G5033</f>
        <v>0.14987405541561716</v>
      </c>
      <c r="F5033" s="2855">
        <v>6.75</v>
      </c>
      <c r="G5033" s="1260">
        <v>7.94</v>
      </c>
      <c r="O5033" s="176"/>
    </row>
    <row r="5034" spans="1:15" s="2821" customFormat="1">
      <c r="A5034" s="2517"/>
      <c r="B5034" s="2518"/>
      <c r="C5034" s="2854" t="s">
        <v>2266</v>
      </c>
      <c r="D5034" s="2520"/>
      <c r="E5034" s="2291">
        <f>(G5034-F5034)/G5034</f>
        <v>0.14987405541561716</v>
      </c>
      <c r="F5034" s="2855">
        <v>6.75</v>
      </c>
      <c r="G5034" s="1260">
        <v>7.94</v>
      </c>
      <c r="O5034" s="176"/>
    </row>
    <row r="5035" spans="1:15" s="2821" customFormat="1" ht="15.75" thickBot="1">
      <c r="A5035" s="1074"/>
      <c r="B5035" s="2233"/>
      <c r="C5035" s="2856" t="s">
        <v>3120</v>
      </c>
      <c r="D5035" s="2234"/>
      <c r="E5035" s="1557">
        <f>(G5035-F5035)/G5035</f>
        <v>0.14993804213135067</v>
      </c>
      <c r="F5035" s="2857">
        <v>6.86</v>
      </c>
      <c r="G5035" s="1260">
        <v>8.07</v>
      </c>
      <c r="O5035" s="176"/>
    </row>
    <row r="5036" spans="1:15" s="2821" customFormat="1" ht="15.75" thickBot="1">
      <c r="O5036" s="176"/>
    </row>
    <row r="5037" spans="1:15" s="2821" customFormat="1">
      <c r="A5037" s="3572"/>
      <c r="B5037" s="3557"/>
      <c r="C5037" s="3557"/>
      <c r="D5037" s="3557"/>
      <c r="E5037" s="3557"/>
      <c r="F5037" s="3559"/>
      <c r="O5037" s="176"/>
    </row>
    <row r="5038" spans="1:15" s="2821" customFormat="1" ht="15.75" thickBot="1">
      <c r="A5038" s="4019"/>
      <c r="B5038" s="4020"/>
      <c r="C5038" s="4020"/>
      <c r="D5038" s="4020"/>
      <c r="E5038" s="4020"/>
      <c r="F5038" s="4023"/>
      <c r="O5038" s="176"/>
    </row>
    <row r="5039" spans="1:15" s="2821" customFormat="1">
      <c r="A5039" s="2668" t="s">
        <v>3381</v>
      </c>
      <c r="B5039" s="1690" t="s">
        <v>3229</v>
      </c>
      <c r="C5039" s="2765" t="s">
        <v>3120</v>
      </c>
      <c r="D5039" s="2766"/>
      <c r="E5039" s="2767">
        <f>(G5039-F5039)/G5039</f>
        <v>0.14944134078212296</v>
      </c>
      <c r="F5039" s="2768">
        <v>6.09</v>
      </c>
      <c r="G5039" s="2769">
        <v>7.16</v>
      </c>
      <c r="O5039" s="176"/>
    </row>
    <row r="5040" spans="1:15" s="2821" customFormat="1">
      <c r="A5040" s="2858"/>
      <c r="B5040" s="2859"/>
      <c r="C5040" s="2860" t="s">
        <v>3121</v>
      </c>
      <c r="D5040" s="2861"/>
      <c r="E5040" s="2862">
        <f>(G5040-F5040)/G5040</f>
        <v>0.14944134078212296</v>
      </c>
      <c r="F5040" s="2863">
        <v>6.09</v>
      </c>
      <c r="G5040" s="2769">
        <v>7.16</v>
      </c>
      <c r="O5040" s="176"/>
    </row>
    <row r="5041" spans="1:15" s="2821" customFormat="1">
      <c r="A5041" s="2864"/>
      <c r="B5041" s="2865"/>
      <c r="C5041" s="2865" t="s">
        <v>3206</v>
      </c>
      <c r="D5041" s="2865"/>
      <c r="E5041" s="2862">
        <f>(G5041-F5041)/G5041</f>
        <v>0.14925373134328371</v>
      </c>
      <c r="F5041" s="2849">
        <v>1.1399999999999999</v>
      </c>
      <c r="G5041" s="2821">
        <v>1.34</v>
      </c>
      <c r="O5041" s="176"/>
    </row>
    <row r="5042" spans="1:15" s="2821" customFormat="1" ht="15.75" thickBot="1">
      <c r="A5042" s="2866"/>
      <c r="B5042" s="2867"/>
      <c r="C5042" s="2867" t="s">
        <v>3207</v>
      </c>
      <c r="D5042" s="2867"/>
      <c r="E5042" s="2868">
        <f>(G5042-F5042)/G5042</f>
        <v>0.14925373134328371</v>
      </c>
      <c r="F5042" s="2853">
        <v>1.1399999999999999</v>
      </c>
      <c r="G5042" s="2821">
        <v>1.34</v>
      </c>
      <c r="O5042" s="176"/>
    </row>
    <row r="5044" spans="1:15" ht="15.75" thickBot="1"/>
    <row r="5045" spans="1:15" s="2821" customFormat="1">
      <c r="A5045" s="3593"/>
      <c r="B5045" s="3601"/>
      <c r="C5045" s="3601"/>
      <c r="D5045" s="3601"/>
      <c r="E5045" s="3601"/>
      <c r="F5045" s="3616"/>
      <c r="G5045" s="1260"/>
      <c r="O5045" s="176"/>
    </row>
    <row r="5046" spans="1:15" s="2821" customFormat="1" ht="15.75" thickBot="1">
      <c r="A5046" s="4024"/>
      <c r="B5046" s="4021"/>
      <c r="C5046" s="4021"/>
      <c r="D5046" s="4021"/>
      <c r="E5046" s="4021"/>
      <c r="F5046" s="4022"/>
      <c r="G5046" s="1260"/>
      <c r="O5046" s="176"/>
    </row>
    <row r="5047" spans="1:15" s="2821" customFormat="1">
      <c r="A5047" s="2870" t="s">
        <v>3383</v>
      </c>
      <c r="B5047" s="2871" t="s">
        <v>114</v>
      </c>
      <c r="C5047" s="3052" t="s">
        <v>2176</v>
      </c>
      <c r="D5047" s="2872"/>
      <c r="E5047" s="2182">
        <f>(G5047-F5047)/G5047</f>
        <v>0.24696356275303646</v>
      </c>
      <c r="F5047" s="2059">
        <v>1.86</v>
      </c>
      <c r="G5047" s="1260">
        <v>2.4700000000000002</v>
      </c>
      <c r="O5047" s="176"/>
    </row>
    <row r="5048" spans="1:15" s="2821" customFormat="1">
      <c r="A5048" s="2873"/>
      <c r="B5048" s="2874"/>
      <c r="C5048" s="3053" t="s">
        <v>2515</v>
      </c>
      <c r="D5048" s="2875"/>
      <c r="E5048" s="2876">
        <f t="shared" ref="E5048:E5054" si="102">(G5048-F5048)/G5048</f>
        <v>0.19867549668874174</v>
      </c>
      <c r="F5048" s="2877">
        <v>1.21</v>
      </c>
      <c r="G5048" s="1260">
        <v>1.51</v>
      </c>
      <c r="O5048" s="176"/>
    </row>
    <row r="5049" spans="1:15" s="2821" customFormat="1">
      <c r="A5049" s="2873"/>
      <c r="B5049" s="2874"/>
      <c r="C5049" s="3053" t="s">
        <v>1904</v>
      </c>
      <c r="D5049" s="2875"/>
      <c r="E5049" s="2876">
        <f t="shared" si="102"/>
        <v>0.26704545454545453</v>
      </c>
      <c r="F5049" s="2877">
        <v>1.29</v>
      </c>
      <c r="G5049" s="1260">
        <v>1.76</v>
      </c>
      <c r="O5049" s="176"/>
    </row>
    <row r="5050" spans="1:15" s="2821" customFormat="1">
      <c r="A5050" s="2873"/>
      <c r="B5050" s="2874"/>
      <c r="C5050" s="3043" t="s">
        <v>2462</v>
      </c>
      <c r="D5050" s="2875"/>
      <c r="E5050" s="2876">
        <f t="shared" si="102"/>
        <v>0.27272727272727271</v>
      </c>
      <c r="F5050" s="2877">
        <v>1.2</v>
      </c>
      <c r="G5050" s="1260">
        <v>1.65</v>
      </c>
      <c r="O5050" s="176"/>
    </row>
    <row r="5051" spans="1:15" s="2821" customFormat="1">
      <c r="A5051" s="2864"/>
      <c r="B5051" s="2865"/>
      <c r="C5051" s="2865" t="s">
        <v>2550</v>
      </c>
      <c r="D5051" s="2865"/>
      <c r="E5051" s="2876">
        <f t="shared" si="102"/>
        <v>0.3504721930745015</v>
      </c>
      <c r="F5051" s="2849">
        <v>6.19</v>
      </c>
      <c r="G5051" s="1260">
        <v>9.5299999999999994</v>
      </c>
      <c r="O5051" s="176"/>
    </row>
    <row r="5052" spans="1:15" s="2821" customFormat="1">
      <c r="A5052" s="2864"/>
      <c r="B5052" s="2865"/>
      <c r="C5052" s="2865" t="s">
        <v>2551</v>
      </c>
      <c r="D5052" s="2865"/>
      <c r="E5052" s="2876">
        <f t="shared" si="102"/>
        <v>0.3504721930745015</v>
      </c>
      <c r="F5052" s="2849">
        <v>6.19</v>
      </c>
      <c r="G5052" s="2878">
        <v>9.5299999999999994</v>
      </c>
      <c r="O5052" s="176"/>
    </row>
    <row r="5053" spans="1:15" s="2821" customFormat="1">
      <c r="A5053" s="2864"/>
      <c r="B5053" s="2865"/>
      <c r="C5053" s="2865" t="s">
        <v>2552</v>
      </c>
      <c r="D5053" s="2865"/>
      <c r="E5053" s="2876">
        <f t="shared" si="102"/>
        <v>0.3504721930745015</v>
      </c>
      <c r="F5053" s="2849">
        <v>6.19</v>
      </c>
      <c r="G5053" s="2878">
        <v>9.5299999999999994</v>
      </c>
      <c r="O5053" s="176"/>
    </row>
    <row r="5054" spans="1:15" s="2821" customFormat="1" ht="15.75" thickBot="1">
      <c r="A5054" s="2866"/>
      <c r="B5054" s="2867"/>
      <c r="C5054" s="2867" t="s">
        <v>2553</v>
      </c>
      <c r="D5054" s="2867"/>
      <c r="E5054" s="2879">
        <f t="shared" si="102"/>
        <v>0.3504721930745015</v>
      </c>
      <c r="F5054" s="2853">
        <v>6.19</v>
      </c>
      <c r="G5054" s="2878">
        <v>9.5299999999999994</v>
      </c>
      <c r="O5054" s="176"/>
    </row>
    <row r="5055" spans="1:15" s="2821" customFormat="1" ht="15.75" thickBot="1">
      <c r="O5055" s="176"/>
    </row>
    <row r="5056" spans="1:15" s="2821" customFormat="1">
      <c r="A5056" s="3572"/>
      <c r="B5056" s="3557"/>
      <c r="C5056" s="3557"/>
      <c r="D5056" s="3557"/>
      <c r="E5056" s="3557"/>
      <c r="F5056" s="3559"/>
      <c r="O5056" s="176"/>
    </row>
    <row r="5057" spans="1:15" s="2821" customFormat="1">
      <c r="A5057" s="4019"/>
      <c r="B5057" s="4020"/>
      <c r="C5057" s="4020"/>
      <c r="D5057" s="4020"/>
      <c r="E5057" s="4020"/>
      <c r="F5057" s="4023"/>
      <c r="O5057" s="176"/>
    </row>
    <row r="5058" spans="1:15" s="2821" customFormat="1">
      <c r="A5058" s="2880" t="s">
        <v>3384</v>
      </c>
      <c r="B5058" s="2859" t="s">
        <v>3229</v>
      </c>
      <c r="C5058" s="2860" t="s">
        <v>550</v>
      </c>
      <c r="D5058" s="2861"/>
      <c r="E5058" s="2862">
        <f>(G5058-F5058)/G5058</f>
        <v>0.1</v>
      </c>
      <c r="F5058" s="2863">
        <v>26.19</v>
      </c>
      <c r="G5058" s="2769">
        <v>29.1</v>
      </c>
      <c r="O5058" s="176"/>
    </row>
    <row r="5059" spans="1:15" s="2821" customFormat="1">
      <c r="A5059" s="2858"/>
      <c r="B5059" s="2859"/>
      <c r="C5059" s="2860" t="s">
        <v>1259</v>
      </c>
      <c r="D5059" s="2861"/>
      <c r="E5059" s="2862">
        <f>(G5059-F5059)/G5059</f>
        <v>0.1</v>
      </c>
      <c r="F5059" s="2863">
        <v>26.19</v>
      </c>
      <c r="G5059" s="2769">
        <v>29.1</v>
      </c>
      <c r="O5059" s="176"/>
    </row>
    <row r="5060" spans="1:15" s="2821" customFormat="1">
      <c r="A5060" s="2864"/>
      <c r="B5060" s="2865"/>
      <c r="C5060" s="2865" t="s">
        <v>1027</v>
      </c>
      <c r="D5060" s="2865"/>
      <c r="E5060" s="2862">
        <f t="shared" ref="E5060:E5066" si="103">(G5060-F5060)/G5060</f>
        <v>9.9728629579375894E-2</v>
      </c>
      <c r="F5060" s="2849">
        <v>13.27</v>
      </c>
      <c r="G5060" s="2821">
        <v>14.74</v>
      </c>
      <c r="O5060" s="176"/>
    </row>
    <row r="5061" spans="1:15" s="2821" customFormat="1">
      <c r="A5061" s="2864"/>
      <c r="B5061" s="2865"/>
      <c r="C5061" s="2865" t="s">
        <v>1176</v>
      </c>
      <c r="D5061" s="2865"/>
      <c r="E5061" s="2862">
        <f t="shared" si="103"/>
        <v>9.9728629579375894E-2</v>
      </c>
      <c r="F5061" s="2849">
        <v>13.27</v>
      </c>
      <c r="G5061" s="2821">
        <v>14.74</v>
      </c>
      <c r="O5061" s="176"/>
    </row>
    <row r="5062" spans="1:15" s="2821" customFormat="1">
      <c r="A5062" s="2864"/>
      <c r="B5062" s="2865"/>
      <c r="C5062" s="2865" t="s">
        <v>1260</v>
      </c>
      <c r="D5062" s="2865"/>
      <c r="E5062" s="2881">
        <f t="shared" si="103"/>
        <v>0.10051546391752569</v>
      </c>
      <c r="F5062" s="2849">
        <v>3.49</v>
      </c>
      <c r="G5062" s="2821">
        <v>3.88</v>
      </c>
      <c r="O5062" s="176"/>
    </row>
    <row r="5063" spans="1:15" s="2821" customFormat="1">
      <c r="A5063" s="2864"/>
      <c r="B5063" s="2865"/>
      <c r="C5063" s="2865" t="s">
        <v>1272</v>
      </c>
      <c r="D5063" s="2865"/>
      <c r="E5063" s="2881">
        <f t="shared" si="103"/>
        <v>0.10051546391752569</v>
      </c>
      <c r="F5063" s="2849">
        <v>3.49</v>
      </c>
      <c r="G5063" s="2821">
        <v>3.88</v>
      </c>
      <c r="O5063" s="176"/>
    </row>
    <row r="5064" spans="1:15" s="2821" customFormat="1">
      <c r="A5064" s="2864"/>
      <c r="B5064" s="2865"/>
      <c r="C5064" s="2865" t="s">
        <v>1263</v>
      </c>
      <c r="D5064" s="2865"/>
      <c r="E5064" s="2881">
        <f t="shared" si="103"/>
        <v>0.10069444444444446</v>
      </c>
      <c r="F5064" s="2849">
        <v>2.59</v>
      </c>
      <c r="G5064" s="2821">
        <v>2.88</v>
      </c>
      <c r="O5064" s="176"/>
    </row>
    <row r="5065" spans="1:15" s="2821" customFormat="1">
      <c r="A5065" s="2864"/>
      <c r="B5065" s="2865"/>
      <c r="C5065" s="2865" t="s">
        <v>1293</v>
      </c>
      <c r="D5065" s="2865"/>
      <c r="E5065" s="2881">
        <f t="shared" si="103"/>
        <v>9.9800399201596807E-2</v>
      </c>
      <c r="F5065" s="2849">
        <v>13.53</v>
      </c>
      <c r="G5065" s="2821">
        <v>15.03</v>
      </c>
      <c r="O5065" s="176"/>
    </row>
    <row r="5066" spans="1:15" s="2821" customFormat="1" ht="15.75" thickBot="1">
      <c r="A5066" s="2866"/>
      <c r="B5066" s="2867"/>
      <c r="C5066" s="2867" t="s">
        <v>1295</v>
      </c>
      <c r="D5066" s="2867"/>
      <c r="E5066" s="2882">
        <f t="shared" si="103"/>
        <v>0.10007757951900705</v>
      </c>
      <c r="F5066" s="2853">
        <v>11.6</v>
      </c>
      <c r="G5066" s="2821">
        <v>12.89</v>
      </c>
      <c r="O5066" s="176"/>
    </row>
    <row r="5068" spans="1:15" ht="15.75" thickBot="1"/>
    <row r="5069" spans="1:15" s="2885" customFormat="1">
      <c r="A5069" s="3572"/>
      <c r="B5069" s="3557"/>
      <c r="C5069" s="3557"/>
      <c r="D5069" s="3557"/>
      <c r="E5069" s="3557"/>
      <c r="F5069" s="3559"/>
      <c r="O5069" s="176"/>
    </row>
    <row r="5070" spans="1:15" s="2885" customFormat="1">
      <c r="A5070" s="3905"/>
      <c r="B5070" s="3906"/>
      <c r="C5070" s="3906"/>
      <c r="D5070" s="3906"/>
      <c r="E5070" s="3906"/>
      <c r="F5070" s="3917"/>
      <c r="O5070" s="176"/>
    </row>
    <row r="5071" spans="1:15" s="2885" customFormat="1" ht="15.75" thickBot="1">
      <c r="A5071" s="2925" t="s">
        <v>3395</v>
      </c>
      <c r="B5071" s="2893" t="s">
        <v>3229</v>
      </c>
      <c r="C5071" s="2926" t="s">
        <v>1058</v>
      </c>
      <c r="D5071" s="2927"/>
      <c r="E5071" s="2928">
        <f>(G5071-F5071)/G5071</f>
        <v>0.33023255813953489</v>
      </c>
      <c r="F5071" s="2929">
        <v>1.44</v>
      </c>
      <c r="G5071" s="2769">
        <v>2.15</v>
      </c>
      <c r="O5071" s="176"/>
    </row>
    <row r="5072" spans="1:15" ht="15.75" thickBot="1"/>
    <row r="5073" spans="1:15" s="2885" customFormat="1">
      <c r="A5073" s="3572"/>
      <c r="B5073" s="3557"/>
      <c r="C5073" s="3557"/>
      <c r="D5073" s="3557"/>
      <c r="E5073" s="3557"/>
      <c r="F5073" s="3559"/>
      <c r="O5073" s="176"/>
    </row>
    <row r="5074" spans="1:15" s="2885" customFormat="1" ht="15.75" thickBot="1">
      <c r="A5074" s="3905"/>
      <c r="B5074" s="3906"/>
      <c r="C5074" s="3906"/>
      <c r="D5074" s="3906"/>
      <c r="E5074" s="3906"/>
      <c r="F5074" s="3917"/>
      <c r="O5074" s="176"/>
    </row>
    <row r="5075" spans="1:15" s="2885" customFormat="1">
      <c r="A5075" s="1539" t="s">
        <v>3403</v>
      </c>
      <c r="B5075" s="1690" t="s">
        <v>106</v>
      </c>
      <c r="C5075" s="2181" t="s">
        <v>858</v>
      </c>
      <c r="D5075" s="2468"/>
      <c r="E5075" s="2469">
        <f>(G5075-F5075)/G5075</f>
        <v>0.15533980582524273</v>
      </c>
      <c r="F5075" s="2059">
        <v>0.87</v>
      </c>
      <c r="G5075" s="39">
        <v>1.03</v>
      </c>
      <c r="O5075" s="176"/>
    </row>
    <row r="5076" spans="1:15" s="2885" customFormat="1">
      <c r="A5076" s="2951"/>
      <c r="B5076" s="2898"/>
      <c r="C5076" s="2952" t="s">
        <v>730</v>
      </c>
      <c r="D5076" s="2953"/>
      <c r="E5076" s="2954">
        <f t="shared" ref="E5076:E5096" si="104">(G5076-F5076)/G5076</f>
        <v>0.14772727272727273</v>
      </c>
      <c r="F5076" s="2955">
        <v>0.75</v>
      </c>
      <c r="G5076" s="39">
        <v>0.88</v>
      </c>
      <c r="O5076" s="176"/>
    </row>
    <row r="5077" spans="1:15" s="2885" customFormat="1">
      <c r="A5077" s="2951"/>
      <c r="B5077" s="2898"/>
      <c r="C5077" s="2952" t="s">
        <v>2940</v>
      </c>
      <c r="D5077" s="2953"/>
      <c r="E5077" s="2954">
        <f t="shared" si="104"/>
        <v>0.24736842105263157</v>
      </c>
      <c r="F5077" s="2955">
        <v>1.43</v>
      </c>
      <c r="G5077" s="39">
        <v>1.9</v>
      </c>
      <c r="O5077" s="176"/>
    </row>
    <row r="5078" spans="1:15" s="2885" customFormat="1">
      <c r="A5078" s="2951"/>
      <c r="B5078" s="2898"/>
      <c r="C5078" s="2952" t="s">
        <v>2941</v>
      </c>
      <c r="D5078" s="2953"/>
      <c r="E5078" s="2954">
        <f t="shared" si="104"/>
        <v>0.24736842105263157</v>
      </c>
      <c r="F5078" s="2955">
        <v>1.43</v>
      </c>
      <c r="G5078" s="39">
        <v>1.9</v>
      </c>
      <c r="O5078" s="176"/>
    </row>
    <row r="5079" spans="1:15" s="2885" customFormat="1">
      <c r="A5079" s="2910"/>
      <c r="B5079" s="2911"/>
      <c r="C5079" s="2911" t="s">
        <v>3256</v>
      </c>
      <c r="D5079" s="2911"/>
      <c r="E5079" s="2954">
        <f t="shared" si="104"/>
        <v>0.19980506822612076</v>
      </c>
      <c r="F5079" s="2913">
        <v>8.2100000000000009</v>
      </c>
      <c r="G5079" s="39">
        <v>10.26</v>
      </c>
      <c r="O5079" s="176"/>
    </row>
    <row r="5080" spans="1:15" s="2885" customFormat="1">
      <c r="A5080" s="2910"/>
      <c r="B5080" s="2911"/>
      <c r="C5080" s="2911" t="s">
        <v>3257</v>
      </c>
      <c r="D5080" s="2911"/>
      <c r="E5080" s="2954">
        <f t="shared" si="104"/>
        <v>0.19980506822612076</v>
      </c>
      <c r="F5080" s="2913">
        <v>8.2100000000000009</v>
      </c>
      <c r="G5080" s="39">
        <v>10.26</v>
      </c>
      <c r="O5080" s="176"/>
    </row>
    <row r="5081" spans="1:15" s="2885" customFormat="1">
      <c r="A5081" s="2910"/>
      <c r="B5081" s="2911"/>
      <c r="C5081" s="2911" t="s">
        <v>3258</v>
      </c>
      <c r="D5081" s="2911"/>
      <c r="E5081" s="2954">
        <f t="shared" si="104"/>
        <v>0.19980506822612076</v>
      </c>
      <c r="F5081" s="2913">
        <v>8.2100000000000009</v>
      </c>
      <c r="G5081" s="39">
        <v>10.26</v>
      </c>
      <c r="O5081" s="176"/>
    </row>
    <row r="5082" spans="1:15" s="2885" customFormat="1">
      <c r="A5082" s="2910"/>
      <c r="B5082" s="2911"/>
      <c r="C5082" s="2911" t="s">
        <v>3259</v>
      </c>
      <c r="D5082" s="2911"/>
      <c r="E5082" s="2954">
        <f t="shared" si="104"/>
        <v>0.19980506822612076</v>
      </c>
      <c r="F5082" s="2913">
        <v>8.2100000000000009</v>
      </c>
      <c r="G5082" s="39">
        <v>10.26</v>
      </c>
      <c r="O5082" s="176"/>
    </row>
    <row r="5083" spans="1:15" s="2885" customFormat="1">
      <c r="A5083" s="2910"/>
      <c r="B5083" s="2911"/>
      <c r="C5083" s="2911" t="s">
        <v>3245</v>
      </c>
      <c r="D5083" s="2911"/>
      <c r="E5083" s="2896">
        <f t="shared" si="104"/>
        <v>0.2</v>
      </c>
      <c r="F5083" s="2913">
        <v>6.68</v>
      </c>
      <c r="G5083" s="39">
        <v>8.35</v>
      </c>
      <c r="O5083" s="176"/>
    </row>
    <row r="5084" spans="1:15" s="2885" customFormat="1">
      <c r="A5084" s="2910"/>
      <c r="B5084" s="2911"/>
      <c r="C5084" s="2911" t="s">
        <v>3246</v>
      </c>
      <c r="D5084" s="2911"/>
      <c r="E5084" s="2896">
        <f t="shared" si="104"/>
        <v>0.2</v>
      </c>
      <c r="F5084" s="2913">
        <v>6.68</v>
      </c>
      <c r="G5084" s="39">
        <v>8.35</v>
      </c>
      <c r="O5084" s="176"/>
    </row>
    <row r="5085" spans="1:15" s="2885" customFormat="1">
      <c r="A5085" s="2910"/>
      <c r="B5085" s="2911"/>
      <c r="C5085" s="2911" t="s">
        <v>3247</v>
      </c>
      <c r="D5085" s="2911"/>
      <c r="E5085" s="2896">
        <f t="shared" si="104"/>
        <v>0.2</v>
      </c>
      <c r="F5085" s="2913">
        <v>6.68</v>
      </c>
      <c r="G5085" s="39">
        <v>8.35</v>
      </c>
      <c r="O5085" s="176"/>
    </row>
    <row r="5086" spans="1:15" s="2885" customFormat="1">
      <c r="A5086" s="2910"/>
      <c r="B5086" s="2911"/>
      <c r="C5086" s="2911" t="s">
        <v>3250</v>
      </c>
      <c r="D5086" s="2911"/>
      <c r="E5086" s="2896">
        <f t="shared" si="104"/>
        <v>0.2</v>
      </c>
      <c r="F5086" s="2913">
        <v>6.68</v>
      </c>
      <c r="G5086" s="39">
        <v>8.35</v>
      </c>
      <c r="O5086" s="176"/>
    </row>
    <row r="5087" spans="1:15" s="2885" customFormat="1">
      <c r="A5087" s="2910"/>
      <c r="B5087" s="2911"/>
      <c r="C5087" s="2911" t="s">
        <v>3251</v>
      </c>
      <c r="D5087" s="2911"/>
      <c r="E5087" s="2896">
        <f t="shared" si="104"/>
        <v>0.2</v>
      </c>
      <c r="F5087" s="2913">
        <v>6.68</v>
      </c>
      <c r="G5087" s="39">
        <v>8.35</v>
      </c>
      <c r="O5087" s="176"/>
    </row>
    <row r="5088" spans="1:15" s="2885" customFormat="1">
      <c r="A5088" s="2910"/>
      <c r="B5088" s="2911"/>
      <c r="C5088" s="2911" t="s">
        <v>3404</v>
      </c>
      <c r="D5088" s="2911"/>
      <c r="E5088" s="2896">
        <f t="shared" si="104"/>
        <v>0.2</v>
      </c>
      <c r="F5088" s="2913">
        <v>6.68</v>
      </c>
      <c r="G5088" s="39">
        <v>8.35</v>
      </c>
      <c r="O5088" s="176"/>
    </row>
    <row r="5089" spans="1:15" s="2885" customFormat="1">
      <c r="A5089" s="2910"/>
      <c r="B5089" s="2911"/>
      <c r="C5089" s="2911" t="s">
        <v>3405</v>
      </c>
      <c r="D5089" s="2911"/>
      <c r="E5089" s="2896">
        <f t="shared" si="104"/>
        <v>0.2</v>
      </c>
      <c r="F5089" s="2913">
        <v>6.68</v>
      </c>
      <c r="G5089" s="39">
        <v>8.35</v>
      </c>
      <c r="O5089" s="176"/>
    </row>
    <row r="5090" spans="1:15" s="2885" customFormat="1">
      <c r="A5090" s="2910"/>
      <c r="B5090" s="2911"/>
      <c r="C5090" s="2911" t="s">
        <v>3406</v>
      </c>
      <c r="D5090" s="2911"/>
      <c r="E5090" s="2896">
        <f t="shared" si="104"/>
        <v>0.2</v>
      </c>
      <c r="F5090" s="2913">
        <v>6.68</v>
      </c>
      <c r="G5090" s="39">
        <v>8.35</v>
      </c>
      <c r="O5090" s="176"/>
    </row>
    <row r="5091" spans="1:15" s="2885" customFormat="1">
      <c r="A5091" s="2910"/>
      <c r="B5091" s="2911"/>
      <c r="C5091" s="2911" t="s">
        <v>3365</v>
      </c>
      <c r="D5091" s="2911"/>
      <c r="E5091" s="2896">
        <f t="shared" si="104"/>
        <v>0.20054200542005415</v>
      </c>
      <c r="F5091" s="2913">
        <v>5.9</v>
      </c>
      <c r="G5091" s="39">
        <v>7.38</v>
      </c>
      <c r="O5091" s="176"/>
    </row>
    <row r="5092" spans="1:15" s="2885" customFormat="1">
      <c r="A5092" s="2910"/>
      <c r="B5092" s="2911"/>
      <c r="C5092" s="2911" t="s">
        <v>3366</v>
      </c>
      <c r="D5092" s="2911"/>
      <c r="E5092" s="2896">
        <f t="shared" si="104"/>
        <v>0.20054200542005415</v>
      </c>
      <c r="F5092" s="2913">
        <v>5.9</v>
      </c>
      <c r="G5092" s="39">
        <v>7.38</v>
      </c>
      <c r="O5092" s="176"/>
    </row>
    <row r="5093" spans="1:15" s="2885" customFormat="1">
      <c r="A5093" s="2910"/>
      <c r="B5093" s="2911"/>
      <c r="C5093" s="2911" t="s">
        <v>3120</v>
      </c>
      <c r="D5093" s="2911"/>
      <c r="E5093" s="2896">
        <f t="shared" si="104"/>
        <v>0.17038007863695934</v>
      </c>
      <c r="F5093" s="2913">
        <v>6.33</v>
      </c>
      <c r="G5093" s="39">
        <v>7.63</v>
      </c>
      <c r="O5093" s="176"/>
    </row>
    <row r="5094" spans="1:15" s="2885" customFormat="1">
      <c r="A5094" s="2910"/>
      <c r="B5094" s="2911"/>
      <c r="C5094" s="2911" t="s">
        <v>3121</v>
      </c>
      <c r="D5094" s="2911"/>
      <c r="E5094" s="2896">
        <f t="shared" si="104"/>
        <v>0.17038007863695934</v>
      </c>
      <c r="F5094" s="2913">
        <v>6.33</v>
      </c>
      <c r="G5094" s="39">
        <v>7.63</v>
      </c>
      <c r="O5094" s="176"/>
    </row>
    <row r="5095" spans="1:15" s="2885" customFormat="1">
      <c r="A5095" s="2910"/>
      <c r="B5095" s="2911"/>
      <c r="C5095" s="3046" t="s">
        <v>623</v>
      </c>
      <c r="D5095" s="2911"/>
      <c r="E5095" s="2896">
        <f t="shared" si="104"/>
        <v>0.27751196172248799</v>
      </c>
      <c r="F5095" s="2913">
        <v>1.51</v>
      </c>
      <c r="G5095" s="39">
        <v>2.09</v>
      </c>
      <c r="O5095" s="176"/>
    </row>
    <row r="5096" spans="1:15" s="2885" customFormat="1" ht="15.75" thickBot="1">
      <c r="A5096" s="2914"/>
      <c r="B5096" s="2915"/>
      <c r="C5096" s="3044" t="s">
        <v>1772</v>
      </c>
      <c r="D5096" s="2915"/>
      <c r="E5096" s="2890">
        <f t="shared" si="104"/>
        <v>0.27751196172248799</v>
      </c>
      <c r="F5096" s="2917">
        <v>1.51</v>
      </c>
      <c r="G5096" s="39">
        <v>2.09</v>
      </c>
      <c r="O5096" s="176"/>
    </row>
    <row r="5097" spans="1:15" s="2885" customFormat="1" ht="15.75" thickBot="1">
      <c r="O5097" s="176"/>
    </row>
    <row r="5098" spans="1:15" s="2885" customFormat="1">
      <c r="A5098" s="3572"/>
      <c r="B5098" s="3557"/>
      <c r="C5098" s="3557"/>
      <c r="D5098" s="3557"/>
      <c r="E5098" s="3557"/>
      <c r="F5098" s="3559"/>
      <c r="O5098" s="176"/>
    </row>
    <row r="5099" spans="1:15" s="2885" customFormat="1" ht="15.75" thickBot="1">
      <c r="A5099" s="3905"/>
      <c r="B5099" s="3906"/>
      <c r="C5099" s="3906"/>
      <c r="D5099" s="3906"/>
      <c r="E5099" s="3906"/>
      <c r="F5099" s="3917"/>
      <c r="O5099" s="176"/>
    </row>
    <row r="5100" spans="1:15" s="2885" customFormat="1">
      <c r="A5100" s="1539" t="s">
        <v>3407</v>
      </c>
      <c r="B5100" s="1690" t="s">
        <v>106</v>
      </c>
      <c r="C5100" s="2181" t="s">
        <v>2192</v>
      </c>
      <c r="D5100" s="2468"/>
      <c r="E5100" s="2469">
        <f t="shared" ref="E5100:E5140" si="105">(G5100-F5100)/G5100</f>
        <v>0.15040650406504069</v>
      </c>
      <c r="F5100" s="2059">
        <v>6.27</v>
      </c>
      <c r="G5100" s="39">
        <v>7.38</v>
      </c>
      <c r="O5100" s="176"/>
    </row>
    <row r="5101" spans="1:15" s="2885" customFormat="1">
      <c r="A5101" s="2951"/>
      <c r="B5101" s="2898"/>
      <c r="C5101" s="2952" t="s">
        <v>2194</v>
      </c>
      <c r="D5101" s="2953"/>
      <c r="E5101" s="2954">
        <f t="shared" si="105"/>
        <v>0.15040650406504069</v>
      </c>
      <c r="F5101" s="2955">
        <v>6.27</v>
      </c>
      <c r="G5101" s="39">
        <v>7.38</v>
      </c>
      <c r="O5101" s="176"/>
    </row>
    <row r="5102" spans="1:15" s="2885" customFormat="1">
      <c r="A5102" s="2951"/>
      <c r="B5102" s="2898"/>
      <c r="C5102" s="2952" t="s">
        <v>2266</v>
      </c>
      <c r="D5102" s="2953"/>
      <c r="E5102" s="2954">
        <f t="shared" si="105"/>
        <v>0.15040650406504069</v>
      </c>
      <c r="F5102" s="2955">
        <v>6.27</v>
      </c>
      <c r="G5102" s="39">
        <v>7.38</v>
      </c>
      <c r="O5102" s="176"/>
    </row>
    <row r="5103" spans="1:15" s="2885" customFormat="1">
      <c r="A5103" s="2951"/>
      <c r="B5103" s="2898"/>
      <c r="C5103" s="2952" t="s">
        <v>2359</v>
      </c>
      <c r="D5103" s="2953"/>
      <c r="E5103" s="2954">
        <f t="shared" si="105"/>
        <v>0.15040650406504069</v>
      </c>
      <c r="F5103" s="2955">
        <v>6.27</v>
      </c>
      <c r="G5103" s="39">
        <v>7.38</v>
      </c>
      <c r="O5103" s="176"/>
    </row>
    <row r="5104" spans="1:15" s="2885" customFormat="1">
      <c r="A5104" s="2910"/>
      <c r="B5104" s="2911"/>
      <c r="C5104" s="2911" t="s">
        <v>1120</v>
      </c>
      <c r="D5104" s="2911"/>
      <c r="E5104" s="2954">
        <f t="shared" si="105"/>
        <v>0.15094339622641512</v>
      </c>
      <c r="F5104" s="2955">
        <v>0.45</v>
      </c>
      <c r="G5104" s="39">
        <v>0.53</v>
      </c>
      <c r="O5104" s="176"/>
    </row>
    <row r="5105" spans="1:15" s="2885" customFormat="1">
      <c r="A5105" s="2910"/>
      <c r="B5105" s="2911"/>
      <c r="C5105" s="2911" t="s">
        <v>3116</v>
      </c>
      <c r="D5105" s="2911"/>
      <c r="E5105" s="2954">
        <f t="shared" si="105"/>
        <v>0.15094339622641512</v>
      </c>
      <c r="F5105" s="2955">
        <v>0.45</v>
      </c>
      <c r="G5105" s="39">
        <v>0.53</v>
      </c>
      <c r="O5105" s="176"/>
    </row>
    <row r="5106" spans="1:15" s="2885" customFormat="1">
      <c r="A5106" s="2910"/>
      <c r="B5106" s="2911"/>
      <c r="C5106" s="2911" t="s">
        <v>3408</v>
      </c>
      <c r="D5106" s="2911"/>
      <c r="E5106" s="2954">
        <f t="shared" si="105"/>
        <v>0.14953271028037385</v>
      </c>
      <c r="F5106" s="2913">
        <v>0.91</v>
      </c>
      <c r="G5106" s="39">
        <v>1.07</v>
      </c>
      <c r="O5106" s="176"/>
    </row>
    <row r="5107" spans="1:15" s="2885" customFormat="1">
      <c r="A5107" s="2910"/>
      <c r="B5107" s="2911"/>
      <c r="C5107" s="2911" t="s">
        <v>1267</v>
      </c>
      <c r="D5107" s="2911"/>
      <c r="E5107" s="2954">
        <f t="shared" si="105"/>
        <v>0.15</v>
      </c>
      <c r="F5107" s="2913">
        <v>0.68</v>
      </c>
      <c r="G5107" s="39">
        <v>0.8</v>
      </c>
      <c r="O5107" s="176"/>
    </row>
    <row r="5108" spans="1:15" s="2885" customFormat="1">
      <c r="A5108" s="2910"/>
      <c r="B5108" s="2911"/>
      <c r="C5108" s="2911" t="s">
        <v>1268</v>
      </c>
      <c r="D5108" s="2911"/>
      <c r="E5108" s="2896">
        <f t="shared" si="105"/>
        <v>0.1551724137931034</v>
      </c>
      <c r="F5108" s="2913">
        <v>0.98</v>
      </c>
      <c r="G5108" s="39">
        <v>1.1599999999999999</v>
      </c>
      <c r="O5108" s="176"/>
    </row>
    <row r="5109" spans="1:15" s="2885" customFormat="1">
      <c r="A5109" s="2910"/>
      <c r="B5109" s="2911"/>
      <c r="C5109" s="2911" t="s">
        <v>636</v>
      </c>
      <c r="D5109" s="2911"/>
      <c r="E5109" s="2896">
        <f t="shared" si="105"/>
        <v>0.14678899082568808</v>
      </c>
      <c r="F5109" s="2913">
        <v>0.93</v>
      </c>
      <c r="G5109" s="39">
        <v>1.0900000000000001</v>
      </c>
      <c r="O5109" s="176"/>
    </row>
    <row r="5110" spans="1:15" s="2885" customFormat="1">
      <c r="A5110" s="2910"/>
      <c r="B5110" s="2911"/>
      <c r="C5110" s="2911" t="s">
        <v>53</v>
      </c>
      <c r="D5110" s="2911"/>
      <c r="E5110" s="2896">
        <f t="shared" si="105"/>
        <v>0.15238095238095239</v>
      </c>
      <c r="F5110" s="2913">
        <v>0.89</v>
      </c>
      <c r="G5110" s="39">
        <v>1.05</v>
      </c>
      <c r="O5110" s="176"/>
    </row>
    <row r="5111" spans="1:15" s="2885" customFormat="1">
      <c r="A5111" s="2910"/>
      <c r="B5111" s="2911"/>
      <c r="C5111" s="2911" t="s">
        <v>554</v>
      </c>
      <c r="D5111" s="2911"/>
      <c r="E5111" s="2896">
        <f t="shared" si="105"/>
        <v>0.14960629921259838</v>
      </c>
      <c r="F5111" s="2913">
        <v>1.08</v>
      </c>
      <c r="G5111" s="39">
        <v>1.27</v>
      </c>
      <c r="O5111" s="176"/>
    </row>
    <row r="5112" spans="1:15" s="2885" customFormat="1">
      <c r="A5112" s="2910"/>
      <c r="B5112" s="2911"/>
      <c r="C5112" s="2911" t="s">
        <v>1563</v>
      </c>
      <c r="D5112" s="2911"/>
      <c r="E5112" s="2896">
        <f t="shared" si="105"/>
        <v>0.14615384615384611</v>
      </c>
      <c r="F5112" s="2913">
        <v>1.1100000000000001</v>
      </c>
      <c r="G5112" s="39">
        <v>1.3</v>
      </c>
      <c r="O5112" s="176"/>
    </row>
    <row r="5113" spans="1:15" s="2885" customFormat="1">
      <c r="A5113" s="2910"/>
      <c r="B5113" s="2911"/>
      <c r="C5113" s="2911" t="s">
        <v>3021</v>
      </c>
      <c r="D5113" s="2911"/>
      <c r="E5113" s="2896">
        <f t="shared" si="105"/>
        <v>0.10043668122270741</v>
      </c>
      <c r="F5113" s="2913">
        <v>2.06</v>
      </c>
      <c r="G5113" s="39">
        <v>2.29</v>
      </c>
      <c r="O5113" s="176"/>
    </row>
    <row r="5114" spans="1:15" s="2885" customFormat="1">
      <c r="A5114" s="2910"/>
      <c r="B5114" s="2911"/>
      <c r="C5114" s="2911" t="s">
        <v>1263</v>
      </c>
      <c r="D5114" s="2911"/>
      <c r="E5114" s="2896">
        <f t="shared" si="105"/>
        <v>9.9999999999999936E-2</v>
      </c>
      <c r="F5114" s="2913">
        <v>2.7</v>
      </c>
      <c r="G5114" s="39">
        <v>3</v>
      </c>
      <c r="O5114" s="176"/>
    </row>
    <row r="5115" spans="1:15" s="2885" customFormat="1">
      <c r="A5115" s="2910"/>
      <c r="B5115" s="2911"/>
      <c r="C5115" s="2911" t="s">
        <v>1260</v>
      </c>
      <c r="D5115" s="2911"/>
      <c r="E5115" s="2896">
        <f t="shared" si="105"/>
        <v>0.10050251256281405</v>
      </c>
      <c r="F5115" s="2913">
        <v>3.58</v>
      </c>
      <c r="G5115" s="39">
        <v>3.98</v>
      </c>
      <c r="O5115" s="176"/>
    </row>
    <row r="5116" spans="1:15" s="2885" customFormat="1">
      <c r="A5116" s="2910"/>
      <c r="B5116" s="2911"/>
      <c r="C5116" s="2911" t="s">
        <v>1272</v>
      </c>
      <c r="D5116" s="2911"/>
      <c r="E5116" s="2896">
        <f t="shared" si="105"/>
        <v>0.10050251256281405</v>
      </c>
      <c r="F5116" s="2913">
        <v>3.58</v>
      </c>
      <c r="G5116" s="39">
        <v>3.98</v>
      </c>
      <c r="O5116" s="176"/>
    </row>
    <row r="5117" spans="1:15" s="2885" customFormat="1">
      <c r="A5117" s="2910"/>
      <c r="B5117" s="2911"/>
      <c r="C5117" s="2911" t="s">
        <v>3020</v>
      </c>
      <c r="D5117" s="2911"/>
      <c r="E5117" s="2896">
        <f t="shared" si="105"/>
        <v>9.9750623441396458E-2</v>
      </c>
      <c r="F5117" s="2913">
        <v>10.83</v>
      </c>
      <c r="G5117" s="39">
        <v>12.03</v>
      </c>
      <c r="O5117" s="176"/>
    </row>
    <row r="5118" spans="1:15" s="2885" customFormat="1">
      <c r="A5118" s="2910"/>
      <c r="B5118" s="2911"/>
      <c r="C5118" s="2911" t="s">
        <v>1027</v>
      </c>
      <c r="D5118" s="2911"/>
      <c r="E5118" s="2896">
        <f t="shared" si="105"/>
        <v>0.10039113428943931</v>
      </c>
      <c r="F5118" s="2913">
        <v>13.8</v>
      </c>
      <c r="G5118" s="39">
        <v>15.34</v>
      </c>
      <c r="O5118" s="176"/>
    </row>
    <row r="5119" spans="1:15" s="2885" customFormat="1">
      <c r="A5119" s="2910"/>
      <c r="B5119" s="2911"/>
      <c r="C5119" s="2911" t="s">
        <v>1176</v>
      </c>
      <c r="D5119" s="2911"/>
      <c r="E5119" s="2896">
        <f t="shared" si="105"/>
        <v>0.10039113428943931</v>
      </c>
      <c r="F5119" s="2913">
        <v>13.8</v>
      </c>
      <c r="G5119" s="39">
        <v>15.34</v>
      </c>
      <c r="O5119" s="176"/>
    </row>
    <row r="5120" spans="1:15" s="2885" customFormat="1">
      <c r="A5120" s="2910"/>
      <c r="B5120" s="2911"/>
      <c r="C5120" s="2911" t="s">
        <v>1644</v>
      </c>
      <c r="D5120" s="2911"/>
      <c r="E5120" s="2896">
        <f t="shared" si="105"/>
        <v>0.15015974440894561</v>
      </c>
      <c r="F5120" s="2913">
        <v>2.66</v>
      </c>
      <c r="G5120" s="39">
        <v>3.13</v>
      </c>
      <c r="O5120" s="176"/>
    </row>
    <row r="5121" spans="1:15" s="2885" customFormat="1">
      <c r="A5121" s="2910"/>
      <c r="B5121" s="2911"/>
      <c r="C5121" s="2911" t="s">
        <v>3409</v>
      </c>
      <c r="D5121" s="2911"/>
      <c r="E5121" s="2896">
        <f t="shared" si="105"/>
        <v>0.14960629921259838</v>
      </c>
      <c r="F5121" s="2913">
        <v>3.24</v>
      </c>
      <c r="G5121" s="39">
        <v>3.81</v>
      </c>
      <c r="O5121" s="176"/>
    </row>
    <row r="5122" spans="1:15" s="2885" customFormat="1">
      <c r="A5122" s="2910"/>
      <c r="B5122" s="2911"/>
      <c r="C5122" s="2911" t="s">
        <v>3410</v>
      </c>
      <c r="D5122" s="2911"/>
      <c r="E5122" s="2896">
        <f t="shared" si="105"/>
        <v>0.10116731517509719</v>
      </c>
      <c r="F5122" s="2913">
        <v>2.31</v>
      </c>
      <c r="G5122" s="39">
        <v>2.57</v>
      </c>
      <c r="O5122" s="176"/>
    </row>
    <row r="5123" spans="1:15" s="2885" customFormat="1">
      <c r="A5123" s="2910"/>
      <c r="B5123" s="2911"/>
      <c r="C5123" s="2911" t="s">
        <v>2274</v>
      </c>
      <c r="D5123" s="2911"/>
      <c r="E5123" s="2896">
        <f t="shared" si="105"/>
        <v>0.10070257611241212</v>
      </c>
      <c r="F5123" s="2913">
        <v>3.84</v>
      </c>
      <c r="G5123" s="39">
        <v>4.2699999999999996</v>
      </c>
      <c r="O5123" s="176"/>
    </row>
    <row r="5124" spans="1:15" s="2885" customFormat="1">
      <c r="A5124" s="2910"/>
      <c r="B5124" s="2911"/>
      <c r="C5124" s="2911" t="s">
        <v>1497</v>
      </c>
      <c r="D5124" s="2911"/>
      <c r="E5124" s="2896">
        <f t="shared" si="105"/>
        <v>0.10070257611241212</v>
      </c>
      <c r="F5124" s="2913">
        <v>3.84</v>
      </c>
      <c r="G5124" s="39">
        <v>4.2699999999999996</v>
      </c>
      <c r="O5124" s="176"/>
    </row>
    <row r="5125" spans="1:15" s="2885" customFormat="1">
      <c r="A5125" s="2910"/>
      <c r="B5125" s="2911"/>
      <c r="C5125" s="2911" t="s">
        <v>2275</v>
      </c>
      <c r="D5125" s="2911"/>
      <c r="E5125" s="2896">
        <f t="shared" si="105"/>
        <v>9.9999999999999922E-2</v>
      </c>
      <c r="F5125" s="2913">
        <v>8.5500000000000007</v>
      </c>
      <c r="G5125" s="792">
        <v>9.5</v>
      </c>
      <c r="O5125" s="176"/>
    </row>
    <row r="5126" spans="1:15" s="2885" customFormat="1">
      <c r="A5126" s="2910"/>
      <c r="B5126" s="2911"/>
      <c r="C5126" s="2911" t="s">
        <v>239</v>
      </c>
      <c r="D5126" s="2911"/>
      <c r="E5126" s="2896">
        <f t="shared" si="105"/>
        <v>9.9999999999999922E-2</v>
      </c>
      <c r="F5126" s="2913">
        <v>8.5500000000000007</v>
      </c>
      <c r="G5126" s="792">
        <v>9.5</v>
      </c>
      <c r="O5126" s="176"/>
    </row>
    <row r="5127" spans="1:15" s="2885" customFormat="1">
      <c r="A5127" s="2910"/>
      <c r="B5127" s="2911"/>
      <c r="C5127" s="2911" t="s">
        <v>2277</v>
      </c>
      <c r="D5127" s="2911"/>
      <c r="E5127" s="2896">
        <f t="shared" si="105"/>
        <v>0.10070257611241212</v>
      </c>
      <c r="F5127" s="2913">
        <v>3.84</v>
      </c>
      <c r="G5127" s="792">
        <v>4.2699999999999996</v>
      </c>
      <c r="O5127" s="176"/>
    </row>
    <row r="5128" spans="1:15" s="2885" customFormat="1">
      <c r="A5128" s="2910"/>
      <c r="B5128" s="2911"/>
      <c r="C5128" s="2911" t="s">
        <v>1722</v>
      </c>
      <c r="D5128" s="2911"/>
      <c r="E5128" s="2896">
        <f t="shared" si="105"/>
        <v>0.10070257611241212</v>
      </c>
      <c r="F5128" s="2913">
        <v>3.84</v>
      </c>
      <c r="G5128" s="792">
        <v>4.2699999999999996</v>
      </c>
      <c r="O5128" s="176"/>
    </row>
    <row r="5129" spans="1:15" s="2885" customFormat="1">
      <c r="A5129" s="2910"/>
      <c r="B5129" s="2911"/>
      <c r="C5129" s="2911" t="s">
        <v>2272</v>
      </c>
      <c r="D5129" s="2911"/>
      <c r="E5129" s="2896">
        <f t="shared" si="105"/>
        <v>0.10070257611241212</v>
      </c>
      <c r="F5129" s="2913">
        <v>3.84</v>
      </c>
      <c r="G5129" s="792">
        <v>4.2699999999999996</v>
      </c>
      <c r="O5129" s="176"/>
    </row>
    <row r="5130" spans="1:15" s="2885" customFormat="1">
      <c r="A5130" s="2910"/>
      <c r="B5130" s="2911"/>
      <c r="C5130" s="2911" t="s">
        <v>1496</v>
      </c>
      <c r="D5130" s="2911"/>
      <c r="E5130" s="2896">
        <f t="shared" si="105"/>
        <v>0.10070257611241212</v>
      </c>
      <c r="F5130" s="2913">
        <v>3.84</v>
      </c>
      <c r="G5130" s="792">
        <v>4.2699999999999996</v>
      </c>
      <c r="O5130" s="176"/>
    </row>
    <row r="5131" spans="1:15" s="2885" customFormat="1">
      <c r="A5131" s="2910"/>
      <c r="B5131" s="2911"/>
      <c r="C5131" s="2911" t="s">
        <v>2271</v>
      </c>
      <c r="D5131" s="2911"/>
      <c r="E5131" s="2896">
        <f t="shared" si="105"/>
        <v>9.9999999999999922E-2</v>
      </c>
      <c r="F5131" s="2913">
        <v>8.5500000000000007</v>
      </c>
      <c r="G5131" s="792">
        <v>9.5</v>
      </c>
      <c r="O5131" s="176"/>
    </row>
    <row r="5132" spans="1:15" s="2885" customFormat="1">
      <c r="A5132" s="2910"/>
      <c r="B5132" s="2911"/>
      <c r="C5132" s="2911" t="s">
        <v>238</v>
      </c>
      <c r="D5132" s="2911"/>
      <c r="E5132" s="2896">
        <f t="shared" si="105"/>
        <v>9.9999999999999922E-2</v>
      </c>
      <c r="F5132" s="2913">
        <v>8.5500000000000007</v>
      </c>
      <c r="G5132" s="792">
        <v>9.5</v>
      </c>
      <c r="O5132" s="176"/>
    </row>
    <row r="5133" spans="1:15" s="2885" customFormat="1">
      <c r="A5133" s="2910"/>
      <c r="B5133" s="2911"/>
      <c r="C5133" s="2911" t="s">
        <v>2281</v>
      </c>
      <c r="D5133" s="2911"/>
      <c r="E5133" s="2896">
        <f t="shared" si="105"/>
        <v>9.9999999999999922E-2</v>
      </c>
      <c r="F5133" s="2913">
        <v>8.5500000000000007</v>
      </c>
      <c r="G5133" s="792">
        <v>9.5</v>
      </c>
      <c r="O5133" s="176"/>
    </row>
    <row r="5134" spans="1:15" s="2885" customFormat="1">
      <c r="A5134" s="2910"/>
      <c r="B5134" s="2911"/>
      <c r="C5134" s="2911" t="s">
        <v>2282</v>
      </c>
      <c r="D5134" s="2911"/>
      <c r="E5134" s="2896">
        <f t="shared" si="105"/>
        <v>9.9999999999999922E-2</v>
      </c>
      <c r="F5134" s="2913">
        <v>8.5500000000000007</v>
      </c>
      <c r="G5134" s="792">
        <v>9.5</v>
      </c>
      <c r="O5134" s="176"/>
    </row>
    <row r="5135" spans="1:15" s="2885" customFormat="1">
      <c r="A5135" s="2910"/>
      <c r="B5135" s="2911"/>
      <c r="C5135" s="2911" t="s">
        <v>2273</v>
      </c>
      <c r="D5135" s="2911"/>
      <c r="E5135" s="2896">
        <f t="shared" si="105"/>
        <v>0.10008741258741255</v>
      </c>
      <c r="F5135" s="2913">
        <v>20.59</v>
      </c>
      <c r="G5135" s="792">
        <v>22.88</v>
      </c>
      <c r="O5135" s="176"/>
    </row>
    <row r="5136" spans="1:15" s="2885" customFormat="1">
      <c r="A5136" s="2910"/>
      <c r="B5136" s="2911"/>
      <c r="C5136" s="2911" t="s">
        <v>71</v>
      </c>
      <c r="D5136" s="2911"/>
      <c r="E5136" s="2896">
        <f t="shared" si="105"/>
        <v>0.10008741258741255</v>
      </c>
      <c r="F5136" s="2913">
        <v>20.59</v>
      </c>
      <c r="G5136" s="792">
        <v>22.88</v>
      </c>
      <c r="O5136" s="176"/>
    </row>
    <row r="5137" spans="1:15" s="2885" customFormat="1">
      <c r="A5137" s="2910"/>
      <c r="B5137" s="2911"/>
      <c r="C5137" s="2911" t="s">
        <v>2880</v>
      </c>
      <c r="D5137" s="2911"/>
      <c r="E5137" s="2896">
        <f t="shared" si="105"/>
        <v>0.10008741258741255</v>
      </c>
      <c r="F5137" s="2913">
        <v>20.59</v>
      </c>
      <c r="G5137" s="792">
        <v>22.88</v>
      </c>
      <c r="O5137" s="176"/>
    </row>
    <row r="5138" spans="1:15" s="2885" customFormat="1">
      <c r="A5138" s="2910"/>
      <c r="B5138" s="2911"/>
      <c r="C5138" s="2911" t="s">
        <v>2881</v>
      </c>
      <c r="D5138" s="2911"/>
      <c r="E5138" s="2896">
        <f t="shared" si="105"/>
        <v>0.10008741258741255</v>
      </c>
      <c r="F5138" s="2913">
        <v>20.59</v>
      </c>
      <c r="G5138" s="792">
        <v>22.88</v>
      </c>
      <c r="O5138" s="176"/>
    </row>
    <row r="5139" spans="1:15" s="2885" customFormat="1">
      <c r="A5139" s="2910"/>
      <c r="B5139" s="2911"/>
      <c r="C5139" s="2911" t="s">
        <v>1883</v>
      </c>
      <c r="D5139" s="2911"/>
      <c r="E5139" s="2896">
        <f t="shared" si="105"/>
        <v>0.10008741258741255</v>
      </c>
      <c r="F5139" s="2913">
        <v>20.59</v>
      </c>
      <c r="G5139" s="792">
        <v>22.88</v>
      </c>
      <c r="O5139" s="176"/>
    </row>
    <row r="5140" spans="1:15" s="2885" customFormat="1" ht="15.75" thickBot="1">
      <c r="A5140" s="2914"/>
      <c r="B5140" s="2915"/>
      <c r="C5140" s="2915" t="s">
        <v>2276</v>
      </c>
      <c r="D5140" s="2915"/>
      <c r="E5140" s="2890">
        <f t="shared" si="105"/>
        <v>0.10008741258741255</v>
      </c>
      <c r="F5140" s="2917">
        <v>20.59</v>
      </c>
      <c r="G5140" s="792">
        <v>22.88</v>
      </c>
      <c r="O5140" s="176"/>
    </row>
    <row r="5141" spans="1:15" s="2885" customFormat="1">
      <c r="O5141" s="176"/>
    </row>
    <row r="5142" spans="1:15" s="2885" customFormat="1" ht="15.75" thickBot="1">
      <c r="O5142" s="176"/>
    </row>
    <row r="5143" spans="1:15" s="2885" customFormat="1">
      <c r="A5143" s="3572"/>
      <c r="B5143" s="3557"/>
      <c r="C5143" s="3557"/>
      <c r="D5143" s="3557"/>
      <c r="E5143" s="3557"/>
      <c r="F5143" s="3559"/>
      <c r="O5143" s="176"/>
    </row>
    <row r="5144" spans="1:15" s="2885" customFormat="1" ht="15.75" thickBot="1">
      <c r="A5144" s="3905"/>
      <c r="B5144" s="3906"/>
      <c r="C5144" s="3906"/>
      <c r="D5144" s="3906"/>
      <c r="E5144" s="3906"/>
      <c r="F5144" s="3917"/>
      <c r="O5144" s="176"/>
    </row>
    <row r="5145" spans="1:15" s="2885" customFormat="1">
      <c r="A5145" s="2668" t="s">
        <v>3468</v>
      </c>
      <c r="B5145" s="1690" t="s">
        <v>3229</v>
      </c>
      <c r="C5145" s="2765" t="s">
        <v>686</v>
      </c>
      <c r="D5145" s="2766"/>
      <c r="E5145" s="2767">
        <f>(G5145-F5145)/G5145</f>
        <v>0.24890829694323147</v>
      </c>
      <c r="F5145" s="2768">
        <v>1.72</v>
      </c>
      <c r="G5145" s="2769">
        <v>2.29</v>
      </c>
      <c r="O5145" s="176"/>
    </row>
    <row r="5146" spans="1:15" s="2885" customFormat="1">
      <c r="A5146" s="2951"/>
      <c r="B5146" s="2898"/>
      <c r="C5146" s="2996" t="s">
        <v>687</v>
      </c>
      <c r="D5146" s="2997"/>
      <c r="E5146" s="2998">
        <f>(G5146-F5146)/G5146</f>
        <v>0.24890829694323147</v>
      </c>
      <c r="F5146" s="2999">
        <v>1.72</v>
      </c>
      <c r="G5146" s="2769">
        <v>2.29</v>
      </c>
      <c r="O5146" s="176"/>
    </row>
    <row r="5147" spans="1:15" s="2885" customFormat="1">
      <c r="A5147" s="2910"/>
      <c r="B5147" s="2911"/>
      <c r="C5147" s="2911" t="s">
        <v>858</v>
      </c>
      <c r="D5147" s="2911"/>
      <c r="E5147" s="2998">
        <f>(G5147-F5147)/G5147</f>
        <v>0.32999999999999996</v>
      </c>
      <c r="F5147" s="2913">
        <v>0.67</v>
      </c>
      <c r="G5147" s="39">
        <v>1</v>
      </c>
      <c r="O5147" s="176"/>
    </row>
    <row r="5148" spans="1:15" s="2885" customFormat="1" ht="15.75" thickBot="1">
      <c r="A5148" s="2914"/>
      <c r="B5148" s="2915"/>
      <c r="C5148" s="2915" t="s">
        <v>730</v>
      </c>
      <c r="D5148" s="2915"/>
      <c r="E5148" s="2928">
        <f>(G5148-F5148)/G5148</f>
        <v>0.33333333333333337</v>
      </c>
      <c r="F5148" s="2917">
        <v>0.57999999999999996</v>
      </c>
      <c r="G5148" s="2885">
        <v>0.87</v>
      </c>
      <c r="O5148" s="176"/>
    </row>
    <row r="5149" spans="1:15" s="2885" customFormat="1">
      <c r="O5149" s="176"/>
    </row>
    <row r="5150" spans="1:15" s="2885" customFormat="1" ht="15.75" thickBot="1">
      <c r="O5150" s="176"/>
    </row>
    <row r="5151" spans="1:15" s="2885" customFormat="1">
      <c r="A5151" s="3572"/>
      <c r="B5151" s="3557"/>
      <c r="C5151" s="3557"/>
      <c r="D5151" s="3557"/>
      <c r="E5151" s="3557"/>
      <c r="F5151" s="3559"/>
      <c r="O5151" s="176"/>
    </row>
    <row r="5152" spans="1:15" s="2885" customFormat="1" ht="15.75" thickBot="1">
      <c r="A5152" s="3905"/>
      <c r="B5152" s="3906"/>
      <c r="C5152" s="3906"/>
      <c r="D5152" s="3906"/>
      <c r="E5152" s="3906"/>
      <c r="F5152" s="3917"/>
      <c r="O5152" s="176"/>
    </row>
    <row r="5153" spans="1:15" s="2885" customFormat="1">
      <c r="A5153" s="1539" t="s">
        <v>3469</v>
      </c>
      <c r="B5153" s="1690" t="s">
        <v>106</v>
      </c>
      <c r="C5153" s="3052" t="s">
        <v>2462</v>
      </c>
      <c r="D5153" s="2468"/>
      <c r="E5153" s="2469">
        <f>(G5153-F5153)/G5153</f>
        <v>0.32727272727272716</v>
      </c>
      <c r="F5153" s="2059">
        <v>1.1100000000000001</v>
      </c>
      <c r="G5153" s="39">
        <v>1.65</v>
      </c>
      <c r="O5153" s="176"/>
    </row>
    <row r="5154" spans="1:15" s="2885" customFormat="1">
      <c r="A5154" s="2951"/>
      <c r="B5154" s="2898"/>
      <c r="C5154" s="2952" t="s">
        <v>3470</v>
      </c>
      <c r="D5154" s="2953"/>
      <c r="E5154" s="2954">
        <f>(G5154-F5154)/G5154</f>
        <v>0.34935897435897445</v>
      </c>
      <c r="F5154" s="2955">
        <v>2.0299999999999998</v>
      </c>
      <c r="G5154" s="39">
        <v>3.12</v>
      </c>
      <c r="O5154" s="176"/>
    </row>
    <row r="5155" spans="1:15" s="2885" customFormat="1">
      <c r="O5155" s="176"/>
    </row>
    <row r="5156" spans="1:15" s="2885" customFormat="1" ht="15.75" thickBot="1">
      <c r="O5156" s="176"/>
    </row>
    <row r="5157" spans="1:15" s="2885" customFormat="1">
      <c r="A5157" s="3572"/>
      <c r="B5157" s="3557"/>
      <c r="C5157" s="3557"/>
      <c r="D5157" s="3557"/>
      <c r="E5157" s="3557"/>
      <c r="F5157" s="3559"/>
      <c r="O5157" s="176"/>
    </row>
    <row r="5158" spans="1:15" s="2885" customFormat="1" ht="15.75" thickBot="1">
      <c r="A5158" s="3905"/>
      <c r="B5158" s="3906"/>
      <c r="C5158" s="3906"/>
      <c r="D5158" s="3906"/>
      <c r="E5158" s="3906"/>
      <c r="F5158" s="3917"/>
      <c r="O5158" s="176"/>
    </row>
    <row r="5159" spans="1:15" s="2885" customFormat="1">
      <c r="A5159" s="1539" t="s">
        <v>3532</v>
      </c>
      <c r="B5159" s="1690" t="s">
        <v>106</v>
      </c>
      <c r="C5159" s="2181" t="s">
        <v>2273</v>
      </c>
      <c r="D5159" s="2468"/>
      <c r="E5159" s="2469">
        <f t="shared" ref="E5159:E5169" si="106">(G5159-F5159)/G5159</f>
        <v>0.23907342657342653</v>
      </c>
      <c r="F5159" s="2059">
        <v>17.41</v>
      </c>
      <c r="G5159" s="2885">
        <v>22.88</v>
      </c>
      <c r="O5159" s="176"/>
    </row>
    <row r="5160" spans="1:15" s="2885" customFormat="1">
      <c r="A5160" s="2951"/>
      <c r="B5160" s="2898"/>
      <c r="C5160" s="2952" t="s">
        <v>71</v>
      </c>
      <c r="D5160" s="2953"/>
      <c r="E5160" s="2954">
        <f t="shared" si="106"/>
        <v>0.23907342657342653</v>
      </c>
      <c r="F5160" s="2955">
        <v>17.41</v>
      </c>
      <c r="G5160" s="2885">
        <v>22.88</v>
      </c>
      <c r="O5160" s="176"/>
    </row>
    <row r="5161" spans="1:15" s="2885" customFormat="1">
      <c r="A5161" s="2910"/>
      <c r="B5161" s="2911"/>
      <c r="C5161" s="2911" t="s">
        <v>2880</v>
      </c>
      <c r="D5161" s="2911"/>
      <c r="E5161" s="2954">
        <f t="shared" si="106"/>
        <v>0.23907342657342653</v>
      </c>
      <c r="F5161" s="2913">
        <v>17.41</v>
      </c>
      <c r="G5161" s="2885">
        <v>22.88</v>
      </c>
      <c r="O5161" s="176"/>
    </row>
    <row r="5162" spans="1:15" s="2885" customFormat="1">
      <c r="A5162" s="2910"/>
      <c r="B5162" s="2911"/>
      <c r="C5162" s="2911" t="s">
        <v>2881</v>
      </c>
      <c r="D5162" s="2911"/>
      <c r="E5162" s="2954">
        <f t="shared" si="106"/>
        <v>0.23907342657342653</v>
      </c>
      <c r="F5162" s="2913">
        <v>17.41</v>
      </c>
      <c r="G5162" s="2885">
        <v>22.88</v>
      </c>
      <c r="O5162" s="176"/>
    </row>
    <row r="5163" spans="1:15" s="2885" customFormat="1">
      <c r="A5163" s="2910"/>
      <c r="B5163" s="2911"/>
      <c r="C5163" s="2911" t="s">
        <v>1883</v>
      </c>
      <c r="D5163" s="2911"/>
      <c r="E5163" s="2954">
        <f t="shared" si="106"/>
        <v>0.23907342657342653</v>
      </c>
      <c r="F5163" s="2913">
        <v>17.41</v>
      </c>
      <c r="G5163" s="2885">
        <v>22.88</v>
      </c>
      <c r="O5163" s="176"/>
    </row>
    <row r="5164" spans="1:15" s="2885" customFormat="1">
      <c r="A5164" s="2910"/>
      <c r="B5164" s="2911"/>
      <c r="C5164" s="2911" t="s">
        <v>2276</v>
      </c>
      <c r="D5164" s="2911"/>
      <c r="E5164" s="2954">
        <f t="shared" si="106"/>
        <v>0.23907342657342653</v>
      </c>
      <c r="F5164" s="2913">
        <v>17.41</v>
      </c>
      <c r="G5164" s="2885">
        <v>22.88</v>
      </c>
      <c r="O5164" s="176"/>
    </row>
    <row r="5165" spans="1:15" s="2885" customFormat="1">
      <c r="A5165" s="2910"/>
      <c r="B5165" s="2911"/>
      <c r="C5165" s="2911" t="s">
        <v>2566</v>
      </c>
      <c r="D5165" s="2911"/>
      <c r="E5165" s="2954">
        <f t="shared" si="106"/>
        <v>0.23907342657342653</v>
      </c>
      <c r="F5165" s="2913">
        <v>17.41</v>
      </c>
      <c r="G5165" s="2885">
        <v>22.88</v>
      </c>
      <c r="O5165" s="176"/>
    </row>
    <row r="5166" spans="1:15" s="2885" customFormat="1">
      <c r="A5166" s="2910"/>
      <c r="B5166" s="2911"/>
      <c r="C5166" s="2911" t="s">
        <v>72</v>
      </c>
      <c r="D5166" s="2911"/>
      <c r="E5166" s="2954">
        <f t="shared" si="106"/>
        <v>0.23907342657342653</v>
      </c>
      <c r="F5166" s="2913">
        <v>17.41</v>
      </c>
      <c r="G5166" s="2885">
        <v>22.88</v>
      </c>
      <c r="O5166" s="176"/>
    </row>
    <row r="5167" spans="1:15" s="2885" customFormat="1">
      <c r="A5167" s="2910"/>
      <c r="B5167" s="2911"/>
      <c r="C5167" s="2911" t="s">
        <v>2192</v>
      </c>
      <c r="D5167" s="2911"/>
      <c r="E5167" s="2954">
        <f t="shared" si="106"/>
        <v>0.20054200542005415</v>
      </c>
      <c r="F5167" s="2913">
        <v>5.9</v>
      </c>
      <c r="G5167" s="2885">
        <v>7.38</v>
      </c>
      <c r="O5167" s="176"/>
    </row>
    <row r="5168" spans="1:15" s="2885" customFormat="1">
      <c r="A5168" s="2910"/>
      <c r="B5168" s="2911"/>
      <c r="C5168" s="2911" t="s">
        <v>2194</v>
      </c>
      <c r="D5168" s="2911"/>
      <c r="E5168" s="2954">
        <f t="shared" si="106"/>
        <v>0.20054200542005415</v>
      </c>
      <c r="F5168" s="2913">
        <v>5.9</v>
      </c>
      <c r="G5168" s="2885">
        <v>7.38</v>
      </c>
      <c r="O5168" s="176"/>
    </row>
    <row r="5169" spans="1:15" s="2885" customFormat="1" ht="15.75" thickBot="1">
      <c r="A5169" s="2914"/>
      <c r="B5169" s="2915"/>
      <c r="C5169" s="2915" t="s">
        <v>2052</v>
      </c>
      <c r="D5169" s="2915"/>
      <c r="E5169" s="3012">
        <f t="shared" si="106"/>
        <v>0.23907342657342653</v>
      </c>
      <c r="F5169" s="2917">
        <v>17.41</v>
      </c>
      <c r="G5169" s="2885">
        <v>22.88</v>
      </c>
      <c r="O5169" s="176"/>
    </row>
    <row r="5171" spans="1:15" ht="15.75" thickBot="1"/>
    <row r="5172" spans="1:15" s="2885" customFormat="1">
      <c r="A5172" s="3572"/>
      <c r="B5172" s="3557"/>
      <c r="C5172" s="3557"/>
      <c r="D5172" s="3557"/>
      <c r="E5172" s="3557"/>
      <c r="F5172" s="3559"/>
      <c r="O5172" s="176"/>
    </row>
    <row r="5173" spans="1:15" s="2885" customFormat="1">
      <c r="A5173" s="3905"/>
      <c r="B5173" s="3906"/>
      <c r="C5173" s="3906"/>
      <c r="D5173" s="3906"/>
      <c r="E5173" s="3906"/>
      <c r="F5173" s="3917"/>
      <c r="O5173" s="176"/>
    </row>
    <row r="5174" spans="1:15" s="2885" customFormat="1">
      <c r="A5174" s="3015" t="s">
        <v>3540</v>
      </c>
      <c r="B5174" s="2898" t="s">
        <v>3229</v>
      </c>
      <c r="C5174" s="3040" t="s">
        <v>3021</v>
      </c>
      <c r="D5174" s="2997"/>
      <c r="E5174" s="3016">
        <f>(G5174-F5174)/G5174</f>
        <v>0.10185185185185193</v>
      </c>
      <c r="F5174" s="2999">
        <v>1.94</v>
      </c>
      <c r="G5174" s="2769">
        <v>2.16</v>
      </c>
      <c r="O5174" s="176"/>
    </row>
    <row r="5175" spans="1:15" s="2885" customFormat="1">
      <c r="A5175" s="2951"/>
      <c r="B5175" s="2898"/>
      <c r="C5175" s="3040" t="s">
        <v>1263</v>
      </c>
      <c r="D5175" s="2997"/>
      <c r="E5175" s="3016">
        <f>(G5175-F5175)/G5175</f>
        <v>0.10069444444444446</v>
      </c>
      <c r="F5175" s="2999">
        <v>2.59</v>
      </c>
      <c r="G5175" s="2769">
        <v>2.88</v>
      </c>
      <c r="O5175" s="176"/>
    </row>
    <row r="5176" spans="1:15" s="2885" customFormat="1">
      <c r="A5176" s="2910"/>
      <c r="B5176" s="2911"/>
      <c r="C5176" s="2905" t="s">
        <v>1260</v>
      </c>
      <c r="D5176" s="2911"/>
      <c r="E5176" s="3016">
        <f t="shared" ref="E5176:E5202" si="107">(G5176-F5176)/G5176</f>
        <v>0.10051546391752569</v>
      </c>
      <c r="F5176" s="2913">
        <v>3.49</v>
      </c>
      <c r="G5176" s="2885">
        <v>3.88</v>
      </c>
      <c r="O5176" s="176"/>
    </row>
    <row r="5177" spans="1:15" s="2885" customFormat="1">
      <c r="A5177" s="2910"/>
      <c r="B5177" s="2911"/>
      <c r="C5177" s="2905" t="s">
        <v>1272</v>
      </c>
      <c r="D5177" s="2911"/>
      <c r="E5177" s="3016">
        <f t="shared" si="107"/>
        <v>0.10051546391752569</v>
      </c>
      <c r="F5177" s="2913">
        <v>3.49</v>
      </c>
      <c r="G5177" s="2885">
        <v>3.88</v>
      </c>
      <c r="O5177" s="176"/>
    </row>
    <row r="5178" spans="1:15" s="2885" customFormat="1">
      <c r="A5178" s="2910"/>
      <c r="B5178" s="2911"/>
      <c r="C5178" s="2905" t="s">
        <v>3020</v>
      </c>
      <c r="D5178" s="2911"/>
      <c r="E5178" s="3017">
        <f t="shared" si="107"/>
        <v>9.9735216240070673E-2</v>
      </c>
      <c r="F5178" s="2913">
        <v>10.199999999999999</v>
      </c>
      <c r="G5178" s="2885">
        <v>11.33</v>
      </c>
      <c r="O5178" s="176"/>
    </row>
    <row r="5179" spans="1:15" s="2885" customFormat="1">
      <c r="A5179" s="2910"/>
      <c r="B5179" s="2911"/>
      <c r="C5179" s="2905" t="s">
        <v>1027</v>
      </c>
      <c r="D5179" s="2911"/>
      <c r="E5179" s="3017">
        <f t="shared" si="107"/>
        <v>9.9728629579375894E-2</v>
      </c>
      <c r="F5179" s="2913">
        <v>13.27</v>
      </c>
      <c r="G5179" s="2885">
        <v>14.74</v>
      </c>
      <c r="O5179" s="176"/>
    </row>
    <row r="5180" spans="1:15" s="2885" customFormat="1">
      <c r="A5180" s="2910"/>
      <c r="B5180" s="2911"/>
      <c r="C5180" s="2905" t="s">
        <v>1176</v>
      </c>
      <c r="D5180" s="2911"/>
      <c r="E5180" s="3017">
        <f t="shared" si="107"/>
        <v>9.9728629579375894E-2</v>
      </c>
      <c r="F5180" s="2913">
        <v>13.27</v>
      </c>
      <c r="G5180" s="2885">
        <v>14.74</v>
      </c>
      <c r="O5180" s="176"/>
    </row>
    <row r="5181" spans="1:15" s="2885" customFormat="1">
      <c r="A5181" s="2910"/>
      <c r="B5181" s="2911"/>
      <c r="C5181" s="2905" t="s">
        <v>1178</v>
      </c>
      <c r="D5181" s="2911"/>
      <c r="E5181" s="3017">
        <f t="shared" si="107"/>
        <v>9.9799398194583847E-2</v>
      </c>
      <c r="F5181" s="2913">
        <v>17.95</v>
      </c>
      <c r="G5181" s="2885">
        <v>19.940000000000001</v>
      </c>
      <c r="O5181" s="176"/>
    </row>
    <row r="5182" spans="1:15" s="2885" customFormat="1">
      <c r="A5182" s="2910"/>
      <c r="B5182" s="2911"/>
      <c r="C5182" s="2905" t="s">
        <v>3168</v>
      </c>
      <c r="D5182" s="2911"/>
      <c r="E5182" s="3017">
        <f t="shared" si="107"/>
        <v>9.9799398194583847E-2</v>
      </c>
      <c r="F5182" s="2913">
        <v>17.95</v>
      </c>
      <c r="G5182" s="2885">
        <v>19.940000000000001</v>
      </c>
      <c r="O5182" s="176"/>
    </row>
    <row r="5183" spans="1:15" s="2885" customFormat="1">
      <c r="A5183" s="2910"/>
      <c r="B5183" s="2911"/>
      <c r="C5183" s="2905" t="s">
        <v>1270</v>
      </c>
      <c r="D5183" s="2911"/>
      <c r="E5183" s="2912">
        <f t="shared" si="107"/>
        <v>9.9917423616845455E-2</v>
      </c>
      <c r="F5183" s="2913">
        <v>32.700000000000003</v>
      </c>
      <c r="G5183" s="2885">
        <v>36.33</v>
      </c>
      <c r="O5183" s="176"/>
    </row>
    <row r="5184" spans="1:15" s="2885" customFormat="1">
      <c r="A5184" s="2910"/>
      <c r="B5184" s="2911"/>
      <c r="C5184" s="2905" t="s">
        <v>1271</v>
      </c>
      <c r="D5184" s="2911"/>
      <c r="E5184" s="2912">
        <f t="shared" si="107"/>
        <v>9.9917423616845455E-2</v>
      </c>
      <c r="F5184" s="2913">
        <v>32.700000000000003</v>
      </c>
      <c r="G5184" s="2885">
        <v>36.33</v>
      </c>
      <c r="O5184" s="176"/>
    </row>
    <row r="5185" spans="1:15" s="2885" customFormat="1">
      <c r="A5185" s="2910"/>
      <c r="B5185" s="2911"/>
      <c r="C5185" s="2905" t="s">
        <v>1295</v>
      </c>
      <c r="D5185" s="2911"/>
      <c r="E5185" s="2912">
        <f t="shared" si="107"/>
        <v>0.10007757951900705</v>
      </c>
      <c r="F5185" s="2913">
        <v>11.6</v>
      </c>
      <c r="G5185" s="2885">
        <v>12.89</v>
      </c>
      <c r="O5185" s="176"/>
    </row>
    <row r="5186" spans="1:15" s="2885" customFormat="1">
      <c r="A5186" s="2910"/>
      <c r="B5186" s="2911"/>
      <c r="C5186" s="2905" t="s">
        <v>1294</v>
      </c>
      <c r="D5186" s="2911"/>
      <c r="E5186" s="2912">
        <f t="shared" si="107"/>
        <v>0.1000719942404608</v>
      </c>
      <c r="F5186" s="2913">
        <v>12.5</v>
      </c>
      <c r="G5186" s="2885">
        <v>13.89</v>
      </c>
      <c r="O5186" s="176"/>
    </row>
    <row r="5187" spans="1:15" s="2885" customFormat="1">
      <c r="A5187" s="2910"/>
      <c r="B5187" s="2911"/>
      <c r="C5187" s="2905" t="s">
        <v>1257</v>
      </c>
      <c r="D5187" s="2911"/>
      <c r="E5187" s="2912">
        <f t="shared" si="107"/>
        <v>0.10000000000000002</v>
      </c>
      <c r="F5187" s="2913">
        <v>6.66</v>
      </c>
      <c r="G5187" s="2885">
        <v>7.4</v>
      </c>
      <c r="O5187" s="176"/>
    </row>
    <row r="5188" spans="1:15" s="2885" customFormat="1">
      <c r="A5188" s="2910"/>
      <c r="B5188" s="2911"/>
      <c r="C5188" s="2905" t="s">
        <v>1255</v>
      </c>
      <c r="D5188" s="2911"/>
      <c r="E5188" s="2912">
        <f t="shared" si="107"/>
        <v>9.9700897308075784E-2</v>
      </c>
      <c r="F5188" s="2913">
        <v>9.0299999999999994</v>
      </c>
      <c r="G5188" s="2885">
        <v>10.029999999999999</v>
      </c>
      <c r="O5188" s="176"/>
    </row>
    <row r="5189" spans="1:15" s="2885" customFormat="1">
      <c r="A5189" s="2910"/>
      <c r="B5189" s="2911"/>
      <c r="C5189" s="2905" t="s">
        <v>1256</v>
      </c>
      <c r="D5189" s="2911"/>
      <c r="E5189" s="2912">
        <f t="shared" si="107"/>
        <v>9.9700897308075784E-2</v>
      </c>
      <c r="F5189" s="2913">
        <v>9.0299999999999994</v>
      </c>
      <c r="G5189" s="2885">
        <v>10.029999999999999</v>
      </c>
      <c r="O5189" s="176"/>
    </row>
    <row r="5190" spans="1:15" s="2885" customFormat="1">
      <c r="A5190" s="2910"/>
      <c r="B5190" s="2911"/>
      <c r="C5190" s="2905" t="s">
        <v>1253</v>
      </c>
      <c r="D5190" s="2911"/>
      <c r="E5190" s="2912">
        <f t="shared" si="107"/>
        <v>0.1000834028356965</v>
      </c>
      <c r="F5190" s="2913">
        <v>10.79</v>
      </c>
      <c r="G5190" s="2885">
        <v>11.99</v>
      </c>
      <c r="O5190" s="176"/>
    </row>
    <row r="5191" spans="1:15" s="2885" customFormat="1">
      <c r="A5191" s="2910"/>
      <c r="B5191" s="2911"/>
      <c r="C5191" s="2905" t="s">
        <v>1254</v>
      </c>
      <c r="D5191" s="2911"/>
      <c r="E5191" s="2912">
        <f t="shared" si="107"/>
        <v>0.1000834028356965</v>
      </c>
      <c r="F5191" s="2913">
        <v>10.79</v>
      </c>
      <c r="G5191" s="2885">
        <v>11.99</v>
      </c>
      <c r="O5191" s="176"/>
    </row>
    <row r="5192" spans="1:15" s="2885" customFormat="1">
      <c r="A5192" s="2910"/>
      <c r="B5192" s="2911"/>
      <c r="C5192" s="2905" t="s">
        <v>1251</v>
      </c>
      <c r="D5192" s="2911"/>
      <c r="E5192" s="2912">
        <f t="shared" si="107"/>
        <v>0.10000000000000007</v>
      </c>
      <c r="F5192" s="2913">
        <v>11.61</v>
      </c>
      <c r="G5192" s="2885">
        <v>12.9</v>
      </c>
      <c r="O5192" s="176"/>
    </row>
    <row r="5193" spans="1:15" s="2885" customFormat="1">
      <c r="A5193" s="2910"/>
      <c r="B5193" s="2911"/>
      <c r="C5193" s="2905" t="s">
        <v>1252</v>
      </c>
      <c r="D5193" s="2911"/>
      <c r="E5193" s="2912">
        <f t="shared" si="107"/>
        <v>0.10000000000000007</v>
      </c>
      <c r="F5193" s="2913">
        <v>11.61</v>
      </c>
      <c r="G5193" s="2885">
        <v>12.9</v>
      </c>
      <c r="O5193" s="176"/>
    </row>
    <row r="5194" spans="1:15" s="2885" customFormat="1">
      <c r="A5194" s="2910"/>
      <c r="B5194" s="2911"/>
      <c r="C5194" s="2905" t="s">
        <v>3169</v>
      </c>
      <c r="D5194" s="2911"/>
      <c r="E5194" s="2912">
        <f t="shared" si="107"/>
        <v>0.10008305647840518</v>
      </c>
      <c r="F5194" s="2913">
        <v>21.67</v>
      </c>
      <c r="G5194" s="2885">
        <v>24.08</v>
      </c>
      <c r="O5194" s="176"/>
    </row>
    <row r="5195" spans="1:15" s="2885" customFormat="1">
      <c r="A5195" s="2910"/>
      <c r="B5195" s="2911"/>
      <c r="C5195" s="2905" t="s">
        <v>550</v>
      </c>
      <c r="D5195" s="2911"/>
      <c r="E5195" s="2912">
        <f t="shared" si="107"/>
        <v>0.1</v>
      </c>
      <c r="F5195" s="2913">
        <v>26.19</v>
      </c>
      <c r="G5195" s="2885">
        <v>29.1</v>
      </c>
      <c r="O5195" s="176"/>
    </row>
    <row r="5196" spans="1:15" s="2885" customFormat="1">
      <c r="A5196" s="2910"/>
      <c r="B5196" s="2911"/>
      <c r="C5196" s="2905" t="s">
        <v>1259</v>
      </c>
      <c r="D5196" s="2911"/>
      <c r="E5196" s="2912">
        <f t="shared" si="107"/>
        <v>0.1</v>
      </c>
      <c r="F5196" s="2913">
        <v>26.19</v>
      </c>
      <c r="G5196" s="2885">
        <v>29.1</v>
      </c>
      <c r="O5196" s="176"/>
    </row>
    <row r="5197" spans="1:15" s="2885" customFormat="1">
      <c r="A5197" s="2910"/>
      <c r="B5197" s="2911"/>
      <c r="C5197" s="2905" t="s">
        <v>549</v>
      </c>
      <c r="D5197" s="2911"/>
      <c r="E5197" s="2912">
        <f t="shared" si="107"/>
        <v>9.9970596883269591E-2</v>
      </c>
      <c r="F5197" s="2913">
        <v>30.61</v>
      </c>
      <c r="G5197" s="2885">
        <v>34.01</v>
      </c>
      <c r="O5197" s="176"/>
    </row>
    <row r="5198" spans="1:15" s="2885" customFormat="1">
      <c r="A5198" s="2910"/>
      <c r="B5198" s="2911"/>
      <c r="C5198" s="2905" t="s">
        <v>1258</v>
      </c>
      <c r="D5198" s="2911"/>
      <c r="E5198" s="2912">
        <f t="shared" si="107"/>
        <v>9.9970596883269591E-2</v>
      </c>
      <c r="F5198" s="2913">
        <v>30.61</v>
      </c>
      <c r="G5198" s="2885">
        <v>34.01</v>
      </c>
      <c r="O5198" s="176"/>
    </row>
    <row r="5199" spans="1:15" s="2885" customFormat="1">
      <c r="A5199" s="2910"/>
      <c r="B5199" s="2911"/>
      <c r="C5199" s="2905" t="s">
        <v>1293</v>
      </c>
      <c r="D5199" s="2911"/>
      <c r="E5199" s="2912">
        <f t="shared" si="107"/>
        <v>9.9800399201596807E-2</v>
      </c>
      <c r="F5199" s="2913">
        <v>13.53</v>
      </c>
      <c r="G5199" s="2885">
        <v>15.03</v>
      </c>
      <c r="O5199" s="176"/>
    </row>
    <row r="5200" spans="1:15" s="2885" customFormat="1">
      <c r="A5200" s="2910"/>
      <c r="B5200" s="2911"/>
      <c r="C5200" s="2905" t="s">
        <v>1174</v>
      </c>
      <c r="D5200" s="2911"/>
      <c r="E5200" s="2912">
        <f t="shared" si="107"/>
        <v>0.10091743119266057</v>
      </c>
      <c r="F5200" s="2913">
        <v>2.94</v>
      </c>
      <c r="G5200" s="2885">
        <v>3.27</v>
      </c>
      <c r="O5200" s="176"/>
    </row>
    <row r="5201" spans="1:15" s="2885" customFormat="1">
      <c r="A5201" s="2910"/>
      <c r="B5201" s="2911"/>
      <c r="C5201" s="2905" t="s">
        <v>1266</v>
      </c>
      <c r="D5201" s="2911"/>
      <c r="E5201" s="2912">
        <f t="shared" si="107"/>
        <v>9.940357852882703E-2</v>
      </c>
      <c r="F5201" s="2913">
        <v>4.53</v>
      </c>
      <c r="G5201" s="2885">
        <v>5.03</v>
      </c>
      <c r="O5201" s="176"/>
    </row>
    <row r="5202" spans="1:15" s="2885" customFormat="1" ht="15.75" thickBot="1">
      <c r="A5202" s="2914"/>
      <c r="B5202" s="2915"/>
      <c r="C5202" s="2938" t="s">
        <v>1175</v>
      </c>
      <c r="D5202" s="2915"/>
      <c r="E5202" s="2916">
        <f t="shared" si="107"/>
        <v>0.10037878787878791</v>
      </c>
      <c r="F5202" s="2917">
        <v>4.75</v>
      </c>
      <c r="G5202" s="2885">
        <v>5.28</v>
      </c>
      <c r="O5202" s="176"/>
    </row>
    <row r="5203" spans="1:15" s="2885" customFormat="1" ht="15.75" thickBot="1">
      <c r="O5203" s="176"/>
    </row>
    <row r="5204" spans="1:15" s="2885" customFormat="1">
      <c r="A5204" s="3572"/>
      <c r="B5204" s="3557"/>
      <c r="C5204" s="3557"/>
      <c r="D5204" s="3557"/>
      <c r="E5204" s="3557"/>
      <c r="F5204" s="3559"/>
      <c r="O5204" s="176"/>
    </row>
    <row r="5205" spans="1:15" s="2885" customFormat="1">
      <c r="A5205" s="3905"/>
      <c r="B5205" s="3906"/>
      <c r="C5205" s="3906"/>
      <c r="D5205" s="3906"/>
      <c r="E5205" s="3906"/>
      <c r="F5205" s="3917"/>
      <c r="O5205" s="176"/>
    </row>
    <row r="5206" spans="1:15" s="2885" customFormat="1">
      <c r="A5206" s="3015" t="s">
        <v>3541</v>
      </c>
      <c r="B5206" s="2898" t="s">
        <v>3229</v>
      </c>
      <c r="C5206" s="3109" t="s">
        <v>623</v>
      </c>
      <c r="D5206" s="2997"/>
      <c r="E5206" s="3016">
        <f>(G5206-F5206)/G5206</f>
        <v>0.24479166666666666</v>
      </c>
      <c r="F5206" s="2999">
        <v>1.45</v>
      </c>
      <c r="G5206" s="2769">
        <v>1.92</v>
      </c>
      <c r="O5206" s="176"/>
    </row>
    <row r="5207" spans="1:15" s="2885" customFormat="1">
      <c r="A5207" s="2951"/>
      <c r="B5207" s="2898"/>
      <c r="C5207" s="3109" t="s">
        <v>1772</v>
      </c>
      <c r="D5207" s="2997"/>
      <c r="E5207" s="3016">
        <f>(G5207-F5207)/G5207</f>
        <v>0.24479166666666666</v>
      </c>
      <c r="F5207" s="2999">
        <v>1.45</v>
      </c>
      <c r="G5207" s="2769">
        <v>1.92</v>
      </c>
      <c r="O5207" s="176"/>
    </row>
    <row r="5208" spans="1:15" s="2885" customFormat="1">
      <c r="A5208" s="2910"/>
      <c r="B5208" s="2911"/>
      <c r="C5208" s="2911" t="s">
        <v>2273</v>
      </c>
      <c r="D5208" s="2911"/>
      <c r="E5208" s="3016">
        <f t="shared" ref="E5208:E5213" si="108">(G5208-F5208)/G5208</f>
        <v>0.21537726838586443</v>
      </c>
      <c r="F5208" s="2913">
        <v>16.43</v>
      </c>
      <c r="G5208" s="2885">
        <v>20.94</v>
      </c>
      <c r="O5208" s="176"/>
    </row>
    <row r="5209" spans="1:15" s="2885" customFormat="1">
      <c r="A5209" s="2910"/>
      <c r="B5209" s="2911"/>
      <c r="C5209" s="2911" t="s">
        <v>71</v>
      </c>
      <c r="D5209" s="2911"/>
      <c r="E5209" s="3016">
        <f t="shared" si="108"/>
        <v>0.21537726838586443</v>
      </c>
      <c r="F5209" s="2913">
        <v>16.43</v>
      </c>
      <c r="G5209" s="2885">
        <v>20.94</v>
      </c>
      <c r="O5209" s="176"/>
    </row>
    <row r="5210" spans="1:15" s="2885" customFormat="1">
      <c r="A5210" s="2910"/>
      <c r="B5210" s="2911"/>
      <c r="C5210" s="2911" t="s">
        <v>2880</v>
      </c>
      <c r="D5210" s="2911"/>
      <c r="E5210" s="3017">
        <f t="shared" si="108"/>
        <v>0.21537726838586443</v>
      </c>
      <c r="F5210" s="2913">
        <v>16.43</v>
      </c>
      <c r="G5210" s="2885">
        <v>20.94</v>
      </c>
      <c r="O5210" s="176"/>
    </row>
    <row r="5211" spans="1:15" s="2885" customFormat="1">
      <c r="A5211" s="2910"/>
      <c r="B5211" s="2911"/>
      <c r="C5211" s="2911" t="s">
        <v>2881</v>
      </c>
      <c r="D5211" s="2911"/>
      <c r="E5211" s="3017">
        <f t="shared" si="108"/>
        <v>0.21537726838586443</v>
      </c>
      <c r="F5211" s="2913">
        <v>16.43</v>
      </c>
      <c r="G5211" s="2885">
        <v>20.94</v>
      </c>
      <c r="O5211" s="176"/>
    </row>
    <row r="5212" spans="1:15" s="2885" customFormat="1">
      <c r="A5212" s="2910"/>
      <c r="B5212" s="2911"/>
      <c r="C5212" s="2911" t="s">
        <v>1883</v>
      </c>
      <c r="D5212" s="2911"/>
      <c r="E5212" s="3017">
        <f t="shared" si="108"/>
        <v>0.21537726838586443</v>
      </c>
      <c r="F5212" s="2913">
        <v>16.43</v>
      </c>
      <c r="G5212" s="2885">
        <v>20.94</v>
      </c>
      <c r="O5212" s="176"/>
    </row>
    <row r="5213" spans="1:15" s="2885" customFormat="1" ht="15.75" thickBot="1">
      <c r="A5213" s="2914"/>
      <c r="B5213" s="2915"/>
      <c r="C5213" s="2915" t="s">
        <v>2276</v>
      </c>
      <c r="D5213" s="2915"/>
      <c r="E5213" s="3018">
        <f t="shared" si="108"/>
        <v>0.21537726838586443</v>
      </c>
      <c r="F5213" s="2917">
        <v>16.43</v>
      </c>
      <c r="G5213" s="2885">
        <v>20.94</v>
      </c>
      <c r="O5213" s="176"/>
    </row>
    <row r="5214" spans="1:15" s="2885" customFormat="1" ht="15.75" thickBot="1">
      <c r="O5214" s="176"/>
    </row>
    <row r="5215" spans="1:15" s="2885" customFormat="1">
      <c r="A5215" s="3572"/>
      <c r="B5215" s="3557"/>
      <c r="C5215" s="3557"/>
      <c r="D5215" s="3557"/>
      <c r="E5215" s="3557"/>
      <c r="F5215" s="3559"/>
      <c r="O5215" s="176"/>
    </row>
    <row r="5216" spans="1:15" s="2885" customFormat="1">
      <c r="A5216" s="3573"/>
      <c r="B5216" s="3558"/>
      <c r="C5216" s="3558"/>
      <c r="D5216" s="3558"/>
      <c r="E5216" s="3558"/>
      <c r="F5216" s="3560"/>
      <c r="O5216" s="176"/>
    </row>
    <row r="5217" spans="1:15" s="2885" customFormat="1">
      <c r="A5217" s="3015" t="s">
        <v>3542</v>
      </c>
      <c r="B5217" s="2898" t="s">
        <v>3229</v>
      </c>
      <c r="C5217" s="2996" t="s">
        <v>2827</v>
      </c>
      <c r="D5217" s="2997"/>
      <c r="E5217" s="3016">
        <f>(G5217-F5217)/G5217</f>
        <v>0.20000000000000004</v>
      </c>
      <c r="F5217" s="2999">
        <v>1.28</v>
      </c>
      <c r="G5217" s="2769">
        <v>1.6</v>
      </c>
      <c r="O5217" s="176"/>
    </row>
    <row r="5218" spans="1:15" s="2885" customFormat="1">
      <c r="A5218" s="2951"/>
      <c r="B5218" s="2898"/>
      <c r="C5218" s="2996" t="s">
        <v>2890</v>
      </c>
      <c r="D5218" s="2997"/>
      <c r="E5218" s="3016">
        <f>(G5218-F5218)/G5218</f>
        <v>0.20000000000000004</v>
      </c>
      <c r="F5218" s="2999">
        <v>1.28</v>
      </c>
      <c r="G5218" s="2769">
        <v>1.6</v>
      </c>
      <c r="O5218" s="176"/>
    </row>
    <row r="5219" spans="1:15" s="2885" customFormat="1">
      <c r="A5219" s="2910"/>
      <c r="B5219" s="2911"/>
      <c r="C5219" s="2911" t="s">
        <v>2871</v>
      </c>
      <c r="D5219" s="2911"/>
      <c r="E5219" s="3016">
        <f t="shared" ref="E5219:E5228" si="109">(G5219-F5219)/G5219</f>
        <v>0.20000000000000004</v>
      </c>
      <c r="F5219" s="2999">
        <v>1.28</v>
      </c>
      <c r="G5219" s="2769">
        <v>1.6</v>
      </c>
      <c r="O5219" s="176"/>
    </row>
    <row r="5220" spans="1:15" s="2885" customFormat="1">
      <c r="A5220" s="2910"/>
      <c r="B5220" s="2911"/>
      <c r="C5220" s="2911" t="s">
        <v>3315</v>
      </c>
      <c r="D5220" s="2911"/>
      <c r="E5220" s="3016">
        <f t="shared" si="109"/>
        <v>0.19780219780219785</v>
      </c>
      <c r="F5220" s="2913">
        <v>0.73</v>
      </c>
      <c r="G5220" s="2885">
        <v>0.91</v>
      </c>
      <c r="O5220" s="176"/>
    </row>
    <row r="5221" spans="1:15" s="2885" customFormat="1">
      <c r="A5221" s="2910"/>
      <c r="B5221" s="2911"/>
      <c r="C5221" s="2911" t="s">
        <v>3316</v>
      </c>
      <c r="D5221" s="2911"/>
      <c r="E5221" s="3017">
        <f t="shared" si="109"/>
        <v>0.19780219780219785</v>
      </c>
      <c r="F5221" s="2913">
        <v>0.73</v>
      </c>
      <c r="G5221" s="2885">
        <v>0.91</v>
      </c>
      <c r="O5221" s="176"/>
    </row>
    <row r="5222" spans="1:15" s="2885" customFormat="1">
      <c r="A5222" s="2910"/>
      <c r="B5222" s="2911"/>
      <c r="C5222" s="2911" t="s">
        <v>3317</v>
      </c>
      <c r="D5222" s="2911"/>
      <c r="E5222" s="3017">
        <f t="shared" si="109"/>
        <v>0.19780219780219785</v>
      </c>
      <c r="F5222" s="2913">
        <v>0.73</v>
      </c>
      <c r="G5222" s="2885">
        <v>0.91</v>
      </c>
      <c r="O5222" s="176"/>
    </row>
    <row r="5223" spans="1:15" s="2885" customFormat="1">
      <c r="A5223" s="2910"/>
      <c r="B5223" s="2911"/>
      <c r="C5223" s="2911" t="s">
        <v>1090</v>
      </c>
      <c r="D5223" s="2911"/>
      <c r="E5223" s="3017">
        <f t="shared" si="109"/>
        <v>0.20529801324503313</v>
      </c>
      <c r="F5223" s="2913">
        <v>1.2</v>
      </c>
      <c r="G5223" s="2885">
        <v>1.51</v>
      </c>
      <c r="O5223" s="176"/>
    </row>
    <row r="5224" spans="1:15" s="2885" customFormat="1">
      <c r="A5224" s="2910"/>
      <c r="B5224" s="2911"/>
      <c r="C5224" s="2911" t="s">
        <v>1091</v>
      </c>
      <c r="D5224" s="2911"/>
      <c r="E5224" s="3017">
        <f t="shared" si="109"/>
        <v>0.20529801324503313</v>
      </c>
      <c r="F5224" s="2913">
        <v>1.2</v>
      </c>
      <c r="G5224" s="2885">
        <v>1.51</v>
      </c>
      <c r="O5224" s="176"/>
    </row>
    <row r="5225" spans="1:15" s="2885" customFormat="1">
      <c r="A5225" s="2910"/>
      <c r="B5225" s="2911"/>
      <c r="C5225" s="2911" t="s">
        <v>1092</v>
      </c>
      <c r="D5225" s="2911"/>
      <c r="E5225" s="3017">
        <f t="shared" si="109"/>
        <v>0.20529801324503313</v>
      </c>
      <c r="F5225" s="3019">
        <v>1.2</v>
      </c>
      <c r="G5225" s="2885">
        <v>1.51</v>
      </c>
      <c r="O5225" s="176"/>
    </row>
    <row r="5226" spans="1:15" s="2885" customFormat="1">
      <c r="A5226" s="2910"/>
      <c r="B5226" s="2911"/>
      <c r="C5226" s="2911" t="s">
        <v>1563</v>
      </c>
      <c r="D5226" s="2911"/>
      <c r="E5226" s="3017">
        <f t="shared" si="109"/>
        <v>0.14843749999999994</v>
      </c>
      <c r="F5226" s="3019">
        <v>1.0900000000000001</v>
      </c>
      <c r="G5226" s="2885">
        <v>1.28</v>
      </c>
      <c r="O5226" s="176"/>
    </row>
    <row r="5227" spans="1:15" s="2885" customFormat="1">
      <c r="A5227" s="2910"/>
      <c r="B5227" s="2911"/>
      <c r="C5227" s="2911" t="s">
        <v>554</v>
      </c>
      <c r="D5227" s="2911"/>
      <c r="E5227" s="3017">
        <f t="shared" si="109"/>
        <v>0.15199999999999997</v>
      </c>
      <c r="F5227" s="3019">
        <v>1.06</v>
      </c>
      <c r="G5227" s="2885">
        <v>1.25</v>
      </c>
      <c r="O5227" s="176"/>
    </row>
    <row r="5228" spans="1:15" s="2885" customFormat="1" ht="15.75" thickBot="1">
      <c r="A5228" s="2914"/>
      <c r="B5228" s="2915"/>
      <c r="C5228" s="2915" t="s">
        <v>1120</v>
      </c>
      <c r="D5228" s="2915"/>
      <c r="E5228" s="3018">
        <f t="shared" si="109"/>
        <v>0.15384615384615388</v>
      </c>
      <c r="F5228" s="2939">
        <v>0.44</v>
      </c>
      <c r="G5228" s="2885">
        <v>0.52</v>
      </c>
      <c r="O5228" s="176"/>
    </row>
    <row r="5231" spans="1:15" ht="15.75" thickBot="1"/>
    <row r="5232" spans="1:15" s="2885" customFormat="1">
      <c r="A5232" s="3572"/>
      <c r="B5232" s="3557"/>
      <c r="C5232" s="3557"/>
      <c r="D5232" s="3557"/>
      <c r="E5232" s="3557"/>
      <c r="F5232" s="3559"/>
      <c r="O5232" s="176"/>
    </row>
    <row r="5233" spans="1:15" s="2885" customFormat="1" ht="15.75" thickBot="1">
      <c r="A5233" s="3905"/>
      <c r="B5233" s="3906"/>
      <c r="C5233" s="3906"/>
      <c r="D5233" s="3906"/>
      <c r="E5233" s="3906"/>
      <c r="F5233" s="3917"/>
      <c r="O5233" s="176"/>
    </row>
    <row r="5234" spans="1:15" s="2885" customFormat="1">
      <c r="A5234" s="1539" t="s">
        <v>3551</v>
      </c>
      <c r="B5234" s="1690" t="s">
        <v>106</v>
      </c>
      <c r="C5234" s="2181" t="s">
        <v>3021</v>
      </c>
      <c r="D5234" s="2468"/>
      <c r="E5234" s="2469">
        <f t="shared" ref="E5234:E5255" si="110">(G5234-F5234)/G5234</f>
        <v>0.10043668122270741</v>
      </c>
      <c r="F5234" s="2059">
        <v>2.06</v>
      </c>
      <c r="G5234" s="2885">
        <v>2.29</v>
      </c>
      <c r="O5234" s="176"/>
    </row>
    <row r="5235" spans="1:15" s="2885" customFormat="1">
      <c r="A5235" s="2951"/>
      <c r="B5235" s="2898"/>
      <c r="C5235" s="2952" t="s">
        <v>1263</v>
      </c>
      <c r="D5235" s="2953"/>
      <c r="E5235" s="2954">
        <f t="shared" si="110"/>
        <v>9.9999999999999936E-2</v>
      </c>
      <c r="F5235" s="2955">
        <v>2.7</v>
      </c>
      <c r="G5235" s="2885">
        <v>3</v>
      </c>
      <c r="O5235" s="176"/>
    </row>
    <row r="5236" spans="1:15" s="2885" customFormat="1">
      <c r="A5236" s="2910"/>
      <c r="B5236" s="2911"/>
      <c r="C5236" s="2911" t="s">
        <v>1260</v>
      </c>
      <c r="D5236" s="2911"/>
      <c r="E5236" s="2954">
        <f t="shared" si="110"/>
        <v>0.10050251256281405</v>
      </c>
      <c r="F5236" s="2913">
        <v>3.58</v>
      </c>
      <c r="G5236" s="2885">
        <v>3.98</v>
      </c>
      <c r="O5236" s="176"/>
    </row>
    <row r="5237" spans="1:15" s="2885" customFormat="1">
      <c r="A5237" s="2910"/>
      <c r="B5237" s="2911"/>
      <c r="C5237" s="2911" t="s">
        <v>1272</v>
      </c>
      <c r="D5237" s="2911"/>
      <c r="E5237" s="2954">
        <f t="shared" si="110"/>
        <v>0.10050251256281405</v>
      </c>
      <c r="F5237" s="2913">
        <v>3.58</v>
      </c>
      <c r="G5237" s="2885">
        <v>3.98</v>
      </c>
      <c r="O5237" s="176"/>
    </row>
    <row r="5238" spans="1:15" s="2885" customFormat="1">
      <c r="A5238" s="2910"/>
      <c r="B5238" s="2911"/>
      <c r="C5238" s="2911" t="s">
        <v>3020</v>
      </c>
      <c r="D5238" s="2911"/>
      <c r="E5238" s="2954">
        <f t="shared" si="110"/>
        <v>9.9750623441396458E-2</v>
      </c>
      <c r="F5238" s="2913">
        <v>10.83</v>
      </c>
      <c r="G5238" s="2885">
        <v>12.03</v>
      </c>
      <c r="O5238" s="176"/>
    </row>
    <row r="5239" spans="1:15" s="2885" customFormat="1">
      <c r="A5239" s="2910"/>
      <c r="B5239" s="2911"/>
      <c r="C5239" s="2911" t="s">
        <v>1027</v>
      </c>
      <c r="D5239" s="2911"/>
      <c r="E5239" s="2954">
        <f t="shared" si="110"/>
        <v>0.10039113428943931</v>
      </c>
      <c r="F5239" s="2913">
        <v>13.8</v>
      </c>
      <c r="G5239" s="2885">
        <v>15.34</v>
      </c>
      <c r="O5239" s="176"/>
    </row>
    <row r="5240" spans="1:15" s="2885" customFormat="1">
      <c r="A5240" s="2910"/>
      <c r="B5240" s="2911"/>
      <c r="C5240" s="2911" t="s">
        <v>1176</v>
      </c>
      <c r="D5240" s="2911"/>
      <c r="E5240" s="2954">
        <f t="shared" si="110"/>
        <v>0.10039113428943931</v>
      </c>
      <c r="F5240" s="2913">
        <v>13.8</v>
      </c>
      <c r="G5240" s="2885">
        <v>15.34</v>
      </c>
      <c r="O5240" s="176"/>
    </row>
    <row r="5241" spans="1:15" s="2885" customFormat="1">
      <c r="A5241" s="2910"/>
      <c r="B5241" s="2911"/>
      <c r="C5241" s="2911" t="s">
        <v>1644</v>
      </c>
      <c r="D5241" s="2911"/>
      <c r="E5241" s="2954">
        <f t="shared" si="110"/>
        <v>0.15015974440894561</v>
      </c>
      <c r="F5241" s="2913">
        <v>2.66</v>
      </c>
      <c r="G5241" s="2885">
        <v>3.13</v>
      </c>
      <c r="O5241" s="176"/>
    </row>
    <row r="5242" spans="1:15" s="2885" customFormat="1">
      <c r="A5242" s="2910"/>
      <c r="B5242" s="2911"/>
      <c r="C5242" s="2911" t="s">
        <v>3410</v>
      </c>
      <c r="D5242" s="2911"/>
      <c r="E5242" s="2954">
        <f t="shared" si="110"/>
        <v>0.10116731517509719</v>
      </c>
      <c r="F5242" s="2913">
        <v>2.31</v>
      </c>
      <c r="G5242" s="2885">
        <v>2.57</v>
      </c>
      <c r="O5242" s="176"/>
    </row>
    <row r="5243" spans="1:15" s="2885" customFormat="1">
      <c r="A5243" s="2910"/>
      <c r="B5243" s="2911"/>
      <c r="C5243" s="2911" t="s">
        <v>3409</v>
      </c>
      <c r="D5243" s="2911"/>
      <c r="E5243" s="2954">
        <f t="shared" si="110"/>
        <v>0.14960629921259838</v>
      </c>
      <c r="F5243" s="2913">
        <v>3.24</v>
      </c>
      <c r="G5243" s="2885">
        <v>3.81</v>
      </c>
      <c r="O5243" s="176"/>
    </row>
    <row r="5244" spans="1:15" s="2885" customFormat="1">
      <c r="A5244" s="2910"/>
      <c r="B5244" s="2911"/>
      <c r="C5244" s="2911" t="s">
        <v>2274</v>
      </c>
      <c r="D5244" s="2911"/>
      <c r="E5244" s="2954">
        <f t="shared" si="110"/>
        <v>0.10070257611241212</v>
      </c>
      <c r="F5244" s="2913">
        <v>3.84</v>
      </c>
      <c r="G5244" s="2885">
        <v>4.2699999999999996</v>
      </c>
      <c r="O5244" s="176"/>
    </row>
    <row r="5245" spans="1:15" s="2885" customFormat="1">
      <c r="A5245" s="2910"/>
      <c r="B5245" s="2911"/>
      <c r="C5245" s="2911" t="s">
        <v>1497</v>
      </c>
      <c r="D5245" s="2911"/>
      <c r="E5245" s="2896">
        <f t="shared" si="110"/>
        <v>0.10070257611241212</v>
      </c>
      <c r="F5245" s="2913">
        <v>3.84</v>
      </c>
      <c r="G5245" s="2885">
        <v>4.2699999999999996</v>
      </c>
      <c r="O5245" s="176"/>
    </row>
    <row r="5246" spans="1:15" s="2885" customFormat="1">
      <c r="A5246" s="2910"/>
      <c r="B5246" s="2911"/>
      <c r="C5246" s="2911" t="s">
        <v>2275</v>
      </c>
      <c r="D5246" s="2911"/>
      <c r="E5246" s="2896">
        <f t="shared" si="110"/>
        <v>9.9999999999999922E-2</v>
      </c>
      <c r="F5246" s="2913">
        <v>8.5500000000000007</v>
      </c>
      <c r="G5246" s="2885">
        <v>9.5</v>
      </c>
      <c r="O5246" s="176"/>
    </row>
    <row r="5247" spans="1:15" s="2885" customFormat="1">
      <c r="A5247" s="2910"/>
      <c r="B5247" s="2911"/>
      <c r="C5247" s="2911" t="s">
        <v>239</v>
      </c>
      <c r="D5247" s="2911"/>
      <c r="E5247" s="2896">
        <f t="shared" si="110"/>
        <v>9.9999999999999922E-2</v>
      </c>
      <c r="F5247" s="2913">
        <v>8.5500000000000007</v>
      </c>
      <c r="G5247" s="2885">
        <v>9.5</v>
      </c>
      <c r="O5247" s="176"/>
    </row>
    <row r="5248" spans="1:15" s="2885" customFormat="1">
      <c r="A5248" s="2910"/>
      <c r="B5248" s="2911"/>
      <c r="C5248" s="2911" t="s">
        <v>2277</v>
      </c>
      <c r="D5248" s="2911"/>
      <c r="E5248" s="2896">
        <f t="shared" si="110"/>
        <v>0.10070257611241212</v>
      </c>
      <c r="F5248" s="2913">
        <v>3.84</v>
      </c>
      <c r="G5248" s="2885">
        <v>4.2699999999999996</v>
      </c>
      <c r="O5248" s="176"/>
    </row>
    <row r="5249" spans="1:15" s="2885" customFormat="1">
      <c r="A5249" s="2910"/>
      <c r="B5249" s="2911"/>
      <c r="C5249" s="2911" t="s">
        <v>1722</v>
      </c>
      <c r="D5249" s="2911"/>
      <c r="E5249" s="2896">
        <f t="shared" si="110"/>
        <v>0.10070257611241212</v>
      </c>
      <c r="F5249" s="2913">
        <v>3.84</v>
      </c>
      <c r="G5249" s="2885">
        <v>4.2699999999999996</v>
      </c>
      <c r="O5249" s="176"/>
    </row>
    <row r="5250" spans="1:15" s="2885" customFormat="1">
      <c r="A5250" s="2910"/>
      <c r="B5250" s="2911"/>
      <c r="C5250" s="2911" t="s">
        <v>2272</v>
      </c>
      <c r="D5250" s="2911"/>
      <c r="E5250" s="2896">
        <f t="shared" si="110"/>
        <v>0.10070257611241212</v>
      </c>
      <c r="F5250" s="2913">
        <v>3.84</v>
      </c>
      <c r="G5250" s="2885">
        <v>4.2699999999999996</v>
      </c>
      <c r="O5250" s="176"/>
    </row>
    <row r="5251" spans="1:15" s="2885" customFormat="1">
      <c r="A5251" s="2910"/>
      <c r="B5251" s="2911"/>
      <c r="C5251" s="2911" t="s">
        <v>1496</v>
      </c>
      <c r="D5251" s="2911"/>
      <c r="E5251" s="2896">
        <f t="shared" si="110"/>
        <v>0.10070257611241212</v>
      </c>
      <c r="F5251" s="2913">
        <v>3.84</v>
      </c>
      <c r="G5251" s="2885">
        <v>4.2699999999999996</v>
      </c>
      <c r="O5251" s="176"/>
    </row>
    <row r="5252" spans="1:15" s="2885" customFormat="1">
      <c r="A5252" s="2910"/>
      <c r="B5252" s="2911"/>
      <c r="C5252" s="2911" t="s">
        <v>2271</v>
      </c>
      <c r="D5252" s="2911"/>
      <c r="E5252" s="2896">
        <f t="shared" si="110"/>
        <v>9.9999999999999922E-2</v>
      </c>
      <c r="F5252" s="2913">
        <v>8.5500000000000007</v>
      </c>
      <c r="G5252" s="2885">
        <v>9.5</v>
      </c>
      <c r="O5252" s="176"/>
    </row>
    <row r="5253" spans="1:15" s="2885" customFormat="1">
      <c r="A5253" s="2910"/>
      <c r="B5253" s="2911"/>
      <c r="C5253" s="2911" t="s">
        <v>238</v>
      </c>
      <c r="D5253" s="2911"/>
      <c r="E5253" s="2896">
        <f t="shared" si="110"/>
        <v>9.9999999999999922E-2</v>
      </c>
      <c r="F5253" s="2913">
        <v>8.5500000000000007</v>
      </c>
      <c r="G5253" s="2885">
        <v>9.5</v>
      </c>
      <c r="O5253" s="176"/>
    </row>
    <row r="5254" spans="1:15" s="2885" customFormat="1">
      <c r="A5254" s="2910"/>
      <c r="B5254" s="2911"/>
      <c r="C5254" s="2911" t="s">
        <v>2281</v>
      </c>
      <c r="D5254" s="2911"/>
      <c r="E5254" s="2896">
        <f t="shared" si="110"/>
        <v>9.9999999999999922E-2</v>
      </c>
      <c r="F5254" s="2913">
        <v>8.5500000000000007</v>
      </c>
      <c r="G5254" s="2885">
        <v>9.5</v>
      </c>
      <c r="O5254" s="176"/>
    </row>
    <row r="5255" spans="1:15" s="2885" customFormat="1" ht="15.75" thickBot="1">
      <c r="A5255" s="2914"/>
      <c r="B5255" s="2915"/>
      <c r="C5255" s="2915" t="s">
        <v>2282</v>
      </c>
      <c r="D5255" s="2915"/>
      <c r="E5255" s="2890">
        <f t="shared" si="110"/>
        <v>9.9999999999999922E-2</v>
      </c>
      <c r="F5255" s="2917">
        <v>8.5500000000000007</v>
      </c>
      <c r="G5255" s="2885">
        <v>9.5</v>
      </c>
      <c r="O5255" s="176"/>
    </row>
    <row r="5259" spans="1:15" ht="15.75" thickBot="1"/>
    <row r="5260" spans="1:15" s="2885" customFormat="1">
      <c r="A5260" s="3593"/>
      <c r="B5260" s="3601"/>
      <c r="C5260" s="3601"/>
      <c r="D5260" s="3601"/>
      <c r="E5260" s="3601"/>
      <c r="F5260" s="3616"/>
      <c r="G5260" s="1260"/>
      <c r="O5260" s="176"/>
    </row>
    <row r="5261" spans="1:15" s="2885" customFormat="1" ht="15.75" thickBot="1">
      <c r="A5261" s="3912"/>
      <c r="B5261" s="3907"/>
      <c r="C5261" s="3907"/>
      <c r="D5261" s="3907"/>
      <c r="E5261" s="3907"/>
      <c r="F5261" s="3921"/>
      <c r="G5261" s="1260"/>
      <c r="O5261" s="176"/>
    </row>
    <row r="5262" spans="1:15" s="2885" customFormat="1">
      <c r="A5262" s="2870" t="s">
        <v>3564</v>
      </c>
      <c r="B5262" s="2871" t="s">
        <v>114</v>
      </c>
      <c r="C5262" s="3052" t="s">
        <v>2176</v>
      </c>
      <c r="D5262" s="2872"/>
      <c r="E5262" s="2182">
        <f>(G5262-F5262)/G5262</f>
        <v>0.21457489878542518</v>
      </c>
      <c r="F5262" s="2059">
        <v>1.94</v>
      </c>
      <c r="G5262" s="1260">
        <v>2.4700000000000002</v>
      </c>
      <c r="O5262" s="176"/>
    </row>
    <row r="5263" spans="1:15" s="2885" customFormat="1" ht="15.75" thickBot="1">
      <c r="A5263" s="3031"/>
      <c r="B5263" s="3032"/>
      <c r="C5263" s="3117" t="s">
        <v>2743</v>
      </c>
      <c r="D5263" s="3034"/>
      <c r="E5263" s="3035">
        <f>(G5263-F5263)/G5263</f>
        <v>0.18055555555555558</v>
      </c>
      <c r="F5263" s="3036">
        <v>0.59</v>
      </c>
      <c r="G5263" s="1260">
        <v>0.72</v>
      </c>
      <c r="O5263" s="176"/>
    </row>
    <row r="5265" spans="1:15" ht="15.75" thickBot="1"/>
    <row r="5266" spans="1:15" s="2885" customFormat="1">
      <c r="A5266" s="3572"/>
      <c r="B5266" s="3557"/>
      <c r="C5266" s="3557"/>
      <c r="D5266" s="3557"/>
      <c r="E5266" s="3557"/>
      <c r="F5266" s="3559"/>
      <c r="O5266" s="176"/>
    </row>
    <row r="5267" spans="1:15" s="2885" customFormat="1" ht="15.75" thickBot="1">
      <c r="A5267" s="3905"/>
      <c r="B5267" s="3906"/>
      <c r="C5267" s="3906"/>
      <c r="D5267" s="3906"/>
      <c r="E5267" s="3906"/>
      <c r="F5267" s="3917"/>
      <c r="O5267" s="176"/>
    </row>
    <row r="5268" spans="1:15" s="2885" customFormat="1">
      <c r="A5268" s="1539" t="s">
        <v>3572</v>
      </c>
      <c r="B5268" s="1690" t="s">
        <v>106</v>
      </c>
      <c r="C5268" s="2181" t="s">
        <v>1058</v>
      </c>
      <c r="D5268" s="2468"/>
      <c r="E5268" s="2469">
        <f>(G5268-F5268)/G5268</f>
        <v>0.24657534246575344</v>
      </c>
      <c r="F5268" s="2059">
        <v>1.65</v>
      </c>
      <c r="G5268" s="2885">
        <v>2.19</v>
      </c>
      <c r="O5268" s="176"/>
    </row>
    <row r="5269" spans="1:15" s="2885" customFormat="1">
      <c r="A5269" s="2951"/>
      <c r="B5269" s="2898"/>
      <c r="C5269" s="2952" t="s">
        <v>858</v>
      </c>
      <c r="D5269" s="2953"/>
      <c r="E5269" s="2954">
        <f>(G5269-F5269)/G5269</f>
        <v>0.20388349514563114</v>
      </c>
      <c r="F5269" s="2955">
        <v>0.82</v>
      </c>
      <c r="G5269" s="2885">
        <v>1.03</v>
      </c>
      <c r="O5269" s="176"/>
    </row>
    <row r="5270" spans="1:15" s="2885" customFormat="1">
      <c r="A5270" s="2910"/>
      <c r="B5270" s="2911"/>
      <c r="C5270" s="2911" t="s">
        <v>730</v>
      </c>
      <c r="D5270" s="2911"/>
      <c r="E5270" s="2954">
        <f>(G5270-F5270)/G5270</f>
        <v>0.19318181818181823</v>
      </c>
      <c r="F5270" s="2913">
        <v>0.71</v>
      </c>
      <c r="G5270" s="2885">
        <v>0.88</v>
      </c>
      <c r="O5270" s="176"/>
    </row>
    <row r="5271" spans="1:15" s="2885" customFormat="1">
      <c r="A5271" s="2910"/>
      <c r="B5271" s="2911"/>
      <c r="C5271" s="2911" t="s">
        <v>3561</v>
      </c>
      <c r="D5271" s="2911"/>
      <c r="E5271" s="2954">
        <f>(G5271-F5271)/G5271</f>
        <v>0.17038007863695934</v>
      </c>
      <c r="F5271" s="2913">
        <v>6.33</v>
      </c>
      <c r="G5271" s="2885">
        <v>7.63</v>
      </c>
      <c r="O5271" s="176"/>
    </row>
    <row r="5272" spans="1:15" s="2885" customFormat="1">
      <c r="A5272" s="2910"/>
      <c r="B5272" s="2911"/>
      <c r="C5272" s="2911" t="s">
        <v>3562</v>
      </c>
      <c r="D5272" s="2911"/>
      <c r="E5272" s="2954">
        <f>(G5272-F5272)/G5272</f>
        <v>0.17038007863695934</v>
      </c>
      <c r="F5272" s="2913">
        <v>6.33</v>
      </c>
      <c r="G5272" s="2885">
        <v>7.63</v>
      </c>
      <c r="O5272" s="176"/>
    </row>
    <row r="5273" spans="1:15" ht="15.75" thickBot="1"/>
    <row r="5274" spans="1:15" s="2885" customFormat="1">
      <c r="A5274" s="3572"/>
      <c r="B5274" s="3557"/>
      <c r="C5274" s="3557"/>
      <c r="D5274" s="3557"/>
      <c r="E5274" s="3557"/>
      <c r="F5274" s="3559"/>
      <c r="O5274" s="176"/>
    </row>
    <row r="5275" spans="1:15" s="2885" customFormat="1">
      <c r="A5275" s="3573"/>
      <c r="B5275" s="3558"/>
      <c r="C5275" s="3558"/>
      <c r="D5275" s="3558"/>
      <c r="E5275" s="3558"/>
      <c r="F5275" s="3560"/>
      <c r="O5275" s="176"/>
    </row>
    <row r="5276" spans="1:15" s="2885" customFormat="1" ht="15.75" thickBot="1">
      <c r="A5276" s="2925" t="s">
        <v>3580</v>
      </c>
      <c r="B5276" s="2893" t="s">
        <v>3229</v>
      </c>
      <c r="C5276" s="3110" t="s">
        <v>2462</v>
      </c>
      <c r="D5276" s="2927"/>
      <c r="E5276" s="3050">
        <f>(G5276-F5276)/G5276</f>
        <v>0.23448275862068957</v>
      </c>
      <c r="F5276" s="2929">
        <v>1.1100000000000001</v>
      </c>
      <c r="G5276" s="2769">
        <v>1.45</v>
      </c>
      <c r="O5276" s="176"/>
    </row>
    <row r="5277" spans="1:15" ht="15.75" thickBot="1"/>
    <row r="5278" spans="1:15" s="2885" customFormat="1">
      <c r="A5278" s="3572"/>
      <c r="B5278" s="3557"/>
      <c r="C5278" s="3557"/>
      <c r="D5278" s="3557"/>
      <c r="E5278" s="3557"/>
      <c r="F5278" s="3559"/>
      <c r="O5278" s="176"/>
    </row>
    <row r="5279" spans="1:15" s="2885" customFormat="1" ht="15.75" thickBot="1">
      <c r="A5279" s="3905"/>
      <c r="B5279" s="3906"/>
      <c r="C5279" s="3906"/>
      <c r="D5279" s="3906"/>
      <c r="E5279" s="3906"/>
      <c r="F5279" s="3917"/>
      <c r="O5279" s="176"/>
    </row>
    <row r="5280" spans="1:15" s="2885" customFormat="1">
      <c r="A5280" s="2668" t="s">
        <v>3604</v>
      </c>
      <c r="B5280" s="1690" t="s">
        <v>3229</v>
      </c>
      <c r="C5280" s="2723" t="s">
        <v>1772</v>
      </c>
      <c r="D5280" s="2766"/>
      <c r="E5280" s="3067">
        <f>(G5280-F5280)/G5280</f>
        <v>0.24479166666666666</v>
      </c>
      <c r="F5280" s="2768">
        <v>1.45</v>
      </c>
      <c r="G5280" s="2769">
        <v>1.92</v>
      </c>
      <c r="O5280" s="176"/>
    </row>
    <row r="5281" spans="1:15" s="2885" customFormat="1">
      <c r="A5281" s="2910"/>
      <c r="B5281" s="2911"/>
      <c r="C5281" s="3106" t="s">
        <v>623</v>
      </c>
      <c r="D5281" s="2911"/>
      <c r="E5281" s="3016">
        <f t="shared" ref="E5281:E5287" si="111">(G5281-F5281)/G5281</f>
        <v>0.24479166666666666</v>
      </c>
      <c r="F5281" s="2913">
        <v>1.45</v>
      </c>
      <c r="G5281" s="2885">
        <v>1.92</v>
      </c>
      <c r="O5281" s="176"/>
    </row>
    <row r="5282" spans="1:15" s="2885" customFormat="1">
      <c r="A5282" s="2910"/>
      <c r="B5282" s="2911"/>
      <c r="C5282" s="2911" t="s">
        <v>1883</v>
      </c>
      <c r="D5282" s="2911"/>
      <c r="E5282" s="3016">
        <f t="shared" si="111"/>
        <v>0.21537726838586443</v>
      </c>
      <c r="F5282" s="2913">
        <v>16.43</v>
      </c>
      <c r="G5282" s="2885">
        <v>20.94</v>
      </c>
      <c r="O5282" s="176"/>
    </row>
    <row r="5283" spans="1:15" s="2885" customFormat="1">
      <c r="A5283" s="2910"/>
      <c r="B5283" s="2911"/>
      <c r="C5283" s="2911" t="s">
        <v>2276</v>
      </c>
      <c r="D5283" s="2911"/>
      <c r="E5283" s="3016">
        <f t="shared" si="111"/>
        <v>0.21537726838586443</v>
      </c>
      <c r="F5283" s="2913">
        <v>16.43</v>
      </c>
      <c r="G5283" s="2885">
        <v>20.94</v>
      </c>
      <c r="O5283" s="176"/>
    </row>
    <row r="5284" spans="1:15" s="2885" customFormat="1">
      <c r="A5284" s="2910"/>
      <c r="B5284" s="2911"/>
      <c r="C5284" s="2911" t="s">
        <v>2273</v>
      </c>
      <c r="D5284" s="2911"/>
      <c r="E5284" s="3016">
        <f t="shared" si="111"/>
        <v>0.21537726838586443</v>
      </c>
      <c r="F5284" s="2913">
        <v>16.43</v>
      </c>
      <c r="G5284" s="2885">
        <v>20.94</v>
      </c>
      <c r="O5284" s="176"/>
    </row>
    <row r="5285" spans="1:15" s="2885" customFormat="1">
      <c r="A5285" s="2910"/>
      <c r="B5285" s="2911"/>
      <c r="C5285" s="2911" t="s">
        <v>71</v>
      </c>
      <c r="D5285" s="2911"/>
      <c r="E5285" s="3016">
        <f t="shared" si="111"/>
        <v>0.21537726838586443</v>
      </c>
      <c r="F5285" s="2913">
        <v>16.43</v>
      </c>
      <c r="G5285" s="2885">
        <v>20.94</v>
      </c>
      <c r="O5285" s="176"/>
    </row>
    <row r="5286" spans="1:15" s="2885" customFormat="1">
      <c r="A5286" s="2910"/>
      <c r="B5286" s="2911"/>
      <c r="C5286" s="2911" t="s">
        <v>2566</v>
      </c>
      <c r="D5286" s="2911"/>
      <c r="E5286" s="3016">
        <f t="shared" si="111"/>
        <v>0.21537726838586443</v>
      </c>
      <c r="F5286" s="2913">
        <v>16.43</v>
      </c>
      <c r="G5286" s="2885">
        <v>20.94</v>
      </c>
      <c r="O5286" s="176"/>
    </row>
    <row r="5287" spans="1:15" s="2885" customFormat="1" ht="15.75" thickBot="1">
      <c r="A5287" s="2914"/>
      <c r="B5287" s="2915"/>
      <c r="C5287" s="2915" t="s">
        <v>72</v>
      </c>
      <c r="D5287" s="2915"/>
      <c r="E5287" s="3050">
        <f t="shared" si="111"/>
        <v>0.21537726838586443</v>
      </c>
      <c r="F5287" s="2917">
        <v>16.43</v>
      </c>
      <c r="G5287" s="2885">
        <v>20.94</v>
      </c>
      <c r="O5287" s="176"/>
    </row>
    <row r="5288" spans="1:15" ht="15.75" thickBot="1"/>
    <row r="5289" spans="1:15" s="2885" customFormat="1">
      <c r="A5289" s="3572"/>
      <c r="B5289" s="3557"/>
      <c r="C5289" s="3557"/>
      <c r="D5289" s="3557"/>
      <c r="E5289" s="3557"/>
      <c r="F5289" s="3559"/>
      <c r="O5289" s="176"/>
    </row>
    <row r="5290" spans="1:15" s="2885" customFormat="1">
      <c r="A5290" s="3573"/>
      <c r="B5290" s="3558"/>
      <c r="C5290" s="3558"/>
      <c r="D5290" s="3558"/>
      <c r="E5290" s="3558"/>
      <c r="F5290" s="3560"/>
      <c r="O5290" s="176"/>
    </row>
    <row r="5291" spans="1:15" s="2885" customFormat="1" ht="15.75" thickBot="1">
      <c r="A5291" s="3068" t="s">
        <v>3605</v>
      </c>
      <c r="B5291" s="2893" t="s">
        <v>106</v>
      </c>
      <c r="C5291" s="3033" t="s">
        <v>3470</v>
      </c>
      <c r="D5291" s="3069"/>
      <c r="E5291" s="3012">
        <f>(G5291-F5291)/G5291</f>
        <v>0.34935897435897445</v>
      </c>
      <c r="F5291" s="3036">
        <v>2.0299999999999998</v>
      </c>
      <c r="G5291" s="2885">
        <v>3.12</v>
      </c>
      <c r="O5291" s="176"/>
    </row>
    <row r="5292" spans="1:15" ht="15.75" thickBot="1"/>
    <row r="5293" spans="1:15" s="2885" customFormat="1">
      <c r="A5293" s="3572"/>
      <c r="B5293" s="3557"/>
      <c r="C5293" s="3557"/>
      <c r="D5293" s="3557"/>
      <c r="E5293" s="3557"/>
      <c r="F5293" s="3559"/>
      <c r="O5293" s="176"/>
    </row>
    <row r="5294" spans="1:15" s="2885" customFormat="1" ht="15.75" thickBot="1">
      <c r="A5294" s="3905"/>
      <c r="B5294" s="3906"/>
      <c r="C5294" s="3906"/>
      <c r="D5294" s="3906"/>
      <c r="E5294" s="3906"/>
      <c r="F5294" s="3917"/>
      <c r="O5294" s="176"/>
    </row>
    <row r="5295" spans="1:15" s="2885" customFormat="1">
      <c r="A5295" s="2668" t="s">
        <v>3608</v>
      </c>
      <c r="B5295" s="1690" t="s">
        <v>3229</v>
      </c>
      <c r="C5295" s="2765" t="s">
        <v>2272</v>
      </c>
      <c r="D5295" s="2766"/>
      <c r="E5295" s="3067">
        <f>(G5295-F5295)/G5295</f>
        <v>0.10000000000000003</v>
      </c>
      <c r="F5295" s="2768">
        <v>3.51</v>
      </c>
      <c r="G5295" s="2769">
        <v>3.9</v>
      </c>
      <c r="O5295" s="176"/>
    </row>
    <row r="5296" spans="1:15" s="2885" customFormat="1">
      <c r="A5296" s="2910"/>
      <c r="B5296" s="2911"/>
      <c r="C5296" s="2911" t="s">
        <v>1496</v>
      </c>
      <c r="D5296" s="2911"/>
      <c r="E5296" s="3016">
        <f t="shared" ref="E5296:E5304" si="112">(G5296-F5296)/G5296</f>
        <v>0.10000000000000003</v>
      </c>
      <c r="F5296" s="2913">
        <v>3.51</v>
      </c>
      <c r="G5296" s="39">
        <v>3.9</v>
      </c>
      <c r="O5296" s="176"/>
    </row>
    <row r="5297" spans="1:15" s="2885" customFormat="1">
      <c r="A5297" s="2910"/>
      <c r="B5297" s="2911"/>
      <c r="C5297" s="2911" t="s">
        <v>2271</v>
      </c>
      <c r="D5297" s="2911"/>
      <c r="E5297" s="3016">
        <f t="shared" si="112"/>
        <v>0.10011507479861902</v>
      </c>
      <c r="F5297" s="2913">
        <v>7.82</v>
      </c>
      <c r="G5297" s="39">
        <v>8.69</v>
      </c>
      <c r="O5297" s="176"/>
    </row>
    <row r="5298" spans="1:15" s="2885" customFormat="1">
      <c r="A5298" s="2910"/>
      <c r="B5298" s="2911"/>
      <c r="C5298" s="2911" t="s">
        <v>238</v>
      </c>
      <c r="D5298" s="2911"/>
      <c r="E5298" s="3016">
        <f t="shared" si="112"/>
        <v>0.10011507479861902</v>
      </c>
      <c r="F5298" s="2913">
        <v>7.82</v>
      </c>
      <c r="G5298" s="39">
        <v>8.69</v>
      </c>
      <c r="O5298" s="176"/>
    </row>
    <row r="5299" spans="1:15" s="2885" customFormat="1">
      <c r="A5299" s="2910"/>
      <c r="B5299" s="2911"/>
      <c r="C5299" s="2911" t="s">
        <v>2275</v>
      </c>
      <c r="D5299" s="2911"/>
      <c r="E5299" s="3016">
        <f t="shared" si="112"/>
        <v>0.10011507479861902</v>
      </c>
      <c r="F5299" s="2913">
        <v>7.82</v>
      </c>
      <c r="G5299" s="39">
        <v>8.69</v>
      </c>
      <c r="O5299" s="176"/>
    </row>
    <row r="5300" spans="1:15" s="2885" customFormat="1">
      <c r="A5300" s="2910"/>
      <c r="B5300" s="2911"/>
      <c r="C5300" s="2911" t="s">
        <v>239</v>
      </c>
      <c r="D5300" s="2911"/>
      <c r="E5300" s="3016">
        <f t="shared" si="112"/>
        <v>0.10011507479861902</v>
      </c>
      <c r="F5300" s="2913">
        <v>7.82</v>
      </c>
      <c r="G5300" s="39">
        <v>8.69</v>
      </c>
      <c r="O5300" s="176"/>
    </row>
    <row r="5301" spans="1:15" s="2885" customFormat="1">
      <c r="A5301" s="2910"/>
      <c r="B5301" s="2911"/>
      <c r="C5301" s="2911" t="s">
        <v>2274</v>
      </c>
      <c r="D5301" s="2911"/>
      <c r="E5301" s="3016">
        <f t="shared" si="112"/>
        <v>0.10000000000000003</v>
      </c>
      <c r="F5301" s="2913">
        <v>3.51</v>
      </c>
      <c r="G5301" s="39">
        <v>3.9</v>
      </c>
      <c r="O5301" s="176"/>
    </row>
    <row r="5302" spans="1:15" s="2885" customFormat="1">
      <c r="A5302" s="2910"/>
      <c r="B5302" s="2911"/>
      <c r="C5302" s="2911" t="s">
        <v>1497</v>
      </c>
      <c r="D5302" s="2911"/>
      <c r="E5302" s="3016">
        <f t="shared" si="112"/>
        <v>0.10000000000000003</v>
      </c>
      <c r="F5302" s="2913">
        <v>3.51</v>
      </c>
      <c r="G5302" s="39">
        <v>3.9</v>
      </c>
      <c r="O5302" s="176"/>
    </row>
    <row r="5303" spans="1:15" s="2885" customFormat="1">
      <c r="A5303" s="2910"/>
      <c r="B5303" s="2911"/>
      <c r="C5303" s="2911" t="s">
        <v>1644</v>
      </c>
      <c r="D5303" s="2911"/>
      <c r="E5303" s="3017">
        <f t="shared" si="112"/>
        <v>0.10091743119266057</v>
      </c>
      <c r="F5303" s="2913">
        <v>2.94</v>
      </c>
      <c r="G5303" s="39">
        <v>3.27</v>
      </c>
      <c r="O5303" s="176"/>
    </row>
    <row r="5304" spans="1:15" s="2885" customFormat="1" ht="15.75" thickBot="1">
      <c r="A5304" s="2914"/>
      <c r="B5304" s="2915"/>
      <c r="C5304" s="2915" t="s">
        <v>3409</v>
      </c>
      <c r="D5304" s="2915"/>
      <c r="E5304" s="3018">
        <f t="shared" si="112"/>
        <v>0.10055865921787706</v>
      </c>
      <c r="F5304" s="2917">
        <v>3.22</v>
      </c>
      <c r="G5304" s="39">
        <v>3.58</v>
      </c>
      <c r="O5304" s="176"/>
    </row>
    <row r="5306" spans="1:15" ht="15.75" thickBot="1"/>
    <row r="5307" spans="1:15" s="2885" customFormat="1">
      <c r="A5307" s="3572"/>
      <c r="B5307" s="3557"/>
      <c r="C5307" s="3557"/>
      <c r="D5307" s="3557"/>
      <c r="E5307" s="3557"/>
      <c r="F5307" s="3559"/>
      <c r="O5307" s="176"/>
    </row>
    <row r="5308" spans="1:15" s="2885" customFormat="1" ht="15.75" thickBot="1">
      <c r="A5308" s="3905"/>
      <c r="B5308" s="3906"/>
      <c r="C5308" s="3906"/>
      <c r="D5308" s="3906"/>
      <c r="E5308" s="3906"/>
      <c r="F5308" s="3917"/>
      <c r="O5308" s="176"/>
    </row>
    <row r="5309" spans="1:15" s="2885" customFormat="1">
      <c r="A5309" s="2668" t="s">
        <v>3623</v>
      </c>
      <c r="B5309" s="1690" t="s">
        <v>3229</v>
      </c>
      <c r="C5309" s="2765" t="s">
        <v>2425</v>
      </c>
      <c r="D5309" s="2766"/>
      <c r="E5309" s="3067">
        <f>(G5309-F5309)/G5309</f>
        <v>0.16666666666666671</v>
      </c>
      <c r="F5309" s="2768">
        <v>1.75</v>
      </c>
      <c r="G5309" s="2769">
        <v>2.1</v>
      </c>
      <c r="O5309" s="176"/>
    </row>
    <row r="5310" spans="1:15" s="2885" customFormat="1">
      <c r="A5310" s="2910"/>
      <c r="B5310" s="2911"/>
      <c r="C5310" s="2911" t="s">
        <v>2426</v>
      </c>
      <c r="D5310" s="2911"/>
      <c r="E5310" s="3016">
        <f>(G5310-F5310)/G5310</f>
        <v>0.16666666666666671</v>
      </c>
      <c r="F5310" s="2913">
        <v>1.75</v>
      </c>
      <c r="G5310" s="39">
        <v>2.1</v>
      </c>
      <c r="O5310" s="176"/>
    </row>
    <row r="5311" spans="1:15" s="2885" customFormat="1">
      <c r="A5311" s="2910"/>
      <c r="B5311" s="2911"/>
      <c r="C5311" s="2911" t="s">
        <v>2801</v>
      </c>
      <c r="D5311" s="2911"/>
      <c r="E5311" s="3016">
        <f>(G5311-F5311)/G5311</f>
        <v>0.15217391304347827</v>
      </c>
      <c r="F5311" s="2913">
        <v>1.56</v>
      </c>
      <c r="G5311" s="39">
        <v>1.84</v>
      </c>
      <c r="O5311" s="176"/>
    </row>
    <row r="5312" spans="1:15" s="2885" customFormat="1" ht="15.75" thickBot="1">
      <c r="A5312" s="2914"/>
      <c r="B5312" s="2915"/>
      <c r="C5312" s="2915" t="s">
        <v>2802</v>
      </c>
      <c r="D5312" s="2915"/>
      <c r="E5312" s="3050">
        <f>(G5312-F5312)/G5312</f>
        <v>0.15217391304347827</v>
      </c>
      <c r="F5312" s="2917">
        <v>1.56</v>
      </c>
      <c r="G5312" s="39">
        <v>1.84</v>
      </c>
      <c r="O5312" s="176"/>
    </row>
    <row r="5313" spans="1:15" s="2885" customFormat="1" ht="15.75" thickBot="1">
      <c r="O5313" s="176"/>
    </row>
    <row r="5314" spans="1:15" s="2885" customFormat="1">
      <c r="A5314" s="3593"/>
      <c r="B5314" s="3601"/>
      <c r="C5314" s="3601"/>
      <c r="D5314" s="3601"/>
      <c r="E5314" s="3601"/>
      <c r="F5314" s="3616"/>
      <c r="G5314" s="1260"/>
      <c r="O5314" s="176"/>
    </row>
    <row r="5315" spans="1:15" s="2885" customFormat="1" ht="15.75" thickBot="1">
      <c r="A5315" s="3918"/>
      <c r="B5315" s="3919"/>
      <c r="C5315" s="3919"/>
      <c r="D5315" s="3919"/>
      <c r="E5315" s="3919"/>
      <c r="F5315" s="3920"/>
      <c r="G5315" s="1260"/>
      <c r="O5315" s="176"/>
    </row>
    <row r="5316" spans="1:15" s="2885" customFormat="1">
      <c r="A5316" s="2517" t="s">
        <v>3624</v>
      </c>
      <c r="B5316" s="2518" t="s">
        <v>114</v>
      </c>
      <c r="C5316" s="3072" t="s">
        <v>2550</v>
      </c>
      <c r="D5316" s="2520"/>
      <c r="E5316" s="2291">
        <f>(G5316-F5316)/G5316</f>
        <v>0.3504721930745015</v>
      </c>
      <c r="F5316" s="2683">
        <v>6.19</v>
      </c>
      <c r="G5316" s="1260">
        <v>9.5299999999999994</v>
      </c>
      <c r="O5316" s="176"/>
    </row>
    <row r="5317" spans="1:15" s="2885" customFormat="1">
      <c r="A5317" s="2517"/>
      <c r="B5317" s="2518"/>
      <c r="C5317" s="3072" t="s">
        <v>2551</v>
      </c>
      <c r="D5317" s="2520"/>
      <c r="E5317" s="2291">
        <f>(G5317-F5317)/G5317</f>
        <v>0.3504721930745015</v>
      </c>
      <c r="F5317" s="2683">
        <v>6.19</v>
      </c>
      <c r="G5317" s="1260">
        <v>9.5299999999999994</v>
      </c>
      <c r="O5317" s="176"/>
    </row>
    <row r="5318" spans="1:15" s="2885" customFormat="1">
      <c r="A5318" s="2517"/>
      <c r="B5318" s="2518"/>
      <c r="C5318" s="3072" t="s">
        <v>2552</v>
      </c>
      <c r="D5318" s="2520"/>
      <c r="E5318" s="2291">
        <f>(G5318-F5318)/G5318</f>
        <v>0.3504721930745015</v>
      </c>
      <c r="F5318" s="2683">
        <v>6.19</v>
      </c>
      <c r="G5318" s="1260">
        <v>9.5299999999999994</v>
      </c>
      <c r="O5318" s="176"/>
    </row>
    <row r="5319" spans="1:15" s="2885" customFormat="1" ht="15.75" thickBot="1">
      <c r="A5319" s="1074"/>
      <c r="B5319" s="2233"/>
      <c r="C5319" s="2684" t="s">
        <v>2553</v>
      </c>
      <c r="D5319" s="2234"/>
      <c r="E5319" s="1557">
        <f>(G5319-F5319)/G5319</f>
        <v>0.3504721930745015</v>
      </c>
      <c r="F5319" s="2685">
        <v>6.19</v>
      </c>
      <c r="G5319" s="1260">
        <v>9.5299999999999994</v>
      </c>
      <c r="O5319" s="176"/>
    </row>
    <row r="5320" spans="1:15" ht="15.75" thickBot="1"/>
    <row r="5321" spans="1:15" s="2885" customFormat="1">
      <c r="A5321" s="3572"/>
      <c r="B5321" s="3557"/>
      <c r="C5321" s="3557"/>
      <c r="D5321" s="3557"/>
      <c r="E5321" s="3557"/>
      <c r="F5321" s="3559"/>
      <c r="O5321" s="176"/>
    </row>
    <row r="5322" spans="1:15" s="2885" customFormat="1" ht="15.75" thickBot="1">
      <c r="A5322" s="3905"/>
      <c r="B5322" s="3906"/>
      <c r="C5322" s="3906"/>
      <c r="D5322" s="3906"/>
      <c r="E5322" s="3906"/>
      <c r="F5322" s="3913"/>
      <c r="O5322" s="176"/>
    </row>
    <row r="5323" spans="1:15" s="2885" customFormat="1">
      <c r="A5323" s="1539" t="s">
        <v>3633</v>
      </c>
      <c r="B5323" s="1690" t="s">
        <v>106</v>
      </c>
      <c r="C5323" s="2181" t="s">
        <v>3365</v>
      </c>
      <c r="D5323" s="2468"/>
      <c r="E5323" s="2469">
        <f t="shared" ref="E5323:E5357" si="113">(G5323-F5323)/G5323</f>
        <v>0.15040650406504069</v>
      </c>
      <c r="F5323" s="2059">
        <v>6.27</v>
      </c>
      <c r="G5323" s="2885">
        <v>7.38</v>
      </c>
      <c r="O5323" s="176"/>
    </row>
    <row r="5324" spans="1:15" s="2885" customFormat="1">
      <c r="A5324" s="2951"/>
      <c r="B5324" s="2898"/>
      <c r="C5324" s="3139" t="s">
        <v>3366</v>
      </c>
      <c r="D5324" s="2953"/>
      <c r="E5324" s="2954">
        <f t="shared" si="113"/>
        <v>0.15040650406504069</v>
      </c>
      <c r="F5324" s="2955">
        <v>6.27</v>
      </c>
      <c r="G5324" s="2885">
        <v>7.38</v>
      </c>
      <c r="O5324" s="176"/>
    </row>
    <row r="5325" spans="1:15" s="2885" customFormat="1">
      <c r="A5325" s="2910"/>
      <c r="B5325" s="2911"/>
      <c r="C5325" s="2905" t="s">
        <v>730</v>
      </c>
      <c r="D5325" s="2911"/>
      <c r="E5325" s="2954">
        <f t="shared" si="113"/>
        <v>0.14772727272727273</v>
      </c>
      <c r="F5325" s="2913">
        <v>0.75</v>
      </c>
      <c r="G5325" s="2885">
        <v>0.88</v>
      </c>
      <c r="O5325" s="176"/>
    </row>
    <row r="5326" spans="1:15" s="2885" customFormat="1">
      <c r="A5326" s="2910"/>
      <c r="B5326" s="2911"/>
      <c r="C5326" s="2905" t="s">
        <v>3116</v>
      </c>
      <c r="D5326" s="2911"/>
      <c r="E5326" s="2954">
        <f t="shared" si="113"/>
        <v>0.15094339622641512</v>
      </c>
      <c r="F5326" s="2913">
        <v>0.45</v>
      </c>
      <c r="G5326" s="2885">
        <v>0.53</v>
      </c>
      <c r="O5326" s="176"/>
    </row>
    <row r="5327" spans="1:15" s="2885" customFormat="1">
      <c r="A5327" s="2910"/>
      <c r="B5327" s="2911"/>
      <c r="C5327" s="2905" t="s">
        <v>1120</v>
      </c>
      <c r="D5327" s="2911"/>
      <c r="E5327" s="2954">
        <f t="shared" si="113"/>
        <v>0.15094339622641512</v>
      </c>
      <c r="F5327" s="2913">
        <v>0.45</v>
      </c>
      <c r="G5327" s="2885">
        <v>0.53</v>
      </c>
      <c r="O5327" s="176"/>
    </row>
    <row r="5328" spans="1:15" s="2885" customFormat="1">
      <c r="A5328" s="2910"/>
      <c r="B5328" s="2911"/>
      <c r="C5328" s="2905" t="s">
        <v>1267</v>
      </c>
      <c r="D5328" s="2911"/>
      <c r="E5328" s="2954">
        <f t="shared" si="113"/>
        <v>0.15</v>
      </c>
      <c r="F5328" s="2913">
        <v>0.68</v>
      </c>
      <c r="G5328" s="2885">
        <v>0.8</v>
      </c>
      <c r="O5328" s="176"/>
    </row>
    <row r="5329" spans="1:15" s="2885" customFormat="1">
      <c r="A5329" s="2910"/>
      <c r="B5329" s="2911"/>
      <c r="C5329" s="2905" t="s">
        <v>1268</v>
      </c>
      <c r="D5329" s="2911"/>
      <c r="E5329" s="2954">
        <f t="shared" si="113"/>
        <v>0.1551724137931034</v>
      </c>
      <c r="F5329" s="2913">
        <v>0.98</v>
      </c>
      <c r="G5329" s="2885">
        <v>1.1599999999999999</v>
      </c>
      <c r="O5329" s="176"/>
    </row>
    <row r="5330" spans="1:15" s="2885" customFormat="1">
      <c r="A5330" s="2910"/>
      <c r="B5330" s="2911"/>
      <c r="C5330" s="2905" t="s">
        <v>1563</v>
      </c>
      <c r="D5330" s="2911"/>
      <c r="E5330" s="2954">
        <f t="shared" si="113"/>
        <v>0.14615384615384611</v>
      </c>
      <c r="F5330" s="2913">
        <v>1.1100000000000001</v>
      </c>
      <c r="G5330" s="2885">
        <v>1.3</v>
      </c>
      <c r="O5330" s="176"/>
    </row>
    <row r="5331" spans="1:15" s="2885" customFormat="1">
      <c r="A5331" s="2910"/>
      <c r="B5331" s="2911"/>
      <c r="C5331" s="2905" t="s">
        <v>636</v>
      </c>
      <c r="D5331" s="2911"/>
      <c r="E5331" s="2954">
        <f t="shared" si="113"/>
        <v>0.14678899082568808</v>
      </c>
      <c r="F5331" s="2913">
        <v>0.93</v>
      </c>
      <c r="G5331" s="2885">
        <v>1.0900000000000001</v>
      </c>
      <c r="O5331" s="176"/>
    </row>
    <row r="5332" spans="1:15" s="2885" customFormat="1">
      <c r="A5332" s="2910"/>
      <c r="B5332" s="2911"/>
      <c r="C5332" s="2905" t="s">
        <v>858</v>
      </c>
      <c r="D5332" s="2911"/>
      <c r="E5332" s="2954">
        <f t="shared" si="113"/>
        <v>0.15533980582524273</v>
      </c>
      <c r="F5332" s="2913">
        <v>0.87</v>
      </c>
      <c r="G5332" s="2885">
        <v>1.03</v>
      </c>
      <c r="O5332" s="176"/>
    </row>
    <row r="5333" spans="1:15" s="2885" customFormat="1">
      <c r="A5333" s="2910"/>
      <c r="B5333" s="2911"/>
      <c r="C5333" s="2905" t="s">
        <v>3408</v>
      </c>
      <c r="D5333" s="2911"/>
      <c r="E5333" s="2954">
        <f t="shared" si="113"/>
        <v>0.14953271028037385</v>
      </c>
      <c r="F5333" s="2913">
        <v>0.91</v>
      </c>
      <c r="G5333" s="2885">
        <v>1.07</v>
      </c>
      <c r="O5333" s="176"/>
    </row>
    <row r="5334" spans="1:15" s="2885" customFormat="1">
      <c r="A5334" s="2910"/>
      <c r="B5334" s="2911"/>
      <c r="C5334" s="2911" t="s">
        <v>554</v>
      </c>
      <c r="D5334" s="2911"/>
      <c r="E5334" s="2896">
        <f t="shared" si="113"/>
        <v>0.14960629921259838</v>
      </c>
      <c r="F5334" s="2913">
        <v>1.08</v>
      </c>
      <c r="G5334" s="2885">
        <v>1.27</v>
      </c>
      <c r="O5334" s="176"/>
    </row>
    <row r="5335" spans="1:15" s="2885" customFormat="1">
      <c r="A5335" s="2910"/>
      <c r="B5335" s="2911"/>
      <c r="C5335" s="2911" t="s">
        <v>53</v>
      </c>
      <c r="D5335" s="2911"/>
      <c r="E5335" s="2896">
        <f t="shared" si="113"/>
        <v>0.15238095238095239</v>
      </c>
      <c r="F5335" s="2913">
        <v>0.89</v>
      </c>
      <c r="G5335" s="2885">
        <v>1.05</v>
      </c>
      <c r="O5335" s="176"/>
    </row>
    <row r="5336" spans="1:15" s="2885" customFormat="1">
      <c r="A5336" s="2910"/>
      <c r="B5336" s="2911"/>
      <c r="C5336" s="2905" t="s">
        <v>1644</v>
      </c>
      <c r="D5336" s="2911"/>
      <c r="E5336" s="2896">
        <f t="shared" si="113"/>
        <v>0.15015974440894561</v>
      </c>
      <c r="F5336" s="2913">
        <v>2.66</v>
      </c>
      <c r="G5336" s="2885">
        <v>3.13</v>
      </c>
      <c r="O5336" s="176"/>
    </row>
    <row r="5337" spans="1:15" s="2885" customFormat="1">
      <c r="A5337" s="2910"/>
      <c r="B5337" s="2911"/>
      <c r="C5337" s="2905" t="s">
        <v>3409</v>
      </c>
      <c r="D5337" s="2911"/>
      <c r="E5337" s="2896">
        <f t="shared" si="113"/>
        <v>0.14960629921259838</v>
      </c>
      <c r="F5337" s="2913">
        <v>3.24</v>
      </c>
      <c r="G5337" s="2885">
        <v>3.81</v>
      </c>
      <c r="O5337" s="176"/>
    </row>
    <row r="5338" spans="1:15" s="2885" customFormat="1">
      <c r="A5338" s="2910"/>
      <c r="B5338" s="2911"/>
      <c r="C5338" s="2905" t="s">
        <v>3410</v>
      </c>
      <c r="D5338" s="2911"/>
      <c r="E5338" s="2896">
        <f t="shared" si="113"/>
        <v>0.10116731517509719</v>
      </c>
      <c r="F5338" s="2913">
        <v>2.31</v>
      </c>
      <c r="G5338" s="2885">
        <v>2.57</v>
      </c>
      <c r="O5338" s="176"/>
    </row>
    <row r="5339" spans="1:15" s="2885" customFormat="1">
      <c r="A5339" s="2910"/>
      <c r="B5339" s="2911"/>
      <c r="C5339" s="2911" t="s">
        <v>3634</v>
      </c>
      <c r="D5339" s="2911"/>
      <c r="E5339" s="2896">
        <f t="shared" si="113"/>
        <v>0.10116731517509719</v>
      </c>
      <c r="F5339" s="2913">
        <v>2.31</v>
      </c>
      <c r="G5339" s="2885">
        <v>2.57</v>
      </c>
      <c r="O5339" s="176"/>
    </row>
    <row r="5340" spans="1:15" s="2885" customFormat="1">
      <c r="A5340" s="2910"/>
      <c r="B5340" s="2911"/>
      <c r="C5340" s="2905" t="s">
        <v>2274</v>
      </c>
      <c r="D5340" s="2911"/>
      <c r="E5340" s="2896">
        <f t="shared" si="113"/>
        <v>0.10070257611241212</v>
      </c>
      <c r="F5340" s="2913">
        <v>3.84</v>
      </c>
      <c r="G5340" s="2885">
        <v>4.2699999999999996</v>
      </c>
      <c r="O5340" s="176"/>
    </row>
    <row r="5341" spans="1:15" s="2885" customFormat="1">
      <c r="A5341" s="2910"/>
      <c r="B5341" s="2911"/>
      <c r="C5341" s="2905" t="s">
        <v>1497</v>
      </c>
      <c r="D5341" s="2911"/>
      <c r="E5341" s="2896">
        <f t="shared" si="113"/>
        <v>0.10070257611241212</v>
      </c>
      <c r="F5341" s="2913">
        <v>3.84</v>
      </c>
      <c r="G5341" s="2885">
        <v>4.2699999999999996</v>
      </c>
      <c r="O5341" s="176"/>
    </row>
    <row r="5342" spans="1:15" s="2885" customFormat="1">
      <c r="A5342" s="2910"/>
      <c r="B5342" s="2911"/>
      <c r="C5342" s="2905" t="s">
        <v>2275</v>
      </c>
      <c r="D5342" s="2911"/>
      <c r="E5342" s="2896">
        <f t="shared" si="113"/>
        <v>9.9999999999999922E-2</v>
      </c>
      <c r="F5342" s="2913">
        <v>8.5500000000000007</v>
      </c>
      <c r="G5342" s="2885">
        <v>9.5</v>
      </c>
      <c r="O5342" s="176"/>
    </row>
    <row r="5343" spans="1:15" s="2885" customFormat="1">
      <c r="A5343" s="2910"/>
      <c r="B5343" s="2911"/>
      <c r="C5343" s="2905" t="s">
        <v>239</v>
      </c>
      <c r="D5343" s="2911"/>
      <c r="E5343" s="2896">
        <f t="shared" si="113"/>
        <v>9.9999999999999922E-2</v>
      </c>
      <c r="F5343" s="2913">
        <v>8.5500000000000007</v>
      </c>
      <c r="G5343" s="2885">
        <v>9.5</v>
      </c>
      <c r="O5343" s="176"/>
    </row>
    <row r="5344" spans="1:15" s="2885" customFormat="1">
      <c r="A5344" s="2910"/>
      <c r="B5344" s="2911"/>
      <c r="C5344" s="2905" t="s">
        <v>2277</v>
      </c>
      <c r="D5344" s="2911"/>
      <c r="E5344" s="2896">
        <f t="shared" si="113"/>
        <v>0.10070257611241212</v>
      </c>
      <c r="F5344" s="2913">
        <v>3.84</v>
      </c>
      <c r="G5344" s="2885">
        <v>4.2699999999999996</v>
      </c>
      <c r="O5344" s="176"/>
    </row>
    <row r="5345" spans="1:15" s="2885" customFormat="1">
      <c r="A5345" s="2910"/>
      <c r="B5345" s="2911"/>
      <c r="C5345" s="2905" t="s">
        <v>1722</v>
      </c>
      <c r="D5345" s="2911"/>
      <c r="E5345" s="2896">
        <f t="shared" si="113"/>
        <v>0.10070257611241212</v>
      </c>
      <c r="F5345" s="2913">
        <v>3.84</v>
      </c>
      <c r="G5345" s="2885">
        <v>4.2699999999999996</v>
      </c>
      <c r="O5345" s="176"/>
    </row>
    <row r="5346" spans="1:15" s="2885" customFormat="1">
      <c r="A5346" s="2910"/>
      <c r="B5346" s="2911"/>
      <c r="C5346" s="2905" t="s">
        <v>2272</v>
      </c>
      <c r="D5346" s="2911"/>
      <c r="E5346" s="2896">
        <f t="shared" si="113"/>
        <v>0.10070257611241212</v>
      </c>
      <c r="F5346" s="2913">
        <v>3.84</v>
      </c>
      <c r="G5346" s="2885">
        <v>4.2699999999999996</v>
      </c>
      <c r="O5346" s="176"/>
    </row>
    <row r="5347" spans="1:15" s="2885" customFormat="1">
      <c r="A5347" s="2910"/>
      <c r="B5347" s="2911"/>
      <c r="C5347" s="2905" t="s">
        <v>1496</v>
      </c>
      <c r="D5347" s="2911"/>
      <c r="E5347" s="2896">
        <f t="shared" si="113"/>
        <v>0.10070257611241212</v>
      </c>
      <c r="F5347" s="2913">
        <v>3.84</v>
      </c>
      <c r="G5347" s="2885">
        <v>4.2699999999999996</v>
      </c>
      <c r="O5347" s="176"/>
    </row>
    <row r="5348" spans="1:15" s="2885" customFormat="1">
      <c r="A5348" s="2910"/>
      <c r="B5348" s="2911"/>
      <c r="C5348" s="2905" t="s">
        <v>2271</v>
      </c>
      <c r="D5348" s="2911"/>
      <c r="E5348" s="2896">
        <f t="shared" si="113"/>
        <v>9.9999999999999922E-2</v>
      </c>
      <c r="F5348" s="2913">
        <v>8.5500000000000007</v>
      </c>
      <c r="G5348" s="2885">
        <v>9.5</v>
      </c>
      <c r="O5348" s="176"/>
    </row>
    <row r="5349" spans="1:15" s="2885" customFormat="1">
      <c r="A5349" s="2910"/>
      <c r="B5349" s="2911"/>
      <c r="C5349" s="2905" t="s">
        <v>238</v>
      </c>
      <c r="D5349" s="2911"/>
      <c r="E5349" s="2896">
        <f t="shared" si="113"/>
        <v>9.9999999999999922E-2</v>
      </c>
      <c r="F5349" s="2913">
        <v>8.5500000000000007</v>
      </c>
      <c r="G5349" s="2885">
        <v>9.5</v>
      </c>
      <c r="O5349" s="176"/>
    </row>
    <row r="5350" spans="1:15" s="2885" customFormat="1">
      <c r="A5350" s="2910"/>
      <c r="B5350" s="2911"/>
      <c r="C5350" s="2911" t="s">
        <v>2273</v>
      </c>
      <c r="D5350" s="2911"/>
      <c r="E5350" s="2896">
        <f t="shared" si="113"/>
        <v>0.10008741258741255</v>
      </c>
      <c r="F5350" s="2913">
        <v>20.59</v>
      </c>
      <c r="G5350" s="2885">
        <v>22.88</v>
      </c>
      <c r="O5350" s="176"/>
    </row>
    <row r="5351" spans="1:15" s="2885" customFormat="1">
      <c r="A5351" s="2910"/>
      <c r="B5351" s="2911"/>
      <c r="C5351" s="2911" t="s">
        <v>71</v>
      </c>
      <c r="D5351" s="2911"/>
      <c r="E5351" s="2896">
        <f t="shared" si="113"/>
        <v>0.10008741258741255</v>
      </c>
      <c r="F5351" s="2913">
        <v>20.59</v>
      </c>
      <c r="G5351" s="2885">
        <v>22.88</v>
      </c>
      <c r="O5351" s="176"/>
    </row>
    <row r="5352" spans="1:15" s="2885" customFormat="1">
      <c r="A5352" s="2910"/>
      <c r="B5352" s="2911"/>
      <c r="C5352" s="2911" t="s">
        <v>1883</v>
      </c>
      <c r="D5352" s="2911"/>
      <c r="E5352" s="2896">
        <f t="shared" si="113"/>
        <v>0.10008741258741255</v>
      </c>
      <c r="F5352" s="2913">
        <v>20.59</v>
      </c>
      <c r="G5352" s="2885">
        <v>22.88</v>
      </c>
      <c r="O5352" s="176"/>
    </row>
    <row r="5353" spans="1:15" s="2885" customFormat="1">
      <c r="A5353" s="2910"/>
      <c r="B5353" s="2911"/>
      <c r="C5353" s="2911" t="s">
        <v>2276</v>
      </c>
      <c r="D5353" s="2911"/>
      <c r="E5353" s="2896">
        <f t="shared" si="113"/>
        <v>0.10008741258741255</v>
      </c>
      <c r="F5353" s="2913">
        <v>20.59</v>
      </c>
      <c r="G5353" s="2885">
        <v>22.88</v>
      </c>
      <c r="O5353" s="176"/>
    </row>
    <row r="5354" spans="1:15" s="2885" customFormat="1">
      <c r="A5354" s="2910"/>
      <c r="B5354" s="2911"/>
      <c r="C5354" s="2905" t="s">
        <v>2281</v>
      </c>
      <c r="D5354" s="2911"/>
      <c r="E5354" s="2896">
        <f t="shared" si="113"/>
        <v>9.9999999999999922E-2</v>
      </c>
      <c r="F5354" s="2913">
        <v>8.5500000000000007</v>
      </c>
      <c r="G5354" s="2885">
        <v>9.5</v>
      </c>
      <c r="O5354" s="176"/>
    </row>
    <row r="5355" spans="1:15" s="2885" customFormat="1">
      <c r="A5355" s="2910"/>
      <c r="B5355" s="2911"/>
      <c r="C5355" s="2905" t="s">
        <v>2282</v>
      </c>
      <c r="D5355" s="2911"/>
      <c r="E5355" s="2896">
        <f t="shared" si="113"/>
        <v>9.9999999999999922E-2</v>
      </c>
      <c r="F5355" s="2913">
        <v>8.5500000000000007</v>
      </c>
      <c r="G5355" s="2885">
        <v>9.5</v>
      </c>
      <c r="O5355" s="176"/>
    </row>
    <row r="5356" spans="1:15" s="2885" customFormat="1">
      <c r="A5356" s="2910"/>
      <c r="B5356" s="2911"/>
      <c r="C5356" s="2911" t="s">
        <v>2880</v>
      </c>
      <c r="D5356" s="2911"/>
      <c r="E5356" s="2896">
        <f t="shared" si="113"/>
        <v>0.10008741258741255</v>
      </c>
      <c r="F5356" s="2913">
        <v>20.59</v>
      </c>
      <c r="G5356" s="2885">
        <v>22.88</v>
      </c>
      <c r="O5356" s="176"/>
    </row>
    <row r="5357" spans="1:15" s="2885" customFormat="1" ht="15.75" thickBot="1">
      <c r="A5357" s="2914"/>
      <c r="B5357" s="2915"/>
      <c r="C5357" s="2915" t="s">
        <v>2881</v>
      </c>
      <c r="D5357" s="2915"/>
      <c r="E5357" s="2890">
        <f t="shared" si="113"/>
        <v>0.10008741258741255</v>
      </c>
      <c r="F5357" s="2917">
        <v>20.59</v>
      </c>
      <c r="G5357" s="2885">
        <v>22.88</v>
      </c>
      <c r="O5357" s="176"/>
    </row>
    <row r="5358" spans="1:15" ht="15.75" thickBot="1"/>
    <row r="5359" spans="1:15" s="2885" customFormat="1">
      <c r="A5359" s="3572"/>
      <c r="B5359" s="3557"/>
      <c r="C5359" s="3557"/>
      <c r="D5359" s="3557"/>
      <c r="E5359" s="3557"/>
      <c r="F5359" s="3559"/>
      <c r="G5359" s="3559"/>
      <c r="O5359" s="176"/>
    </row>
    <row r="5360" spans="1:15" s="2885" customFormat="1">
      <c r="A5360" s="3905"/>
      <c r="B5360" s="3906"/>
      <c r="C5360" s="3906"/>
      <c r="D5360" s="3906"/>
      <c r="E5360" s="3906"/>
      <c r="F5360" s="3913"/>
      <c r="G5360" s="3913"/>
      <c r="O5360" s="176"/>
    </row>
    <row r="5361" spans="1:15" s="2885" customFormat="1">
      <c r="A5361" s="3113" t="s">
        <v>3660</v>
      </c>
      <c r="B5361" s="2898" t="s">
        <v>106</v>
      </c>
      <c r="C5361" s="2952" t="s">
        <v>732</v>
      </c>
      <c r="D5361" s="2953"/>
      <c r="E5361" s="2954">
        <f t="shared" ref="E5361:E5406" si="114">(G5361-F5361)/G5361</f>
        <v>0.202247191011236</v>
      </c>
      <c r="F5361" s="2953">
        <v>0.71</v>
      </c>
      <c r="G5361" s="2911">
        <v>0.89</v>
      </c>
      <c r="O5361" s="176"/>
    </row>
    <row r="5362" spans="1:15" s="2885" customFormat="1">
      <c r="A5362" s="3113"/>
      <c r="B5362" s="2898"/>
      <c r="C5362" s="2952" t="s">
        <v>2080</v>
      </c>
      <c r="D5362" s="2953"/>
      <c r="E5362" s="2954">
        <f t="shared" si="114"/>
        <v>0.19791666666666663</v>
      </c>
      <c r="F5362" s="2953">
        <v>0.77</v>
      </c>
      <c r="G5362" s="2911">
        <v>0.96</v>
      </c>
      <c r="O5362" s="176"/>
    </row>
    <row r="5363" spans="1:15" s="2885" customFormat="1">
      <c r="A5363" s="2911"/>
      <c r="B5363" s="2911"/>
      <c r="C5363" s="2911" t="s">
        <v>3315</v>
      </c>
      <c r="D5363" s="2911"/>
      <c r="E5363" s="2954">
        <f t="shared" si="114"/>
        <v>0.19791666666666663</v>
      </c>
      <c r="F5363" s="2911">
        <v>0.77</v>
      </c>
      <c r="G5363" s="2911">
        <v>0.96</v>
      </c>
      <c r="O5363" s="176"/>
    </row>
    <row r="5364" spans="1:15" s="2885" customFormat="1">
      <c r="A5364" s="2911"/>
      <c r="B5364" s="2911"/>
      <c r="C5364" s="2911" t="s">
        <v>1949</v>
      </c>
      <c r="D5364" s="2911"/>
      <c r="E5364" s="2954">
        <f t="shared" si="114"/>
        <v>0.19791666666666663</v>
      </c>
      <c r="F5364" s="2911">
        <v>0.77</v>
      </c>
      <c r="G5364" s="2911">
        <v>0.96</v>
      </c>
      <c r="O5364" s="176"/>
    </row>
    <row r="5365" spans="1:15" s="2885" customFormat="1">
      <c r="A5365" s="2911"/>
      <c r="B5365" s="2911"/>
      <c r="C5365" s="2911" t="s">
        <v>3316</v>
      </c>
      <c r="D5365" s="2911"/>
      <c r="E5365" s="2954">
        <f t="shared" si="114"/>
        <v>0.19791666666666663</v>
      </c>
      <c r="F5365" s="2911">
        <v>0.77</v>
      </c>
      <c r="G5365" s="2911">
        <v>0.96</v>
      </c>
      <c r="O5365" s="176"/>
    </row>
    <row r="5366" spans="1:15" s="2885" customFormat="1">
      <c r="A5366" s="2911"/>
      <c r="B5366" s="2911"/>
      <c r="C5366" s="2911" t="s">
        <v>1950</v>
      </c>
      <c r="D5366" s="2911"/>
      <c r="E5366" s="2954">
        <f t="shared" si="114"/>
        <v>0.19791666666666663</v>
      </c>
      <c r="F5366" s="2911">
        <v>0.77</v>
      </c>
      <c r="G5366" s="2911">
        <v>0.96</v>
      </c>
      <c r="O5366" s="176"/>
    </row>
    <row r="5367" spans="1:15" s="2885" customFormat="1">
      <c r="A5367" s="2911"/>
      <c r="B5367" s="2911"/>
      <c r="C5367" s="2911" t="s">
        <v>3317</v>
      </c>
      <c r="D5367" s="2911"/>
      <c r="E5367" s="2954">
        <f t="shared" si="114"/>
        <v>0.19791666666666663</v>
      </c>
      <c r="F5367" s="2911">
        <v>0.77</v>
      </c>
      <c r="G5367" s="2911">
        <v>0.96</v>
      </c>
      <c r="O5367" s="176"/>
    </row>
    <row r="5368" spans="1:15" s="2885" customFormat="1">
      <c r="A5368" s="2911"/>
      <c r="B5368" s="2911"/>
      <c r="C5368" s="2911" t="s">
        <v>920</v>
      </c>
      <c r="D5368" s="2911"/>
      <c r="E5368" s="2954">
        <f t="shared" si="114"/>
        <v>0.19767441860465121</v>
      </c>
      <c r="F5368" s="2911">
        <v>0.69</v>
      </c>
      <c r="G5368" s="2911">
        <v>0.86</v>
      </c>
      <c r="O5368" s="176"/>
    </row>
    <row r="5369" spans="1:15" s="2885" customFormat="1">
      <c r="A5369" s="2911"/>
      <c r="B5369" s="2911"/>
      <c r="C5369" s="2911" t="s">
        <v>1791</v>
      </c>
      <c r="D5369" s="2911"/>
      <c r="E5369" s="2954">
        <f t="shared" si="114"/>
        <v>0.19067796610169491</v>
      </c>
      <c r="F5369" s="2911">
        <v>1.91</v>
      </c>
      <c r="G5369" s="2911">
        <v>2.36</v>
      </c>
      <c r="O5369" s="176"/>
    </row>
    <row r="5370" spans="1:15" s="2885" customFormat="1">
      <c r="A5370" s="2911"/>
      <c r="B5370" s="2911"/>
      <c r="C5370" s="2911" t="s">
        <v>3661</v>
      </c>
      <c r="D5370" s="2911"/>
      <c r="E5370" s="2954">
        <f t="shared" si="114"/>
        <v>0.202247191011236</v>
      </c>
      <c r="F5370" s="2911">
        <v>0.71</v>
      </c>
      <c r="G5370" s="2911">
        <v>0.89</v>
      </c>
      <c r="O5370" s="176"/>
    </row>
    <row r="5371" spans="1:15" s="2885" customFormat="1">
      <c r="A5371" s="2911"/>
      <c r="B5371" s="2911"/>
      <c r="C5371" s="2911" t="s">
        <v>1612</v>
      </c>
      <c r="D5371" s="2911"/>
      <c r="E5371" s="2954">
        <f t="shared" si="114"/>
        <v>0.202247191011236</v>
      </c>
      <c r="F5371" s="2911">
        <v>0.71</v>
      </c>
      <c r="G5371" s="2911">
        <v>0.89</v>
      </c>
      <c r="O5371" s="176"/>
    </row>
    <row r="5372" spans="1:15" s="2885" customFormat="1">
      <c r="A5372" s="2911"/>
      <c r="B5372" s="2911"/>
      <c r="C5372" s="2911" t="s">
        <v>2827</v>
      </c>
      <c r="D5372" s="2911"/>
      <c r="E5372" s="2896">
        <f t="shared" si="114"/>
        <v>0.19999999999999993</v>
      </c>
      <c r="F5372" s="2911">
        <v>1.32</v>
      </c>
      <c r="G5372" s="2911">
        <v>1.65</v>
      </c>
      <c r="O5372" s="176"/>
    </row>
    <row r="5373" spans="1:15" s="2885" customFormat="1">
      <c r="A5373" s="2911"/>
      <c r="B5373" s="2911"/>
      <c r="C5373" s="2911" t="s">
        <v>2115</v>
      </c>
      <c r="D5373" s="2911"/>
      <c r="E5373" s="2896">
        <f t="shared" si="114"/>
        <v>0.19999999999999993</v>
      </c>
      <c r="F5373" s="2911">
        <v>1.32</v>
      </c>
      <c r="G5373" s="2911">
        <v>1.65</v>
      </c>
      <c r="O5373" s="176"/>
    </row>
    <row r="5374" spans="1:15" s="2885" customFormat="1">
      <c r="A5374" s="2911"/>
      <c r="B5374" s="2911"/>
      <c r="C5374" s="2911" t="s">
        <v>2890</v>
      </c>
      <c r="D5374" s="2911"/>
      <c r="E5374" s="2896">
        <f t="shared" si="114"/>
        <v>0.19999999999999993</v>
      </c>
      <c r="F5374" s="2911">
        <v>1.32</v>
      </c>
      <c r="G5374" s="2911">
        <v>1.65</v>
      </c>
      <c r="O5374" s="176"/>
    </row>
    <row r="5375" spans="1:15" s="2885" customFormat="1">
      <c r="A5375" s="2911"/>
      <c r="B5375" s="2911"/>
      <c r="C5375" s="2911" t="s">
        <v>2116</v>
      </c>
      <c r="D5375" s="2911"/>
      <c r="E5375" s="2896">
        <f t="shared" si="114"/>
        <v>0.19999999999999993</v>
      </c>
      <c r="F5375" s="2911">
        <v>1.32</v>
      </c>
      <c r="G5375" s="2911">
        <v>1.65</v>
      </c>
      <c r="O5375" s="176"/>
    </row>
    <row r="5376" spans="1:15" s="2885" customFormat="1">
      <c r="A5376" s="2911"/>
      <c r="B5376" s="2911"/>
      <c r="C5376" s="2911" t="s">
        <v>2871</v>
      </c>
      <c r="D5376" s="2911"/>
      <c r="E5376" s="2896">
        <f t="shared" si="114"/>
        <v>0.19999999999999993</v>
      </c>
      <c r="F5376" s="2911">
        <v>1.32</v>
      </c>
      <c r="G5376" s="2911">
        <v>1.65</v>
      </c>
      <c r="O5376" s="176"/>
    </row>
    <row r="5377" spans="1:15" s="2885" customFormat="1">
      <c r="A5377" s="2911"/>
      <c r="B5377" s="2911"/>
      <c r="C5377" s="2911" t="s">
        <v>2066</v>
      </c>
      <c r="D5377" s="2911"/>
      <c r="E5377" s="2896">
        <f t="shared" si="114"/>
        <v>0.19999999999999993</v>
      </c>
      <c r="F5377" s="2911">
        <v>1.32</v>
      </c>
      <c r="G5377" s="2911">
        <v>1.65</v>
      </c>
      <c r="O5377" s="176"/>
    </row>
    <row r="5378" spans="1:15" s="2885" customFormat="1">
      <c r="A5378" s="2911"/>
      <c r="B5378" s="2911"/>
      <c r="C5378" s="2911" t="s">
        <v>2983</v>
      </c>
      <c r="D5378" s="2911"/>
      <c r="E5378" s="2896">
        <f t="shared" si="114"/>
        <v>0.19999999999999996</v>
      </c>
      <c r="F5378" s="2911">
        <v>1.52</v>
      </c>
      <c r="G5378" s="2911">
        <v>1.9</v>
      </c>
      <c r="O5378" s="176"/>
    </row>
    <row r="5379" spans="1:15" s="2885" customFormat="1">
      <c r="A5379" s="2911"/>
      <c r="B5379" s="2911"/>
      <c r="C5379" s="2911" t="s">
        <v>2984</v>
      </c>
      <c r="D5379" s="2911"/>
      <c r="E5379" s="2896">
        <f t="shared" si="114"/>
        <v>0.19999999999999996</v>
      </c>
      <c r="F5379" s="2911">
        <v>1.52</v>
      </c>
      <c r="G5379" s="2911">
        <v>1.9</v>
      </c>
      <c r="O5379" s="176"/>
    </row>
    <row r="5380" spans="1:15" s="2885" customFormat="1">
      <c r="A5380" s="2911"/>
      <c r="B5380" s="2911"/>
      <c r="C5380" s="2911" t="s">
        <v>2940</v>
      </c>
      <c r="D5380" s="2911"/>
      <c r="E5380" s="2896">
        <f t="shared" si="114"/>
        <v>0.19999999999999996</v>
      </c>
      <c r="F5380" s="2911">
        <v>1.52</v>
      </c>
      <c r="G5380" s="2911">
        <v>1.9</v>
      </c>
      <c r="O5380" s="176"/>
    </row>
    <row r="5381" spans="1:15" s="2885" customFormat="1">
      <c r="A5381" s="2911"/>
      <c r="B5381" s="2911"/>
      <c r="C5381" s="2911" t="s">
        <v>2941</v>
      </c>
      <c r="D5381" s="2911"/>
      <c r="E5381" s="2896">
        <f t="shared" si="114"/>
        <v>0.19999999999999996</v>
      </c>
      <c r="F5381" s="2911">
        <v>1.52</v>
      </c>
      <c r="G5381" s="2911">
        <v>1.9</v>
      </c>
      <c r="O5381" s="176"/>
    </row>
    <row r="5382" spans="1:15" s="2885" customFormat="1">
      <c r="A5382" s="2911"/>
      <c r="B5382" s="2911"/>
      <c r="C5382" s="2911" t="s">
        <v>1880</v>
      </c>
      <c r="D5382" s="2911"/>
      <c r="E5382" s="2896">
        <f t="shared" si="114"/>
        <v>0.20111731843575423</v>
      </c>
      <c r="F5382" s="2911">
        <v>1.43</v>
      </c>
      <c r="G5382" s="2911">
        <v>1.79</v>
      </c>
      <c r="O5382" s="176"/>
    </row>
    <row r="5383" spans="1:15" s="2885" customFormat="1">
      <c r="A5383" s="2911"/>
      <c r="B5383" s="2911"/>
      <c r="C5383" s="2905" t="s">
        <v>1881</v>
      </c>
      <c r="D5383" s="2911"/>
      <c r="E5383" s="2896">
        <f t="shared" si="114"/>
        <v>0.20111731843575423</v>
      </c>
      <c r="F5383" s="2911">
        <v>1.43</v>
      </c>
      <c r="G5383" s="2911">
        <v>1.79</v>
      </c>
      <c r="O5383" s="176"/>
    </row>
    <row r="5384" spans="1:15" s="2885" customFormat="1">
      <c r="A5384" s="2911"/>
      <c r="B5384" s="2911"/>
      <c r="C5384" s="2905" t="s">
        <v>1058</v>
      </c>
      <c r="D5384" s="2911"/>
      <c r="E5384" s="2896">
        <f t="shared" si="114"/>
        <v>0.19634703196347031</v>
      </c>
      <c r="F5384" s="2911">
        <v>1.76</v>
      </c>
      <c r="G5384" s="2911">
        <v>2.19</v>
      </c>
      <c r="O5384" s="176"/>
    </row>
    <row r="5385" spans="1:15" s="2885" customFormat="1">
      <c r="A5385" s="2911"/>
      <c r="B5385" s="2911"/>
      <c r="C5385" s="2905" t="s">
        <v>905</v>
      </c>
      <c r="D5385" s="2911"/>
      <c r="E5385" s="2896">
        <f t="shared" si="114"/>
        <v>0.84309133489461363</v>
      </c>
      <c r="F5385" s="2911">
        <v>0.67</v>
      </c>
      <c r="G5385" s="2911">
        <v>4.2699999999999996</v>
      </c>
      <c r="O5385" s="176"/>
    </row>
    <row r="5386" spans="1:15" s="2885" customFormat="1">
      <c r="A5386" s="2911"/>
      <c r="B5386" s="2911"/>
      <c r="C5386" s="2905" t="s">
        <v>3662</v>
      </c>
      <c r="D5386" s="2911"/>
      <c r="E5386" s="2896">
        <f t="shared" si="114"/>
        <v>0.20388349514563114</v>
      </c>
      <c r="F5386" s="2911">
        <v>0.82</v>
      </c>
      <c r="G5386" s="2911">
        <v>1.03</v>
      </c>
      <c r="O5386" s="176"/>
    </row>
    <row r="5387" spans="1:15" s="2885" customFormat="1">
      <c r="A5387" s="2911"/>
      <c r="B5387" s="2911"/>
      <c r="C5387" s="2905" t="s">
        <v>3663</v>
      </c>
      <c r="D5387" s="2911"/>
      <c r="E5387" s="2896">
        <f t="shared" si="114"/>
        <v>0.20388349514563114</v>
      </c>
      <c r="F5387" s="2911">
        <v>0.82</v>
      </c>
      <c r="G5387" s="2911">
        <v>1.03</v>
      </c>
      <c r="O5387" s="176"/>
    </row>
    <row r="5388" spans="1:15" s="2885" customFormat="1">
      <c r="A5388" s="2911"/>
      <c r="B5388" s="2911"/>
      <c r="C5388" s="2905" t="s">
        <v>2999</v>
      </c>
      <c r="D5388" s="2911"/>
      <c r="E5388" s="2896">
        <f t="shared" si="114"/>
        <v>0.19892473118279574</v>
      </c>
      <c r="F5388" s="2911">
        <v>1.49</v>
      </c>
      <c r="G5388" s="2911">
        <v>1.86</v>
      </c>
      <c r="O5388" s="176"/>
    </row>
    <row r="5389" spans="1:15" s="2885" customFormat="1">
      <c r="A5389" s="2911"/>
      <c r="B5389" s="2911"/>
      <c r="C5389" s="2905" t="s">
        <v>3664</v>
      </c>
      <c r="D5389" s="2911"/>
      <c r="E5389" s="2896">
        <f t="shared" si="114"/>
        <v>0.20833333333333337</v>
      </c>
      <c r="F5389" s="2911">
        <v>0.56999999999999995</v>
      </c>
      <c r="G5389" s="2911">
        <v>0.72</v>
      </c>
      <c r="O5389" s="176"/>
    </row>
    <row r="5390" spans="1:15" s="2885" customFormat="1">
      <c r="A5390" s="2911"/>
      <c r="B5390" s="2911"/>
      <c r="C5390" s="2905" t="s">
        <v>1092</v>
      </c>
      <c r="D5390" s="2911"/>
      <c r="E5390" s="2896">
        <f t="shared" si="114"/>
        <v>0.20000000000000004</v>
      </c>
      <c r="F5390" s="2911">
        <v>1.24</v>
      </c>
      <c r="G5390" s="2911">
        <v>1.55</v>
      </c>
      <c r="O5390" s="176"/>
    </row>
    <row r="5391" spans="1:15" s="2885" customFormat="1">
      <c r="A5391" s="2911"/>
      <c r="B5391" s="2911"/>
      <c r="C5391" s="2905" t="s">
        <v>1091</v>
      </c>
      <c r="D5391" s="2911"/>
      <c r="E5391" s="2896">
        <f t="shared" si="114"/>
        <v>0.20129870129870134</v>
      </c>
      <c r="F5391" s="2911">
        <v>1.23</v>
      </c>
      <c r="G5391" s="2911">
        <v>1.54</v>
      </c>
      <c r="O5391" s="176"/>
    </row>
    <row r="5392" spans="1:15" s="2885" customFormat="1">
      <c r="A5392" s="2911"/>
      <c r="B5392" s="2911"/>
      <c r="C5392" s="2905" t="s">
        <v>1090</v>
      </c>
      <c r="D5392" s="2911"/>
      <c r="E5392" s="2896">
        <f t="shared" si="114"/>
        <v>0.20261437908496735</v>
      </c>
      <c r="F5392" s="2911">
        <v>1.22</v>
      </c>
      <c r="G5392" s="2911">
        <v>1.53</v>
      </c>
      <c r="O5392" s="176"/>
    </row>
    <row r="5393" spans="1:15" s="2885" customFormat="1">
      <c r="A5393" s="2911"/>
      <c r="B5393" s="2911"/>
      <c r="C5393" s="2905" t="s">
        <v>3665</v>
      </c>
      <c r="D5393" s="2911"/>
      <c r="E5393" s="2896">
        <f t="shared" si="114"/>
        <v>0.2</v>
      </c>
      <c r="F5393" s="2911">
        <v>1.08</v>
      </c>
      <c r="G5393" s="2911">
        <v>1.35</v>
      </c>
      <c r="O5393" s="176"/>
    </row>
    <row r="5394" spans="1:15" s="2885" customFormat="1">
      <c r="A5394" s="2911"/>
      <c r="B5394" s="2911"/>
      <c r="C5394" s="2905" t="s">
        <v>1614</v>
      </c>
      <c r="D5394" s="2911"/>
      <c r="E5394" s="2896">
        <f t="shared" si="114"/>
        <v>0.20134228187919467</v>
      </c>
      <c r="F5394" s="2911">
        <v>1.19</v>
      </c>
      <c r="G5394" s="2911">
        <v>1.49</v>
      </c>
      <c r="O5394" s="176"/>
    </row>
    <row r="5395" spans="1:15" s="2885" customFormat="1">
      <c r="A5395" s="2911"/>
      <c r="B5395" s="2911"/>
      <c r="C5395" s="2905" t="s">
        <v>2792</v>
      </c>
      <c r="D5395" s="2911"/>
      <c r="E5395" s="2896">
        <f t="shared" si="114"/>
        <v>0.20134228187919467</v>
      </c>
      <c r="F5395" s="2911">
        <v>1.19</v>
      </c>
      <c r="G5395" s="2911">
        <v>1.49</v>
      </c>
      <c r="O5395" s="176"/>
    </row>
    <row r="5396" spans="1:15" s="2885" customFormat="1">
      <c r="A5396" s="2911"/>
      <c r="B5396" s="2911"/>
      <c r="C5396" s="2905" t="s">
        <v>3470</v>
      </c>
      <c r="D5396" s="2911"/>
      <c r="E5396" s="2896">
        <f t="shared" si="114"/>
        <v>0.19871794871794873</v>
      </c>
      <c r="F5396" s="2911">
        <v>2.5</v>
      </c>
      <c r="G5396" s="2911">
        <v>3.12</v>
      </c>
      <c r="O5396" s="176"/>
    </row>
    <row r="5397" spans="1:15" s="2885" customFormat="1">
      <c r="A5397" s="2911"/>
      <c r="B5397" s="2911"/>
      <c r="C5397" s="2905" t="s">
        <v>686</v>
      </c>
      <c r="D5397" s="2911"/>
      <c r="E5397" s="2896">
        <f t="shared" si="114"/>
        <v>0.20171673819742489</v>
      </c>
      <c r="F5397" s="2911">
        <v>1.86</v>
      </c>
      <c r="G5397" s="2911">
        <v>2.33</v>
      </c>
      <c r="O5397" s="176"/>
    </row>
    <row r="5398" spans="1:15" s="2885" customFormat="1">
      <c r="A5398" s="2911"/>
      <c r="B5398" s="2911"/>
      <c r="C5398" s="2911" t="s">
        <v>687</v>
      </c>
      <c r="D5398" s="2911"/>
      <c r="E5398" s="2896">
        <f t="shared" si="114"/>
        <v>0.20171673819742489</v>
      </c>
      <c r="F5398" s="2911">
        <v>1.86</v>
      </c>
      <c r="G5398" s="2911">
        <v>2.33</v>
      </c>
      <c r="O5398" s="176"/>
    </row>
    <row r="5399" spans="1:15" s="2885" customFormat="1">
      <c r="A5399" s="2911"/>
      <c r="B5399" s="2911"/>
      <c r="C5399" s="2911" t="s">
        <v>3245</v>
      </c>
      <c r="D5399" s="2911"/>
      <c r="E5399" s="2896">
        <f t="shared" si="114"/>
        <v>0.2</v>
      </c>
      <c r="F5399" s="2911">
        <v>6.68</v>
      </c>
      <c r="G5399" s="2911">
        <v>8.35</v>
      </c>
      <c r="O5399" s="176"/>
    </row>
    <row r="5400" spans="1:15" s="2885" customFormat="1">
      <c r="A5400" s="2911"/>
      <c r="B5400" s="2911"/>
      <c r="C5400" s="2911" t="s">
        <v>3246</v>
      </c>
      <c r="D5400" s="2911"/>
      <c r="E5400" s="2896">
        <f t="shared" si="114"/>
        <v>0.2</v>
      </c>
      <c r="F5400" s="2911">
        <v>6.68</v>
      </c>
      <c r="G5400" s="2911">
        <v>8.35</v>
      </c>
      <c r="O5400" s="176"/>
    </row>
    <row r="5401" spans="1:15" s="2885" customFormat="1">
      <c r="A5401" s="2911"/>
      <c r="B5401" s="2911"/>
      <c r="C5401" s="2911" t="s">
        <v>3247</v>
      </c>
      <c r="D5401" s="2911"/>
      <c r="E5401" s="2896">
        <f t="shared" si="114"/>
        <v>0.2</v>
      </c>
      <c r="F5401" s="2911">
        <v>6.68</v>
      </c>
      <c r="G5401" s="2911">
        <v>8.35</v>
      </c>
      <c r="O5401" s="176"/>
    </row>
    <row r="5402" spans="1:15" s="2885" customFormat="1">
      <c r="A5402" s="2911"/>
      <c r="B5402" s="2911"/>
      <c r="C5402" s="2911" t="s">
        <v>3250</v>
      </c>
      <c r="D5402" s="2911"/>
      <c r="E5402" s="2896">
        <f t="shared" si="114"/>
        <v>0.2</v>
      </c>
      <c r="F5402" s="2911">
        <v>6.68</v>
      </c>
      <c r="G5402" s="2911">
        <v>8.35</v>
      </c>
      <c r="O5402" s="176"/>
    </row>
    <row r="5403" spans="1:15" s="2885" customFormat="1">
      <c r="A5403" s="2911"/>
      <c r="B5403" s="2911"/>
      <c r="C5403" s="2911" t="s">
        <v>3251</v>
      </c>
      <c r="D5403" s="2911"/>
      <c r="E5403" s="2896">
        <f t="shared" si="114"/>
        <v>0.2</v>
      </c>
      <c r="F5403" s="2911">
        <v>6.68</v>
      </c>
      <c r="G5403" s="2911">
        <v>8.35</v>
      </c>
      <c r="O5403" s="176"/>
    </row>
    <row r="5404" spans="1:15" s="2885" customFormat="1">
      <c r="A5404" s="2911"/>
      <c r="B5404" s="2911"/>
      <c r="C5404" s="2911" t="s">
        <v>3404</v>
      </c>
      <c r="D5404" s="2911"/>
      <c r="E5404" s="2896">
        <f t="shared" si="114"/>
        <v>0.2</v>
      </c>
      <c r="F5404" s="2911">
        <v>6.68</v>
      </c>
      <c r="G5404" s="2911">
        <v>8.35</v>
      </c>
      <c r="O5404" s="176"/>
    </row>
    <row r="5405" spans="1:15" s="2885" customFormat="1">
      <c r="A5405" s="2911"/>
      <c r="B5405" s="2911"/>
      <c r="C5405" s="2911" t="s">
        <v>3405</v>
      </c>
      <c r="D5405" s="2911"/>
      <c r="E5405" s="2896">
        <f t="shared" si="114"/>
        <v>0.2</v>
      </c>
      <c r="F5405" s="2911">
        <v>6.68</v>
      </c>
      <c r="G5405" s="2911">
        <v>8.35</v>
      </c>
      <c r="O5405" s="176"/>
    </row>
    <row r="5406" spans="1:15" s="2885" customFormat="1">
      <c r="A5406" s="2911"/>
      <c r="B5406" s="2911"/>
      <c r="C5406" s="2911" t="s">
        <v>3406</v>
      </c>
      <c r="D5406" s="2911"/>
      <c r="E5406" s="2896">
        <f t="shared" si="114"/>
        <v>0.2</v>
      </c>
      <c r="F5406" s="2911">
        <v>6.68</v>
      </c>
      <c r="G5406" s="2911">
        <v>8.35</v>
      </c>
      <c r="O5406" s="176"/>
    </row>
    <row r="5408" spans="1:15" ht="15.75" thickBot="1"/>
    <row r="5409" spans="1:15" s="2885" customFormat="1">
      <c r="A5409" s="3593"/>
      <c r="B5409" s="3601"/>
      <c r="C5409" s="3601"/>
      <c r="D5409" s="3601"/>
      <c r="E5409" s="3601"/>
      <c r="F5409" s="3601"/>
      <c r="G5409" s="3559"/>
      <c r="O5409" s="176"/>
    </row>
    <row r="5410" spans="1:15" s="2885" customFormat="1">
      <c r="A5410" s="3594"/>
      <c r="B5410" s="3602"/>
      <c r="C5410" s="3602"/>
      <c r="D5410" s="3602"/>
      <c r="E5410" s="3602"/>
      <c r="F5410" s="3602"/>
      <c r="G5410" s="3560"/>
      <c r="O5410" s="176"/>
    </row>
    <row r="5411" spans="1:15" s="2885" customFormat="1">
      <c r="A5411" s="3123" t="s">
        <v>3674</v>
      </c>
      <c r="B5411" s="3124" t="s">
        <v>114</v>
      </c>
      <c r="C5411" s="2952" t="s">
        <v>1975</v>
      </c>
      <c r="D5411" s="3125"/>
      <c r="E5411" s="3126">
        <f>(G5411-F5411)/G5411</f>
        <v>0.28571428571428564</v>
      </c>
      <c r="F5411" s="2953">
        <v>1.35</v>
      </c>
      <c r="G5411" s="3127">
        <v>1.89</v>
      </c>
      <c r="O5411" s="176"/>
    </row>
    <row r="5412" spans="1:15" s="2885" customFormat="1" ht="15.75" thickBot="1">
      <c r="A5412" s="3031"/>
      <c r="B5412" s="3032"/>
      <c r="C5412" s="3033" t="s">
        <v>623</v>
      </c>
      <c r="D5412" s="3034"/>
      <c r="E5412" s="3035">
        <f>(G5412-F5412)/G5412</f>
        <v>0.33971291866028708</v>
      </c>
      <c r="F5412" s="3069">
        <v>1.38</v>
      </c>
      <c r="G5412" s="3128">
        <v>2.09</v>
      </c>
      <c r="O5412" s="176"/>
    </row>
    <row r="5414" spans="1:15" ht="15.75" thickBot="1"/>
    <row r="5415" spans="1:15">
      <c r="A5415" s="3572"/>
      <c r="B5415" s="3557"/>
      <c r="C5415" s="3557"/>
      <c r="D5415" s="3557"/>
      <c r="E5415" s="3557"/>
      <c r="F5415" s="3559"/>
      <c r="G5415" s="3559"/>
    </row>
    <row r="5416" spans="1:15">
      <c r="A5416" s="3905"/>
      <c r="B5416" s="3906"/>
      <c r="C5416" s="3906"/>
      <c r="D5416" s="3906"/>
      <c r="E5416" s="3906"/>
      <c r="F5416" s="3913"/>
      <c r="G5416" s="3913"/>
    </row>
    <row r="5417" spans="1:15">
      <c r="A5417" s="3015" t="s">
        <v>3678</v>
      </c>
      <c r="B5417" s="2898" t="s">
        <v>3229</v>
      </c>
      <c r="C5417" s="2996" t="s">
        <v>549</v>
      </c>
      <c r="D5417" s="2997"/>
      <c r="E5417" s="3016">
        <f>(G5417-F5417)/G5417</f>
        <v>9.9970596883269591E-2</v>
      </c>
      <c r="F5417" s="3129">
        <v>30.61</v>
      </c>
      <c r="G5417" s="3130">
        <v>34.01</v>
      </c>
    </row>
    <row r="5418" spans="1:15">
      <c r="A5418" s="2910"/>
      <c r="B5418" s="2911"/>
      <c r="C5418" s="2911" t="s">
        <v>1258</v>
      </c>
      <c r="D5418" s="2911"/>
      <c r="E5418" s="3016">
        <f t="shared" ref="E5418:E5453" si="115">(G5418-F5418)/G5418</f>
        <v>9.9970596883269591E-2</v>
      </c>
      <c r="F5418" s="2911">
        <v>30.61</v>
      </c>
      <c r="G5418" s="2957">
        <v>34.01</v>
      </c>
    </row>
    <row r="5419" spans="1:15">
      <c r="A5419" s="2910"/>
      <c r="B5419" s="2911"/>
      <c r="C5419" s="2911" t="s">
        <v>550</v>
      </c>
      <c r="D5419" s="2911"/>
      <c r="E5419" s="3016">
        <f t="shared" si="115"/>
        <v>0.1</v>
      </c>
      <c r="F5419" s="2911">
        <v>26.19</v>
      </c>
      <c r="G5419" s="2957">
        <v>29.1</v>
      </c>
    </row>
    <row r="5420" spans="1:15">
      <c r="A5420" s="2910"/>
      <c r="B5420" s="2911"/>
      <c r="C5420" s="2911" t="s">
        <v>1259</v>
      </c>
      <c r="D5420" s="2911"/>
      <c r="E5420" s="3016">
        <f t="shared" si="115"/>
        <v>0.1</v>
      </c>
      <c r="F5420" s="2911">
        <v>26.19</v>
      </c>
      <c r="G5420" s="2957">
        <v>29.1</v>
      </c>
    </row>
    <row r="5421" spans="1:15">
      <c r="A5421" s="2910"/>
      <c r="B5421" s="2911"/>
      <c r="C5421" s="2911" t="s">
        <v>1253</v>
      </c>
      <c r="D5421" s="2911"/>
      <c r="E5421" s="3016">
        <f t="shared" si="115"/>
        <v>0.1000834028356965</v>
      </c>
      <c r="F5421" s="2911">
        <v>10.79</v>
      </c>
      <c r="G5421" s="2957">
        <v>11.99</v>
      </c>
    </row>
    <row r="5422" spans="1:15">
      <c r="A5422" s="2910"/>
      <c r="B5422" s="2911"/>
      <c r="C5422" s="2911" t="s">
        <v>1254</v>
      </c>
      <c r="D5422" s="2911"/>
      <c r="E5422" s="3016">
        <f t="shared" si="115"/>
        <v>0.1000834028356965</v>
      </c>
      <c r="F5422" s="2911">
        <v>10.79</v>
      </c>
      <c r="G5422" s="2957">
        <v>11.99</v>
      </c>
    </row>
    <row r="5423" spans="1:15">
      <c r="A5423" s="2910"/>
      <c r="B5423" s="2911"/>
      <c r="C5423" s="2911" t="s">
        <v>1255</v>
      </c>
      <c r="D5423" s="2911"/>
      <c r="E5423" s="3016">
        <f t="shared" si="115"/>
        <v>9.9700897308075784E-2</v>
      </c>
      <c r="F5423" s="2911">
        <v>9.0299999999999994</v>
      </c>
      <c r="G5423" s="2957">
        <v>10.029999999999999</v>
      </c>
    </row>
    <row r="5424" spans="1:15">
      <c r="A5424" s="2910"/>
      <c r="B5424" s="2911"/>
      <c r="C5424" s="2911" t="s">
        <v>1256</v>
      </c>
      <c r="D5424" s="2911"/>
      <c r="E5424" s="3016">
        <f t="shared" si="115"/>
        <v>9.9700897308075784E-2</v>
      </c>
      <c r="F5424" s="2911">
        <v>9.0299999999999994</v>
      </c>
      <c r="G5424" s="2957">
        <v>10.029999999999999</v>
      </c>
    </row>
    <row r="5425" spans="1:7">
      <c r="A5425" s="2910"/>
      <c r="B5425" s="2911"/>
      <c r="C5425" s="2911" t="s">
        <v>3020</v>
      </c>
      <c r="D5425" s="2911"/>
      <c r="E5425" s="3017">
        <f t="shared" si="115"/>
        <v>9.9735216240070673E-2</v>
      </c>
      <c r="F5425" s="2911">
        <v>10.199999999999999</v>
      </c>
      <c r="G5425" s="2957">
        <v>11.33</v>
      </c>
    </row>
    <row r="5426" spans="1:7">
      <c r="A5426" s="2910"/>
      <c r="B5426" s="2911"/>
      <c r="C5426" s="2911" t="s">
        <v>1027</v>
      </c>
      <c r="D5426" s="2911"/>
      <c r="E5426" s="3017">
        <f t="shared" si="115"/>
        <v>9.9728629579375894E-2</v>
      </c>
      <c r="F5426" s="2911">
        <v>13.27</v>
      </c>
      <c r="G5426" s="2957">
        <v>14.74</v>
      </c>
    </row>
    <row r="5427" spans="1:7">
      <c r="A5427" s="2910"/>
      <c r="B5427" s="2911"/>
      <c r="C5427" s="2911" t="s">
        <v>1176</v>
      </c>
      <c r="D5427" s="2911"/>
      <c r="E5427" s="3017">
        <f t="shared" si="115"/>
        <v>9.9728629579375894E-2</v>
      </c>
      <c r="F5427" s="2911">
        <v>13.27</v>
      </c>
      <c r="G5427" s="2957">
        <v>14.74</v>
      </c>
    </row>
    <row r="5428" spans="1:7">
      <c r="A5428" s="2910"/>
      <c r="B5428" s="2911"/>
      <c r="C5428" s="2911" t="s">
        <v>1178</v>
      </c>
      <c r="D5428" s="2911"/>
      <c r="E5428" s="3017">
        <f t="shared" si="115"/>
        <v>9.9799398194583847E-2</v>
      </c>
      <c r="F5428" s="2911">
        <v>17.95</v>
      </c>
      <c r="G5428" s="2958">
        <v>19.940000000000001</v>
      </c>
    </row>
    <row r="5429" spans="1:7">
      <c r="A5429" s="2910"/>
      <c r="B5429" s="2911"/>
      <c r="C5429" s="2911" t="s">
        <v>3168</v>
      </c>
      <c r="D5429" s="2911"/>
      <c r="E5429" s="3017">
        <f t="shared" si="115"/>
        <v>9.9799398194583847E-2</v>
      </c>
      <c r="F5429" s="2911">
        <v>17.95</v>
      </c>
      <c r="G5429" s="2958">
        <v>19.940000000000001</v>
      </c>
    </row>
    <row r="5430" spans="1:7">
      <c r="A5430" s="2910"/>
      <c r="B5430" s="2911"/>
      <c r="C5430" s="2911" t="s">
        <v>3021</v>
      </c>
      <c r="D5430" s="2911"/>
      <c r="E5430" s="3017">
        <f t="shared" si="115"/>
        <v>0.10185185185185193</v>
      </c>
      <c r="F5430" s="2911">
        <v>1.94</v>
      </c>
      <c r="G5430" s="2958">
        <v>2.16</v>
      </c>
    </row>
    <row r="5431" spans="1:7">
      <c r="A5431" s="2910"/>
      <c r="B5431" s="2911"/>
      <c r="C5431" s="2911" t="s">
        <v>1263</v>
      </c>
      <c r="D5431" s="2911"/>
      <c r="E5431" s="3017">
        <f t="shared" si="115"/>
        <v>0.10069444444444446</v>
      </c>
      <c r="F5431" s="2911">
        <v>2.59</v>
      </c>
      <c r="G5431" s="2958">
        <v>2.88</v>
      </c>
    </row>
    <row r="5432" spans="1:7">
      <c r="A5432" s="2910"/>
      <c r="B5432" s="2911"/>
      <c r="C5432" s="2911" t="s">
        <v>1260</v>
      </c>
      <c r="D5432" s="2911"/>
      <c r="E5432" s="3017">
        <f t="shared" si="115"/>
        <v>0.10051546391752569</v>
      </c>
      <c r="F5432" s="2911">
        <v>3.49</v>
      </c>
      <c r="G5432" s="2958">
        <v>3.88</v>
      </c>
    </row>
    <row r="5433" spans="1:7">
      <c r="A5433" s="2910"/>
      <c r="B5433" s="2911"/>
      <c r="C5433" s="2911" t="s">
        <v>1272</v>
      </c>
      <c r="D5433" s="2911"/>
      <c r="E5433" s="3017">
        <f t="shared" si="115"/>
        <v>0.10051546391752569</v>
      </c>
      <c r="F5433" s="2911">
        <v>3.49</v>
      </c>
      <c r="G5433" s="2958">
        <v>3.88</v>
      </c>
    </row>
    <row r="5434" spans="1:7">
      <c r="A5434" s="2910"/>
      <c r="B5434" s="2911"/>
      <c r="C5434" s="2911" t="s">
        <v>2080</v>
      </c>
      <c r="D5434" s="2911"/>
      <c r="E5434" s="3017">
        <f t="shared" si="115"/>
        <v>0.19780219780219785</v>
      </c>
      <c r="F5434" s="2911">
        <v>0.73</v>
      </c>
      <c r="G5434" s="2958">
        <v>0.91</v>
      </c>
    </row>
    <row r="5435" spans="1:7">
      <c r="A5435" s="2910"/>
      <c r="B5435" s="2911"/>
      <c r="C5435" s="2911" t="s">
        <v>3315</v>
      </c>
      <c r="D5435" s="2911"/>
      <c r="E5435" s="3017">
        <f t="shared" si="115"/>
        <v>0.19780219780219785</v>
      </c>
      <c r="F5435" s="2911">
        <v>0.73</v>
      </c>
      <c r="G5435" s="2958">
        <v>0.91</v>
      </c>
    </row>
    <row r="5436" spans="1:7">
      <c r="A5436" s="2910"/>
      <c r="B5436" s="2911"/>
      <c r="C5436" s="2911" t="s">
        <v>1949</v>
      </c>
      <c r="D5436" s="2911"/>
      <c r="E5436" s="3017">
        <f t="shared" si="115"/>
        <v>0.19780219780219785</v>
      </c>
      <c r="F5436" s="2911">
        <v>0.73</v>
      </c>
      <c r="G5436" s="2958">
        <v>0.91</v>
      </c>
    </row>
    <row r="5437" spans="1:7">
      <c r="A5437" s="2910"/>
      <c r="B5437" s="2911"/>
      <c r="C5437" s="2911" t="s">
        <v>3316</v>
      </c>
      <c r="D5437" s="2911"/>
      <c r="E5437" s="3017">
        <f t="shared" si="115"/>
        <v>0.19780219780219785</v>
      </c>
      <c r="F5437" s="2911">
        <v>0.73</v>
      </c>
      <c r="G5437" s="2958">
        <v>0.91</v>
      </c>
    </row>
    <row r="5438" spans="1:7">
      <c r="A5438" s="2910"/>
      <c r="B5438" s="2911"/>
      <c r="C5438" s="2911" t="s">
        <v>1950</v>
      </c>
      <c r="D5438" s="2911"/>
      <c r="E5438" s="3017">
        <f t="shared" si="115"/>
        <v>0.19780219780219785</v>
      </c>
      <c r="F5438" s="2911">
        <v>0.73</v>
      </c>
      <c r="G5438" s="2958">
        <v>0.91</v>
      </c>
    </row>
    <row r="5439" spans="1:7">
      <c r="A5439" s="2910"/>
      <c r="B5439" s="2911"/>
      <c r="C5439" s="2911" t="s">
        <v>3317</v>
      </c>
      <c r="D5439" s="2911"/>
      <c r="E5439" s="3017">
        <f t="shared" si="115"/>
        <v>0.19780219780219785</v>
      </c>
      <c r="F5439" s="2911">
        <v>0.73</v>
      </c>
      <c r="G5439" s="2958">
        <v>0.91</v>
      </c>
    </row>
    <row r="5440" spans="1:7">
      <c r="A5440" s="2910"/>
      <c r="B5440" s="2911"/>
      <c r="C5440" s="2911" t="s">
        <v>2827</v>
      </c>
      <c r="D5440" s="2911"/>
      <c r="E5440" s="3017">
        <f t="shared" si="115"/>
        <v>0.20000000000000004</v>
      </c>
      <c r="F5440" s="2911">
        <v>1.28</v>
      </c>
      <c r="G5440" s="2958">
        <v>1.6</v>
      </c>
    </row>
    <row r="5441" spans="1:15">
      <c r="A5441" s="2910"/>
      <c r="B5441" s="2911"/>
      <c r="C5441" s="2911" t="s">
        <v>2115</v>
      </c>
      <c r="D5441" s="2911"/>
      <c r="E5441" s="3017">
        <f t="shared" si="115"/>
        <v>0.20000000000000004</v>
      </c>
      <c r="F5441" s="2911">
        <v>1.28</v>
      </c>
      <c r="G5441" s="2958">
        <v>1.6</v>
      </c>
    </row>
    <row r="5442" spans="1:15">
      <c r="A5442" s="2910"/>
      <c r="B5442" s="2911"/>
      <c r="C5442" s="2911" t="s">
        <v>2890</v>
      </c>
      <c r="D5442" s="2911"/>
      <c r="E5442" s="3017">
        <f t="shared" si="115"/>
        <v>0.20000000000000004</v>
      </c>
      <c r="F5442" s="2911">
        <v>1.28</v>
      </c>
      <c r="G5442" s="2958">
        <v>1.6</v>
      </c>
    </row>
    <row r="5443" spans="1:15">
      <c r="A5443" s="2910"/>
      <c r="B5443" s="2911"/>
      <c r="C5443" s="2911" t="s">
        <v>2116</v>
      </c>
      <c r="D5443" s="2911"/>
      <c r="E5443" s="3017">
        <f t="shared" si="115"/>
        <v>0.20000000000000004</v>
      </c>
      <c r="F5443" s="2911">
        <v>1.28</v>
      </c>
      <c r="G5443" s="2958">
        <v>1.6</v>
      </c>
    </row>
    <row r="5444" spans="1:15">
      <c r="A5444" s="2910"/>
      <c r="B5444" s="2911"/>
      <c r="C5444" s="2911" t="s">
        <v>2871</v>
      </c>
      <c r="D5444" s="2911"/>
      <c r="E5444" s="3017">
        <f t="shared" si="115"/>
        <v>0.20000000000000004</v>
      </c>
      <c r="F5444" s="2911">
        <v>1.28</v>
      </c>
      <c r="G5444" s="2958">
        <v>1.6</v>
      </c>
    </row>
    <row r="5445" spans="1:15">
      <c r="A5445" s="2910"/>
      <c r="B5445" s="2911"/>
      <c r="C5445" s="2911" t="s">
        <v>2066</v>
      </c>
      <c r="D5445" s="2911"/>
      <c r="E5445" s="3017">
        <f t="shared" si="115"/>
        <v>0.20000000000000004</v>
      </c>
      <c r="F5445" s="2911">
        <v>1.28</v>
      </c>
      <c r="G5445" s="2958">
        <v>1.6</v>
      </c>
    </row>
    <row r="5446" spans="1:15">
      <c r="A5446" s="2910"/>
      <c r="B5446" s="2911"/>
      <c r="C5446" s="2911" t="s">
        <v>1090</v>
      </c>
      <c r="D5446" s="2911"/>
      <c r="E5446" s="3017">
        <f t="shared" si="115"/>
        <v>0.20529801324503313</v>
      </c>
      <c r="F5446" s="2911">
        <v>1.2</v>
      </c>
      <c r="G5446" s="2958">
        <v>1.51</v>
      </c>
    </row>
    <row r="5447" spans="1:15">
      <c r="A5447" s="2910"/>
      <c r="B5447" s="2911"/>
      <c r="C5447" s="2911" t="s">
        <v>1091</v>
      </c>
      <c r="D5447" s="2911"/>
      <c r="E5447" s="3017">
        <f t="shared" si="115"/>
        <v>0.20529801324503313</v>
      </c>
      <c r="F5447" s="2911">
        <v>1.2</v>
      </c>
      <c r="G5447" s="2958">
        <v>1.51</v>
      </c>
    </row>
    <row r="5448" spans="1:15">
      <c r="A5448" s="2910"/>
      <c r="B5448" s="2911"/>
      <c r="C5448" s="2911" t="s">
        <v>1092</v>
      </c>
      <c r="D5448" s="2911"/>
      <c r="E5448" s="3017">
        <f t="shared" si="115"/>
        <v>0.20529801324503313</v>
      </c>
      <c r="F5448" s="2911">
        <v>1.2</v>
      </c>
      <c r="G5448" s="2958">
        <v>1.51</v>
      </c>
    </row>
    <row r="5449" spans="1:15">
      <c r="A5449" s="2910"/>
      <c r="B5449" s="2911"/>
      <c r="C5449" s="2911" t="s">
        <v>1563</v>
      </c>
      <c r="D5449" s="2911"/>
      <c r="E5449" s="3017">
        <f t="shared" si="115"/>
        <v>0.14843749999999994</v>
      </c>
      <c r="F5449" s="2911">
        <v>1.0900000000000001</v>
      </c>
      <c r="G5449" s="2958">
        <v>1.28</v>
      </c>
    </row>
    <row r="5450" spans="1:15">
      <c r="A5450" s="2910"/>
      <c r="B5450" s="2911"/>
      <c r="C5450" s="2911" t="s">
        <v>554</v>
      </c>
      <c r="D5450" s="2911"/>
      <c r="E5450" s="3017">
        <f t="shared" si="115"/>
        <v>0.15199999999999997</v>
      </c>
      <c r="F5450" s="2911">
        <v>1.06</v>
      </c>
      <c r="G5450" s="2958">
        <v>1.25</v>
      </c>
    </row>
    <row r="5451" spans="1:15">
      <c r="A5451" s="2910"/>
      <c r="B5451" s="2911"/>
      <c r="C5451" s="2911" t="s">
        <v>3116</v>
      </c>
      <c r="D5451" s="2911"/>
      <c r="E5451" s="3017">
        <f t="shared" si="115"/>
        <v>0.15384615384615388</v>
      </c>
      <c r="F5451" s="2911">
        <v>0.44</v>
      </c>
      <c r="G5451" s="2958">
        <v>0.52</v>
      </c>
    </row>
    <row r="5452" spans="1:15">
      <c r="A5452" s="2910"/>
      <c r="B5452" s="2911"/>
      <c r="C5452" s="2911" t="s">
        <v>1120</v>
      </c>
      <c r="D5452" s="2911"/>
      <c r="E5452" s="3017">
        <f t="shared" si="115"/>
        <v>0.15384615384615388</v>
      </c>
      <c r="F5452" s="2911">
        <v>0.44</v>
      </c>
      <c r="G5452" s="2958">
        <v>0.52</v>
      </c>
    </row>
    <row r="5453" spans="1:15" ht="15.75" thickBot="1">
      <c r="A5453" s="2914"/>
      <c r="B5453" s="2915"/>
      <c r="C5453" s="2915" t="s">
        <v>1058</v>
      </c>
      <c r="D5453" s="2915"/>
      <c r="E5453" s="3018">
        <f t="shared" si="115"/>
        <v>0.19999999999999998</v>
      </c>
      <c r="F5453" s="2915">
        <v>1.72</v>
      </c>
      <c r="G5453" s="2959">
        <v>2.15</v>
      </c>
    </row>
    <row r="5454" spans="1:15" ht="15.75" thickBot="1"/>
    <row r="5455" spans="1:15" s="2885" customFormat="1">
      <c r="A5455" s="3572"/>
      <c r="B5455" s="3557"/>
      <c r="C5455" s="3557"/>
      <c r="D5455" s="3557"/>
      <c r="E5455" s="3557"/>
      <c r="F5455" s="3557"/>
      <c r="G5455" s="3559"/>
      <c r="O5455" s="176"/>
    </row>
    <row r="5456" spans="1:15" s="2885" customFormat="1" ht="15.75" thickBot="1">
      <c r="A5456" s="3916"/>
      <c r="B5456" s="3914"/>
      <c r="C5456" s="3914"/>
      <c r="D5456" s="3914"/>
      <c r="E5456" s="3914"/>
      <c r="F5456" s="3914"/>
      <c r="G5456" s="3915"/>
      <c r="O5456" s="176"/>
    </row>
    <row r="5457" spans="1:15" s="2885" customFormat="1">
      <c r="A5457" s="2288" t="s">
        <v>3684</v>
      </c>
      <c r="B5457" s="2289" t="s">
        <v>106</v>
      </c>
      <c r="C5457" s="2377" t="s">
        <v>858</v>
      </c>
      <c r="D5457" s="2378"/>
      <c r="E5457" s="2379">
        <f>(G5457-F5457)/G5457</f>
        <v>0.34951456310679607</v>
      </c>
      <c r="F5457" s="2378">
        <v>0.67</v>
      </c>
      <c r="G5457" s="2164">
        <v>1.03</v>
      </c>
      <c r="O5457" s="176"/>
    </row>
    <row r="5458" spans="1:15" s="2885" customFormat="1" ht="15.75" thickBot="1">
      <c r="A5458" s="3068"/>
      <c r="B5458" s="2893"/>
      <c r="C5458" s="3033" t="s">
        <v>730</v>
      </c>
      <c r="D5458" s="3069"/>
      <c r="E5458" s="3012">
        <f>(G5458-F5458)/G5458</f>
        <v>0.35227272727272735</v>
      </c>
      <c r="F5458" s="3069">
        <v>0.56999999999999995</v>
      </c>
      <c r="G5458" s="2917">
        <v>0.88</v>
      </c>
      <c r="O5458" s="176"/>
    </row>
    <row r="5459" spans="1:15" ht="15.75" thickBot="1"/>
    <row r="5460" spans="1:15" s="2885" customFormat="1">
      <c r="A5460" s="3572"/>
      <c r="B5460" s="3557"/>
      <c r="C5460" s="3557"/>
      <c r="D5460" s="3557"/>
      <c r="E5460" s="3557"/>
      <c r="F5460" s="3557"/>
      <c r="G5460" s="3559"/>
      <c r="O5460" s="176"/>
    </row>
    <row r="5461" spans="1:15" s="2885" customFormat="1">
      <c r="A5461" s="3573"/>
      <c r="B5461" s="3558"/>
      <c r="C5461" s="3558"/>
      <c r="D5461" s="3558"/>
      <c r="E5461" s="3558"/>
      <c r="F5461" s="3558"/>
      <c r="G5461" s="3560"/>
      <c r="O5461" s="176"/>
    </row>
    <row r="5462" spans="1:15" s="2885" customFormat="1" ht="15.75" thickBot="1">
      <c r="A5462" s="2925" t="s">
        <v>3685</v>
      </c>
      <c r="B5462" s="2893" t="s">
        <v>3229</v>
      </c>
      <c r="C5462" s="2926" t="s">
        <v>2462</v>
      </c>
      <c r="D5462" s="2927"/>
      <c r="E5462" s="3050">
        <f>(G5462-F5462)/G5462</f>
        <v>0.17931034482758623</v>
      </c>
      <c r="F5462" s="3131">
        <v>1.19</v>
      </c>
      <c r="G5462" s="3132">
        <v>1.45</v>
      </c>
      <c r="O5462" s="176"/>
    </row>
    <row r="5463" spans="1:15" ht="15.75" thickBot="1"/>
    <row r="5464" spans="1:15" s="2885" customFormat="1">
      <c r="A5464" s="3572"/>
      <c r="B5464" s="3557"/>
      <c r="C5464" s="3557"/>
      <c r="D5464" s="3557"/>
      <c r="E5464" s="3557"/>
      <c r="F5464" s="3557"/>
      <c r="G5464" s="3559"/>
      <c r="O5464" s="176"/>
    </row>
    <row r="5465" spans="1:15" s="2885" customFormat="1">
      <c r="A5465" s="3573"/>
      <c r="B5465" s="3558"/>
      <c r="C5465" s="3558"/>
      <c r="D5465" s="3558"/>
      <c r="E5465" s="3558"/>
      <c r="F5465" s="3558"/>
      <c r="G5465" s="3560"/>
      <c r="O5465" s="176"/>
    </row>
    <row r="5466" spans="1:15" s="2885" customFormat="1">
      <c r="A5466" s="3015" t="s">
        <v>3707</v>
      </c>
      <c r="B5466" s="2289" t="s">
        <v>106</v>
      </c>
      <c r="C5466" s="2996" t="s">
        <v>3561</v>
      </c>
      <c r="D5466" s="2997"/>
      <c r="E5466" s="3016">
        <f>(G5466-F5466)/G5466</f>
        <v>0.14941022280471819</v>
      </c>
      <c r="F5466" s="3129">
        <v>6.49</v>
      </c>
      <c r="G5466" s="3130">
        <v>7.63</v>
      </c>
      <c r="O5466" s="176"/>
    </row>
    <row r="5467" spans="1:15" s="2885" customFormat="1">
      <c r="A5467" s="2910"/>
      <c r="B5467" s="2911"/>
      <c r="C5467" s="2911" t="s">
        <v>3562</v>
      </c>
      <c r="D5467" s="2911"/>
      <c r="E5467" s="3016">
        <f t="shared" ref="E5467:E5485" si="116">(G5467-F5467)/G5467</f>
        <v>0.14941022280471819</v>
      </c>
      <c r="F5467" s="3010">
        <v>6.49</v>
      </c>
      <c r="G5467" s="2957">
        <v>7.63</v>
      </c>
      <c r="O5467" s="176"/>
    </row>
    <row r="5468" spans="1:15" s="2885" customFormat="1">
      <c r="A5468" s="2910"/>
      <c r="B5468" s="2911"/>
      <c r="C5468" s="2911" t="s">
        <v>2274</v>
      </c>
      <c r="D5468" s="2911"/>
      <c r="E5468" s="3016">
        <f t="shared" si="116"/>
        <v>0.10070257611241212</v>
      </c>
      <c r="F5468" s="3010">
        <v>3.84</v>
      </c>
      <c r="G5468" s="2957">
        <v>4.2699999999999996</v>
      </c>
      <c r="O5468" s="176"/>
    </row>
    <row r="5469" spans="1:15" s="2885" customFormat="1">
      <c r="A5469" s="2910"/>
      <c r="B5469" s="2911"/>
      <c r="C5469" s="2911" t="s">
        <v>1497</v>
      </c>
      <c r="D5469" s="2911"/>
      <c r="E5469" s="3016">
        <f t="shared" si="116"/>
        <v>0.10070257611241212</v>
      </c>
      <c r="F5469" s="3010">
        <v>3.84</v>
      </c>
      <c r="G5469" s="2957">
        <v>4.2699999999999996</v>
      </c>
      <c r="O5469" s="176"/>
    </row>
    <row r="5470" spans="1:15" s="2885" customFormat="1">
      <c r="A5470" s="2910"/>
      <c r="B5470" s="2911"/>
      <c r="C5470" s="2911" t="s">
        <v>2275</v>
      </c>
      <c r="D5470" s="2911"/>
      <c r="E5470" s="3016">
        <f t="shared" si="116"/>
        <v>9.9999999999999922E-2</v>
      </c>
      <c r="F5470" s="3010">
        <v>8.5500000000000007</v>
      </c>
      <c r="G5470" s="2957">
        <v>9.5</v>
      </c>
      <c r="O5470" s="176"/>
    </row>
    <row r="5471" spans="1:15" s="2885" customFormat="1">
      <c r="A5471" s="2910"/>
      <c r="B5471" s="2911"/>
      <c r="C5471" s="2911" t="s">
        <v>239</v>
      </c>
      <c r="D5471" s="2911"/>
      <c r="E5471" s="3016">
        <f t="shared" si="116"/>
        <v>9.9999999999999922E-2</v>
      </c>
      <c r="F5471" s="3010">
        <v>8.5500000000000007</v>
      </c>
      <c r="G5471" s="2957">
        <v>9.5</v>
      </c>
      <c r="O5471" s="176"/>
    </row>
    <row r="5472" spans="1:15" s="2885" customFormat="1">
      <c r="A5472" s="2910"/>
      <c r="B5472" s="2911"/>
      <c r="C5472" s="2911" t="s">
        <v>2277</v>
      </c>
      <c r="D5472" s="2911"/>
      <c r="E5472" s="3016">
        <f t="shared" si="116"/>
        <v>0.10070257611241212</v>
      </c>
      <c r="F5472" s="3010">
        <v>3.84</v>
      </c>
      <c r="G5472" s="2957">
        <v>4.2699999999999996</v>
      </c>
      <c r="O5472" s="176"/>
    </row>
    <row r="5473" spans="1:15" s="2885" customFormat="1">
      <c r="A5473" s="2910"/>
      <c r="B5473" s="2911"/>
      <c r="C5473" s="2911" t="s">
        <v>1722</v>
      </c>
      <c r="D5473" s="2911"/>
      <c r="E5473" s="3016">
        <f t="shared" si="116"/>
        <v>0.10070257611241212</v>
      </c>
      <c r="F5473" s="3010">
        <v>3.84</v>
      </c>
      <c r="G5473" s="2957">
        <v>4.2699999999999996</v>
      </c>
      <c r="O5473" s="176"/>
    </row>
    <row r="5474" spans="1:15" s="2885" customFormat="1">
      <c r="A5474" s="2910"/>
      <c r="B5474" s="2911"/>
      <c r="C5474" s="2911" t="s">
        <v>2272</v>
      </c>
      <c r="D5474" s="2911"/>
      <c r="E5474" s="3016">
        <f t="shared" si="116"/>
        <v>0.10070257611241212</v>
      </c>
      <c r="F5474" s="3010">
        <v>3.84</v>
      </c>
      <c r="G5474" s="2957">
        <v>4.2699999999999996</v>
      </c>
      <c r="O5474" s="176"/>
    </row>
    <row r="5475" spans="1:15" s="2885" customFormat="1">
      <c r="A5475" s="2910"/>
      <c r="B5475" s="2911"/>
      <c r="C5475" s="2911" t="s">
        <v>1496</v>
      </c>
      <c r="D5475" s="2911"/>
      <c r="E5475" s="3016">
        <f t="shared" si="116"/>
        <v>0.10070257611241212</v>
      </c>
      <c r="F5475" s="3010">
        <v>3.84</v>
      </c>
      <c r="G5475" s="2957">
        <v>4.2699999999999996</v>
      </c>
      <c r="O5475" s="176"/>
    </row>
    <row r="5476" spans="1:15" s="2885" customFormat="1">
      <c r="A5476" s="2910"/>
      <c r="B5476" s="2911"/>
      <c r="C5476" s="2911" t="s">
        <v>2271</v>
      </c>
      <c r="D5476" s="2911"/>
      <c r="E5476" s="3016">
        <f t="shared" si="116"/>
        <v>9.9999999999999922E-2</v>
      </c>
      <c r="F5476" s="3010">
        <v>8.5500000000000007</v>
      </c>
      <c r="G5476" s="2957">
        <v>9.5</v>
      </c>
      <c r="O5476" s="176"/>
    </row>
    <row r="5477" spans="1:15" s="2885" customFormat="1">
      <c r="A5477" s="2910"/>
      <c r="B5477" s="2911"/>
      <c r="C5477" s="2911" t="s">
        <v>238</v>
      </c>
      <c r="D5477" s="2911"/>
      <c r="E5477" s="3016">
        <f t="shared" si="116"/>
        <v>9.9999999999999922E-2</v>
      </c>
      <c r="F5477" s="3010">
        <v>8.5500000000000007</v>
      </c>
      <c r="G5477" s="2957">
        <v>9.5</v>
      </c>
      <c r="O5477" s="176"/>
    </row>
    <row r="5478" spans="1:15" s="2885" customFormat="1">
      <c r="A5478" s="2910"/>
      <c r="B5478" s="2911"/>
      <c r="C5478" s="2911" t="s">
        <v>2273</v>
      </c>
      <c r="D5478" s="2911"/>
      <c r="E5478" s="3016">
        <f t="shared" si="116"/>
        <v>0.10008741258741255</v>
      </c>
      <c r="F5478" s="3010">
        <v>20.59</v>
      </c>
      <c r="G5478" s="2957">
        <v>22.88</v>
      </c>
      <c r="O5478" s="176"/>
    </row>
    <row r="5479" spans="1:15" s="2885" customFormat="1">
      <c r="A5479" s="2910"/>
      <c r="B5479" s="2911"/>
      <c r="C5479" s="2911" t="s">
        <v>71</v>
      </c>
      <c r="D5479" s="2911"/>
      <c r="E5479" s="3016">
        <f t="shared" si="116"/>
        <v>0.10008741258741255</v>
      </c>
      <c r="F5479" s="3010">
        <v>20.59</v>
      </c>
      <c r="G5479" s="2957">
        <v>22.88</v>
      </c>
      <c r="O5479" s="176"/>
    </row>
    <row r="5480" spans="1:15" s="2885" customFormat="1">
      <c r="A5480" s="2910"/>
      <c r="B5480" s="2911"/>
      <c r="C5480" s="2911" t="s">
        <v>2276</v>
      </c>
      <c r="D5480" s="2911"/>
      <c r="E5480" s="3016">
        <f t="shared" si="116"/>
        <v>0.10008741258741255</v>
      </c>
      <c r="F5480" s="3010">
        <v>20.59</v>
      </c>
      <c r="G5480" s="2957">
        <v>22.88</v>
      </c>
      <c r="O5480" s="176"/>
    </row>
    <row r="5481" spans="1:15" s="2885" customFormat="1">
      <c r="A5481" s="2910"/>
      <c r="B5481" s="2911"/>
      <c r="C5481" s="2911" t="s">
        <v>1883</v>
      </c>
      <c r="D5481" s="2911"/>
      <c r="E5481" s="3016">
        <f t="shared" si="116"/>
        <v>0.10008741258741255</v>
      </c>
      <c r="F5481" s="3010">
        <v>20.59</v>
      </c>
      <c r="G5481" s="2957">
        <v>22.88</v>
      </c>
      <c r="O5481" s="176"/>
    </row>
    <row r="5482" spans="1:15" s="2885" customFormat="1">
      <c r="A5482" s="2910"/>
      <c r="B5482" s="2911"/>
      <c r="C5482" s="2911" t="s">
        <v>2281</v>
      </c>
      <c r="D5482" s="2911"/>
      <c r="E5482" s="3016">
        <f t="shared" si="116"/>
        <v>9.9999999999999922E-2</v>
      </c>
      <c r="F5482" s="3010">
        <v>8.5500000000000007</v>
      </c>
      <c r="G5482" s="2957">
        <v>9.5</v>
      </c>
      <c r="O5482" s="176"/>
    </row>
    <row r="5483" spans="1:15" s="2885" customFormat="1">
      <c r="A5483" s="2910"/>
      <c r="B5483" s="2911"/>
      <c r="C5483" s="2911" t="s">
        <v>2282</v>
      </c>
      <c r="D5483" s="2911"/>
      <c r="E5483" s="3016">
        <f t="shared" si="116"/>
        <v>9.9999999999999922E-2</v>
      </c>
      <c r="F5483" s="3010">
        <v>8.5500000000000007</v>
      </c>
      <c r="G5483" s="2957">
        <v>9.5</v>
      </c>
      <c r="O5483" s="176"/>
    </row>
    <row r="5484" spans="1:15" s="2885" customFormat="1">
      <c r="A5484" s="2910"/>
      <c r="B5484" s="2911"/>
      <c r="C5484" s="2911" t="s">
        <v>2880</v>
      </c>
      <c r="D5484" s="2911"/>
      <c r="E5484" s="3016">
        <f t="shared" si="116"/>
        <v>0.10008741258741255</v>
      </c>
      <c r="F5484" s="3010">
        <v>20.59</v>
      </c>
      <c r="G5484" s="2957">
        <v>22.88</v>
      </c>
      <c r="O5484" s="176"/>
    </row>
    <row r="5485" spans="1:15" s="2885" customFormat="1" ht="15.75" thickBot="1">
      <c r="A5485" s="2914"/>
      <c r="B5485" s="2915"/>
      <c r="C5485" s="2915" t="s">
        <v>2881</v>
      </c>
      <c r="D5485" s="2915"/>
      <c r="E5485" s="3050">
        <f t="shared" si="116"/>
        <v>0.10008741258741255</v>
      </c>
      <c r="F5485" s="3011">
        <v>20.59</v>
      </c>
      <c r="G5485" s="3144">
        <v>22.88</v>
      </c>
      <c r="O5485" s="176"/>
    </row>
    <row r="5486" spans="1:15" ht="15.75" thickBot="1"/>
    <row r="5487" spans="1:15" s="2885" customFormat="1">
      <c r="A5487" s="3572"/>
      <c r="B5487" s="3557"/>
      <c r="C5487" s="3557"/>
      <c r="D5487" s="3557"/>
      <c r="E5487" s="3557"/>
      <c r="F5487" s="3557"/>
      <c r="G5487" s="3559"/>
      <c r="O5487" s="176"/>
    </row>
    <row r="5488" spans="1:15" s="2885" customFormat="1">
      <c r="A5488" s="3573"/>
      <c r="B5488" s="3558"/>
      <c r="C5488" s="3558"/>
      <c r="D5488" s="3558"/>
      <c r="E5488" s="3558"/>
      <c r="F5488" s="3558"/>
      <c r="G5488" s="3560"/>
      <c r="O5488" s="176"/>
    </row>
    <row r="5489" spans="1:15" s="2885" customFormat="1">
      <c r="A5489" s="3015" t="s">
        <v>3709</v>
      </c>
      <c r="B5489" s="2289" t="s">
        <v>106</v>
      </c>
      <c r="C5489" s="2996" t="s">
        <v>623</v>
      </c>
      <c r="D5489" s="2997"/>
      <c r="E5489" s="3016">
        <f>(G5489-F5489)/G5489</f>
        <v>0.28229665071770332</v>
      </c>
      <c r="F5489" s="3129">
        <v>1.5</v>
      </c>
      <c r="G5489" s="3130">
        <v>2.09</v>
      </c>
      <c r="O5489" s="176"/>
    </row>
    <row r="5490" spans="1:15" s="2885" customFormat="1" ht="15.75" thickBot="1">
      <c r="A5490" s="2914"/>
      <c r="B5490" s="2915"/>
      <c r="C5490" s="2915" t="s">
        <v>1772</v>
      </c>
      <c r="D5490" s="2915"/>
      <c r="E5490" s="3050">
        <f>(G5490-F5490)/G5490</f>
        <v>0.28229665071770332</v>
      </c>
      <c r="F5490" s="3011">
        <v>1.5</v>
      </c>
      <c r="G5490" s="3144">
        <v>2.09</v>
      </c>
      <c r="O5490" s="176"/>
    </row>
    <row r="5491" spans="1:15" ht="15.75" thickBot="1"/>
    <row r="5492" spans="1:15" s="2885" customFormat="1">
      <c r="A5492" s="3572"/>
      <c r="B5492" s="3557"/>
      <c r="C5492" s="3557"/>
      <c r="D5492" s="3557"/>
      <c r="E5492" s="3557"/>
      <c r="F5492" s="3557"/>
      <c r="G5492" s="3559"/>
      <c r="O5492" s="176"/>
    </row>
    <row r="5493" spans="1:15" s="2885" customFormat="1">
      <c r="A5493" s="3573"/>
      <c r="B5493" s="3558"/>
      <c r="C5493" s="3558"/>
      <c r="D5493" s="3558"/>
      <c r="E5493" s="3558"/>
      <c r="F5493" s="3558"/>
      <c r="G5493" s="3560"/>
      <c r="O5493" s="176"/>
    </row>
    <row r="5494" spans="1:15" s="2885" customFormat="1">
      <c r="A5494" s="3015" t="s">
        <v>3715</v>
      </c>
      <c r="B5494" s="2898" t="s">
        <v>3229</v>
      </c>
      <c r="C5494" s="2996" t="s">
        <v>730</v>
      </c>
      <c r="D5494" s="2997"/>
      <c r="E5494" s="3016">
        <f>(G5494-F5494)/G5494</f>
        <v>0.33333333333333337</v>
      </c>
      <c r="F5494" s="3129">
        <v>0.57999999999999996</v>
      </c>
      <c r="G5494" s="3130">
        <v>0.87</v>
      </c>
      <c r="O5494" s="176"/>
    </row>
    <row r="5495" spans="1:15" s="2885" customFormat="1" ht="15.75" thickBot="1">
      <c r="A5495" s="2914"/>
      <c r="B5495" s="2915"/>
      <c r="C5495" s="2915" t="s">
        <v>858</v>
      </c>
      <c r="D5495" s="2915"/>
      <c r="E5495" s="3050">
        <f>(G5495-F5495)/G5495</f>
        <v>0.32999999999999996</v>
      </c>
      <c r="F5495" s="3011">
        <v>0.67</v>
      </c>
      <c r="G5495" s="3144">
        <v>1</v>
      </c>
      <c r="O5495" s="176"/>
    </row>
    <row r="5496" spans="1:15" ht="15.75" thickBot="1"/>
    <row r="5497" spans="1:15" s="2885" customFormat="1">
      <c r="A5497" s="3572"/>
      <c r="B5497" s="3557"/>
      <c r="C5497" s="3557"/>
      <c r="D5497" s="3557"/>
      <c r="E5497" s="3557"/>
      <c r="F5497" s="3557"/>
      <c r="G5497" s="3559"/>
      <c r="O5497" s="176"/>
    </row>
    <row r="5498" spans="1:15" s="2885" customFormat="1" ht="15.75" thickBot="1">
      <c r="A5498" s="3905"/>
      <c r="B5498" s="3906"/>
      <c r="C5498" s="3906"/>
      <c r="D5498" s="3906"/>
      <c r="E5498" s="3906"/>
      <c r="F5498" s="3906"/>
      <c r="G5498" s="3913"/>
      <c r="O5498" s="176"/>
    </row>
    <row r="5499" spans="1:15" s="2885" customFormat="1">
      <c r="A5499" s="2668" t="s">
        <v>3734</v>
      </c>
      <c r="B5499" s="1690" t="s">
        <v>106</v>
      </c>
      <c r="C5499" s="2765" t="s">
        <v>452</v>
      </c>
      <c r="D5499" s="2766"/>
      <c r="E5499" s="3067">
        <f>(G5499-F5499)/G5499</f>
        <v>0.19847328244274809</v>
      </c>
      <c r="F5499" s="3156">
        <v>1.05</v>
      </c>
      <c r="G5499" s="3157">
        <v>1.31</v>
      </c>
      <c r="O5499" s="176"/>
    </row>
    <row r="5500" spans="1:15" s="2885" customFormat="1">
      <c r="A5500" s="2910"/>
      <c r="B5500" s="2911"/>
      <c r="C5500" s="2911" t="s">
        <v>155</v>
      </c>
      <c r="D5500" s="2911"/>
      <c r="E5500" s="3016">
        <f t="shared" ref="E5500:E5535" si="117">(G5500-F5500)/G5500</f>
        <v>0.19847328244274809</v>
      </c>
      <c r="F5500" s="3010">
        <v>1.05</v>
      </c>
      <c r="G5500" s="2957">
        <v>1.31</v>
      </c>
      <c r="O5500" s="176"/>
    </row>
    <row r="5501" spans="1:15" s="2885" customFormat="1">
      <c r="A5501" s="2910"/>
      <c r="B5501" s="2911"/>
      <c r="C5501" s="2911" t="s">
        <v>154</v>
      </c>
      <c r="D5501" s="2911"/>
      <c r="E5501" s="3016">
        <f t="shared" si="117"/>
        <v>0.20661157024793389</v>
      </c>
      <c r="F5501" s="3010">
        <v>0.96</v>
      </c>
      <c r="G5501" s="2957">
        <v>1.21</v>
      </c>
      <c r="O5501" s="176"/>
    </row>
    <row r="5502" spans="1:15" s="2885" customFormat="1">
      <c r="A5502" s="2910"/>
      <c r="B5502" s="2911"/>
      <c r="C5502" s="2911" t="s">
        <v>183</v>
      </c>
      <c r="D5502" s="2911"/>
      <c r="E5502" s="3016">
        <f t="shared" si="117"/>
        <v>0.19999999999999993</v>
      </c>
      <c r="F5502" s="3010">
        <v>1.32</v>
      </c>
      <c r="G5502" s="2957">
        <v>1.65</v>
      </c>
      <c r="O5502" s="176"/>
    </row>
    <row r="5503" spans="1:15" s="2885" customFormat="1">
      <c r="A5503" s="2910"/>
      <c r="B5503" s="2911"/>
      <c r="C5503" s="2911" t="s">
        <v>178</v>
      </c>
      <c r="D5503" s="2911"/>
      <c r="E5503" s="3016">
        <f t="shared" si="117"/>
        <v>0.23357664233576644</v>
      </c>
      <c r="F5503" s="3010">
        <v>1.05</v>
      </c>
      <c r="G5503" s="2957">
        <v>1.37</v>
      </c>
      <c r="O5503" s="176"/>
    </row>
    <row r="5504" spans="1:15" s="2885" customFormat="1">
      <c r="A5504" s="2910"/>
      <c r="B5504" s="2911"/>
      <c r="C5504" s="2911" t="s">
        <v>177</v>
      </c>
      <c r="D5504" s="2911"/>
      <c r="E5504" s="3016">
        <f t="shared" si="117"/>
        <v>0.23357664233576644</v>
      </c>
      <c r="F5504" s="3010">
        <v>1.05</v>
      </c>
      <c r="G5504" s="2957">
        <v>1.37</v>
      </c>
      <c r="O5504" s="176"/>
    </row>
    <row r="5505" spans="1:15" s="2885" customFormat="1">
      <c r="A5505" s="2910"/>
      <c r="B5505" s="2911"/>
      <c r="C5505" s="2911" t="s">
        <v>273</v>
      </c>
      <c r="D5505" s="2911"/>
      <c r="E5505" s="3016">
        <f t="shared" si="117"/>
        <v>0.23357664233576644</v>
      </c>
      <c r="F5505" s="3010">
        <v>1.05</v>
      </c>
      <c r="G5505" s="2957">
        <v>1.37</v>
      </c>
      <c r="O5505" s="176"/>
    </row>
    <row r="5506" spans="1:15" s="2885" customFormat="1">
      <c r="A5506" s="2910"/>
      <c r="B5506" s="2911"/>
      <c r="C5506" s="2911" t="s">
        <v>2273</v>
      </c>
      <c r="D5506" s="2911"/>
      <c r="E5506" s="3016">
        <f t="shared" si="117"/>
        <v>0.23907342657342653</v>
      </c>
      <c r="F5506" s="3010">
        <v>17.41</v>
      </c>
      <c r="G5506" s="2957">
        <v>22.88</v>
      </c>
      <c r="O5506" s="176"/>
    </row>
    <row r="5507" spans="1:15" s="2885" customFormat="1">
      <c r="A5507" s="2910"/>
      <c r="B5507" s="2911"/>
      <c r="C5507" s="2911" t="s">
        <v>71</v>
      </c>
      <c r="D5507" s="2911"/>
      <c r="E5507" s="3016">
        <f t="shared" si="117"/>
        <v>0.23907342657342653</v>
      </c>
      <c r="F5507" s="3010">
        <v>17.41</v>
      </c>
      <c r="G5507" s="2957">
        <v>22.88</v>
      </c>
      <c r="O5507" s="176"/>
    </row>
    <row r="5508" spans="1:15" s="2885" customFormat="1">
      <c r="A5508" s="2910"/>
      <c r="B5508" s="2911"/>
      <c r="C5508" s="2911" t="s">
        <v>2880</v>
      </c>
      <c r="D5508" s="2911"/>
      <c r="E5508" s="3016">
        <f t="shared" si="117"/>
        <v>0.23907342657342653</v>
      </c>
      <c r="F5508" s="3010">
        <v>17.41</v>
      </c>
      <c r="G5508" s="2957">
        <v>22.88</v>
      </c>
      <c r="O5508" s="176"/>
    </row>
    <row r="5509" spans="1:15" s="2885" customFormat="1">
      <c r="A5509" s="2910"/>
      <c r="B5509" s="2911"/>
      <c r="C5509" s="2911" t="s">
        <v>2881</v>
      </c>
      <c r="D5509" s="2911"/>
      <c r="E5509" s="3016">
        <f t="shared" si="117"/>
        <v>0.23907342657342653</v>
      </c>
      <c r="F5509" s="3010">
        <v>17.41</v>
      </c>
      <c r="G5509" s="2957">
        <v>22.88</v>
      </c>
      <c r="O5509" s="176"/>
    </row>
    <row r="5510" spans="1:15" s="2885" customFormat="1">
      <c r="A5510" s="2910"/>
      <c r="B5510" s="2911"/>
      <c r="C5510" s="2911" t="s">
        <v>1883</v>
      </c>
      <c r="D5510" s="2911"/>
      <c r="E5510" s="3016">
        <f t="shared" si="117"/>
        <v>0.23907342657342653</v>
      </c>
      <c r="F5510" s="3010">
        <v>17.41</v>
      </c>
      <c r="G5510" s="2957">
        <v>22.88</v>
      </c>
      <c r="O5510" s="176"/>
    </row>
    <row r="5511" spans="1:15" s="2885" customFormat="1">
      <c r="A5511" s="2910"/>
      <c r="B5511" s="2911"/>
      <c r="C5511" s="2911" t="s">
        <v>2276</v>
      </c>
      <c r="D5511" s="2911"/>
      <c r="E5511" s="3016">
        <f t="shared" si="117"/>
        <v>0.23907342657342653</v>
      </c>
      <c r="F5511" s="3010">
        <v>17.41</v>
      </c>
      <c r="G5511" s="2957">
        <v>22.88</v>
      </c>
      <c r="O5511" s="176"/>
    </row>
    <row r="5512" spans="1:15" s="2885" customFormat="1">
      <c r="A5512" s="2910"/>
      <c r="B5512" s="2911"/>
      <c r="C5512" s="2911" t="s">
        <v>2566</v>
      </c>
      <c r="D5512" s="2911"/>
      <c r="E5512" s="3016">
        <f t="shared" si="117"/>
        <v>0.23907342657342653</v>
      </c>
      <c r="F5512" s="3010">
        <v>17.41</v>
      </c>
      <c r="G5512" s="2957">
        <v>22.88</v>
      </c>
      <c r="O5512" s="176"/>
    </row>
    <row r="5513" spans="1:15" s="2885" customFormat="1">
      <c r="A5513" s="2910"/>
      <c r="B5513" s="2911"/>
      <c r="C5513" s="2911" t="s">
        <v>72</v>
      </c>
      <c r="D5513" s="2911"/>
      <c r="E5513" s="3016">
        <f t="shared" si="117"/>
        <v>0.23907342657342653</v>
      </c>
      <c r="F5513" s="3010">
        <v>17.41</v>
      </c>
      <c r="G5513" s="2957">
        <v>22.88</v>
      </c>
      <c r="O5513" s="176"/>
    </row>
    <row r="5514" spans="1:15" s="2885" customFormat="1">
      <c r="A5514" s="2910"/>
      <c r="B5514" s="2911"/>
      <c r="C5514" s="2911" t="s">
        <v>549</v>
      </c>
      <c r="D5514" s="2911"/>
      <c r="E5514" s="3016">
        <f t="shared" si="117"/>
        <v>0.10011280315848846</v>
      </c>
      <c r="F5514" s="3010">
        <v>31.91</v>
      </c>
      <c r="G5514" s="2957">
        <v>35.46</v>
      </c>
      <c r="O5514" s="176"/>
    </row>
    <row r="5515" spans="1:15" s="2885" customFormat="1">
      <c r="A5515" s="2910"/>
      <c r="B5515" s="2911"/>
      <c r="C5515" s="2911" t="s">
        <v>1258</v>
      </c>
      <c r="D5515" s="2911"/>
      <c r="E5515" s="3016">
        <f t="shared" si="117"/>
        <v>0.10011280315848846</v>
      </c>
      <c r="F5515" s="3010">
        <v>31.91</v>
      </c>
      <c r="G5515" s="2957">
        <v>35.46</v>
      </c>
      <c r="O5515" s="176"/>
    </row>
    <row r="5516" spans="1:15" s="2885" customFormat="1">
      <c r="A5516" s="2910"/>
      <c r="B5516" s="2911"/>
      <c r="C5516" s="2911" t="s">
        <v>550</v>
      </c>
      <c r="D5516" s="2911"/>
      <c r="E5516" s="3016">
        <f t="shared" si="117"/>
        <v>9.990108803165175E-2</v>
      </c>
      <c r="F5516" s="3010">
        <v>27.3</v>
      </c>
      <c r="G5516" s="2957">
        <v>30.33</v>
      </c>
      <c r="O5516" s="176"/>
    </row>
    <row r="5517" spans="1:15" s="2885" customFormat="1">
      <c r="A5517" s="2910"/>
      <c r="B5517" s="2911"/>
      <c r="C5517" s="2911" t="s">
        <v>1259</v>
      </c>
      <c r="D5517" s="2911"/>
      <c r="E5517" s="3016">
        <f t="shared" si="117"/>
        <v>9.990108803165175E-2</v>
      </c>
      <c r="F5517" s="3010">
        <v>27.3</v>
      </c>
      <c r="G5517" s="2957">
        <v>30.33</v>
      </c>
      <c r="O5517" s="176"/>
    </row>
    <row r="5518" spans="1:15" s="2885" customFormat="1">
      <c r="A5518" s="2910"/>
      <c r="B5518" s="2911"/>
      <c r="C5518" s="2911" t="s">
        <v>1253</v>
      </c>
      <c r="D5518" s="2911"/>
      <c r="E5518" s="3016">
        <f t="shared" si="117"/>
        <v>0.1</v>
      </c>
      <c r="F5518" s="3010">
        <v>11.25</v>
      </c>
      <c r="G5518" s="2957">
        <v>12.5</v>
      </c>
      <c r="O5518" s="176"/>
    </row>
    <row r="5519" spans="1:15" s="2885" customFormat="1">
      <c r="A5519" s="2910"/>
      <c r="B5519" s="2911"/>
      <c r="C5519" s="2911" t="s">
        <v>1254</v>
      </c>
      <c r="D5519" s="2911"/>
      <c r="E5519" s="3017">
        <f t="shared" si="117"/>
        <v>0.1</v>
      </c>
      <c r="F5519" s="2911">
        <v>11.25</v>
      </c>
      <c r="G5519" s="2958">
        <v>12.5</v>
      </c>
      <c r="O5519" s="176"/>
    </row>
    <row r="5520" spans="1:15" s="2885" customFormat="1">
      <c r="A5520" s="2910"/>
      <c r="B5520" s="2911"/>
      <c r="C5520" s="2911" t="s">
        <v>1255</v>
      </c>
      <c r="D5520" s="2911"/>
      <c r="E5520" s="3017">
        <f t="shared" si="117"/>
        <v>9.9426386233269673E-2</v>
      </c>
      <c r="F5520" s="2911">
        <v>9.42</v>
      </c>
      <c r="G5520" s="2958">
        <v>10.46</v>
      </c>
      <c r="O5520" s="176"/>
    </row>
    <row r="5521" spans="1:15" s="2885" customFormat="1">
      <c r="A5521" s="2910"/>
      <c r="B5521" s="2911"/>
      <c r="C5521" s="2911" t="s">
        <v>1256</v>
      </c>
      <c r="D5521" s="2911"/>
      <c r="E5521" s="3017">
        <f t="shared" si="117"/>
        <v>9.9426386233269673E-2</v>
      </c>
      <c r="F5521" s="2911">
        <v>9.42</v>
      </c>
      <c r="G5521" s="2958">
        <v>10.46</v>
      </c>
      <c r="O5521" s="176"/>
    </row>
    <row r="5522" spans="1:15" s="2885" customFormat="1">
      <c r="A5522" s="2910"/>
      <c r="B5522" s="2911"/>
      <c r="C5522" s="2911" t="s">
        <v>1257</v>
      </c>
      <c r="D5522" s="2911"/>
      <c r="E5522" s="3017">
        <f t="shared" si="117"/>
        <v>0.10023310023310027</v>
      </c>
      <c r="F5522" s="2911">
        <v>7.72</v>
      </c>
      <c r="G5522" s="2958">
        <v>8.58</v>
      </c>
      <c r="O5522" s="176"/>
    </row>
    <row r="5523" spans="1:15" s="2885" customFormat="1">
      <c r="A5523" s="2910"/>
      <c r="B5523" s="2911"/>
      <c r="C5523" s="2911" t="s">
        <v>1263</v>
      </c>
      <c r="D5523" s="2911"/>
      <c r="E5523" s="3017">
        <f t="shared" si="117"/>
        <v>9.9999999999999936E-2</v>
      </c>
      <c r="F5523" s="2911">
        <v>2.7</v>
      </c>
      <c r="G5523" s="2958">
        <v>3</v>
      </c>
      <c r="O5523" s="176"/>
    </row>
    <row r="5524" spans="1:15" s="2885" customFormat="1">
      <c r="A5524" s="2910"/>
      <c r="B5524" s="2911"/>
      <c r="C5524" s="2911" t="s">
        <v>1260</v>
      </c>
      <c r="D5524" s="2911"/>
      <c r="E5524" s="3017">
        <f t="shared" si="117"/>
        <v>0.10050251256281405</v>
      </c>
      <c r="F5524" s="2911">
        <v>3.58</v>
      </c>
      <c r="G5524" s="2958">
        <v>3.98</v>
      </c>
      <c r="O5524" s="176"/>
    </row>
    <row r="5525" spans="1:15" s="2885" customFormat="1">
      <c r="A5525" s="2910"/>
      <c r="B5525" s="2911"/>
      <c r="C5525" s="2911" t="s">
        <v>1272</v>
      </c>
      <c r="D5525" s="2911"/>
      <c r="E5525" s="3017">
        <f t="shared" si="117"/>
        <v>0.10050251256281405</v>
      </c>
      <c r="F5525" s="2911">
        <v>3.58</v>
      </c>
      <c r="G5525" s="2958">
        <v>3.98</v>
      </c>
      <c r="O5525" s="176"/>
    </row>
    <row r="5526" spans="1:15" s="2885" customFormat="1">
      <c r="A5526" s="2910"/>
      <c r="B5526" s="2911"/>
      <c r="C5526" s="2911" t="s">
        <v>1251</v>
      </c>
      <c r="D5526" s="2911"/>
      <c r="E5526" s="3017">
        <f t="shared" si="117"/>
        <v>9.9628252788104082E-2</v>
      </c>
      <c r="F5526" s="2911">
        <v>12.11</v>
      </c>
      <c r="G5526" s="2958">
        <v>13.45</v>
      </c>
      <c r="O5526" s="176"/>
    </row>
    <row r="5527" spans="1:15" s="2885" customFormat="1">
      <c r="A5527" s="2910"/>
      <c r="B5527" s="2911"/>
      <c r="C5527" s="2911" t="s">
        <v>1252</v>
      </c>
      <c r="D5527" s="2911"/>
      <c r="E5527" s="3017">
        <f t="shared" si="117"/>
        <v>9.9628252788104082E-2</v>
      </c>
      <c r="F5527" s="2911">
        <v>12.11</v>
      </c>
      <c r="G5527" s="2958">
        <v>13.45</v>
      </c>
      <c r="O5527" s="176"/>
    </row>
    <row r="5528" spans="1:15" s="2885" customFormat="1">
      <c r="A5528" s="2910"/>
      <c r="B5528" s="2911"/>
      <c r="C5528" s="2911" t="s">
        <v>1270</v>
      </c>
      <c r="D5528" s="2911"/>
      <c r="E5528" s="3017">
        <f t="shared" si="117"/>
        <v>0.10007921837866383</v>
      </c>
      <c r="F5528" s="2911">
        <v>34.08</v>
      </c>
      <c r="G5528" s="2958">
        <v>37.869999999999997</v>
      </c>
      <c r="O5528" s="176"/>
    </row>
    <row r="5529" spans="1:15" s="2885" customFormat="1">
      <c r="A5529" s="2910"/>
      <c r="B5529" s="2911"/>
      <c r="C5529" s="2911" t="s">
        <v>1271</v>
      </c>
      <c r="D5529" s="2911"/>
      <c r="E5529" s="3017">
        <f t="shared" si="117"/>
        <v>0.10007921837866383</v>
      </c>
      <c r="F5529" s="2911">
        <v>34.08</v>
      </c>
      <c r="G5529" s="2958">
        <v>37.869999999999997</v>
      </c>
      <c r="O5529" s="176"/>
    </row>
    <row r="5530" spans="1:15" s="2885" customFormat="1">
      <c r="A5530" s="2910"/>
      <c r="B5530" s="2911"/>
      <c r="C5530" s="2911" t="s">
        <v>1293</v>
      </c>
      <c r="D5530" s="2911"/>
      <c r="E5530" s="3017">
        <f t="shared" si="117"/>
        <v>9.968652037617555E-2</v>
      </c>
      <c r="F5530" s="2911">
        <v>14.36</v>
      </c>
      <c r="G5530" s="2958">
        <v>15.95</v>
      </c>
      <c r="O5530" s="176"/>
    </row>
    <row r="5531" spans="1:15" s="2885" customFormat="1">
      <c r="A5531" s="2910"/>
      <c r="B5531" s="2911"/>
      <c r="C5531" s="2911" t="s">
        <v>1294</v>
      </c>
      <c r="D5531" s="2911"/>
      <c r="E5531" s="3017">
        <f t="shared" si="117"/>
        <v>9.9728629579375894E-2</v>
      </c>
      <c r="F5531" s="2911">
        <v>13.27</v>
      </c>
      <c r="G5531" s="2958">
        <v>14.74</v>
      </c>
      <c r="O5531" s="176"/>
    </row>
    <row r="5532" spans="1:15" s="2885" customFormat="1">
      <c r="A5532" s="2910"/>
      <c r="B5532" s="2911"/>
      <c r="C5532" s="2911" t="s">
        <v>1295</v>
      </c>
      <c r="D5532" s="2911"/>
      <c r="E5532" s="3017">
        <f t="shared" si="117"/>
        <v>9.9925428784489179E-2</v>
      </c>
      <c r="F5532" s="2911">
        <v>12.07</v>
      </c>
      <c r="G5532" s="2958">
        <v>13.41</v>
      </c>
      <c r="O5532" s="176"/>
    </row>
    <row r="5533" spans="1:15" s="2885" customFormat="1">
      <c r="A5533" s="2910"/>
      <c r="B5533" s="2911"/>
      <c r="C5533" s="2911" t="s">
        <v>3020</v>
      </c>
      <c r="D5533" s="2911"/>
      <c r="E5533" s="3017">
        <f t="shared" si="117"/>
        <v>9.9750623441396458E-2</v>
      </c>
      <c r="F5533" s="2911">
        <v>10.83</v>
      </c>
      <c r="G5533" s="2958">
        <v>12.03</v>
      </c>
      <c r="O5533" s="176"/>
    </row>
    <row r="5534" spans="1:15" s="2885" customFormat="1">
      <c r="A5534" s="2910"/>
      <c r="B5534" s="2911"/>
      <c r="C5534" s="2911" t="s">
        <v>1027</v>
      </c>
      <c r="D5534" s="2911"/>
      <c r="E5534" s="3017">
        <f t="shared" si="117"/>
        <v>0.10039113428943931</v>
      </c>
      <c r="F5534" s="2911">
        <v>13.8</v>
      </c>
      <c r="G5534" s="2958">
        <v>15.34</v>
      </c>
      <c r="O5534" s="176"/>
    </row>
    <row r="5535" spans="1:15" s="2885" customFormat="1" ht="15.75" thickBot="1">
      <c r="A5535" s="2914"/>
      <c r="B5535" s="2915"/>
      <c r="C5535" s="2915" t="s">
        <v>1176</v>
      </c>
      <c r="D5535" s="2915"/>
      <c r="E5535" s="3018">
        <f t="shared" si="117"/>
        <v>0.10039113428943931</v>
      </c>
      <c r="F5535" s="2915">
        <v>13.8</v>
      </c>
      <c r="G5535" s="2959">
        <v>15.34</v>
      </c>
      <c r="O5535" s="176"/>
    </row>
    <row r="5536" spans="1:15" s="2885" customFormat="1" ht="15.75" thickBot="1">
      <c r="O5536" s="176"/>
    </row>
    <row r="5537" spans="1:15" s="2885" customFormat="1">
      <c r="A5537" s="3572"/>
      <c r="B5537" s="3557"/>
      <c r="C5537" s="3557"/>
      <c r="D5537" s="3557"/>
      <c r="E5537" s="3557"/>
      <c r="F5537" s="3559"/>
      <c r="G5537" s="3559"/>
      <c r="O5537" s="176"/>
    </row>
    <row r="5538" spans="1:15" s="2885" customFormat="1">
      <c r="A5538" s="3905"/>
      <c r="B5538" s="3906"/>
      <c r="C5538" s="3906"/>
      <c r="D5538" s="3906"/>
      <c r="E5538" s="3906"/>
      <c r="F5538" s="3913"/>
      <c r="G5538" s="3913"/>
      <c r="O5538" s="176"/>
    </row>
    <row r="5539" spans="1:15" s="2885" customFormat="1">
      <c r="A5539" s="3015" t="s">
        <v>3735</v>
      </c>
      <c r="B5539" s="2898" t="s">
        <v>3229</v>
      </c>
      <c r="C5539" s="3170" t="s">
        <v>623</v>
      </c>
      <c r="D5539" s="2997"/>
      <c r="E5539" s="3016">
        <f>(G5539-F5539)/G5539</f>
        <v>0.3041237113402061</v>
      </c>
      <c r="F5539" s="3129">
        <v>1.35</v>
      </c>
      <c r="G5539" s="3130">
        <v>1.94</v>
      </c>
      <c r="O5539" s="176"/>
    </row>
    <row r="5540" spans="1:15" s="2885" customFormat="1">
      <c r="A5540" s="2910"/>
      <c r="B5540" s="2911"/>
      <c r="C5540" s="3168" t="s">
        <v>1772</v>
      </c>
      <c r="D5540" s="2911"/>
      <c r="E5540" s="3016">
        <f>(G5540-F5540)/G5540</f>
        <v>0.3041237113402061</v>
      </c>
      <c r="F5540" s="2911">
        <v>1.35</v>
      </c>
      <c r="G5540" s="2957">
        <v>1.94</v>
      </c>
      <c r="O5540" s="176"/>
    </row>
    <row r="5541" spans="1:15" s="2885" customFormat="1">
      <c r="A5541" s="2910"/>
      <c r="B5541" s="2911"/>
      <c r="C5541" s="3168" t="s">
        <v>1090</v>
      </c>
      <c r="D5541" s="2911"/>
      <c r="E5541" s="3016">
        <f>(G5541-F5541)/G5541</f>
        <v>0.2292993630573249</v>
      </c>
      <c r="F5541" s="2911">
        <v>1.21</v>
      </c>
      <c r="G5541" s="2957">
        <v>1.57</v>
      </c>
      <c r="O5541" s="176"/>
    </row>
    <row r="5542" spans="1:15" s="2885" customFormat="1">
      <c r="A5542" s="2910"/>
      <c r="B5542" s="2911"/>
      <c r="C5542" s="3168" t="s">
        <v>1091</v>
      </c>
      <c r="D5542" s="2911"/>
      <c r="E5542" s="3016">
        <f>(G5542-F5542)/G5542</f>
        <v>0.2292993630573249</v>
      </c>
      <c r="F5542" s="2911">
        <v>1.21</v>
      </c>
      <c r="G5542" s="2957">
        <v>1.57</v>
      </c>
      <c r="O5542" s="176"/>
    </row>
    <row r="5543" spans="1:15" s="2885" customFormat="1" ht="15.75" thickBot="1">
      <c r="A5543" s="2914"/>
      <c r="B5543" s="2915"/>
      <c r="C5543" s="3169" t="s">
        <v>1092</v>
      </c>
      <c r="D5543" s="2915"/>
      <c r="E5543" s="3050">
        <f>(G5543-F5543)/G5543</f>
        <v>0.2292993630573249</v>
      </c>
      <c r="F5543" s="2915">
        <v>1.21</v>
      </c>
      <c r="G5543" s="3144">
        <v>1.57</v>
      </c>
      <c r="O5543" s="176"/>
    </row>
    <row r="5544" spans="1:15" s="2885" customFormat="1">
      <c r="O5544" s="176"/>
    </row>
    <row r="5545" spans="1:15" ht="15.75" thickBot="1"/>
    <row r="5546" spans="1:15" s="2885" customFormat="1">
      <c r="A5546" s="3572"/>
      <c r="B5546" s="3557"/>
      <c r="C5546" s="3557"/>
      <c r="D5546" s="3557"/>
      <c r="E5546" s="3557"/>
      <c r="F5546" s="3559"/>
      <c r="G5546" s="3559"/>
      <c r="O5546" s="176"/>
    </row>
    <row r="5547" spans="1:15" s="2885" customFormat="1">
      <c r="A5547" s="3905"/>
      <c r="B5547" s="3906"/>
      <c r="C5547" s="3906"/>
      <c r="D5547" s="3906"/>
      <c r="E5547" s="3906"/>
      <c r="F5547" s="3913"/>
      <c r="G5547" s="3913"/>
      <c r="O5547" s="176"/>
    </row>
    <row r="5548" spans="1:15" s="2885" customFormat="1">
      <c r="A5548" s="3015" t="s">
        <v>3749</v>
      </c>
      <c r="B5548" s="2898" t="s">
        <v>3229</v>
      </c>
      <c r="C5548" s="3170" t="s">
        <v>3021</v>
      </c>
      <c r="D5548" s="2997"/>
      <c r="E5548" s="3016">
        <f>(G5548-F5548)/G5548</f>
        <v>0.13392857142857154</v>
      </c>
      <c r="F5548" s="3129">
        <v>1.94</v>
      </c>
      <c r="G5548" s="3130">
        <v>2.2400000000000002</v>
      </c>
      <c r="O5548" s="176"/>
    </row>
    <row r="5549" spans="1:15" s="2885" customFormat="1">
      <c r="A5549" s="2910"/>
      <c r="B5549" s="2911"/>
      <c r="C5549" s="3168" t="s">
        <v>1263</v>
      </c>
      <c r="D5549" s="2911"/>
      <c r="E5549" s="3016">
        <f t="shared" ref="E5549:E5574" si="118">(G5549-F5549)/G5549</f>
        <v>0.13377926421404693</v>
      </c>
      <c r="F5549" s="3010">
        <v>2.59</v>
      </c>
      <c r="G5549" s="2957">
        <v>2.99</v>
      </c>
      <c r="O5549" s="176"/>
    </row>
    <row r="5550" spans="1:15" s="2885" customFormat="1">
      <c r="A5550" s="2910"/>
      <c r="B5550" s="2911"/>
      <c r="C5550" s="3168" t="s">
        <v>1174</v>
      </c>
      <c r="D5550" s="2911"/>
      <c r="E5550" s="3016">
        <f t="shared" si="118"/>
        <v>0.13529411764705881</v>
      </c>
      <c r="F5550" s="3010">
        <v>2.94</v>
      </c>
      <c r="G5550" s="2957">
        <v>3.4</v>
      </c>
      <c r="O5550" s="176"/>
    </row>
    <row r="5551" spans="1:15" s="2885" customFormat="1">
      <c r="A5551" s="2910"/>
      <c r="B5551" s="2911"/>
      <c r="C5551" s="3168" t="s">
        <v>1260</v>
      </c>
      <c r="D5551" s="2911"/>
      <c r="E5551" s="3016">
        <f t="shared" si="118"/>
        <v>0.13613861386138609</v>
      </c>
      <c r="F5551" s="3010">
        <v>3.49</v>
      </c>
      <c r="G5551" s="2957">
        <v>4.04</v>
      </c>
      <c r="O5551" s="176"/>
    </row>
    <row r="5552" spans="1:15" s="2885" customFormat="1">
      <c r="A5552" s="2910"/>
      <c r="B5552" s="2911"/>
      <c r="C5552" s="3168" t="s">
        <v>1272</v>
      </c>
      <c r="D5552" s="2911"/>
      <c r="E5552" s="3016">
        <f t="shared" si="118"/>
        <v>0.13613861386138609</v>
      </c>
      <c r="F5552" s="3010">
        <v>3.49</v>
      </c>
      <c r="G5552" s="2957">
        <v>4.04</v>
      </c>
      <c r="O5552" s="176"/>
    </row>
    <row r="5553" spans="1:15" s="2885" customFormat="1">
      <c r="A5553" s="2910"/>
      <c r="B5553" s="2911"/>
      <c r="C5553" s="3168" t="s">
        <v>1266</v>
      </c>
      <c r="D5553" s="2911"/>
      <c r="E5553" s="3016">
        <f t="shared" si="118"/>
        <v>0.13384321223709372</v>
      </c>
      <c r="F5553" s="3010">
        <v>4.53</v>
      </c>
      <c r="G5553" s="2957">
        <v>5.23</v>
      </c>
      <c r="O5553" s="176"/>
    </row>
    <row r="5554" spans="1:15" s="2885" customFormat="1">
      <c r="A5554" s="2910"/>
      <c r="B5554" s="2911"/>
      <c r="C5554" s="3168" t="s">
        <v>1175</v>
      </c>
      <c r="D5554" s="2911"/>
      <c r="E5554" s="3016">
        <f t="shared" si="118"/>
        <v>0.13479052823315121</v>
      </c>
      <c r="F5554" s="3010">
        <v>4.75</v>
      </c>
      <c r="G5554" s="2957">
        <v>5.49</v>
      </c>
      <c r="O5554" s="176"/>
    </row>
    <row r="5555" spans="1:15" s="2885" customFormat="1">
      <c r="A5555" s="2910"/>
      <c r="B5555" s="2911"/>
      <c r="C5555" s="3168" t="s">
        <v>1257</v>
      </c>
      <c r="D5555" s="2911"/>
      <c r="E5555" s="3016">
        <f t="shared" si="118"/>
        <v>0.13506493506493505</v>
      </c>
      <c r="F5555" s="3010">
        <v>6.66</v>
      </c>
      <c r="G5555" s="2957">
        <v>7.7</v>
      </c>
      <c r="O5555" s="176"/>
    </row>
    <row r="5556" spans="1:15" s="2885" customFormat="1">
      <c r="A5556" s="2910"/>
      <c r="B5556" s="2911"/>
      <c r="C5556" s="3168" t="s">
        <v>1256</v>
      </c>
      <c r="D5556" s="2911"/>
      <c r="E5556" s="3017">
        <f t="shared" si="118"/>
        <v>0.13422818791946312</v>
      </c>
      <c r="F5556" s="3010">
        <v>9.0299999999999994</v>
      </c>
      <c r="G5556" s="2957">
        <v>10.43</v>
      </c>
      <c r="O5556" s="176"/>
    </row>
    <row r="5557" spans="1:15" s="2885" customFormat="1">
      <c r="A5557" s="2910"/>
      <c r="B5557" s="2911"/>
      <c r="C5557" s="3168" t="s">
        <v>3020</v>
      </c>
      <c r="D5557" s="2911"/>
      <c r="E5557" s="3017">
        <f t="shared" si="118"/>
        <v>0.13486005089058523</v>
      </c>
      <c r="F5557" s="3010">
        <v>10.199999999999999</v>
      </c>
      <c r="G5557" s="2957">
        <v>11.79</v>
      </c>
      <c r="O5557" s="176"/>
    </row>
    <row r="5558" spans="1:15" s="2885" customFormat="1">
      <c r="A5558" s="2910"/>
      <c r="B5558" s="2911"/>
      <c r="C5558" s="3168" t="s">
        <v>1253</v>
      </c>
      <c r="D5558" s="2911"/>
      <c r="E5558" s="3017">
        <f t="shared" si="118"/>
        <v>0.13472333600641551</v>
      </c>
      <c r="F5558" s="3010">
        <v>10.79</v>
      </c>
      <c r="G5558" s="2957">
        <v>12.47</v>
      </c>
      <c r="O5558" s="176"/>
    </row>
    <row r="5559" spans="1:15" s="2885" customFormat="1">
      <c r="A5559" s="2910"/>
      <c r="B5559" s="2911"/>
      <c r="C5559" s="3168" t="s">
        <v>1254</v>
      </c>
      <c r="D5559" s="2911"/>
      <c r="E5559" s="3017">
        <f t="shared" si="118"/>
        <v>0.13472333600641551</v>
      </c>
      <c r="F5559" s="3010">
        <v>10.79</v>
      </c>
      <c r="G5559" s="2958">
        <v>12.47</v>
      </c>
      <c r="O5559" s="176"/>
    </row>
    <row r="5560" spans="1:15" s="2885" customFormat="1">
      <c r="A5560" s="2910"/>
      <c r="B5560" s="2911"/>
      <c r="C5560" s="3168" t="s">
        <v>1295</v>
      </c>
      <c r="D5560" s="2911"/>
      <c r="E5560" s="3017">
        <f t="shared" si="118"/>
        <v>0.13497390007457125</v>
      </c>
      <c r="F5560" s="3010">
        <v>11.6</v>
      </c>
      <c r="G5560" s="2958">
        <v>13.41</v>
      </c>
      <c r="O5560" s="176"/>
    </row>
    <row r="5561" spans="1:15" s="2885" customFormat="1">
      <c r="A5561" s="2910"/>
      <c r="B5561" s="2911"/>
      <c r="C5561" s="3168" t="s">
        <v>1251</v>
      </c>
      <c r="D5561" s="2911"/>
      <c r="E5561" s="3017">
        <f t="shared" si="118"/>
        <v>0.13487332339791361</v>
      </c>
      <c r="F5561" s="3010">
        <v>11.61</v>
      </c>
      <c r="G5561" s="2958">
        <v>13.42</v>
      </c>
      <c r="O5561" s="176"/>
    </row>
    <row r="5562" spans="1:15" s="2885" customFormat="1">
      <c r="A5562" s="2910"/>
      <c r="B5562" s="2911"/>
      <c r="C5562" s="3168" t="s">
        <v>1294</v>
      </c>
      <c r="D5562" s="2911"/>
      <c r="E5562" s="3017">
        <f t="shared" si="118"/>
        <v>0.13494809688581311</v>
      </c>
      <c r="F5562" s="3010">
        <v>12.5</v>
      </c>
      <c r="G5562" s="2958">
        <v>14.45</v>
      </c>
      <c r="O5562" s="176"/>
    </row>
    <row r="5563" spans="1:15" s="2885" customFormat="1">
      <c r="A5563" s="2910"/>
      <c r="B5563" s="2911"/>
      <c r="C5563" s="3168" t="s">
        <v>1027</v>
      </c>
      <c r="D5563" s="2911"/>
      <c r="E5563" s="3017">
        <f t="shared" si="118"/>
        <v>0.13437703848662755</v>
      </c>
      <c r="F5563" s="3010">
        <v>13.27</v>
      </c>
      <c r="G5563" s="2958">
        <v>15.33</v>
      </c>
      <c r="O5563" s="176"/>
    </row>
    <row r="5564" spans="1:15" s="2885" customFormat="1">
      <c r="A5564" s="2910"/>
      <c r="B5564" s="2911"/>
      <c r="C5564" s="3168" t="s">
        <v>1176</v>
      </c>
      <c r="D5564" s="2911"/>
      <c r="E5564" s="3017">
        <f t="shared" si="118"/>
        <v>0.13437703848662755</v>
      </c>
      <c r="F5564" s="3010">
        <v>13.27</v>
      </c>
      <c r="G5564" s="2958">
        <v>15.33</v>
      </c>
      <c r="O5564" s="176"/>
    </row>
    <row r="5565" spans="1:15" s="2885" customFormat="1">
      <c r="A5565" s="2910"/>
      <c r="B5565" s="2911"/>
      <c r="C5565" s="3168" t="s">
        <v>1293</v>
      </c>
      <c r="D5565" s="2911"/>
      <c r="E5565" s="3017">
        <f t="shared" si="118"/>
        <v>0.13435700575815748</v>
      </c>
      <c r="F5565" s="3010">
        <v>13.53</v>
      </c>
      <c r="G5565" s="2958">
        <v>15.63</v>
      </c>
      <c r="O5565" s="176"/>
    </row>
    <row r="5566" spans="1:15" s="2885" customFormat="1">
      <c r="A5566" s="2910"/>
      <c r="B5566" s="2911"/>
      <c r="C5566" s="3168" t="s">
        <v>1178</v>
      </c>
      <c r="D5566" s="2911"/>
      <c r="E5566" s="3017">
        <f t="shared" si="118"/>
        <v>0.13452266152362582</v>
      </c>
      <c r="F5566" s="3010">
        <v>17.95</v>
      </c>
      <c r="G5566" s="2958">
        <v>20.74</v>
      </c>
      <c r="O5566" s="176"/>
    </row>
    <row r="5567" spans="1:15" s="2885" customFormat="1">
      <c r="A5567" s="2910"/>
      <c r="B5567" s="2911"/>
      <c r="C5567" s="3168" t="s">
        <v>3168</v>
      </c>
      <c r="D5567" s="2911"/>
      <c r="E5567" s="3017">
        <f t="shared" si="118"/>
        <v>0.13452266152362582</v>
      </c>
      <c r="F5567" s="3010">
        <v>17.95</v>
      </c>
      <c r="G5567" s="2958">
        <v>20.74</v>
      </c>
      <c r="O5567" s="176"/>
    </row>
    <row r="5568" spans="1:15" s="2885" customFormat="1">
      <c r="A5568" s="2910"/>
      <c r="B5568" s="2911"/>
      <c r="C5568" s="3168" t="s">
        <v>3169</v>
      </c>
      <c r="D5568" s="2911"/>
      <c r="E5568" s="3017">
        <f t="shared" si="118"/>
        <v>0.13458466453674112</v>
      </c>
      <c r="F5568" s="3010">
        <v>21.67</v>
      </c>
      <c r="G5568" s="2958">
        <v>25.04</v>
      </c>
      <c r="O5568" s="176"/>
    </row>
    <row r="5569" spans="1:15" s="2885" customFormat="1">
      <c r="A5569" s="2910"/>
      <c r="B5569" s="2911"/>
      <c r="C5569" s="3168" t="s">
        <v>550</v>
      </c>
      <c r="D5569" s="2911"/>
      <c r="E5569" s="3017">
        <f t="shared" si="118"/>
        <v>0.13450099140779909</v>
      </c>
      <c r="F5569" s="3010">
        <v>26.19</v>
      </c>
      <c r="G5569" s="2958">
        <v>30.26</v>
      </c>
      <c r="O5569" s="176"/>
    </row>
    <row r="5570" spans="1:15" s="2885" customFormat="1">
      <c r="A5570" s="2910"/>
      <c r="B5570" s="2911"/>
      <c r="C5570" s="3168" t="s">
        <v>1259</v>
      </c>
      <c r="D5570" s="2911"/>
      <c r="E5570" s="3017">
        <f t="shared" si="118"/>
        <v>0.13450099140779909</v>
      </c>
      <c r="F5570" s="3010">
        <v>26.19</v>
      </c>
      <c r="G5570" s="2958">
        <v>30.26</v>
      </c>
      <c r="O5570" s="176"/>
    </row>
    <row r="5571" spans="1:15" s="2885" customFormat="1">
      <c r="A5571" s="2910"/>
      <c r="B5571" s="2911"/>
      <c r="C5571" s="3168" t="s">
        <v>549</v>
      </c>
      <c r="D5571" s="2911"/>
      <c r="E5571" s="3017">
        <f t="shared" si="118"/>
        <v>0.13457732541702003</v>
      </c>
      <c r="F5571" s="3010">
        <v>30.61</v>
      </c>
      <c r="G5571" s="2958">
        <v>35.369999999999997</v>
      </c>
      <c r="O5571" s="176"/>
    </row>
    <row r="5572" spans="1:15" s="2885" customFormat="1">
      <c r="A5572" s="2910"/>
      <c r="B5572" s="2911"/>
      <c r="C5572" s="3168" t="s">
        <v>1258</v>
      </c>
      <c r="D5572" s="2911"/>
      <c r="E5572" s="3017">
        <f t="shared" si="118"/>
        <v>0.13457732541702003</v>
      </c>
      <c r="F5572" s="3010">
        <v>30.61</v>
      </c>
      <c r="G5572" s="2958">
        <v>35.369999999999997</v>
      </c>
      <c r="O5572" s="176"/>
    </row>
    <row r="5573" spans="1:15" s="2885" customFormat="1">
      <c r="A5573" s="2910"/>
      <c r="B5573" s="2911"/>
      <c r="C5573" s="3168" t="s">
        <v>1270</v>
      </c>
      <c r="D5573" s="2911"/>
      <c r="E5573" s="3017">
        <f t="shared" si="118"/>
        <v>0.13446267866596079</v>
      </c>
      <c r="F5573" s="3010">
        <v>32.700000000000003</v>
      </c>
      <c r="G5573" s="2958">
        <v>37.78</v>
      </c>
      <c r="O5573" s="176"/>
    </row>
    <row r="5574" spans="1:15" s="2885" customFormat="1" ht="15.75" thickBot="1">
      <c r="A5574" s="2914"/>
      <c r="B5574" s="2915"/>
      <c r="C5574" s="3169" t="s">
        <v>1271</v>
      </c>
      <c r="D5574" s="2915"/>
      <c r="E5574" s="3018">
        <f t="shared" si="118"/>
        <v>0.13446267866596079</v>
      </c>
      <c r="F5574" s="3011">
        <v>32.700000000000003</v>
      </c>
      <c r="G5574" s="2959">
        <v>37.78</v>
      </c>
      <c r="O5574" s="176"/>
    </row>
    <row r="5575" spans="1:15" s="2885" customFormat="1" ht="15.75" thickBot="1">
      <c r="O5575" s="176"/>
    </row>
    <row r="5576" spans="1:15" s="2885" customFormat="1">
      <c r="A5576" s="3572"/>
      <c r="B5576" s="3557"/>
      <c r="C5576" s="3557"/>
      <c r="D5576" s="3557"/>
      <c r="E5576" s="3557"/>
      <c r="F5576" s="3559"/>
      <c r="G5576" s="3559"/>
      <c r="O5576" s="176"/>
    </row>
    <row r="5577" spans="1:15" s="2885" customFormat="1">
      <c r="A5577" s="3905"/>
      <c r="B5577" s="3906"/>
      <c r="C5577" s="3906"/>
      <c r="D5577" s="3906"/>
      <c r="E5577" s="3906"/>
      <c r="F5577" s="3913"/>
      <c r="G5577" s="3913"/>
      <c r="O5577" s="176"/>
    </row>
    <row r="5578" spans="1:15" s="2885" customFormat="1">
      <c r="A5578" s="3015" t="s">
        <v>3750</v>
      </c>
      <c r="B5578" s="2898" t="s">
        <v>3229</v>
      </c>
      <c r="C5578" s="2996" t="s">
        <v>1644</v>
      </c>
      <c r="D5578" s="2997"/>
      <c r="E5578" s="3016">
        <f>(G5578-F5578)/G5578</f>
        <v>9.9999999999999964E-2</v>
      </c>
      <c r="F5578" s="3129">
        <v>3.06</v>
      </c>
      <c r="G5578" s="3130">
        <v>3.4</v>
      </c>
      <c r="O5578" s="176"/>
    </row>
    <row r="5579" spans="1:15" s="2885" customFormat="1">
      <c r="A5579" s="2910"/>
      <c r="B5579" s="2911"/>
      <c r="C5579" s="2911" t="s">
        <v>3409</v>
      </c>
      <c r="D5579" s="2911"/>
      <c r="E5579" s="3016">
        <f t="shared" ref="E5579:E5593" si="119">(G5579-F5579)/G5579</f>
        <v>9.91957104557641E-2</v>
      </c>
      <c r="F5579" s="3010">
        <v>3.36</v>
      </c>
      <c r="G5579" s="2957">
        <v>3.73</v>
      </c>
      <c r="O5579" s="176"/>
    </row>
    <row r="5580" spans="1:15" s="2885" customFormat="1">
      <c r="A5580" s="2910"/>
      <c r="B5580" s="2911"/>
      <c r="C5580" s="2911" t="s">
        <v>2272</v>
      </c>
      <c r="D5580" s="2911"/>
      <c r="E5580" s="3016">
        <f t="shared" si="119"/>
        <v>0.10098522167487678</v>
      </c>
      <c r="F5580" s="3010">
        <v>3.65</v>
      </c>
      <c r="G5580" s="2957">
        <v>4.0599999999999996</v>
      </c>
      <c r="O5580" s="176"/>
    </row>
    <row r="5581" spans="1:15" s="2885" customFormat="1">
      <c r="A5581" s="2910"/>
      <c r="B5581" s="2911"/>
      <c r="C5581" s="2911" t="s">
        <v>1496</v>
      </c>
      <c r="D5581" s="2911"/>
      <c r="E5581" s="3016">
        <f t="shared" si="119"/>
        <v>0.10098522167487678</v>
      </c>
      <c r="F5581" s="3010">
        <v>3.65</v>
      </c>
      <c r="G5581" s="2957">
        <v>4.0599999999999996</v>
      </c>
      <c r="O5581" s="176"/>
    </row>
    <row r="5582" spans="1:15" s="2885" customFormat="1">
      <c r="A5582" s="2910"/>
      <c r="B5582" s="2911"/>
      <c r="C5582" s="2911" t="s">
        <v>2274</v>
      </c>
      <c r="D5582" s="2911"/>
      <c r="E5582" s="3016">
        <f t="shared" si="119"/>
        <v>0.10098522167487678</v>
      </c>
      <c r="F5582" s="3010">
        <v>3.65</v>
      </c>
      <c r="G5582" s="2957">
        <v>4.0599999999999996</v>
      </c>
      <c r="O5582" s="176"/>
    </row>
    <row r="5583" spans="1:15" s="2885" customFormat="1">
      <c r="A5583" s="2910"/>
      <c r="B5583" s="2911"/>
      <c r="C5583" s="2911" t="s">
        <v>1497</v>
      </c>
      <c r="D5583" s="2911"/>
      <c r="E5583" s="3016">
        <f t="shared" si="119"/>
        <v>0.10098522167487678</v>
      </c>
      <c r="F5583" s="3010">
        <v>3.65</v>
      </c>
      <c r="G5583" s="2957">
        <v>4.0599999999999996</v>
      </c>
      <c r="O5583" s="176"/>
    </row>
    <row r="5584" spans="1:15" s="2885" customFormat="1">
      <c r="A5584" s="2910"/>
      <c r="B5584" s="2911"/>
      <c r="C5584" s="2911" t="s">
        <v>2275</v>
      </c>
      <c r="D5584" s="2911"/>
      <c r="E5584" s="3016">
        <f t="shared" si="119"/>
        <v>9.9557522123893655E-2</v>
      </c>
      <c r="F5584" s="3010">
        <v>8.14</v>
      </c>
      <c r="G5584" s="2957">
        <v>9.0399999999999991</v>
      </c>
      <c r="O5584" s="176"/>
    </row>
    <row r="5585" spans="1:15" s="2885" customFormat="1">
      <c r="A5585" s="2910"/>
      <c r="B5585" s="2911"/>
      <c r="C5585" s="2911" t="s">
        <v>239</v>
      </c>
      <c r="D5585" s="2911"/>
      <c r="E5585" s="3016">
        <f t="shared" si="119"/>
        <v>9.9557522123893655E-2</v>
      </c>
      <c r="F5585" s="3010">
        <v>8.14</v>
      </c>
      <c r="G5585" s="2957">
        <v>9.0399999999999991</v>
      </c>
      <c r="O5585" s="176"/>
    </row>
    <row r="5586" spans="1:15" s="2885" customFormat="1">
      <c r="A5586" s="2910"/>
      <c r="B5586" s="2911"/>
      <c r="C5586" s="2911" t="s">
        <v>2271</v>
      </c>
      <c r="D5586" s="2911"/>
      <c r="E5586" s="3017">
        <f t="shared" si="119"/>
        <v>9.9557522123893655E-2</v>
      </c>
      <c r="F5586" s="3010">
        <v>8.14</v>
      </c>
      <c r="G5586" s="2957">
        <v>9.0399999999999991</v>
      </c>
      <c r="O5586" s="176"/>
    </row>
    <row r="5587" spans="1:15" s="2885" customFormat="1">
      <c r="A5587" s="2910"/>
      <c r="B5587" s="2911"/>
      <c r="C5587" s="2911" t="s">
        <v>238</v>
      </c>
      <c r="D5587" s="2911"/>
      <c r="E5587" s="3017">
        <f t="shared" si="119"/>
        <v>9.9557522123893655E-2</v>
      </c>
      <c r="F5587" s="3010">
        <v>8.14</v>
      </c>
      <c r="G5587" s="2957">
        <v>9.0399999999999991</v>
      </c>
      <c r="O5587" s="176"/>
    </row>
    <row r="5588" spans="1:15" s="2885" customFormat="1">
      <c r="A5588" s="2910"/>
      <c r="B5588" s="2911"/>
      <c r="C5588" s="2911" t="s">
        <v>2273</v>
      </c>
      <c r="D5588" s="2911"/>
      <c r="E5588" s="3017">
        <f t="shared" si="119"/>
        <v>0.10009182736455462</v>
      </c>
      <c r="F5588" s="3010">
        <v>19.600000000000001</v>
      </c>
      <c r="G5588" s="2957">
        <v>21.78</v>
      </c>
      <c r="O5588" s="176"/>
    </row>
    <row r="5589" spans="1:15" s="2885" customFormat="1">
      <c r="A5589" s="2910"/>
      <c r="B5589" s="2911"/>
      <c r="C5589" s="2911" t="s">
        <v>71</v>
      </c>
      <c r="D5589" s="2911"/>
      <c r="E5589" s="3017">
        <f t="shared" si="119"/>
        <v>0.10009182736455462</v>
      </c>
      <c r="F5589" s="3010">
        <v>19.600000000000001</v>
      </c>
      <c r="G5589" s="2958">
        <v>21.78</v>
      </c>
      <c r="O5589" s="176"/>
    </row>
    <row r="5590" spans="1:15" s="2885" customFormat="1">
      <c r="A5590" s="2910"/>
      <c r="B5590" s="2911"/>
      <c r="C5590" s="2911" t="s">
        <v>2566</v>
      </c>
      <c r="D5590" s="2911"/>
      <c r="E5590" s="3017">
        <f t="shared" si="119"/>
        <v>0.10009182736455462</v>
      </c>
      <c r="F5590" s="3010">
        <v>19.600000000000001</v>
      </c>
      <c r="G5590" s="2958">
        <v>21.78</v>
      </c>
      <c r="O5590" s="176"/>
    </row>
    <row r="5591" spans="1:15" s="2885" customFormat="1">
      <c r="A5591" s="2910"/>
      <c r="B5591" s="2911"/>
      <c r="C5591" s="2911" t="s">
        <v>72</v>
      </c>
      <c r="D5591" s="2911"/>
      <c r="E5591" s="3017">
        <f t="shared" si="119"/>
        <v>0.10009182736455462</v>
      </c>
      <c r="F5591" s="3010">
        <v>19.600000000000001</v>
      </c>
      <c r="G5591" s="2958">
        <v>21.78</v>
      </c>
      <c r="O5591" s="176"/>
    </row>
    <row r="5592" spans="1:15" s="2885" customFormat="1">
      <c r="A5592" s="2910"/>
      <c r="B5592" s="2911"/>
      <c r="C5592" s="2911" t="s">
        <v>1883</v>
      </c>
      <c r="D5592" s="2911"/>
      <c r="E5592" s="3017">
        <f t="shared" si="119"/>
        <v>0.10009182736455462</v>
      </c>
      <c r="F5592" s="3010">
        <v>19.600000000000001</v>
      </c>
      <c r="G5592" s="2958">
        <v>21.78</v>
      </c>
      <c r="O5592" s="176"/>
    </row>
    <row r="5593" spans="1:15" s="2885" customFormat="1" ht="15.75" thickBot="1">
      <c r="A5593" s="2914"/>
      <c r="B5593" s="2915"/>
      <c r="C5593" s="2915" t="s">
        <v>2276</v>
      </c>
      <c r="D5593" s="2915"/>
      <c r="E5593" s="3018">
        <f t="shared" si="119"/>
        <v>0.10009182736455462</v>
      </c>
      <c r="F5593" s="3011">
        <v>19.600000000000001</v>
      </c>
      <c r="G5593" s="2959">
        <v>21.78</v>
      </c>
      <c r="O5593" s="176"/>
    </row>
    <row r="5594" spans="1:15" s="2885" customFormat="1" ht="15.75" thickBot="1">
      <c r="O5594" s="176"/>
    </row>
    <row r="5595" spans="1:15" s="2885" customFormat="1">
      <c r="A5595" s="3593"/>
      <c r="B5595" s="3601"/>
      <c r="C5595" s="3601"/>
      <c r="D5595" s="3601"/>
      <c r="E5595" s="3601"/>
      <c r="F5595" s="3601"/>
      <c r="G5595" s="3559"/>
      <c r="O5595" s="176"/>
    </row>
    <row r="5596" spans="1:15" s="2885" customFormat="1" ht="15.75" thickBot="1">
      <c r="A5596" s="3912"/>
      <c r="B5596" s="3907"/>
      <c r="C5596" s="3907"/>
      <c r="D5596" s="3907"/>
      <c r="E5596" s="3907"/>
      <c r="F5596" s="3907"/>
      <c r="G5596" s="3913"/>
      <c r="O5596" s="176"/>
    </row>
    <row r="5597" spans="1:15" s="2885" customFormat="1">
      <c r="A5597" s="2870" t="s">
        <v>3751</v>
      </c>
      <c r="B5597" s="2871" t="s">
        <v>114</v>
      </c>
      <c r="C5597" s="2181" t="s">
        <v>2176</v>
      </c>
      <c r="D5597" s="2872"/>
      <c r="E5597" s="2182">
        <f>(G5597-F5597)/G5597</f>
        <v>0.21862348178137661</v>
      </c>
      <c r="F5597" s="2468">
        <v>1.93</v>
      </c>
      <c r="G5597" s="3167">
        <v>2.4700000000000002</v>
      </c>
      <c r="O5597" s="176"/>
    </row>
    <row r="5598" spans="1:15" s="2885" customFormat="1">
      <c r="A5598" s="3123"/>
      <c r="B5598" s="3124"/>
      <c r="C5598" s="2952" t="s">
        <v>2743</v>
      </c>
      <c r="D5598" s="3125"/>
      <c r="E5598" s="3126">
        <f t="shared" ref="E5598:E5603" si="120">(G5598-F5598)/G5598</f>
        <v>0.20253164556962028</v>
      </c>
      <c r="F5598" s="2953">
        <v>0.63</v>
      </c>
      <c r="G5598" s="3127">
        <v>0.79</v>
      </c>
      <c r="O5598" s="176"/>
    </row>
    <row r="5599" spans="1:15" s="2885" customFormat="1">
      <c r="A5599" s="2910"/>
      <c r="B5599" s="2911"/>
      <c r="C5599" s="2911" t="s">
        <v>1904</v>
      </c>
      <c r="D5599" s="2911"/>
      <c r="E5599" s="3126">
        <f t="shared" si="120"/>
        <v>0.26704545454545453</v>
      </c>
      <c r="F5599" s="2911">
        <v>1.29</v>
      </c>
      <c r="G5599" s="2913">
        <v>1.76</v>
      </c>
      <c r="O5599" s="176"/>
    </row>
    <row r="5600" spans="1:15" s="2885" customFormat="1">
      <c r="A5600" s="2910"/>
      <c r="B5600" s="2911"/>
      <c r="C5600" s="2911" t="s">
        <v>2462</v>
      </c>
      <c r="D5600" s="2911"/>
      <c r="E5600" s="3126">
        <f t="shared" si="120"/>
        <v>0.27272727272727271</v>
      </c>
      <c r="F5600" s="2911">
        <v>1.2</v>
      </c>
      <c r="G5600" s="2913">
        <v>1.65</v>
      </c>
      <c r="O5600" s="176"/>
    </row>
    <row r="5601" spans="1:15" s="2885" customFormat="1">
      <c r="A5601" s="2910"/>
      <c r="B5601" s="2911"/>
      <c r="C5601" s="2911" t="s">
        <v>153</v>
      </c>
      <c r="D5601" s="2911"/>
      <c r="E5601" s="3126">
        <f t="shared" si="120"/>
        <v>0.19607843137254907</v>
      </c>
      <c r="F5601" s="2911">
        <v>0.82</v>
      </c>
      <c r="G5601" s="2913">
        <v>1.02</v>
      </c>
      <c r="O5601" s="176"/>
    </row>
    <row r="5602" spans="1:15" s="2885" customFormat="1">
      <c r="A5602" s="2910"/>
      <c r="B5602" s="2911"/>
      <c r="C5602" s="2911" t="s">
        <v>154</v>
      </c>
      <c r="D5602" s="2911"/>
      <c r="E5602" s="3126">
        <f t="shared" si="120"/>
        <v>0.20192307692307698</v>
      </c>
      <c r="F5602" s="2911">
        <v>0.83</v>
      </c>
      <c r="G5602" s="2913">
        <v>1.04</v>
      </c>
      <c r="O5602" s="176"/>
    </row>
    <row r="5603" spans="1:15" s="2885" customFormat="1" ht="15.75" thickBot="1">
      <c r="A5603" s="2914"/>
      <c r="B5603" s="2915"/>
      <c r="C5603" s="2915" t="s">
        <v>155</v>
      </c>
      <c r="D5603" s="2915"/>
      <c r="E5603" s="3035">
        <f t="shared" si="120"/>
        <v>0.19827586206896541</v>
      </c>
      <c r="F5603" s="2915">
        <v>0.93</v>
      </c>
      <c r="G5603" s="2917">
        <v>1.1599999999999999</v>
      </c>
      <c r="O5603" s="176"/>
    </row>
    <row r="5605" spans="1:15" ht="15.75" thickBot="1"/>
    <row r="5606" spans="1:15" s="2885" customFormat="1">
      <c r="A5606" s="3593"/>
      <c r="B5606" s="3601"/>
      <c r="C5606" s="3601"/>
      <c r="D5606" s="3601"/>
      <c r="E5606" s="3601"/>
      <c r="F5606" s="3601"/>
      <c r="G5606" s="3559"/>
      <c r="O5606" s="176"/>
    </row>
    <row r="5607" spans="1:15" s="2885" customFormat="1" ht="15.75" thickBot="1">
      <c r="A5607" s="3912"/>
      <c r="B5607" s="3907"/>
      <c r="C5607" s="3907"/>
      <c r="D5607" s="3907"/>
      <c r="E5607" s="3907"/>
      <c r="F5607" s="3907"/>
      <c r="G5607" s="3913"/>
      <c r="O5607" s="176"/>
    </row>
    <row r="5608" spans="1:15" s="2885" customFormat="1">
      <c r="A5608" s="2870" t="s">
        <v>3752</v>
      </c>
      <c r="B5608" s="2871" t="s">
        <v>114</v>
      </c>
      <c r="C5608" s="2181" t="s">
        <v>1301</v>
      </c>
      <c r="D5608" s="2872"/>
      <c r="E5608" s="2182">
        <f t="shared" ref="E5608:E5613" si="121">(G5608-F5608)/G5608</f>
        <v>0.15199999999999997</v>
      </c>
      <c r="F5608" s="2468">
        <v>1.06</v>
      </c>
      <c r="G5608" s="3167">
        <v>1.25</v>
      </c>
      <c r="O5608" s="176"/>
    </row>
    <row r="5609" spans="1:15" s="2885" customFormat="1">
      <c r="A5609" s="3123"/>
      <c r="B5609" s="3124"/>
      <c r="C5609" s="2952" t="s">
        <v>1374</v>
      </c>
      <c r="D5609" s="3125"/>
      <c r="E5609" s="3126">
        <f t="shared" si="121"/>
        <v>0.15199999999999997</v>
      </c>
      <c r="F5609" s="2953">
        <v>1.06</v>
      </c>
      <c r="G5609" s="3127">
        <v>1.25</v>
      </c>
      <c r="O5609" s="176"/>
    </row>
    <row r="5610" spans="1:15" s="2885" customFormat="1">
      <c r="A5610" s="2910"/>
      <c r="B5610" s="2911"/>
      <c r="C5610" s="2911" t="s">
        <v>2303</v>
      </c>
      <c r="D5610" s="2911"/>
      <c r="E5610" s="3126">
        <f t="shared" si="121"/>
        <v>0.15199999999999997</v>
      </c>
      <c r="F5610" s="2953">
        <v>1.06</v>
      </c>
      <c r="G5610" s="2913">
        <v>1.25</v>
      </c>
      <c r="O5610" s="176"/>
    </row>
    <row r="5611" spans="1:15" s="2885" customFormat="1">
      <c r="A5611" s="2910"/>
      <c r="B5611" s="2911"/>
      <c r="C5611" s="2911" t="s">
        <v>2192</v>
      </c>
      <c r="D5611" s="2911"/>
      <c r="E5611" s="3126">
        <f t="shared" si="121"/>
        <v>0.14987405541561716</v>
      </c>
      <c r="F5611" s="2911">
        <v>6.75</v>
      </c>
      <c r="G5611" s="2913">
        <v>7.94</v>
      </c>
      <c r="O5611" s="176"/>
    </row>
    <row r="5612" spans="1:15" s="2885" customFormat="1">
      <c r="A5612" s="2910"/>
      <c r="B5612" s="2911"/>
      <c r="C5612" s="2911" t="s">
        <v>2194</v>
      </c>
      <c r="D5612" s="2911"/>
      <c r="E5612" s="3126">
        <f t="shared" si="121"/>
        <v>0.14987405541561716</v>
      </c>
      <c r="F5612" s="2911">
        <v>6.75</v>
      </c>
      <c r="G5612" s="2913">
        <v>7.94</v>
      </c>
      <c r="O5612" s="176"/>
    </row>
    <row r="5613" spans="1:15" s="2885" customFormat="1" ht="15.75" thickBot="1">
      <c r="A5613" s="2914"/>
      <c r="B5613" s="2915"/>
      <c r="C5613" s="2915" t="s">
        <v>2266</v>
      </c>
      <c r="D5613" s="2915"/>
      <c r="E5613" s="3035">
        <f t="shared" si="121"/>
        <v>0.14987405541561716</v>
      </c>
      <c r="F5613" s="2915">
        <v>6.75</v>
      </c>
      <c r="G5613" s="2917">
        <v>7.94</v>
      </c>
      <c r="O5613" s="176"/>
    </row>
    <row r="5614" spans="1:15" s="2885" customFormat="1" ht="15.75" thickBot="1">
      <c r="O5614" s="176"/>
    </row>
    <row r="5615" spans="1:15" s="2885" customFormat="1">
      <c r="A5615" s="3572"/>
      <c r="B5615" s="3557"/>
      <c r="C5615" s="3557"/>
      <c r="D5615" s="3557"/>
      <c r="E5615" s="3557"/>
      <c r="F5615" s="3557"/>
      <c r="G5615" s="3559"/>
      <c r="O5615" s="176"/>
    </row>
    <row r="5616" spans="1:15" s="2885" customFormat="1" ht="15.75" thickBot="1">
      <c r="A5616" s="3905"/>
      <c r="B5616" s="3906"/>
      <c r="C5616" s="3906"/>
      <c r="D5616" s="3906"/>
      <c r="E5616" s="3906"/>
      <c r="F5616" s="3906"/>
      <c r="G5616" s="3913"/>
      <c r="O5616" s="176"/>
    </row>
    <row r="5617" spans="1:15" s="2885" customFormat="1">
      <c r="A5617" s="2668" t="s">
        <v>3753</v>
      </c>
      <c r="B5617" s="1690" t="s">
        <v>106</v>
      </c>
      <c r="C5617" s="2765" t="s">
        <v>3236</v>
      </c>
      <c r="D5617" s="2766"/>
      <c r="E5617" s="3067">
        <f>(G5617-F5617)/G5617</f>
        <v>0.41130604288499023</v>
      </c>
      <c r="F5617" s="3156">
        <v>3.02</v>
      </c>
      <c r="G5617" s="3157">
        <v>5.13</v>
      </c>
      <c r="O5617" s="176"/>
    </row>
    <row r="5618" spans="1:15" s="2885" customFormat="1">
      <c r="A5618" s="2910"/>
      <c r="B5618" s="2911"/>
      <c r="C5618" s="2911" t="s">
        <v>3237</v>
      </c>
      <c r="D5618" s="2911"/>
      <c r="E5618" s="3016">
        <f t="shared" ref="E5618:E5627" si="122">(G5618-F5618)/G5618</f>
        <v>0.41130604288499023</v>
      </c>
      <c r="F5618" s="3010">
        <v>3.02</v>
      </c>
      <c r="G5618" s="2957">
        <v>5.13</v>
      </c>
      <c r="O5618" s="176"/>
    </row>
    <row r="5619" spans="1:15" s="2885" customFormat="1">
      <c r="A5619" s="2910"/>
      <c r="B5619" s="2911"/>
      <c r="C5619" s="2911" t="s">
        <v>3255</v>
      </c>
      <c r="D5619" s="2911"/>
      <c r="E5619" s="3016">
        <f t="shared" si="122"/>
        <v>0.41130604288499023</v>
      </c>
      <c r="F5619" s="3010">
        <v>3.02</v>
      </c>
      <c r="G5619" s="2957">
        <v>5.13</v>
      </c>
      <c r="O5619" s="176"/>
    </row>
    <row r="5620" spans="1:15" s="2885" customFormat="1">
      <c r="A5620" s="2910"/>
      <c r="B5620" s="2911"/>
      <c r="C5620" s="2911" t="s">
        <v>686</v>
      </c>
      <c r="D5620" s="2911"/>
      <c r="E5620" s="3016">
        <f t="shared" si="122"/>
        <v>0.35537190082644626</v>
      </c>
      <c r="F5620" s="3010">
        <v>1.56</v>
      </c>
      <c r="G5620" s="2957">
        <v>2.42</v>
      </c>
      <c r="O5620" s="176"/>
    </row>
    <row r="5621" spans="1:15" s="2885" customFormat="1">
      <c r="A5621" s="2910"/>
      <c r="B5621" s="2911"/>
      <c r="C5621" s="2911" t="s">
        <v>687</v>
      </c>
      <c r="D5621" s="2911"/>
      <c r="E5621" s="3016">
        <f t="shared" si="122"/>
        <v>0.35537190082644626</v>
      </c>
      <c r="F5621" s="3010">
        <v>1.56</v>
      </c>
      <c r="G5621" s="2957">
        <v>2.42</v>
      </c>
      <c r="O5621" s="176"/>
    </row>
    <row r="5622" spans="1:15" s="2885" customFormat="1">
      <c r="A5622" s="2910"/>
      <c r="B5622" s="2911"/>
      <c r="C5622" s="2911" t="s">
        <v>2425</v>
      </c>
      <c r="D5622" s="2911"/>
      <c r="E5622" s="3016">
        <f t="shared" si="122"/>
        <v>0.33640552995391704</v>
      </c>
      <c r="F5622" s="3010">
        <v>1.44</v>
      </c>
      <c r="G5622" s="2957">
        <v>2.17</v>
      </c>
      <c r="O5622" s="176"/>
    </row>
    <row r="5623" spans="1:15" s="2885" customFormat="1">
      <c r="A5623" s="2910"/>
      <c r="B5623" s="2911"/>
      <c r="C5623" s="2911" t="s">
        <v>2426</v>
      </c>
      <c r="D5623" s="2911"/>
      <c r="E5623" s="3016">
        <f t="shared" si="122"/>
        <v>0.33640552995391704</v>
      </c>
      <c r="F5623" s="3010">
        <v>1.44</v>
      </c>
      <c r="G5623" s="2957">
        <v>2.17</v>
      </c>
      <c r="O5623" s="176"/>
    </row>
    <row r="5624" spans="1:15" s="2885" customFormat="1">
      <c r="A5624" s="2910"/>
      <c r="B5624" s="2911"/>
      <c r="C5624" s="2911" t="s">
        <v>623</v>
      </c>
      <c r="D5624" s="2911"/>
      <c r="E5624" s="3016">
        <f t="shared" si="122"/>
        <v>0.36842105263157887</v>
      </c>
      <c r="F5624" s="3010">
        <v>1.32</v>
      </c>
      <c r="G5624" s="2957">
        <v>2.09</v>
      </c>
      <c r="O5624" s="176"/>
    </row>
    <row r="5625" spans="1:15" s="2885" customFormat="1">
      <c r="A5625" s="2910"/>
      <c r="B5625" s="2911"/>
      <c r="C5625" s="2911" t="s">
        <v>1772</v>
      </c>
      <c r="D5625" s="2911"/>
      <c r="E5625" s="3016">
        <f t="shared" si="122"/>
        <v>0.36842105263157887</v>
      </c>
      <c r="F5625" s="3010">
        <v>1.32</v>
      </c>
      <c r="G5625" s="2957">
        <v>2.09</v>
      </c>
      <c r="O5625" s="176"/>
    </row>
    <row r="5626" spans="1:15" s="2885" customFormat="1">
      <c r="A5626" s="2910"/>
      <c r="B5626" s="2911"/>
      <c r="C5626" s="2911" t="s">
        <v>858</v>
      </c>
      <c r="D5626" s="2911"/>
      <c r="E5626" s="3016">
        <f t="shared" si="122"/>
        <v>0.37383177570093457</v>
      </c>
      <c r="F5626" s="3010">
        <v>0.67</v>
      </c>
      <c r="G5626" s="2957">
        <v>1.07</v>
      </c>
      <c r="O5626" s="176"/>
    </row>
    <row r="5627" spans="1:15" s="2885" customFormat="1" ht="15.75" thickBot="1">
      <c r="A5627" s="2914"/>
      <c r="B5627" s="2915"/>
      <c r="C5627" s="2915" t="s">
        <v>730</v>
      </c>
      <c r="D5627" s="2915"/>
      <c r="E5627" s="3018">
        <f t="shared" si="122"/>
        <v>0.38043478260869573</v>
      </c>
      <c r="F5627" s="2915">
        <v>0.56999999999999995</v>
      </c>
      <c r="G5627" s="2959">
        <v>0.92</v>
      </c>
      <c r="O5627" s="176"/>
    </row>
    <row r="5629" spans="1:15" ht="15.75" thickBot="1"/>
    <row r="5630" spans="1:15" s="2885" customFormat="1">
      <c r="A5630" s="3572"/>
      <c r="B5630" s="3557"/>
      <c r="C5630" s="3557"/>
      <c r="D5630" s="3557"/>
      <c r="E5630" s="3557"/>
      <c r="F5630" s="3557"/>
      <c r="G5630" s="3559"/>
      <c r="O5630" s="176"/>
    </row>
    <row r="5631" spans="1:15" s="2885" customFormat="1" ht="15.75" thickBot="1">
      <c r="A5631" s="3905"/>
      <c r="B5631" s="3906"/>
      <c r="C5631" s="3906"/>
      <c r="D5631" s="3906"/>
      <c r="E5631" s="3906"/>
      <c r="F5631" s="3906"/>
      <c r="G5631" s="3913"/>
      <c r="O5631" s="176"/>
    </row>
    <row r="5632" spans="1:15" s="2885" customFormat="1" ht="18.75">
      <c r="A5632" s="3172" t="s">
        <v>3764</v>
      </c>
      <c r="B5632" s="1690" t="s">
        <v>106</v>
      </c>
      <c r="C5632" s="2765" t="s">
        <v>1499</v>
      </c>
      <c r="D5632" s="2766"/>
      <c r="E5632" s="3067">
        <f>(G5632-F5632)/G5632</f>
        <v>0.14970059880239522</v>
      </c>
      <c r="F5632" s="3156">
        <v>9.94</v>
      </c>
      <c r="G5632" s="3157">
        <v>11.69</v>
      </c>
      <c r="O5632" s="176"/>
    </row>
    <row r="5633" spans="1:15" s="2885" customFormat="1">
      <c r="A5633" s="2910"/>
      <c r="B5633" s="2911"/>
      <c r="C5633" s="2911" t="s">
        <v>2052</v>
      </c>
      <c r="D5633" s="2911"/>
      <c r="E5633" s="3016">
        <f t="shared" ref="E5633:E5658" si="123">(G5633-F5633)/G5633</f>
        <v>0.15006305170239598</v>
      </c>
      <c r="F5633" s="3010">
        <v>20.22</v>
      </c>
      <c r="G5633" s="2957">
        <v>23.79</v>
      </c>
      <c r="O5633" s="176"/>
    </row>
    <row r="5634" spans="1:15" s="2885" customFormat="1">
      <c r="A5634" s="2910"/>
      <c r="B5634" s="2911"/>
      <c r="C5634" s="2911" t="s">
        <v>868</v>
      </c>
      <c r="D5634" s="2911"/>
      <c r="E5634" s="3016">
        <f t="shared" si="123"/>
        <v>0.14979757085020245</v>
      </c>
      <c r="F5634" s="3010">
        <v>8.4</v>
      </c>
      <c r="G5634" s="2957">
        <v>9.8800000000000008</v>
      </c>
      <c r="O5634" s="176"/>
    </row>
    <row r="5635" spans="1:15" s="2885" customFormat="1">
      <c r="A5635" s="2910"/>
      <c r="B5635" s="2911"/>
      <c r="C5635" s="2911" t="s">
        <v>2274</v>
      </c>
      <c r="D5635" s="2911"/>
      <c r="E5635" s="3016">
        <f t="shared" si="123"/>
        <v>0.15090090090090097</v>
      </c>
      <c r="F5635" s="3010">
        <v>3.77</v>
      </c>
      <c r="G5635" s="2957">
        <v>4.4400000000000004</v>
      </c>
      <c r="O5635" s="176"/>
    </row>
    <row r="5636" spans="1:15" s="2885" customFormat="1">
      <c r="A5636" s="2910"/>
      <c r="B5636" s="2911"/>
      <c r="C5636" s="2911" t="s">
        <v>1497</v>
      </c>
      <c r="D5636" s="2911"/>
      <c r="E5636" s="3016">
        <f t="shared" si="123"/>
        <v>0.15090090090090097</v>
      </c>
      <c r="F5636" s="3010">
        <v>3.77</v>
      </c>
      <c r="G5636" s="2957">
        <v>4.4400000000000004</v>
      </c>
      <c r="O5636" s="176"/>
    </row>
    <row r="5637" spans="1:15" s="2885" customFormat="1">
      <c r="A5637" s="2910"/>
      <c r="B5637" s="2911"/>
      <c r="C5637" s="2911" t="s">
        <v>2275</v>
      </c>
      <c r="D5637" s="2911"/>
      <c r="E5637" s="3016">
        <f t="shared" si="123"/>
        <v>0.14979757085020245</v>
      </c>
      <c r="F5637" s="3010">
        <v>8.4</v>
      </c>
      <c r="G5637" s="2957">
        <v>9.8800000000000008</v>
      </c>
      <c r="O5637" s="176"/>
    </row>
    <row r="5638" spans="1:15" s="2885" customFormat="1">
      <c r="A5638" s="2910"/>
      <c r="B5638" s="2911"/>
      <c r="C5638" s="2911" t="s">
        <v>239</v>
      </c>
      <c r="D5638" s="2911"/>
      <c r="E5638" s="3016">
        <f t="shared" si="123"/>
        <v>0.14979757085020245</v>
      </c>
      <c r="F5638" s="3010">
        <v>8.4</v>
      </c>
      <c r="G5638" s="2957">
        <v>9.8800000000000008</v>
      </c>
      <c r="O5638" s="176"/>
    </row>
    <row r="5639" spans="1:15" s="2885" customFormat="1">
      <c r="A5639" s="2910"/>
      <c r="B5639" s="2911"/>
      <c r="C5639" s="2911" t="s">
        <v>2277</v>
      </c>
      <c r="D5639" s="2911"/>
      <c r="E5639" s="3016">
        <f t="shared" si="123"/>
        <v>0.15090090090090097</v>
      </c>
      <c r="F5639" s="3010">
        <v>3.77</v>
      </c>
      <c r="G5639" s="2957">
        <v>4.4400000000000004</v>
      </c>
      <c r="O5639" s="176"/>
    </row>
    <row r="5640" spans="1:15" s="2885" customFormat="1">
      <c r="A5640" s="2910"/>
      <c r="B5640" s="2911"/>
      <c r="C5640" s="2911" t="s">
        <v>1722</v>
      </c>
      <c r="D5640" s="2911"/>
      <c r="E5640" s="3016">
        <f t="shared" si="123"/>
        <v>0.15090090090090097</v>
      </c>
      <c r="F5640" s="3010">
        <v>3.77</v>
      </c>
      <c r="G5640" s="2957">
        <v>4.4400000000000004</v>
      </c>
      <c r="O5640" s="176"/>
    </row>
    <row r="5641" spans="1:15" s="2885" customFormat="1">
      <c r="A5641" s="2910"/>
      <c r="B5641" s="2911"/>
      <c r="C5641" s="2911" t="s">
        <v>2272</v>
      </c>
      <c r="D5641" s="2911"/>
      <c r="E5641" s="3016">
        <f t="shared" si="123"/>
        <v>0.15090090090090097</v>
      </c>
      <c r="F5641" s="3010">
        <v>3.77</v>
      </c>
      <c r="G5641" s="2957">
        <v>4.4400000000000004</v>
      </c>
      <c r="O5641" s="176"/>
    </row>
    <row r="5642" spans="1:15" s="2885" customFormat="1">
      <c r="A5642" s="2910"/>
      <c r="B5642" s="2911"/>
      <c r="C5642" s="2911" t="s">
        <v>1496</v>
      </c>
      <c r="D5642" s="2911"/>
      <c r="E5642" s="3017">
        <f t="shared" si="123"/>
        <v>0.15090090090090097</v>
      </c>
      <c r="F5642" s="2911">
        <v>3.77</v>
      </c>
      <c r="G5642" s="2958">
        <v>4.4400000000000004</v>
      </c>
      <c r="O5642" s="176"/>
    </row>
    <row r="5643" spans="1:15" s="2885" customFormat="1">
      <c r="A5643" s="2910"/>
      <c r="B5643" s="2911"/>
      <c r="C5643" s="2911" t="s">
        <v>2271</v>
      </c>
      <c r="D5643" s="2911"/>
      <c r="E5643" s="3017">
        <f t="shared" si="123"/>
        <v>0.14979757085020245</v>
      </c>
      <c r="F5643" s="2911">
        <v>8.4</v>
      </c>
      <c r="G5643" s="2958">
        <v>9.8800000000000008</v>
      </c>
      <c r="O5643" s="176"/>
    </row>
    <row r="5644" spans="1:15" s="2885" customFormat="1">
      <c r="A5644" s="2910"/>
      <c r="B5644" s="2911"/>
      <c r="C5644" s="2911" t="s">
        <v>238</v>
      </c>
      <c r="D5644" s="2911"/>
      <c r="E5644" s="3017">
        <f t="shared" si="123"/>
        <v>0.14979757085020245</v>
      </c>
      <c r="F5644" s="2911">
        <v>8.4</v>
      </c>
      <c r="G5644" s="2958">
        <v>9.8800000000000008</v>
      </c>
      <c r="O5644" s="176"/>
    </row>
    <row r="5645" spans="1:15" s="2885" customFormat="1">
      <c r="A5645" s="2910"/>
      <c r="B5645" s="2911"/>
      <c r="C5645" s="2911" t="s">
        <v>2281</v>
      </c>
      <c r="D5645" s="2911"/>
      <c r="E5645" s="3017">
        <f t="shared" si="123"/>
        <v>0.14979757085020245</v>
      </c>
      <c r="F5645" s="2911">
        <v>8.4</v>
      </c>
      <c r="G5645" s="2958">
        <v>9.8800000000000008</v>
      </c>
      <c r="O5645" s="176"/>
    </row>
    <row r="5646" spans="1:15" s="2885" customFormat="1">
      <c r="A5646" s="2910"/>
      <c r="B5646" s="2911"/>
      <c r="C5646" s="2911" t="s">
        <v>2282</v>
      </c>
      <c r="D5646" s="2911"/>
      <c r="E5646" s="3017">
        <f t="shared" si="123"/>
        <v>0.14979757085020245</v>
      </c>
      <c r="F5646" s="2911">
        <v>8.4</v>
      </c>
      <c r="G5646" s="2958">
        <v>9.8800000000000008</v>
      </c>
      <c r="O5646" s="176"/>
    </row>
    <row r="5647" spans="1:15" s="2885" customFormat="1">
      <c r="A5647" s="2910"/>
      <c r="B5647" s="2911"/>
      <c r="C5647" s="2911" t="s">
        <v>3765</v>
      </c>
      <c r="D5647" s="2911"/>
      <c r="E5647" s="3017">
        <f t="shared" si="123"/>
        <v>0.14972273567467662</v>
      </c>
      <c r="F5647" s="2911">
        <v>4.5999999999999996</v>
      </c>
      <c r="G5647" s="2958">
        <v>5.41</v>
      </c>
      <c r="O5647" s="176"/>
    </row>
    <row r="5648" spans="1:15" s="2885" customFormat="1">
      <c r="A5648" s="2910"/>
      <c r="B5648" s="2911"/>
      <c r="C5648" s="2911" t="s">
        <v>3766</v>
      </c>
      <c r="D5648" s="2911"/>
      <c r="E5648" s="3017">
        <f t="shared" si="123"/>
        <v>0.15022994379151769</v>
      </c>
      <c r="F5648" s="2911">
        <v>16.63</v>
      </c>
      <c r="G5648" s="2958">
        <v>19.57</v>
      </c>
      <c r="O5648" s="176"/>
    </row>
    <row r="5649" spans="1:15" s="2885" customFormat="1">
      <c r="A5649" s="2910"/>
      <c r="B5649" s="2911"/>
      <c r="C5649" s="2911" t="s">
        <v>3767</v>
      </c>
      <c r="D5649" s="2911"/>
      <c r="E5649" s="3017">
        <f t="shared" si="123"/>
        <v>0.14972273567467662</v>
      </c>
      <c r="F5649" s="2911">
        <v>4.5999999999999996</v>
      </c>
      <c r="G5649" s="2913">
        <v>5.41</v>
      </c>
      <c r="O5649" s="176"/>
    </row>
    <row r="5650" spans="1:15" s="2885" customFormat="1">
      <c r="A5650" s="2910"/>
      <c r="B5650" s="2911"/>
      <c r="C5650" s="2911" t="s">
        <v>3768</v>
      </c>
      <c r="D5650" s="2911"/>
      <c r="E5650" s="3017">
        <f t="shared" si="123"/>
        <v>0.15022994379151769</v>
      </c>
      <c r="F5650" s="2911">
        <v>16.63</v>
      </c>
      <c r="G5650" s="2958">
        <v>19.57</v>
      </c>
      <c r="O5650" s="176"/>
    </row>
    <row r="5651" spans="1:15" s="2885" customFormat="1">
      <c r="A5651" s="2910"/>
      <c r="B5651" s="2911"/>
      <c r="C5651" s="2911" t="s">
        <v>2273</v>
      </c>
      <c r="D5651" s="2911"/>
      <c r="E5651" s="3017">
        <f t="shared" si="123"/>
        <v>0.15006305170239598</v>
      </c>
      <c r="F5651" s="2911">
        <v>20.22</v>
      </c>
      <c r="G5651" s="2958">
        <v>23.79</v>
      </c>
      <c r="O5651" s="176"/>
    </row>
    <row r="5652" spans="1:15" s="2885" customFormat="1">
      <c r="A5652" s="2910"/>
      <c r="B5652" s="2911"/>
      <c r="C5652" s="2911" t="s">
        <v>71</v>
      </c>
      <c r="D5652" s="2911"/>
      <c r="E5652" s="3017">
        <f t="shared" si="123"/>
        <v>0.15006305170239598</v>
      </c>
      <c r="F5652" s="2911">
        <v>20.22</v>
      </c>
      <c r="G5652" s="2958">
        <v>23.79</v>
      </c>
      <c r="O5652" s="176"/>
    </row>
    <row r="5653" spans="1:15" s="2885" customFormat="1">
      <c r="A5653" s="2910"/>
      <c r="B5653" s="2911"/>
      <c r="C5653" s="2911" t="s">
        <v>2880</v>
      </c>
      <c r="D5653" s="2911"/>
      <c r="E5653" s="3017">
        <f t="shared" si="123"/>
        <v>0.15006305170239598</v>
      </c>
      <c r="F5653" s="2911">
        <v>20.22</v>
      </c>
      <c r="G5653" s="2958">
        <v>23.79</v>
      </c>
      <c r="O5653" s="176"/>
    </row>
    <row r="5654" spans="1:15" s="2885" customFormat="1">
      <c r="A5654" s="2910"/>
      <c r="B5654" s="2911"/>
      <c r="C5654" s="2911" t="s">
        <v>2881</v>
      </c>
      <c r="D5654" s="2911"/>
      <c r="E5654" s="3017">
        <f t="shared" si="123"/>
        <v>0.15006305170239598</v>
      </c>
      <c r="F5654" s="2911">
        <v>20.22</v>
      </c>
      <c r="G5654" s="2958">
        <v>23.79</v>
      </c>
      <c r="O5654" s="176"/>
    </row>
    <row r="5655" spans="1:15" s="2885" customFormat="1">
      <c r="A5655" s="2910"/>
      <c r="B5655" s="2911"/>
      <c r="C5655" s="2911" t="s">
        <v>1883</v>
      </c>
      <c r="D5655" s="2911"/>
      <c r="E5655" s="3017">
        <f t="shared" si="123"/>
        <v>0.15006305170239598</v>
      </c>
      <c r="F5655" s="2911">
        <v>20.22</v>
      </c>
      <c r="G5655" s="2958">
        <v>23.79</v>
      </c>
      <c r="O5655" s="176"/>
    </row>
    <row r="5656" spans="1:15" s="2885" customFormat="1">
      <c r="A5656" s="2910"/>
      <c r="B5656" s="2911"/>
      <c r="C5656" s="2911" t="s">
        <v>2276</v>
      </c>
      <c r="D5656" s="2911"/>
      <c r="E5656" s="3017">
        <f t="shared" si="123"/>
        <v>0.15006305170239598</v>
      </c>
      <c r="F5656" s="2911">
        <v>20.22</v>
      </c>
      <c r="G5656" s="2958">
        <v>23.79</v>
      </c>
      <c r="O5656" s="176"/>
    </row>
    <row r="5657" spans="1:15" s="2885" customFormat="1">
      <c r="A5657" s="2910"/>
      <c r="B5657" s="2911"/>
      <c r="C5657" s="2911" t="s">
        <v>2566</v>
      </c>
      <c r="D5657" s="2911"/>
      <c r="E5657" s="3017">
        <f t="shared" si="123"/>
        <v>0.15006305170239598</v>
      </c>
      <c r="F5657" s="2911">
        <v>20.22</v>
      </c>
      <c r="G5657" s="2958">
        <v>23.79</v>
      </c>
      <c r="O5657" s="176"/>
    </row>
    <row r="5658" spans="1:15" s="2885" customFormat="1" ht="15.75" thickBot="1">
      <c r="A5658" s="2914"/>
      <c r="B5658" s="2915"/>
      <c r="C5658" s="2915" t="s">
        <v>72</v>
      </c>
      <c r="D5658" s="2915"/>
      <c r="E5658" s="3018">
        <f t="shared" si="123"/>
        <v>0.15006305170239598</v>
      </c>
      <c r="F5658" s="2915">
        <v>20.22</v>
      </c>
      <c r="G5658" s="2959">
        <v>23.79</v>
      </c>
      <c r="O5658" s="176"/>
    </row>
    <row r="5659" spans="1:15" s="2885" customFormat="1" ht="15.75" thickBot="1">
      <c r="O5659" s="176"/>
    </row>
    <row r="5660" spans="1:15" s="2885" customFormat="1">
      <c r="A5660" s="3572"/>
      <c r="B5660" s="3557"/>
      <c r="C5660" s="3557"/>
      <c r="D5660" s="3557"/>
      <c r="E5660" s="3557"/>
      <c r="F5660" s="3557"/>
      <c r="G5660" s="3559"/>
      <c r="O5660" s="176"/>
    </row>
    <row r="5661" spans="1:15" s="2885" customFormat="1" ht="15.75" thickBot="1">
      <c r="A5661" s="3905"/>
      <c r="B5661" s="3906"/>
      <c r="C5661" s="3906"/>
      <c r="D5661" s="3906"/>
      <c r="E5661" s="3906"/>
      <c r="F5661" s="3906"/>
      <c r="G5661" s="3913"/>
      <c r="O5661" s="176"/>
    </row>
    <row r="5662" spans="1:15" s="2885" customFormat="1" ht="15.75" thickBot="1">
      <c r="A5662" s="3173" t="s">
        <v>3769</v>
      </c>
      <c r="B5662" s="3174" t="s">
        <v>106</v>
      </c>
      <c r="C5662" s="3175" t="s">
        <v>2999</v>
      </c>
      <c r="D5662" s="3176"/>
      <c r="E5662" s="3177">
        <f>(G5662-F5662)/G5662</f>
        <v>0.2010309278350515</v>
      </c>
      <c r="F5662" s="3178">
        <v>1.55</v>
      </c>
      <c r="G5662" s="3179">
        <v>1.94</v>
      </c>
      <c r="O5662" s="176"/>
    </row>
    <row r="5664" spans="1:15" ht="15.75" thickBot="1"/>
    <row r="5665" spans="1:15" s="2885" customFormat="1">
      <c r="A5665" s="3593"/>
      <c r="B5665" s="3601"/>
      <c r="C5665" s="3601"/>
      <c r="D5665" s="3601"/>
      <c r="E5665" s="3601"/>
      <c r="F5665" s="3601"/>
      <c r="G5665" s="3559"/>
      <c r="O5665" s="176"/>
    </row>
    <row r="5666" spans="1:15" s="2885" customFormat="1" ht="15.75" thickBot="1">
      <c r="A5666" s="3912"/>
      <c r="B5666" s="3907"/>
      <c r="C5666" s="3907"/>
      <c r="D5666" s="3907"/>
      <c r="E5666" s="3907"/>
      <c r="F5666" s="3907"/>
      <c r="G5666" s="3913"/>
      <c r="O5666" s="176"/>
    </row>
    <row r="5667" spans="1:15" s="2885" customFormat="1">
      <c r="A5667" s="2870" t="s">
        <v>3775</v>
      </c>
      <c r="B5667" s="2871" t="s">
        <v>114</v>
      </c>
      <c r="C5667" s="2181" t="s">
        <v>1975</v>
      </c>
      <c r="D5667" s="2872"/>
      <c r="E5667" s="2182">
        <f>(F5667/G5667-1)*-1</f>
        <v>0.28042328042328035</v>
      </c>
      <c r="F5667" s="2468">
        <v>1.36</v>
      </c>
      <c r="G5667" s="3167">
        <v>1.89</v>
      </c>
      <c r="O5667" s="176"/>
    </row>
    <row r="5668" spans="1:15" s="2885" customFormat="1">
      <c r="A5668" s="3123"/>
      <c r="B5668" s="3124"/>
      <c r="C5668" s="2952"/>
      <c r="D5668" s="3125"/>
      <c r="E5668" s="3126"/>
      <c r="F5668" s="2953"/>
      <c r="G5668" s="3127"/>
      <c r="O5668" s="176"/>
    </row>
    <row r="5669" spans="1:15" s="2885" customFormat="1">
      <c r="A5669" s="2910"/>
      <c r="B5669" s="2911"/>
      <c r="C5669" s="2911"/>
      <c r="D5669" s="2911"/>
      <c r="E5669" s="3126"/>
      <c r="F5669" s="2953"/>
      <c r="G5669" s="2913"/>
      <c r="O5669" s="176"/>
    </row>
    <row r="5670" spans="1:15" s="2885" customFormat="1">
      <c r="A5670" s="2910"/>
      <c r="B5670" s="2911"/>
      <c r="C5670" s="2911"/>
      <c r="D5670" s="2911"/>
      <c r="E5670" s="3126"/>
      <c r="F5670" s="2911"/>
      <c r="G5670" s="2913"/>
      <c r="O5670" s="176"/>
    </row>
    <row r="5671" spans="1:15" s="2885" customFormat="1">
      <c r="A5671" s="2910"/>
      <c r="B5671" s="2911"/>
      <c r="C5671" s="2911"/>
      <c r="D5671" s="2911"/>
      <c r="E5671" s="3126"/>
      <c r="F5671" s="2911"/>
      <c r="G5671" s="2913"/>
      <c r="O5671" s="176"/>
    </row>
    <row r="5672" spans="1:15" s="2885" customFormat="1" ht="15.75" thickBot="1">
      <c r="A5672" s="2914"/>
      <c r="B5672" s="2915"/>
      <c r="C5672" s="2915"/>
      <c r="D5672" s="2915"/>
      <c r="E5672" s="3035"/>
      <c r="F5672" s="2915"/>
      <c r="G5672" s="2917"/>
      <c r="O5672" s="176"/>
    </row>
    <row r="5673" spans="1:15" ht="15.75" thickBot="1"/>
    <row r="5674" spans="1:15" s="2885" customFormat="1">
      <c r="A5674" s="3572"/>
      <c r="B5674" s="3557"/>
      <c r="C5674" s="3557"/>
      <c r="D5674" s="3557"/>
      <c r="E5674" s="3557"/>
      <c r="F5674" s="3559"/>
      <c r="G5674" s="3559"/>
      <c r="O5674" s="176"/>
    </row>
    <row r="5675" spans="1:15" s="2885" customFormat="1" ht="15.75" thickBot="1">
      <c r="A5675" s="3905"/>
      <c r="B5675" s="3906"/>
      <c r="C5675" s="3906"/>
      <c r="D5675" s="3906"/>
      <c r="E5675" s="3906"/>
      <c r="F5675" s="3913"/>
      <c r="G5675" s="3913"/>
      <c r="O5675" s="176"/>
    </row>
    <row r="5676" spans="1:15" s="2885" customFormat="1" ht="15.75" thickBot="1">
      <c r="A5676" s="3015" t="s">
        <v>3776</v>
      </c>
      <c r="B5676" s="2898" t="s">
        <v>3229</v>
      </c>
      <c r="C5676" s="2996" t="s">
        <v>554</v>
      </c>
      <c r="D5676" s="2997"/>
      <c r="E5676" s="2182">
        <f>(F5676/G5676-1)*-1</f>
        <v>0.20155038759689925</v>
      </c>
      <c r="F5676" s="3129">
        <v>1.03</v>
      </c>
      <c r="G5676" s="3130">
        <v>1.29</v>
      </c>
      <c r="O5676" s="176"/>
    </row>
    <row r="5677" spans="1:15" s="2885" customFormat="1">
      <c r="A5677" s="2910"/>
      <c r="B5677" s="2911"/>
      <c r="C5677" s="2911" t="s">
        <v>1120</v>
      </c>
      <c r="D5677" s="2911"/>
      <c r="E5677" s="2182">
        <f>(F5677/G5677-1)*-1</f>
        <v>0.20370370370370372</v>
      </c>
      <c r="F5677" s="3010">
        <v>0.43</v>
      </c>
      <c r="G5677" s="2957">
        <v>0.54</v>
      </c>
      <c r="O5677" s="176"/>
    </row>
    <row r="5678" spans="1:15" s="2885" customFormat="1" ht="15.75" thickBot="1">
      <c r="A5678" s="2914"/>
      <c r="B5678" s="2915"/>
      <c r="C5678" s="2915"/>
      <c r="D5678" s="2915"/>
      <c r="E5678" s="3018"/>
      <c r="F5678" s="3011"/>
      <c r="G5678" s="2959"/>
      <c r="O5678" s="176"/>
    </row>
    <row r="5679" spans="1:15" ht="15.75" thickBot="1"/>
    <row r="5680" spans="1:15">
      <c r="A5680" s="3572"/>
      <c r="B5680" s="3557"/>
      <c r="C5680" s="3557"/>
      <c r="D5680" s="3557"/>
      <c r="E5680" s="3557"/>
      <c r="F5680" s="3559"/>
      <c r="G5680" s="3559"/>
    </row>
    <row r="5681" spans="1:7" ht="15.75" thickBot="1">
      <c r="A5681" s="3905"/>
      <c r="B5681" s="3906"/>
      <c r="C5681" s="3906"/>
      <c r="D5681" s="3906"/>
      <c r="E5681" s="3906"/>
      <c r="F5681" s="3913"/>
      <c r="G5681" s="3913"/>
    </row>
    <row r="5682" spans="1:7">
      <c r="A5682" s="2668" t="s">
        <v>3781</v>
      </c>
      <c r="B5682" s="1690" t="s">
        <v>3229</v>
      </c>
      <c r="C5682" s="3184" t="s">
        <v>1258</v>
      </c>
      <c r="D5682" s="2766"/>
      <c r="E5682" s="3067">
        <f>(G5682-F5682)/G5682</f>
        <v>0.10008481764206953</v>
      </c>
      <c r="F5682" s="3156">
        <v>31.83</v>
      </c>
      <c r="G5682" s="3157">
        <v>35.369999999999997</v>
      </c>
    </row>
    <row r="5683" spans="1:7">
      <c r="A5683" s="2910"/>
      <c r="B5683" s="2911"/>
      <c r="C5683" s="2905" t="s">
        <v>549</v>
      </c>
      <c r="D5683" s="2911"/>
      <c r="E5683" s="3016">
        <f t="shared" ref="E5683:E5718" si="124">(G5683-F5683)/G5683</f>
        <v>0.10008481764206953</v>
      </c>
      <c r="F5683" s="3010">
        <v>31.83</v>
      </c>
      <c r="G5683" s="2957">
        <v>35.369999999999997</v>
      </c>
    </row>
    <row r="5684" spans="1:7">
      <c r="A5684" s="2910"/>
      <c r="B5684" s="2911"/>
      <c r="C5684" s="2905" t="s">
        <v>1259</v>
      </c>
      <c r="D5684" s="2911"/>
      <c r="E5684" s="3016">
        <f t="shared" si="124"/>
        <v>0.10013218770654332</v>
      </c>
      <c r="F5684" s="3010">
        <v>27.23</v>
      </c>
      <c r="G5684" s="2957">
        <v>30.26</v>
      </c>
    </row>
    <row r="5685" spans="1:7">
      <c r="A5685" s="2910"/>
      <c r="B5685" s="2911"/>
      <c r="C5685" s="2905" t="s">
        <v>550</v>
      </c>
      <c r="D5685" s="2911"/>
      <c r="E5685" s="3016">
        <f t="shared" si="124"/>
        <v>0.10013218770654332</v>
      </c>
      <c r="F5685" s="3010">
        <v>27.23</v>
      </c>
      <c r="G5685" s="2957">
        <v>30.26</v>
      </c>
    </row>
    <row r="5686" spans="1:7">
      <c r="A5686" s="2910"/>
      <c r="B5686" s="2911"/>
      <c r="C5686" s="2905" t="s">
        <v>1254</v>
      </c>
      <c r="D5686" s="2911"/>
      <c r="E5686" s="3016">
        <f t="shared" si="124"/>
        <v>0.10024057738572574</v>
      </c>
      <c r="F5686" s="3010">
        <v>11.22</v>
      </c>
      <c r="G5686" s="2957">
        <v>12.47</v>
      </c>
    </row>
    <row r="5687" spans="1:7">
      <c r="A5687" s="2910"/>
      <c r="B5687" s="2911"/>
      <c r="C5687" s="2905" t="s">
        <v>1253</v>
      </c>
      <c r="D5687" s="2911"/>
      <c r="E5687" s="3016">
        <f t="shared" si="124"/>
        <v>0.10024057738572574</v>
      </c>
      <c r="F5687" s="3010">
        <v>11.22</v>
      </c>
      <c r="G5687" s="2957">
        <v>12.47</v>
      </c>
    </row>
    <row r="5688" spans="1:7">
      <c r="A5688" s="2910"/>
      <c r="B5688" s="2911"/>
      <c r="C5688" s="2905" t="s">
        <v>1255</v>
      </c>
      <c r="D5688" s="2911"/>
      <c r="E5688" s="3016">
        <f t="shared" si="124"/>
        <v>9.9712368168743931E-2</v>
      </c>
      <c r="F5688" s="3010">
        <v>9.39</v>
      </c>
      <c r="G5688" s="2957">
        <v>10.43</v>
      </c>
    </row>
    <row r="5689" spans="1:7">
      <c r="A5689" s="2910"/>
      <c r="B5689" s="2911"/>
      <c r="C5689" s="2905" t="s">
        <v>1256</v>
      </c>
      <c r="D5689" s="2911"/>
      <c r="E5689" s="3016">
        <f t="shared" si="124"/>
        <v>9.9712368168743931E-2</v>
      </c>
      <c r="F5689" s="3010">
        <v>9.39</v>
      </c>
      <c r="G5689" s="2957">
        <v>10.43</v>
      </c>
    </row>
    <row r="5690" spans="1:7">
      <c r="A5690" s="2910"/>
      <c r="B5690" s="2911"/>
      <c r="C5690" s="2905" t="s">
        <v>1026</v>
      </c>
      <c r="D5690" s="2911"/>
      <c r="E5690" s="3017">
        <f t="shared" si="124"/>
        <v>0.10008481764206953</v>
      </c>
      <c r="F5690" s="3010">
        <v>10.61</v>
      </c>
      <c r="G5690" s="2957">
        <v>11.79</v>
      </c>
    </row>
    <row r="5691" spans="1:7">
      <c r="A5691" s="2910"/>
      <c r="B5691" s="2911"/>
      <c r="C5691" s="2905" t="s">
        <v>1027</v>
      </c>
      <c r="D5691" s="2911"/>
      <c r="E5691" s="3017">
        <f t="shared" si="124"/>
        <v>9.9804305283757291E-2</v>
      </c>
      <c r="F5691" s="3010">
        <v>13.8</v>
      </c>
      <c r="G5691" s="2957">
        <v>15.33</v>
      </c>
    </row>
    <row r="5692" spans="1:7">
      <c r="A5692" s="2910"/>
      <c r="B5692" s="2911"/>
      <c r="C5692" s="2905" t="s">
        <v>1176</v>
      </c>
      <c r="D5692" s="2911"/>
      <c r="E5692" s="3017">
        <f t="shared" si="124"/>
        <v>9.9804305283757291E-2</v>
      </c>
      <c r="F5692" s="3010">
        <v>13.8</v>
      </c>
      <c r="G5692" s="2957">
        <v>15.33</v>
      </c>
    </row>
    <row r="5693" spans="1:7">
      <c r="A5693" s="2910"/>
      <c r="B5693" s="2911"/>
      <c r="C5693" s="2905" t="s">
        <v>1178</v>
      </c>
      <c r="D5693" s="2911"/>
      <c r="E5693" s="3017">
        <f t="shared" si="124"/>
        <v>9.9807135969141605E-2</v>
      </c>
      <c r="F5693" s="3010">
        <v>18.670000000000002</v>
      </c>
      <c r="G5693" s="2958">
        <v>20.74</v>
      </c>
    </row>
    <row r="5694" spans="1:7">
      <c r="A5694" s="2910"/>
      <c r="B5694" s="2911"/>
      <c r="C5694" s="2905" t="s">
        <v>3168</v>
      </c>
      <c r="D5694" s="2911"/>
      <c r="E5694" s="3017">
        <f t="shared" si="124"/>
        <v>9.9807135969141605E-2</v>
      </c>
      <c r="F5694" s="3010">
        <v>18.670000000000002</v>
      </c>
      <c r="G5694" s="2958">
        <v>20.74</v>
      </c>
    </row>
    <row r="5695" spans="1:7">
      <c r="A5695" s="2910"/>
      <c r="B5695" s="2911"/>
      <c r="C5695" s="2905" t="s">
        <v>3021</v>
      </c>
      <c r="D5695" s="2911"/>
      <c r="E5695" s="3017">
        <f t="shared" si="124"/>
        <v>9.8214285714285796E-2</v>
      </c>
      <c r="F5695" s="3010">
        <v>2.02</v>
      </c>
      <c r="G5695" s="2958">
        <v>2.2400000000000002</v>
      </c>
    </row>
    <row r="5696" spans="1:7">
      <c r="A5696" s="2910"/>
      <c r="B5696" s="2911"/>
      <c r="C5696" s="2905" t="s">
        <v>1272</v>
      </c>
      <c r="D5696" s="2911"/>
      <c r="E5696" s="3017">
        <f t="shared" si="124"/>
        <v>9.9009900990098987E-2</v>
      </c>
      <c r="F5696" s="3010">
        <v>3.64</v>
      </c>
      <c r="G5696" s="2958">
        <v>4.04</v>
      </c>
    </row>
    <row r="5697" spans="1:7">
      <c r="A5697" s="2910"/>
      <c r="B5697" s="2911"/>
      <c r="C5697" s="2905" t="s">
        <v>1260</v>
      </c>
      <c r="D5697" s="2911"/>
      <c r="E5697" s="3017">
        <f t="shared" si="124"/>
        <v>9.9009900990098987E-2</v>
      </c>
      <c r="F5697" s="3010">
        <v>3.64</v>
      </c>
      <c r="G5697" s="2958">
        <v>4.04</v>
      </c>
    </row>
    <row r="5698" spans="1:7">
      <c r="A5698" s="2910"/>
      <c r="B5698" s="2911"/>
      <c r="C5698" s="2905" t="s">
        <v>1263</v>
      </c>
      <c r="D5698" s="2911"/>
      <c r="E5698" s="3017">
        <f t="shared" si="124"/>
        <v>0.1003344481605352</v>
      </c>
      <c r="F5698" s="3010">
        <v>2.69</v>
      </c>
      <c r="G5698" s="2958">
        <v>2.99</v>
      </c>
    </row>
    <row r="5699" spans="1:7">
      <c r="A5699" s="2910"/>
      <c r="B5699" s="2911"/>
      <c r="C5699" s="2905" t="s">
        <v>2871</v>
      </c>
      <c r="D5699" s="2911"/>
      <c r="E5699" s="3017">
        <f t="shared" si="124"/>
        <v>0.1976047904191616</v>
      </c>
      <c r="F5699" s="3010">
        <v>1.34</v>
      </c>
      <c r="G5699" s="2958">
        <v>1.67</v>
      </c>
    </row>
    <row r="5700" spans="1:7">
      <c r="A5700" s="2910"/>
      <c r="B5700" s="2911"/>
      <c r="C5700" s="2905" t="s">
        <v>2066</v>
      </c>
      <c r="D5700" s="2911"/>
      <c r="E5700" s="3017">
        <f t="shared" si="124"/>
        <v>0.1976047904191616</v>
      </c>
      <c r="F5700" s="3010">
        <v>1.34</v>
      </c>
      <c r="G5700" s="2958">
        <v>1.67</v>
      </c>
    </row>
    <row r="5701" spans="1:7">
      <c r="A5701" s="2910"/>
      <c r="B5701" s="2911"/>
      <c r="C5701" s="2905" t="s">
        <v>2827</v>
      </c>
      <c r="D5701" s="2911"/>
      <c r="E5701" s="3017">
        <f t="shared" si="124"/>
        <v>0.1976047904191616</v>
      </c>
      <c r="F5701" s="3010">
        <v>1.34</v>
      </c>
      <c r="G5701" s="2958">
        <v>1.67</v>
      </c>
    </row>
    <row r="5702" spans="1:7">
      <c r="A5702" s="2910"/>
      <c r="B5702" s="2911"/>
      <c r="C5702" s="2905" t="s">
        <v>2115</v>
      </c>
      <c r="D5702" s="2911"/>
      <c r="E5702" s="3017">
        <f t="shared" si="124"/>
        <v>0.1976047904191616</v>
      </c>
      <c r="F5702" s="3010">
        <v>1.34</v>
      </c>
      <c r="G5702" s="2958">
        <v>1.67</v>
      </c>
    </row>
    <row r="5703" spans="1:7">
      <c r="A5703" s="2910"/>
      <c r="B5703" s="2911"/>
      <c r="C5703" s="2905" t="s">
        <v>2890</v>
      </c>
      <c r="D5703" s="2911"/>
      <c r="E5703" s="3017">
        <f t="shared" si="124"/>
        <v>0.1976047904191616</v>
      </c>
      <c r="F5703" s="3010">
        <v>1.34</v>
      </c>
      <c r="G5703" s="2958">
        <v>1.67</v>
      </c>
    </row>
    <row r="5704" spans="1:7">
      <c r="A5704" s="2910"/>
      <c r="B5704" s="2911"/>
      <c r="C5704" s="2905" t="s">
        <v>2116</v>
      </c>
      <c r="D5704" s="2911"/>
      <c r="E5704" s="3017">
        <f t="shared" si="124"/>
        <v>0.1976047904191616</v>
      </c>
      <c r="F5704" s="3010">
        <v>1.34</v>
      </c>
      <c r="G5704" s="2958">
        <v>1.67</v>
      </c>
    </row>
    <row r="5705" spans="1:7">
      <c r="A5705" s="2910"/>
      <c r="B5705" s="2911"/>
      <c r="C5705" s="2905" t="s">
        <v>2080</v>
      </c>
      <c r="D5705" s="2911"/>
      <c r="E5705" s="3017">
        <f t="shared" si="124"/>
        <v>0.20212765957446804</v>
      </c>
      <c r="F5705" s="3010">
        <v>0.75</v>
      </c>
      <c r="G5705" s="2958">
        <v>0.94</v>
      </c>
    </row>
    <row r="5706" spans="1:7">
      <c r="A5706" s="2910"/>
      <c r="B5706" s="2911"/>
      <c r="C5706" s="2905" t="s">
        <v>3315</v>
      </c>
      <c r="D5706" s="2911"/>
      <c r="E5706" s="3017">
        <f t="shared" si="124"/>
        <v>0.20212765957446804</v>
      </c>
      <c r="F5706" s="3010">
        <v>0.75</v>
      </c>
      <c r="G5706" s="2958">
        <v>0.94</v>
      </c>
    </row>
    <row r="5707" spans="1:7">
      <c r="A5707" s="2910"/>
      <c r="B5707" s="2911"/>
      <c r="C5707" s="2905" t="s">
        <v>1949</v>
      </c>
      <c r="D5707" s="2911"/>
      <c r="E5707" s="3017">
        <f t="shared" si="124"/>
        <v>0.20212765957446804</v>
      </c>
      <c r="F5707" s="3010">
        <v>0.75</v>
      </c>
      <c r="G5707" s="2958">
        <v>0.94</v>
      </c>
    </row>
    <row r="5708" spans="1:7">
      <c r="A5708" s="2910"/>
      <c r="B5708" s="2911"/>
      <c r="C5708" s="2905" t="s">
        <v>3316</v>
      </c>
      <c r="D5708" s="2911"/>
      <c r="E5708" s="3017">
        <f t="shared" si="124"/>
        <v>0.20212765957446804</v>
      </c>
      <c r="F5708" s="3010">
        <v>0.75</v>
      </c>
      <c r="G5708" s="2958">
        <v>0.94</v>
      </c>
    </row>
    <row r="5709" spans="1:7">
      <c r="A5709" s="2910"/>
      <c r="B5709" s="2911"/>
      <c r="C5709" s="2905" t="s">
        <v>1950</v>
      </c>
      <c r="D5709" s="2911"/>
      <c r="E5709" s="3017">
        <f t="shared" si="124"/>
        <v>0.20212765957446804</v>
      </c>
      <c r="F5709" s="3010">
        <v>0.75</v>
      </c>
      <c r="G5709" s="2958">
        <v>0.94</v>
      </c>
    </row>
    <row r="5710" spans="1:7">
      <c r="A5710" s="2910"/>
      <c r="B5710" s="2911"/>
      <c r="C5710" s="2905" t="s">
        <v>3317</v>
      </c>
      <c r="D5710" s="2911"/>
      <c r="E5710" s="3017">
        <f t="shared" si="124"/>
        <v>0.20212765957446804</v>
      </c>
      <c r="F5710" s="3010">
        <v>0.75</v>
      </c>
      <c r="G5710" s="2958">
        <v>0.94</v>
      </c>
    </row>
    <row r="5711" spans="1:7">
      <c r="A5711" s="2910"/>
      <c r="B5711" s="2911"/>
      <c r="C5711" s="2905" t="s">
        <v>1092</v>
      </c>
      <c r="D5711" s="2911"/>
      <c r="E5711" s="3017">
        <f t="shared" si="124"/>
        <v>0.1974522292993631</v>
      </c>
      <c r="F5711" s="3010">
        <v>1.26</v>
      </c>
      <c r="G5711" s="2958">
        <v>1.57</v>
      </c>
    </row>
    <row r="5712" spans="1:7">
      <c r="A5712" s="2910"/>
      <c r="B5712" s="2911"/>
      <c r="C5712" s="2905" t="s">
        <v>1091</v>
      </c>
      <c r="D5712" s="2911"/>
      <c r="E5712" s="3017">
        <f t="shared" si="124"/>
        <v>0.1974522292993631</v>
      </c>
      <c r="F5712" s="3010">
        <v>1.26</v>
      </c>
      <c r="G5712" s="2958">
        <v>1.57</v>
      </c>
    </row>
    <row r="5713" spans="1:8">
      <c r="A5713" s="2910"/>
      <c r="B5713" s="2911"/>
      <c r="C5713" s="2905" t="s">
        <v>1090</v>
      </c>
      <c r="D5713" s="2911"/>
      <c r="E5713" s="3017">
        <f t="shared" si="124"/>
        <v>0.1974522292993631</v>
      </c>
      <c r="F5713" s="3010">
        <v>1.26</v>
      </c>
      <c r="G5713" s="2958">
        <v>1.57</v>
      </c>
    </row>
    <row r="5714" spans="1:8">
      <c r="A5714" s="2910"/>
      <c r="B5714" s="2911"/>
      <c r="C5714" s="2905" t="s">
        <v>1563</v>
      </c>
      <c r="D5714" s="2911"/>
      <c r="E5714" s="3017">
        <f t="shared" si="124"/>
        <v>0.20149253731343283</v>
      </c>
      <c r="F5714" s="3010">
        <v>1.07</v>
      </c>
      <c r="G5714" s="2958">
        <v>1.34</v>
      </c>
    </row>
    <row r="5715" spans="1:8">
      <c r="A5715" s="2910"/>
      <c r="B5715" s="2911"/>
      <c r="C5715" s="2905" t="s">
        <v>554</v>
      </c>
      <c r="D5715" s="2911"/>
      <c r="E5715" s="3017">
        <f t="shared" si="124"/>
        <v>0.20155038759689922</v>
      </c>
      <c r="F5715" s="3010">
        <v>1.03</v>
      </c>
      <c r="G5715" s="2958">
        <v>1.29</v>
      </c>
    </row>
    <row r="5716" spans="1:8">
      <c r="A5716" s="2910"/>
      <c r="B5716" s="2911"/>
      <c r="C5716" s="2905" t="s">
        <v>1120</v>
      </c>
      <c r="D5716" s="2911"/>
      <c r="E5716" s="3017">
        <f t="shared" si="124"/>
        <v>0.20370370370370378</v>
      </c>
      <c r="F5716" s="3010">
        <v>0.43</v>
      </c>
      <c r="G5716" s="2958">
        <v>0.54</v>
      </c>
    </row>
    <row r="5717" spans="1:8">
      <c r="A5717" s="2910"/>
      <c r="B5717" s="2911"/>
      <c r="C5717" s="2905" t="s">
        <v>686</v>
      </c>
      <c r="D5717" s="2911"/>
      <c r="E5717" s="3017">
        <f t="shared" si="124"/>
        <v>0.20168067226890757</v>
      </c>
      <c r="F5717" s="3010">
        <v>1.9</v>
      </c>
      <c r="G5717" s="2958">
        <v>2.38</v>
      </c>
      <c r="H5717" t="s">
        <v>3788</v>
      </c>
    </row>
    <row r="5718" spans="1:8" ht="15.75" thickBot="1">
      <c r="A5718" s="2914"/>
      <c r="B5718" s="2915"/>
      <c r="C5718" s="2938" t="s">
        <v>687</v>
      </c>
      <c r="D5718" s="2915"/>
      <c r="E5718" s="3018">
        <f t="shared" si="124"/>
        <v>0.20168067226890757</v>
      </c>
      <c r="F5718" s="3011">
        <v>1.9</v>
      </c>
      <c r="G5718" s="2959">
        <v>2.38</v>
      </c>
      <c r="H5718" s="2885" t="s">
        <v>3789</v>
      </c>
    </row>
    <row r="5719" spans="1:8" ht="15.75" thickBot="1"/>
    <row r="5720" spans="1:8">
      <c r="A5720" s="3572"/>
      <c r="B5720" s="3557"/>
      <c r="C5720" s="3557"/>
      <c r="D5720" s="3557"/>
      <c r="E5720" s="3557"/>
      <c r="F5720" s="3557"/>
      <c r="G5720" s="3559"/>
    </row>
    <row r="5721" spans="1:8">
      <c r="A5721" s="3573"/>
      <c r="B5721" s="3558"/>
      <c r="C5721" s="3558"/>
      <c r="D5721" s="3558"/>
      <c r="E5721" s="3558"/>
      <c r="F5721" s="3558"/>
      <c r="G5721" s="3560"/>
    </row>
    <row r="5722" spans="1:8">
      <c r="A5722" s="3015" t="s">
        <v>3782</v>
      </c>
      <c r="B5722" s="2898" t="s">
        <v>106</v>
      </c>
      <c r="C5722" s="2996" t="s">
        <v>623</v>
      </c>
      <c r="D5722" s="2997"/>
      <c r="E5722" s="3016">
        <f>(G5722-F5722)/G5722</f>
        <v>0.28229665071770332</v>
      </c>
      <c r="F5722" s="3129">
        <v>1.5</v>
      </c>
      <c r="G5722" s="3130">
        <v>2.09</v>
      </c>
    </row>
    <row r="5723" spans="1:8" ht="15.75" thickBot="1">
      <c r="A5723" s="2914"/>
      <c r="B5723" s="2915"/>
      <c r="C5723" s="2915" t="s">
        <v>1772</v>
      </c>
      <c r="D5723" s="2915"/>
      <c r="E5723" s="3050">
        <f>(G5723-F5723)/G5723</f>
        <v>0.28229665071770332</v>
      </c>
      <c r="F5723" s="3011">
        <v>1.5</v>
      </c>
      <c r="G5723" s="2917">
        <v>2.09</v>
      </c>
    </row>
    <row r="5724" spans="1:8" ht="15.75" thickBot="1"/>
    <row r="5725" spans="1:8">
      <c r="A5725" s="3572"/>
      <c r="B5725" s="3557"/>
      <c r="C5725" s="3557"/>
      <c r="D5725" s="3557"/>
      <c r="E5725" s="3557"/>
      <c r="F5725" s="3557"/>
      <c r="G5725" s="3559"/>
    </row>
    <row r="5726" spans="1:8" ht="15.75" thickBot="1">
      <c r="A5726" s="3905"/>
      <c r="B5726" s="3906"/>
      <c r="C5726" s="3906"/>
      <c r="D5726" s="3906"/>
      <c r="E5726" s="3906"/>
      <c r="F5726" s="3906"/>
      <c r="G5726" s="3913"/>
    </row>
    <row r="5727" spans="1:8">
      <c r="A5727" s="2668" t="s">
        <v>3783</v>
      </c>
      <c r="B5727" s="1690" t="s">
        <v>106</v>
      </c>
      <c r="C5727" s="2765" t="s">
        <v>730</v>
      </c>
      <c r="D5727" s="2766"/>
      <c r="E5727" s="3067">
        <f>(G5727-F5727)/G5727</f>
        <v>0.15217391304347827</v>
      </c>
      <c r="F5727" s="3156">
        <v>0.78</v>
      </c>
      <c r="G5727" s="3157">
        <v>0.92</v>
      </c>
    </row>
    <row r="5728" spans="1:8">
      <c r="A5728" s="2910"/>
      <c r="B5728" s="2911"/>
      <c r="C5728" s="2911" t="s">
        <v>1120</v>
      </c>
      <c r="D5728" s="2911"/>
      <c r="E5728" s="3016">
        <f>(G5728-F5728)/G5728</f>
        <v>0.14545454545454556</v>
      </c>
      <c r="F5728" s="3010">
        <v>0.47</v>
      </c>
      <c r="G5728" s="2913">
        <v>0.55000000000000004</v>
      </c>
    </row>
    <row r="5729" spans="1:7">
      <c r="A5729" s="2910"/>
      <c r="B5729" s="2911"/>
      <c r="C5729" s="2911" t="s">
        <v>1267</v>
      </c>
      <c r="D5729" s="2911"/>
      <c r="E5729" s="3016">
        <f t="shared" ref="E5729:E5738" si="125">(G5729-F5729)/G5729</f>
        <v>0.15476190476190477</v>
      </c>
      <c r="F5729" s="2911">
        <v>0.71</v>
      </c>
      <c r="G5729" s="3019">
        <v>0.84</v>
      </c>
    </row>
    <row r="5730" spans="1:7">
      <c r="A5730" s="2910"/>
      <c r="B5730" s="2911"/>
      <c r="C5730" s="2911" t="s">
        <v>1268</v>
      </c>
      <c r="D5730" s="2911"/>
      <c r="E5730" s="3016">
        <f t="shared" si="125"/>
        <v>0.14999999999999997</v>
      </c>
      <c r="F5730" s="2911">
        <v>1.02</v>
      </c>
      <c r="G5730" s="3019">
        <v>1.2</v>
      </c>
    </row>
    <row r="5731" spans="1:7">
      <c r="A5731" s="2910"/>
      <c r="B5731" s="2911"/>
      <c r="C5731" s="2911" t="s">
        <v>3408</v>
      </c>
      <c r="D5731" s="2911"/>
      <c r="E5731" s="3016">
        <f t="shared" si="125"/>
        <v>0.15315315315315328</v>
      </c>
      <c r="F5731" s="2911">
        <v>0.94</v>
      </c>
      <c r="G5731" s="3019">
        <v>1.1100000000000001</v>
      </c>
    </row>
    <row r="5732" spans="1:7">
      <c r="A5732" s="2910"/>
      <c r="B5732" s="2911"/>
      <c r="C5732" s="2911" t="s">
        <v>636</v>
      </c>
      <c r="D5732" s="2911"/>
      <c r="E5732" s="3016">
        <f t="shared" si="125"/>
        <v>0.14912280701754382</v>
      </c>
      <c r="F5732" s="2911">
        <v>0.97</v>
      </c>
      <c r="G5732" s="3019">
        <v>1.1399999999999999</v>
      </c>
    </row>
    <row r="5733" spans="1:7">
      <c r="A5733" s="2910"/>
      <c r="B5733" s="2911"/>
      <c r="C5733" s="2911" t="s">
        <v>858</v>
      </c>
      <c r="D5733" s="2911"/>
      <c r="E5733" s="3016">
        <f t="shared" si="125"/>
        <v>0.14953271028037385</v>
      </c>
      <c r="F5733" s="2911">
        <v>0.91</v>
      </c>
      <c r="G5733" s="3019">
        <v>1.07</v>
      </c>
    </row>
    <row r="5734" spans="1:7">
      <c r="A5734" s="2910"/>
      <c r="B5734" s="2911"/>
      <c r="C5734" s="2911" t="s">
        <v>53</v>
      </c>
      <c r="D5734" s="2911"/>
      <c r="E5734" s="3016">
        <f t="shared" si="125"/>
        <v>0.14678899082568808</v>
      </c>
      <c r="F5734" s="2911">
        <v>0.93</v>
      </c>
      <c r="G5734" s="3019">
        <v>1.0900000000000001</v>
      </c>
    </row>
    <row r="5735" spans="1:7">
      <c r="A5735" s="2910"/>
      <c r="B5735" s="2911"/>
      <c r="C5735" s="2911" t="s">
        <v>554</v>
      </c>
      <c r="D5735" s="2911"/>
      <c r="E5735" s="3016">
        <f t="shared" si="125"/>
        <v>0.15151515151515146</v>
      </c>
      <c r="F5735" s="2911">
        <v>1.1200000000000001</v>
      </c>
      <c r="G5735" s="3019">
        <v>1.32</v>
      </c>
    </row>
    <row r="5736" spans="1:7">
      <c r="A5736" s="2910"/>
      <c r="B5736" s="2911"/>
      <c r="C5736" s="2911" t="s">
        <v>1563</v>
      </c>
      <c r="D5736" s="2911"/>
      <c r="E5736" s="3016">
        <f t="shared" si="125"/>
        <v>0.14814814814814828</v>
      </c>
      <c r="F5736" s="2911">
        <v>1.1499999999999999</v>
      </c>
      <c r="G5736" s="3019">
        <v>1.35</v>
      </c>
    </row>
    <row r="5737" spans="1:7">
      <c r="A5737" s="2910"/>
      <c r="B5737" s="2911"/>
      <c r="C5737" s="2911" t="s">
        <v>1644</v>
      </c>
      <c r="D5737" s="2911"/>
      <c r="E5737" s="3016">
        <f t="shared" si="125"/>
        <v>0.15030674846625761</v>
      </c>
      <c r="F5737" s="2911">
        <v>2.77</v>
      </c>
      <c r="G5737" s="3019">
        <v>3.26</v>
      </c>
    </row>
    <row r="5738" spans="1:7" ht="15.75" thickBot="1">
      <c r="A5738" s="2914"/>
      <c r="B5738" s="2915"/>
      <c r="C5738" s="2915" t="s">
        <v>3409</v>
      </c>
      <c r="D5738" s="2915"/>
      <c r="E5738" s="3050">
        <f t="shared" si="125"/>
        <v>0.15113350125944586</v>
      </c>
      <c r="F5738" s="2915">
        <v>3.37</v>
      </c>
      <c r="G5738" s="2939">
        <v>3.97</v>
      </c>
    </row>
    <row r="5739" spans="1:7" ht="15.75" thickBot="1"/>
    <row r="5740" spans="1:7">
      <c r="A5740" s="3572"/>
      <c r="B5740" s="3557"/>
      <c r="C5740" s="3557"/>
      <c r="D5740" s="3557"/>
      <c r="E5740" s="3557"/>
      <c r="F5740" s="3557"/>
      <c r="G5740" s="3559"/>
    </row>
    <row r="5741" spans="1:7" ht="15.75" thickBot="1">
      <c r="A5741" s="3916"/>
      <c r="B5741" s="3914"/>
      <c r="C5741" s="3914"/>
      <c r="D5741" s="3914"/>
      <c r="E5741" s="3914"/>
      <c r="F5741" s="3914"/>
      <c r="G5741" s="3915"/>
    </row>
    <row r="5742" spans="1:7">
      <c r="A5742" s="3193" t="s">
        <v>3790</v>
      </c>
      <c r="B5742" s="2289" t="s">
        <v>3229</v>
      </c>
      <c r="C5742" s="3190" t="s">
        <v>3785</v>
      </c>
      <c r="D5742" s="3191"/>
      <c r="E5742" s="2291">
        <f>(F5742/G5742-1)*-1</f>
        <v>0.33157894736842097</v>
      </c>
      <c r="F5742" s="3192">
        <v>1.27</v>
      </c>
      <c r="G5742" s="3194">
        <v>1.9</v>
      </c>
    </row>
    <row r="5743" spans="1:7">
      <c r="A5743" s="2910"/>
      <c r="B5743" s="2911"/>
      <c r="C5743" s="2911" t="s">
        <v>3786</v>
      </c>
      <c r="D5743" s="2911"/>
      <c r="E5743" s="3126">
        <f>(F5743/G5743-1)*-1</f>
        <v>0.33157894736842097</v>
      </c>
      <c r="F5743" s="3010">
        <v>1.27</v>
      </c>
      <c r="G5743" s="2957">
        <v>1.9</v>
      </c>
    </row>
    <row r="5744" spans="1:7">
      <c r="A5744" s="2910"/>
      <c r="B5744" s="2911"/>
      <c r="C5744" s="2911" t="s">
        <v>686</v>
      </c>
      <c r="D5744" s="2911"/>
      <c r="E5744" s="3126">
        <f>(F5744/G5744-1)*-1</f>
        <v>0.33193277310924363</v>
      </c>
      <c r="F5744" s="3010">
        <v>1.59</v>
      </c>
      <c r="G5744" s="2958">
        <v>2.38</v>
      </c>
    </row>
    <row r="5745" spans="1:7" ht="15.75" thickBot="1">
      <c r="A5745" s="2914"/>
      <c r="B5745" s="2915"/>
      <c r="C5745" s="2915" t="s">
        <v>687</v>
      </c>
      <c r="D5745" s="2915"/>
      <c r="E5745" s="3035">
        <f>(F5745/G5745-1)*-1</f>
        <v>0.33193277310924363</v>
      </c>
      <c r="F5745" s="2915">
        <v>1.59</v>
      </c>
      <c r="G5745" s="2917">
        <v>2.38</v>
      </c>
    </row>
    <row r="5746" spans="1:7" ht="15.75" thickBot="1"/>
    <row r="5747" spans="1:7">
      <c r="A5747" s="3593"/>
      <c r="B5747" s="3601"/>
      <c r="C5747" s="3601"/>
      <c r="D5747" s="3601"/>
      <c r="E5747" s="3601"/>
      <c r="F5747" s="3601"/>
      <c r="G5747" s="3559"/>
    </row>
    <row r="5748" spans="1:7" ht="15.75" thickBot="1">
      <c r="A5748" s="3912"/>
      <c r="B5748" s="3907"/>
      <c r="C5748" s="3907"/>
      <c r="D5748" s="3907"/>
      <c r="E5748" s="3907"/>
      <c r="F5748" s="3907"/>
      <c r="G5748" s="3913"/>
    </row>
    <row r="5749" spans="1:7">
      <c r="A5749" s="2870" t="s">
        <v>3803</v>
      </c>
      <c r="B5749" s="2871" t="s">
        <v>114</v>
      </c>
      <c r="C5749" s="2181" t="s">
        <v>3324</v>
      </c>
      <c r="D5749" s="2872"/>
      <c r="E5749" s="2182">
        <f>(G5749-F5749)/G5749</f>
        <v>0.20141342756183755</v>
      </c>
      <c r="F5749" s="2468">
        <v>2.2599999999999998</v>
      </c>
      <c r="G5749" s="3167">
        <v>2.83</v>
      </c>
    </row>
    <row r="5750" spans="1:7">
      <c r="A5750" s="3123"/>
      <c r="B5750" s="3124"/>
      <c r="C5750" s="2952" t="s">
        <v>3325</v>
      </c>
      <c r="D5750" s="3125"/>
      <c r="E5750" s="3126">
        <f t="shared" ref="E5750:E5764" si="126">(G5750-F5750)/G5750</f>
        <v>0.20141342756183755</v>
      </c>
      <c r="F5750" s="2953">
        <v>2.2599999999999998</v>
      </c>
      <c r="G5750" s="3127">
        <v>2.83</v>
      </c>
    </row>
    <row r="5751" spans="1:7">
      <c r="A5751" s="2910"/>
      <c r="B5751" s="2911"/>
      <c r="C5751" s="2911" t="s">
        <v>3326</v>
      </c>
      <c r="D5751" s="2911"/>
      <c r="E5751" s="3126">
        <f t="shared" si="126"/>
        <v>0.20141342756183755</v>
      </c>
      <c r="F5751" s="2953">
        <v>2.2599999999999998</v>
      </c>
      <c r="G5751" s="3127">
        <v>2.83</v>
      </c>
    </row>
    <row r="5752" spans="1:7">
      <c r="A5752" s="2910"/>
      <c r="B5752" s="2911"/>
      <c r="C5752" s="2911" t="s">
        <v>3327</v>
      </c>
      <c r="D5752" s="2911"/>
      <c r="E5752" s="3126">
        <f t="shared" si="126"/>
        <v>0.20141342756183755</v>
      </c>
      <c r="F5752" s="2911">
        <v>2.2599999999999998</v>
      </c>
      <c r="G5752" s="3127">
        <v>2.83</v>
      </c>
    </row>
    <row r="5753" spans="1:7">
      <c r="A5753" s="2910"/>
      <c r="B5753" s="2911"/>
      <c r="C5753" s="2911" t="s">
        <v>3328</v>
      </c>
      <c r="D5753" s="2911"/>
      <c r="E5753" s="3126">
        <f t="shared" si="126"/>
        <v>0.20141342756183755</v>
      </c>
      <c r="F5753" s="2911">
        <v>2.2599999999999998</v>
      </c>
      <c r="G5753" s="3127">
        <v>2.83</v>
      </c>
    </row>
    <row r="5754" spans="1:7">
      <c r="A5754" s="2910"/>
      <c r="B5754" s="2911"/>
      <c r="C5754" s="2911" t="s">
        <v>3329</v>
      </c>
      <c r="D5754" s="2911"/>
      <c r="E5754" s="3126">
        <f t="shared" si="126"/>
        <v>0.20141342756183755</v>
      </c>
      <c r="F5754" s="2911">
        <v>2.2599999999999998</v>
      </c>
      <c r="G5754" s="3127">
        <v>2.83</v>
      </c>
    </row>
    <row r="5755" spans="1:7">
      <c r="A5755" s="2910"/>
      <c r="B5755" s="2911"/>
      <c r="C5755" s="2911" t="s">
        <v>3804</v>
      </c>
      <c r="D5755" s="2911"/>
      <c r="E5755" s="2896">
        <f t="shared" si="126"/>
        <v>0.20077220077220079</v>
      </c>
      <c r="F5755" s="2911">
        <v>2.0699999999999998</v>
      </c>
      <c r="G5755" s="2922">
        <v>2.59</v>
      </c>
    </row>
    <row r="5756" spans="1:7">
      <c r="A5756" s="2910"/>
      <c r="B5756" s="2911"/>
      <c r="C5756" s="2911" t="s">
        <v>3805</v>
      </c>
      <c r="D5756" s="2911"/>
      <c r="E5756" s="2896">
        <f t="shared" si="126"/>
        <v>0.20077220077220079</v>
      </c>
      <c r="F5756" s="2911">
        <v>2.0699999999999998</v>
      </c>
      <c r="G5756" s="2922">
        <v>2.59</v>
      </c>
    </row>
    <row r="5757" spans="1:7">
      <c r="A5757" s="2910"/>
      <c r="B5757" s="2911"/>
      <c r="C5757" s="2911" t="s">
        <v>3627</v>
      </c>
      <c r="D5757" s="2911"/>
      <c r="E5757" s="2896">
        <f t="shared" si="126"/>
        <v>0.19999999999999993</v>
      </c>
      <c r="F5757" s="2911">
        <v>2.72</v>
      </c>
      <c r="G5757" s="3199">
        <v>3.4</v>
      </c>
    </row>
    <row r="5758" spans="1:7">
      <c r="A5758" s="2910"/>
      <c r="B5758" s="2911"/>
      <c r="C5758" s="2911" t="s">
        <v>3797</v>
      </c>
      <c r="D5758" s="2911"/>
      <c r="E5758" s="2896">
        <f t="shared" si="126"/>
        <v>0.19999999999999993</v>
      </c>
      <c r="F5758" s="2911">
        <v>2.72</v>
      </c>
      <c r="G5758" s="3199">
        <v>3.4</v>
      </c>
    </row>
    <row r="5759" spans="1:7">
      <c r="A5759" s="2910"/>
      <c r="B5759" s="2911"/>
      <c r="C5759" s="2911" t="s">
        <v>3628</v>
      </c>
      <c r="D5759" s="2911"/>
      <c r="E5759" s="2896">
        <f t="shared" si="126"/>
        <v>0.19999999999999993</v>
      </c>
      <c r="F5759" s="2911">
        <v>2.72</v>
      </c>
      <c r="G5759" s="3199">
        <v>3.4</v>
      </c>
    </row>
    <row r="5760" spans="1:7">
      <c r="A5760" s="2910"/>
      <c r="B5760" s="2911"/>
      <c r="C5760" s="2911" t="s">
        <v>3487</v>
      </c>
      <c r="D5760" s="2911"/>
      <c r="E5760" s="2896">
        <f t="shared" si="126"/>
        <v>0.19999999999999993</v>
      </c>
      <c r="F5760" s="2911">
        <v>2.72</v>
      </c>
      <c r="G5760" s="3199">
        <v>3.4</v>
      </c>
    </row>
    <row r="5761" spans="1:7">
      <c r="A5761" s="2910"/>
      <c r="B5761" s="2911"/>
      <c r="C5761" s="2911" t="s">
        <v>3488</v>
      </c>
      <c r="D5761" s="2911"/>
      <c r="E5761" s="2896">
        <f t="shared" si="126"/>
        <v>0.19999999999999993</v>
      </c>
      <c r="F5761" s="2911">
        <v>2.72</v>
      </c>
      <c r="G5761" s="3199">
        <v>3.4</v>
      </c>
    </row>
    <row r="5762" spans="1:7">
      <c r="A5762" s="2910"/>
      <c r="B5762" s="2911"/>
      <c r="C5762" s="2911" t="s">
        <v>3629</v>
      </c>
      <c r="D5762" s="2911"/>
      <c r="E5762" s="2896">
        <f t="shared" si="126"/>
        <v>0.19999999999999993</v>
      </c>
      <c r="F5762" s="2911">
        <v>2.72</v>
      </c>
      <c r="G5762" s="3199">
        <v>3.4</v>
      </c>
    </row>
    <row r="5763" spans="1:7">
      <c r="A5763" s="2910"/>
      <c r="B5763" s="2911"/>
      <c r="C5763" s="2911" t="s">
        <v>3489</v>
      </c>
      <c r="D5763" s="2911"/>
      <c r="E5763" s="2896">
        <f t="shared" si="126"/>
        <v>0.19999999999999993</v>
      </c>
      <c r="F5763" s="2911">
        <v>2.72</v>
      </c>
      <c r="G5763" s="3199">
        <v>3.4</v>
      </c>
    </row>
    <row r="5764" spans="1:7" ht="15.75" thickBot="1">
      <c r="A5764" s="2914"/>
      <c r="B5764" s="2915"/>
      <c r="C5764" s="2915" t="s">
        <v>3490</v>
      </c>
      <c r="D5764" s="2915"/>
      <c r="E5764" s="2890">
        <f t="shared" si="126"/>
        <v>0.19999999999999993</v>
      </c>
      <c r="F5764" s="2915">
        <v>2.72</v>
      </c>
      <c r="G5764" s="3200">
        <v>3.4</v>
      </c>
    </row>
    <row r="5765" spans="1:7" ht="15.75" thickBot="1"/>
    <row r="5766" spans="1:7">
      <c r="A5766" s="3572"/>
      <c r="B5766" s="3557"/>
      <c r="C5766" s="3557"/>
      <c r="D5766" s="3557"/>
      <c r="E5766" s="3557"/>
      <c r="F5766" s="3557"/>
      <c r="G5766" s="3559"/>
    </row>
    <row r="5767" spans="1:7" ht="15.75" thickBot="1">
      <c r="A5767" s="3905"/>
      <c r="B5767" s="3906"/>
      <c r="C5767" s="3906"/>
      <c r="D5767" s="3906"/>
      <c r="E5767" s="3906"/>
      <c r="F5767" s="3906"/>
      <c r="G5767" s="3913"/>
    </row>
    <row r="5768" spans="1:7">
      <c r="A5768" s="2668" t="s">
        <v>3814</v>
      </c>
      <c r="B5768" s="1690" t="s">
        <v>106</v>
      </c>
      <c r="C5768" s="2765" t="s">
        <v>732</v>
      </c>
      <c r="D5768" s="2766"/>
      <c r="E5768" s="3067">
        <f>(G5768-F5768)/G5768</f>
        <v>0.15053763440860216</v>
      </c>
      <c r="F5768" s="3156">
        <v>0.79</v>
      </c>
      <c r="G5768" s="3157">
        <v>0.93</v>
      </c>
    </row>
    <row r="5769" spans="1:7">
      <c r="A5769" s="2910"/>
      <c r="B5769" s="2911"/>
      <c r="C5769" s="2911" t="s">
        <v>3315</v>
      </c>
      <c r="D5769" s="2911"/>
      <c r="E5769" s="3016">
        <f>(G5769-F5769)/G5769</f>
        <v>0.15000000000000002</v>
      </c>
      <c r="F5769" s="3010">
        <v>0.85</v>
      </c>
      <c r="G5769" s="2957">
        <v>1</v>
      </c>
    </row>
    <row r="5770" spans="1:7">
      <c r="A5770" s="2910"/>
      <c r="B5770" s="2911"/>
      <c r="C5770" s="2911" t="s">
        <v>3316</v>
      </c>
      <c r="D5770" s="2911"/>
      <c r="E5770" s="3016">
        <f t="shared" ref="E5770:E5799" si="127">(G5770-F5770)/G5770</f>
        <v>0.15000000000000002</v>
      </c>
      <c r="F5770" s="2911">
        <v>0.85</v>
      </c>
      <c r="G5770" s="2958">
        <v>1</v>
      </c>
    </row>
    <row r="5771" spans="1:7">
      <c r="A5771" s="2910"/>
      <c r="B5771" s="2911"/>
      <c r="C5771" s="2911" t="s">
        <v>3317</v>
      </c>
      <c r="D5771" s="2911"/>
      <c r="E5771" s="3016">
        <f t="shared" si="127"/>
        <v>0.15000000000000002</v>
      </c>
      <c r="F5771" s="2911">
        <v>0.85</v>
      </c>
      <c r="G5771" s="2958">
        <v>1</v>
      </c>
    </row>
    <row r="5772" spans="1:7">
      <c r="A5772" s="2910"/>
      <c r="B5772" s="2911"/>
      <c r="C5772" s="2911" t="s">
        <v>1791</v>
      </c>
      <c r="D5772" s="2911"/>
      <c r="E5772" s="3016">
        <f t="shared" si="127"/>
        <v>0.14919354838709681</v>
      </c>
      <c r="F5772" s="2911">
        <v>2.11</v>
      </c>
      <c r="G5772" s="2958">
        <v>2.48</v>
      </c>
    </row>
    <row r="5773" spans="1:7">
      <c r="A5773" s="2910"/>
      <c r="B5773" s="2911"/>
      <c r="C5773" s="2911" t="s">
        <v>3661</v>
      </c>
      <c r="D5773" s="2911"/>
      <c r="E5773" s="3016">
        <f t="shared" si="127"/>
        <v>0.15053763440860216</v>
      </c>
      <c r="F5773" s="2911">
        <v>0.79</v>
      </c>
      <c r="G5773" s="2958">
        <v>0.93</v>
      </c>
    </row>
    <row r="5774" spans="1:7">
      <c r="A5774" s="2910"/>
      <c r="B5774" s="2911"/>
      <c r="C5774" s="2911" t="s">
        <v>1612</v>
      </c>
      <c r="D5774" s="2911"/>
      <c r="E5774" s="3016">
        <f t="shared" si="127"/>
        <v>0.15053763440860216</v>
      </c>
      <c r="F5774" s="2911">
        <v>0.79</v>
      </c>
      <c r="G5774" s="2958">
        <v>0.93</v>
      </c>
    </row>
    <row r="5775" spans="1:7">
      <c r="A5775" s="2910"/>
      <c r="B5775" s="2911"/>
      <c r="C5775" s="2911" t="s">
        <v>2115</v>
      </c>
      <c r="D5775" s="2911"/>
      <c r="E5775" s="3016">
        <f t="shared" si="127"/>
        <v>0.15116279069767444</v>
      </c>
      <c r="F5775" s="2911">
        <v>1.46</v>
      </c>
      <c r="G5775" s="2958">
        <v>1.72</v>
      </c>
    </row>
    <row r="5776" spans="1:7">
      <c r="A5776" s="2910"/>
      <c r="B5776" s="2911"/>
      <c r="C5776" s="2911" t="s">
        <v>2116</v>
      </c>
      <c r="D5776" s="2911"/>
      <c r="E5776" s="3016">
        <f t="shared" si="127"/>
        <v>0.15116279069767444</v>
      </c>
      <c r="F5776" s="2911">
        <v>1.46</v>
      </c>
      <c r="G5776" s="2958">
        <v>1.72</v>
      </c>
    </row>
    <row r="5777" spans="1:7">
      <c r="A5777" s="2910"/>
      <c r="B5777" s="2911"/>
      <c r="C5777" s="2911" t="s">
        <v>2066</v>
      </c>
      <c r="D5777" s="2911"/>
      <c r="E5777" s="3016">
        <f t="shared" si="127"/>
        <v>0.15116279069767444</v>
      </c>
      <c r="F5777" s="2911">
        <v>1.46</v>
      </c>
      <c r="G5777" s="2958">
        <v>1.72</v>
      </c>
    </row>
    <row r="5778" spans="1:7">
      <c r="A5778" s="2910"/>
      <c r="B5778" s="2911"/>
      <c r="C5778" s="2911" t="s">
        <v>3801</v>
      </c>
      <c r="D5778" s="2911"/>
      <c r="E5778" s="3016">
        <f t="shared" si="127"/>
        <v>0.15228426395939088</v>
      </c>
      <c r="F5778" s="2911">
        <v>1.67</v>
      </c>
      <c r="G5778" s="2958">
        <v>1.97</v>
      </c>
    </row>
    <row r="5779" spans="1:7">
      <c r="A5779" s="2910"/>
      <c r="B5779" s="2911"/>
      <c r="C5779" s="2911" t="s">
        <v>3802</v>
      </c>
      <c r="D5779" s="2911"/>
      <c r="E5779" s="3016">
        <f t="shared" si="127"/>
        <v>0.15228426395939088</v>
      </c>
      <c r="F5779" s="2911">
        <v>1.67</v>
      </c>
      <c r="G5779" s="2958">
        <v>1.97</v>
      </c>
    </row>
    <row r="5780" spans="1:7">
      <c r="A5780" s="2910"/>
      <c r="B5780" s="2911"/>
      <c r="C5780" s="2911" t="s">
        <v>3785</v>
      </c>
      <c r="D5780" s="2911"/>
      <c r="E5780" s="3017">
        <f t="shared" si="127"/>
        <v>0.15228426395939088</v>
      </c>
      <c r="F5780" s="2911">
        <v>1.67</v>
      </c>
      <c r="G5780" s="3019">
        <v>1.97</v>
      </c>
    </row>
    <row r="5781" spans="1:7">
      <c r="A5781" s="2910"/>
      <c r="B5781" s="2911"/>
      <c r="C5781" s="2911" t="s">
        <v>3786</v>
      </c>
      <c r="D5781" s="2911"/>
      <c r="E5781" s="3017">
        <f t="shared" si="127"/>
        <v>0.15228426395939088</v>
      </c>
      <c r="F5781" s="2911">
        <v>1.67</v>
      </c>
      <c r="G5781" s="3019">
        <v>1.97</v>
      </c>
    </row>
    <row r="5782" spans="1:7">
      <c r="A5782" s="2910"/>
      <c r="B5782" s="2911"/>
      <c r="C5782" s="2911" t="s">
        <v>1058</v>
      </c>
      <c r="D5782" s="2911"/>
      <c r="E5782" s="3017">
        <f t="shared" si="127"/>
        <v>0.14912280701754382</v>
      </c>
      <c r="F5782" s="2911">
        <v>1.94</v>
      </c>
      <c r="G5782" s="3019">
        <v>2.2799999999999998</v>
      </c>
    </row>
    <row r="5783" spans="1:7">
      <c r="A5783" s="2910"/>
      <c r="B5783" s="2911"/>
      <c r="C5783" s="2911" t="s">
        <v>1092</v>
      </c>
      <c r="D5783" s="2911"/>
      <c r="E5783" s="3017">
        <f t="shared" si="127"/>
        <v>0.14814814814814828</v>
      </c>
      <c r="F5783" s="2911">
        <v>1.38</v>
      </c>
      <c r="G5783" s="3019">
        <v>1.62</v>
      </c>
    </row>
    <row r="5784" spans="1:7">
      <c r="A5784" s="2910"/>
      <c r="B5784" s="2911"/>
      <c r="C5784" s="2911" t="s">
        <v>1091</v>
      </c>
      <c r="D5784" s="2911"/>
      <c r="E5784" s="3017">
        <f t="shared" si="127"/>
        <v>0.14906832298136644</v>
      </c>
      <c r="F5784" s="2911">
        <v>1.37</v>
      </c>
      <c r="G5784" s="3019">
        <v>1.61</v>
      </c>
    </row>
    <row r="5785" spans="1:7">
      <c r="A5785" s="2910"/>
      <c r="B5785" s="2911"/>
      <c r="C5785" s="2911" t="s">
        <v>1090</v>
      </c>
      <c r="D5785" s="2911"/>
      <c r="E5785" s="3017">
        <f t="shared" si="127"/>
        <v>0.15189873417721517</v>
      </c>
      <c r="F5785" s="2911">
        <v>1.34</v>
      </c>
      <c r="G5785" s="3019">
        <v>1.58</v>
      </c>
    </row>
    <row r="5786" spans="1:7">
      <c r="A5786" s="2910"/>
      <c r="B5786" s="2911"/>
      <c r="C5786" s="2911" t="s">
        <v>3815</v>
      </c>
      <c r="D5786" s="2911"/>
      <c r="E5786" s="3017" t="e">
        <f t="shared" si="127"/>
        <v>#VALUE!</v>
      </c>
      <c r="F5786" s="2911">
        <v>1.53</v>
      </c>
      <c r="G5786" s="2913" t="s">
        <v>3817</v>
      </c>
    </row>
    <row r="5787" spans="1:7">
      <c r="A5787" s="2910"/>
      <c r="B5787" s="2911"/>
      <c r="C5787" s="2911" t="s">
        <v>3815</v>
      </c>
      <c r="D5787" s="2911"/>
      <c r="E5787" s="3017" t="e">
        <f t="shared" si="127"/>
        <v>#VALUE!</v>
      </c>
      <c r="F5787" s="2911">
        <v>1.53</v>
      </c>
      <c r="G5787" s="2913" t="s">
        <v>3817</v>
      </c>
    </row>
    <row r="5788" spans="1:7">
      <c r="A5788" s="2910"/>
      <c r="B5788" s="2911"/>
      <c r="C5788" s="2911" t="s">
        <v>3816</v>
      </c>
      <c r="D5788" s="2911"/>
      <c r="E5788" s="3017" t="e">
        <f t="shared" si="127"/>
        <v>#VALUE!</v>
      </c>
      <c r="F5788" s="2911">
        <v>3.44</v>
      </c>
      <c r="G5788" s="2913" t="s">
        <v>3817</v>
      </c>
    </row>
    <row r="5789" spans="1:7">
      <c r="A5789" s="2910"/>
      <c r="B5789" s="2911"/>
      <c r="C5789" s="2911" t="s">
        <v>1266</v>
      </c>
      <c r="D5789" s="2911"/>
      <c r="E5789" s="3017">
        <f t="shared" si="127"/>
        <v>0.14917127071823197</v>
      </c>
      <c r="F5789" s="2911">
        <v>4.62</v>
      </c>
      <c r="G5789" s="2913">
        <v>5.43</v>
      </c>
    </row>
    <row r="5790" spans="1:7">
      <c r="A5790" s="2910"/>
      <c r="B5790" s="2911"/>
      <c r="C5790" s="2911" t="s">
        <v>1174</v>
      </c>
      <c r="D5790" s="2911"/>
      <c r="E5790" s="3017">
        <f t="shared" si="127"/>
        <v>0.14971751412429385</v>
      </c>
      <c r="F5790" s="2911">
        <v>3.01</v>
      </c>
      <c r="G5790" s="2913">
        <v>3.54</v>
      </c>
    </row>
    <row r="5791" spans="1:7">
      <c r="A5791" s="2910"/>
      <c r="B5791" s="2911"/>
      <c r="C5791" s="2911" t="s">
        <v>1293</v>
      </c>
      <c r="D5791" s="2911"/>
      <c r="E5791" s="3017">
        <f t="shared" si="127"/>
        <v>0.15009041591320074</v>
      </c>
      <c r="F5791" s="2911">
        <v>14.1</v>
      </c>
      <c r="G5791" s="2913">
        <v>16.59</v>
      </c>
    </row>
    <row r="5792" spans="1:7">
      <c r="A5792" s="2910"/>
      <c r="B5792" s="2911"/>
      <c r="C5792" s="2911" t="s">
        <v>1294</v>
      </c>
      <c r="D5792" s="2911"/>
      <c r="E5792" s="3017">
        <f t="shared" si="127"/>
        <v>0.15003261578604049</v>
      </c>
      <c r="F5792" s="2911">
        <v>13.03</v>
      </c>
      <c r="G5792" s="2913">
        <v>15.33</v>
      </c>
    </row>
    <row r="5793" spans="1:7">
      <c r="A5793" s="2910"/>
      <c r="B5793" s="2911"/>
      <c r="C5793" s="2911" t="s">
        <v>1295</v>
      </c>
      <c r="D5793" s="2911"/>
      <c r="E5793" s="3017">
        <f t="shared" si="127"/>
        <v>0.14992826398852224</v>
      </c>
      <c r="F5793" s="2911">
        <v>11.85</v>
      </c>
      <c r="G5793" s="2913">
        <v>13.94</v>
      </c>
    </row>
    <row r="5794" spans="1:7">
      <c r="A5794" s="2910"/>
      <c r="B5794" s="2911"/>
      <c r="C5794" s="2911" t="s">
        <v>550</v>
      </c>
      <c r="D5794" s="2911"/>
      <c r="E5794" s="3017">
        <f t="shared" si="127"/>
        <v>0.1499682942295498</v>
      </c>
      <c r="F5794" s="2911">
        <v>26.81</v>
      </c>
      <c r="G5794" s="2913">
        <v>31.54</v>
      </c>
    </row>
    <row r="5795" spans="1:7">
      <c r="A5795" s="2910"/>
      <c r="B5795" s="2911"/>
      <c r="C5795" s="2911" t="s">
        <v>1259</v>
      </c>
      <c r="D5795" s="2911"/>
      <c r="E5795" s="3017">
        <f t="shared" si="127"/>
        <v>0.1499682942295498</v>
      </c>
      <c r="F5795" s="2911">
        <v>26.81</v>
      </c>
      <c r="G5795" s="2913">
        <v>31.54</v>
      </c>
    </row>
    <row r="5796" spans="1:7">
      <c r="A5796" s="2910"/>
      <c r="B5796" s="2911"/>
      <c r="C5796" s="2911" t="s">
        <v>549</v>
      </c>
      <c r="D5796" s="2911"/>
      <c r="E5796" s="3017">
        <f t="shared" si="127"/>
        <v>0.14998643883916457</v>
      </c>
      <c r="F5796" s="2911">
        <v>31.34</v>
      </c>
      <c r="G5796" s="2913">
        <v>36.869999999999997</v>
      </c>
    </row>
    <row r="5797" spans="1:7">
      <c r="A5797" s="2910"/>
      <c r="B5797" s="2911"/>
      <c r="C5797" s="2911" t="s">
        <v>1258</v>
      </c>
      <c r="D5797" s="2911"/>
      <c r="E5797" s="3017">
        <f t="shared" si="127"/>
        <v>0.14998643883916457</v>
      </c>
      <c r="F5797" s="2911">
        <v>31.34</v>
      </c>
      <c r="G5797" s="2913">
        <v>36.869999999999997</v>
      </c>
    </row>
    <row r="5798" spans="1:7">
      <c r="A5798" s="2910"/>
      <c r="B5798" s="2911"/>
      <c r="C5798" s="2911" t="s">
        <v>1271</v>
      </c>
      <c r="D5798" s="2911"/>
      <c r="E5798" s="3017">
        <f t="shared" si="127"/>
        <v>0.15003808073115013</v>
      </c>
      <c r="F5798" s="2911">
        <v>33.479999999999997</v>
      </c>
      <c r="G5798" s="2913">
        <v>39.39</v>
      </c>
    </row>
    <row r="5799" spans="1:7" ht="15.75" thickBot="1">
      <c r="A5799" s="2914"/>
      <c r="B5799" s="2915"/>
      <c r="C5799" s="2915" t="s">
        <v>1270</v>
      </c>
      <c r="D5799" s="2915"/>
      <c r="E5799" s="3018">
        <f t="shared" si="127"/>
        <v>0.15003808073115013</v>
      </c>
      <c r="F5799" s="2915">
        <v>33.479999999999997</v>
      </c>
      <c r="G5799" s="2917">
        <v>39.39</v>
      </c>
    </row>
    <row r="5800" spans="1:7" ht="15.75" thickBot="1"/>
    <row r="5801" spans="1:7">
      <c r="A5801" s="3572"/>
      <c r="B5801" s="3557"/>
      <c r="C5801" s="3557"/>
      <c r="D5801" s="3557"/>
      <c r="E5801" s="3557"/>
      <c r="F5801" s="3559"/>
      <c r="G5801" s="3559"/>
    </row>
    <row r="5802" spans="1:7" ht="15.75" thickBot="1">
      <c r="A5802" s="3905"/>
      <c r="B5802" s="3906"/>
      <c r="C5802" s="3906"/>
      <c r="D5802" s="3906"/>
      <c r="E5802" s="3906"/>
      <c r="F5802" s="3913"/>
      <c r="G5802" s="3913"/>
    </row>
    <row r="5803" spans="1:7">
      <c r="A5803" s="2668" t="s">
        <v>3818</v>
      </c>
      <c r="B5803" s="1690" t="s">
        <v>3229</v>
      </c>
      <c r="C5803" s="3184" t="s">
        <v>1293</v>
      </c>
      <c r="D5803" s="2766"/>
      <c r="E5803" s="3067">
        <f>(G5803-F5803)/G5803</f>
        <v>0.12028150991682666</v>
      </c>
      <c r="F5803" s="3156">
        <v>13.75</v>
      </c>
      <c r="G5803" s="3157">
        <v>15.63</v>
      </c>
    </row>
    <row r="5804" spans="1:7">
      <c r="A5804" s="2910"/>
      <c r="B5804" s="2911"/>
      <c r="C5804" s="2905" t="s">
        <v>1294</v>
      </c>
      <c r="D5804" s="2911"/>
      <c r="E5804" s="3016">
        <f t="shared" ref="E5804:E5821" si="128">(G5804-F5804)/G5804</f>
        <v>0.11972318339100338</v>
      </c>
      <c r="F5804" s="3010">
        <v>12.72</v>
      </c>
      <c r="G5804" s="2957">
        <v>14.45</v>
      </c>
    </row>
    <row r="5805" spans="1:7">
      <c r="A5805" s="2910"/>
      <c r="B5805" s="2911"/>
      <c r="C5805" s="2905" t="s">
        <v>1295</v>
      </c>
      <c r="D5805" s="2911"/>
      <c r="E5805" s="3016">
        <f t="shared" si="128"/>
        <v>0.12005965697240861</v>
      </c>
      <c r="F5805" s="3010">
        <v>11.8</v>
      </c>
      <c r="G5805" s="2957">
        <v>13.41</v>
      </c>
    </row>
    <row r="5806" spans="1:7">
      <c r="A5806" s="2910"/>
      <c r="B5806" s="2911"/>
      <c r="C5806" s="2905" t="s">
        <v>1175</v>
      </c>
      <c r="D5806" s="2911"/>
      <c r="E5806" s="3016">
        <f t="shared" si="128"/>
        <v>0.1202185792349727</v>
      </c>
      <c r="F5806" s="3010">
        <v>4.83</v>
      </c>
      <c r="G5806" s="2957">
        <v>5.49</v>
      </c>
    </row>
    <row r="5807" spans="1:7">
      <c r="A5807" s="2910"/>
      <c r="B5807" s="2911"/>
      <c r="C5807" s="2905" t="s">
        <v>1266</v>
      </c>
      <c r="D5807" s="2911"/>
      <c r="E5807" s="3016">
        <f t="shared" si="128"/>
        <v>0.12045889101338446</v>
      </c>
      <c r="F5807" s="3010">
        <v>4.5999999999999996</v>
      </c>
      <c r="G5807" s="2957">
        <v>5.23</v>
      </c>
    </row>
    <row r="5808" spans="1:7">
      <c r="A5808" s="2910"/>
      <c r="B5808" s="2911"/>
      <c r="C5808" s="2905" t="s">
        <v>1174</v>
      </c>
      <c r="D5808" s="2911"/>
      <c r="E5808" s="3016">
        <f t="shared" si="128"/>
        <v>0.12058823529411757</v>
      </c>
      <c r="F5808" s="3010">
        <v>2.99</v>
      </c>
      <c r="G5808" s="2957">
        <v>3.4</v>
      </c>
    </row>
    <row r="5809" spans="1:7">
      <c r="A5809" s="2910"/>
      <c r="B5809" s="2911"/>
      <c r="C5809" s="2905" t="s">
        <v>1272</v>
      </c>
      <c r="D5809" s="2911"/>
      <c r="E5809" s="3016">
        <f t="shared" si="128"/>
        <v>0.11881188118811881</v>
      </c>
      <c r="F5809" s="3010">
        <v>3.56</v>
      </c>
      <c r="G5809" s="2957">
        <v>4.04</v>
      </c>
    </row>
    <row r="5810" spans="1:7">
      <c r="A5810" s="2910"/>
      <c r="B5810" s="2911"/>
      <c r="C5810" s="2905" t="s">
        <v>1260</v>
      </c>
      <c r="D5810" s="2911"/>
      <c r="E5810" s="3016">
        <f t="shared" si="128"/>
        <v>0.11881188118811881</v>
      </c>
      <c r="F5810" s="3010">
        <v>3.56</v>
      </c>
      <c r="G5810" s="2957">
        <v>4.04</v>
      </c>
    </row>
    <row r="5811" spans="1:7">
      <c r="A5811" s="2910"/>
      <c r="B5811" s="2911"/>
      <c r="C5811" s="2905" t="s">
        <v>1263</v>
      </c>
      <c r="D5811" s="2911"/>
      <c r="E5811" s="3017">
        <f t="shared" si="128"/>
        <v>0.12040133779264224</v>
      </c>
      <c r="F5811" s="3010">
        <v>2.63</v>
      </c>
      <c r="G5811" s="2957">
        <v>2.99</v>
      </c>
    </row>
    <row r="5812" spans="1:7">
      <c r="A5812" s="2910"/>
      <c r="B5812" s="2911"/>
      <c r="C5812" s="2905" t="s">
        <v>3021</v>
      </c>
      <c r="D5812" s="2911"/>
      <c r="E5812" s="3017">
        <f t="shared" si="128"/>
        <v>0.12053571428571438</v>
      </c>
      <c r="F5812" s="3010">
        <v>1.97</v>
      </c>
      <c r="G5812" s="2957">
        <v>2.2400000000000002</v>
      </c>
    </row>
    <row r="5813" spans="1:7">
      <c r="A5813" s="2910"/>
      <c r="B5813" s="2911"/>
      <c r="C5813" s="2905" t="s">
        <v>2425</v>
      </c>
      <c r="D5813" s="2911"/>
      <c r="E5813" s="3017">
        <f t="shared" si="128"/>
        <v>0.10091743119266064</v>
      </c>
      <c r="F5813" s="3010">
        <v>1.96</v>
      </c>
      <c r="G5813" s="2957">
        <v>2.1800000000000002</v>
      </c>
    </row>
    <row r="5814" spans="1:7">
      <c r="A5814" s="2910"/>
      <c r="B5814" s="2911"/>
      <c r="C5814" s="2905" t="s">
        <v>2426</v>
      </c>
      <c r="D5814" s="2911"/>
      <c r="E5814" s="3017">
        <f t="shared" si="128"/>
        <v>0.10091743119266064</v>
      </c>
      <c r="F5814" s="3010">
        <v>1.96</v>
      </c>
      <c r="G5814" s="2958">
        <v>2.1800000000000002</v>
      </c>
    </row>
    <row r="5815" spans="1:7">
      <c r="A5815" s="2910"/>
      <c r="B5815" s="2911"/>
      <c r="C5815" s="2905" t="s">
        <v>2801</v>
      </c>
      <c r="D5815" s="2911"/>
      <c r="E5815" s="3017">
        <f t="shared" si="128"/>
        <v>9.9476439790575896E-2</v>
      </c>
      <c r="F5815" s="3010">
        <v>1.72</v>
      </c>
      <c r="G5815" s="2958">
        <v>1.91</v>
      </c>
    </row>
    <row r="5816" spans="1:7">
      <c r="A5816" s="2910"/>
      <c r="B5816" s="2911"/>
      <c r="C5816" s="2905" t="s">
        <v>2802</v>
      </c>
      <c r="D5816" s="2911"/>
      <c r="E5816" s="3017">
        <f t="shared" si="128"/>
        <v>9.9476439790575896E-2</v>
      </c>
      <c r="F5816" s="3010">
        <v>1.72</v>
      </c>
      <c r="G5816" s="2958">
        <v>1.91</v>
      </c>
    </row>
    <row r="5817" spans="1:7">
      <c r="A5817" s="2910"/>
      <c r="B5817" s="2911"/>
      <c r="C5817" s="2905" t="s">
        <v>465</v>
      </c>
      <c r="D5817" s="2911"/>
      <c r="E5817" s="3017">
        <f t="shared" si="128"/>
        <v>0.1524390243902439</v>
      </c>
      <c r="F5817" s="3010">
        <v>1.39</v>
      </c>
      <c r="G5817" s="2958">
        <v>1.64</v>
      </c>
    </row>
    <row r="5818" spans="1:7">
      <c r="A5818" s="2910"/>
      <c r="B5818" s="2911"/>
      <c r="C5818" s="2905" t="s">
        <v>554</v>
      </c>
      <c r="D5818" s="2911"/>
      <c r="E5818" s="3017">
        <f t="shared" si="128"/>
        <v>0.14728682170542631</v>
      </c>
      <c r="F5818" s="3010">
        <v>1.1000000000000001</v>
      </c>
      <c r="G5818" s="2958">
        <v>1.29</v>
      </c>
    </row>
    <row r="5819" spans="1:7">
      <c r="A5819" s="2910"/>
      <c r="B5819" s="2911"/>
      <c r="C5819" s="2905" t="s">
        <v>1612</v>
      </c>
      <c r="D5819" s="2911"/>
      <c r="E5819" s="3017">
        <f t="shared" si="128"/>
        <v>0.15384615384615385</v>
      </c>
      <c r="F5819" s="3010">
        <v>0.77</v>
      </c>
      <c r="G5819" s="2958">
        <v>0.91</v>
      </c>
    </row>
    <row r="5820" spans="1:7">
      <c r="A5820" s="2910"/>
      <c r="B5820" s="2911"/>
      <c r="C5820" s="2905" t="s">
        <v>3116</v>
      </c>
      <c r="D5820" s="2911"/>
      <c r="E5820" s="3017">
        <f t="shared" si="128"/>
        <v>0.14814814814814817</v>
      </c>
      <c r="F5820" s="3010">
        <v>0.46</v>
      </c>
      <c r="G5820" s="2958">
        <v>0.54</v>
      </c>
    </row>
    <row r="5821" spans="1:7" ht="15.75" thickBot="1">
      <c r="A5821" s="2914"/>
      <c r="B5821" s="2915"/>
      <c r="C5821" s="2938" t="s">
        <v>1120</v>
      </c>
      <c r="D5821" s="2915"/>
      <c r="E5821" s="3018">
        <f t="shared" si="128"/>
        <v>0.14814814814814817</v>
      </c>
      <c r="F5821" s="3011">
        <v>0.46</v>
      </c>
      <c r="G5821" s="2959">
        <v>0.54</v>
      </c>
    </row>
    <row r="5822" spans="1:7" ht="15.75" thickBot="1"/>
    <row r="5823" spans="1:7">
      <c r="A5823" s="3593"/>
      <c r="B5823" s="3601"/>
      <c r="C5823" s="3601"/>
      <c r="D5823" s="3601"/>
      <c r="E5823" s="3601"/>
      <c r="F5823" s="3601"/>
      <c r="G5823" s="3559"/>
    </row>
    <row r="5824" spans="1:7" ht="15.75" thickBot="1">
      <c r="A5824" s="3912"/>
      <c r="B5824" s="3907"/>
      <c r="C5824" s="3907"/>
      <c r="D5824" s="3907"/>
      <c r="E5824" s="3907"/>
      <c r="F5824" s="3907"/>
      <c r="G5824" s="3913"/>
    </row>
    <row r="5825" spans="1:7">
      <c r="A5825" s="2870" t="s">
        <v>3822</v>
      </c>
      <c r="B5825" s="2871" t="s">
        <v>114</v>
      </c>
      <c r="C5825" s="2181" t="s">
        <v>1975</v>
      </c>
      <c r="D5825" s="2872"/>
      <c r="E5825" s="2182">
        <f>(G5825-F5825)/G5825</f>
        <v>0.24867724867724866</v>
      </c>
      <c r="F5825" s="2468">
        <v>1.42</v>
      </c>
      <c r="G5825" s="3167">
        <v>1.89</v>
      </c>
    </row>
    <row r="5826" spans="1:7" ht="15.75" thickBot="1">
      <c r="A5826" s="3031"/>
      <c r="B5826" s="3032"/>
      <c r="C5826" s="3033" t="s">
        <v>2462</v>
      </c>
      <c r="D5826" s="3034"/>
      <c r="E5826" s="3035">
        <f t="shared" ref="E5826" si="129">(G5826-F5826)/G5826</f>
        <v>0.27272727272727271</v>
      </c>
      <c r="F5826" s="3069">
        <v>1.2</v>
      </c>
      <c r="G5826" s="3128">
        <v>1.65</v>
      </c>
    </row>
    <row r="5827" spans="1:7" ht="15.75" thickBot="1"/>
    <row r="5828" spans="1:7">
      <c r="A5828" s="3572"/>
      <c r="B5828" s="3557"/>
      <c r="C5828" s="3557"/>
      <c r="D5828" s="3557"/>
      <c r="E5828" s="3557"/>
      <c r="F5828" s="3559"/>
      <c r="G5828" s="3559"/>
    </row>
    <row r="5829" spans="1:7" ht="15.75" thickBot="1">
      <c r="A5829" s="3905"/>
      <c r="B5829" s="3906"/>
      <c r="C5829" s="3906"/>
      <c r="D5829" s="3906"/>
      <c r="E5829" s="3906"/>
      <c r="F5829" s="3913"/>
      <c r="G5829" s="3913"/>
    </row>
    <row r="5830" spans="1:7">
      <c r="A5830" s="2668" t="s">
        <v>3825</v>
      </c>
      <c r="B5830" s="1690" t="s">
        <v>3229</v>
      </c>
      <c r="C5830" s="3184" t="s">
        <v>1644</v>
      </c>
      <c r="D5830" s="2766"/>
      <c r="E5830" s="3067">
        <f>(G5830-F5830)/G5830</f>
        <v>0.24838709677419354</v>
      </c>
      <c r="F5830" s="3156">
        <v>2.33</v>
      </c>
      <c r="G5830" s="3157">
        <v>3.1</v>
      </c>
    </row>
    <row r="5831" spans="1:7">
      <c r="A5831" s="2910"/>
      <c r="B5831" s="2911"/>
      <c r="C5831" s="2905" t="s">
        <v>3409</v>
      </c>
      <c r="D5831" s="2911"/>
      <c r="E5831" s="3016">
        <f t="shared" ref="E5831:E5839" si="130">(G5831-F5831)/G5831</f>
        <v>0.24932975871313678</v>
      </c>
      <c r="F5831" s="3010">
        <v>2.8</v>
      </c>
      <c r="G5831" s="2957">
        <v>3.73</v>
      </c>
    </row>
    <row r="5832" spans="1:7">
      <c r="A5832" s="2910"/>
      <c r="B5832" s="2911"/>
      <c r="C5832" s="2905" t="s">
        <v>2273</v>
      </c>
      <c r="D5832" s="2911"/>
      <c r="E5832" s="3016">
        <f t="shared" si="130"/>
        <v>0.20018365472910923</v>
      </c>
      <c r="F5832" s="3010">
        <v>17.420000000000002</v>
      </c>
      <c r="G5832" s="2957">
        <v>21.78</v>
      </c>
    </row>
    <row r="5833" spans="1:7">
      <c r="A5833" s="2910"/>
      <c r="B5833" s="2911"/>
      <c r="C5833" s="2905" t="s">
        <v>71</v>
      </c>
      <c r="D5833" s="2911"/>
      <c r="E5833" s="3016">
        <f t="shared" si="130"/>
        <v>0.20018365472910923</v>
      </c>
      <c r="F5833" s="3010">
        <v>17.420000000000002</v>
      </c>
      <c r="G5833" s="2957">
        <v>21.78</v>
      </c>
    </row>
    <row r="5834" spans="1:7">
      <c r="A5834" s="2910"/>
      <c r="B5834" s="2911"/>
      <c r="C5834" s="2905" t="s">
        <v>2880</v>
      </c>
      <c r="D5834" s="2911"/>
      <c r="E5834" s="3016">
        <f t="shared" si="130"/>
        <v>0.20018365472910923</v>
      </c>
      <c r="F5834" s="3010">
        <v>17.420000000000002</v>
      </c>
      <c r="G5834" s="2957">
        <v>21.78</v>
      </c>
    </row>
    <row r="5835" spans="1:7">
      <c r="A5835" s="2910"/>
      <c r="B5835" s="2911"/>
      <c r="C5835" s="2905" t="s">
        <v>2881</v>
      </c>
      <c r="D5835" s="2911"/>
      <c r="E5835" s="3016">
        <f t="shared" si="130"/>
        <v>0.20018365472910923</v>
      </c>
      <c r="F5835" s="3010">
        <v>17.420000000000002</v>
      </c>
      <c r="G5835" s="2957">
        <v>21.78</v>
      </c>
    </row>
    <row r="5836" spans="1:7">
      <c r="A5836" s="2910"/>
      <c r="B5836" s="2911"/>
      <c r="C5836" s="2905" t="s">
        <v>1883</v>
      </c>
      <c r="D5836" s="2911"/>
      <c r="E5836" s="3016">
        <f t="shared" si="130"/>
        <v>0.20018365472910923</v>
      </c>
      <c r="F5836" s="3010">
        <v>17.420000000000002</v>
      </c>
      <c r="G5836" s="2957">
        <v>21.78</v>
      </c>
    </row>
    <row r="5837" spans="1:7">
      <c r="A5837" s="2910"/>
      <c r="B5837" s="2911"/>
      <c r="C5837" s="2905" t="s">
        <v>2276</v>
      </c>
      <c r="D5837" s="2911"/>
      <c r="E5837" s="3016">
        <f t="shared" si="130"/>
        <v>0.20018365472910923</v>
      </c>
      <c r="F5837" s="3010">
        <v>17.420000000000002</v>
      </c>
      <c r="G5837" s="2957">
        <v>21.78</v>
      </c>
    </row>
    <row r="5838" spans="1:7">
      <c r="A5838" s="2910"/>
      <c r="B5838" s="2911"/>
      <c r="C5838" s="2905" t="s">
        <v>2566</v>
      </c>
      <c r="D5838" s="2911"/>
      <c r="E5838" s="3017">
        <f t="shared" si="130"/>
        <v>0.20018365472910923</v>
      </c>
      <c r="F5838" s="3010">
        <v>17.420000000000002</v>
      </c>
      <c r="G5838" s="2957">
        <v>21.78</v>
      </c>
    </row>
    <row r="5839" spans="1:7" ht="15.75" thickBot="1">
      <c r="A5839" s="2914"/>
      <c r="B5839" s="2915"/>
      <c r="C5839" s="2915" t="s">
        <v>72</v>
      </c>
      <c r="D5839" s="2915"/>
      <c r="E5839" s="3018">
        <f t="shared" si="130"/>
        <v>0.20018365472910923</v>
      </c>
      <c r="F5839" s="2915">
        <v>17.420000000000002</v>
      </c>
      <c r="G5839" s="3144">
        <v>21.78</v>
      </c>
    </row>
    <row r="5840" spans="1:7" ht="15.75" thickBot="1"/>
    <row r="5841" spans="1:7">
      <c r="A5841" s="3572"/>
      <c r="B5841" s="3557"/>
      <c r="C5841" s="3557"/>
      <c r="D5841" s="3557"/>
      <c r="E5841" s="3557"/>
      <c r="F5841" s="3559"/>
      <c r="G5841" s="3559"/>
    </row>
    <row r="5842" spans="1:7" ht="15.75" thickBot="1">
      <c r="A5842" s="3905"/>
      <c r="B5842" s="3906"/>
      <c r="C5842" s="3906"/>
      <c r="D5842" s="3906"/>
      <c r="E5842" s="3906"/>
      <c r="F5842" s="3913"/>
      <c r="G5842" s="3913"/>
    </row>
    <row r="5843" spans="1:7">
      <c r="A5843" s="2668" t="s">
        <v>3841</v>
      </c>
      <c r="B5843" s="1690" t="s">
        <v>3229</v>
      </c>
      <c r="C5843" s="3184" t="s">
        <v>1772</v>
      </c>
      <c r="D5843" s="2766"/>
      <c r="E5843" s="3067">
        <f>(G5843-F5843)/G5843</f>
        <v>0.30208333333333326</v>
      </c>
      <c r="F5843" s="3156">
        <v>1.34</v>
      </c>
      <c r="G5843" s="3157">
        <v>1.92</v>
      </c>
    </row>
    <row r="5844" spans="1:7">
      <c r="A5844" s="2910"/>
      <c r="B5844" s="2911"/>
      <c r="C5844" s="2905" t="s">
        <v>623</v>
      </c>
      <c r="D5844" s="2911"/>
      <c r="E5844" s="3016">
        <f t="shared" ref="E5844:E5846" si="131">(G5844-F5844)/G5844</f>
        <v>0.30208333333333326</v>
      </c>
      <c r="F5844" s="3010">
        <v>1.34</v>
      </c>
      <c r="G5844" s="2957">
        <v>1.92</v>
      </c>
    </row>
    <row r="5845" spans="1:7">
      <c r="A5845" s="2910"/>
      <c r="B5845" s="2911"/>
      <c r="C5845" s="2905" t="s">
        <v>1120</v>
      </c>
      <c r="D5845" s="2911"/>
      <c r="E5845" s="3016">
        <f t="shared" si="131"/>
        <v>0.20370370370370378</v>
      </c>
      <c r="F5845" s="3010">
        <v>0.43</v>
      </c>
      <c r="G5845" s="2957">
        <v>0.54</v>
      </c>
    </row>
    <row r="5846" spans="1:7" ht="15.75" thickBot="1">
      <c r="A5846" s="2914"/>
      <c r="B5846" s="2915"/>
      <c r="C5846" s="2938" t="s">
        <v>554</v>
      </c>
      <c r="D5846" s="2915"/>
      <c r="E5846" s="3050">
        <f t="shared" si="131"/>
        <v>0.20155038759689922</v>
      </c>
      <c r="F5846" s="3011">
        <v>1.03</v>
      </c>
      <c r="G5846" s="3144">
        <v>1.29</v>
      </c>
    </row>
    <row r="5847" spans="1:7" ht="15.75" thickBot="1"/>
    <row r="5848" spans="1:7">
      <c r="A5848" s="3572"/>
      <c r="B5848" s="3557"/>
      <c r="C5848" s="3557"/>
      <c r="D5848" s="3557"/>
      <c r="E5848" s="3557"/>
      <c r="F5848" s="3557"/>
      <c r="G5848" s="3559"/>
    </row>
    <row r="5849" spans="1:7" ht="15.75" thickBot="1">
      <c r="A5849" s="3905"/>
      <c r="B5849" s="3906"/>
      <c r="C5849" s="3906"/>
      <c r="D5849" s="3906"/>
      <c r="E5849" s="3906"/>
      <c r="F5849" s="3906"/>
      <c r="G5849" s="3913"/>
    </row>
    <row r="5850" spans="1:7">
      <c r="A5850" s="2668" t="s">
        <v>3849</v>
      </c>
      <c r="B5850" s="1690" t="s">
        <v>106</v>
      </c>
      <c r="C5850" s="2765" t="s">
        <v>686</v>
      </c>
      <c r="D5850" s="2766"/>
      <c r="E5850" s="3067">
        <f>(G5850-F5850)/G5850</f>
        <v>0.35537190082644626</v>
      </c>
      <c r="F5850" s="3156">
        <v>1.56</v>
      </c>
      <c r="G5850" s="3157">
        <v>2.42</v>
      </c>
    </row>
    <row r="5851" spans="1:7">
      <c r="A5851" s="2910"/>
      <c r="B5851" s="2911"/>
      <c r="C5851" s="2911" t="s">
        <v>623</v>
      </c>
      <c r="D5851" s="2911"/>
      <c r="E5851" s="3016">
        <f>(G5851-F5851)/G5851</f>
        <v>0.36842105263157887</v>
      </c>
      <c r="F5851" s="3010">
        <v>1.32</v>
      </c>
      <c r="G5851" s="2957">
        <v>2.09</v>
      </c>
    </row>
    <row r="5852" spans="1:7">
      <c r="A5852" s="2910"/>
      <c r="B5852" s="2911"/>
      <c r="C5852" s="2911" t="s">
        <v>3850</v>
      </c>
      <c r="D5852" s="2911"/>
      <c r="E5852" s="3016" t="e">
        <f t="shared" ref="E5852:E5853" si="132">(G5852-F5852)/G5852</f>
        <v>#VALUE!</v>
      </c>
      <c r="F5852" s="2911">
        <v>3.03</v>
      </c>
      <c r="G5852" s="2958" t="s">
        <v>3817</v>
      </c>
    </row>
    <row r="5853" spans="1:7" ht="15.75" thickBot="1">
      <c r="A5853" s="2914"/>
      <c r="B5853" s="2915"/>
      <c r="C5853" s="2915" t="s">
        <v>3851</v>
      </c>
      <c r="D5853" s="2915"/>
      <c r="E5853" s="3050" t="e">
        <f t="shared" si="132"/>
        <v>#VALUE!</v>
      </c>
      <c r="F5853" s="2915">
        <v>3.03</v>
      </c>
      <c r="G5853" s="2959" t="s">
        <v>3817</v>
      </c>
    </row>
    <row r="5854" spans="1:7" ht="15.75" thickBot="1"/>
    <row r="5855" spans="1:7">
      <c r="A5855" s="3572"/>
      <c r="B5855" s="3557"/>
      <c r="C5855" s="3557"/>
      <c r="D5855" s="3557"/>
      <c r="E5855" s="3557"/>
      <c r="F5855" s="3557"/>
      <c r="G5855" s="3559"/>
    </row>
    <row r="5856" spans="1:7" ht="15.75" thickBot="1">
      <c r="A5856" s="3905"/>
      <c r="B5856" s="3906"/>
      <c r="C5856" s="3906"/>
      <c r="D5856" s="3906"/>
      <c r="E5856" s="3906"/>
      <c r="F5856" s="3906"/>
      <c r="G5856" s="3910"/>
    </row>
    <row r="5857" spans="1:7" ht="15.75" thickBot="1">
      <c r="A5857" s="3173" t="s">
        <v>3854</v>
      </c>
      <c r="B5857" s="3174" t="s">
        <v>106</v>
      </c>
      <c r="C5857" s="3175" t="s">
        <v>465</v>
      </c>
      <c r="D5857" s="3176"/>
      <c r="E5857" s="3177">
        <f>(G5857-F5857)/G5857</f>
        <v>0.1518324607329842</v>
      </c>
      <c r="F5857" s="3178">
        <v>1.62</v>
      </c>
      <c r="G5857" s="3179">
        <v>1.91</v>
      </c>
    </row>
    <row r="5858" spans="1:7" ht="15.75" thickBot="1"/>
    <row r="5859" spans="1:7">
      <c r="A5859" s="3593"/>
      <c r="B5859" s="3601"/>
      <c r="C5859" s="3601"/>
      <c r="D5859" s="3601"/>
      <c r="E5859" s="3601"/>
      <c r="F5859" s="3601"/>
      <c r="G5859" s="3559"/>
    </row>
    <row r="5860" spans="1:7" ht="15.75" thickBot="1">
      <c r="A5860" s="3918"/>
      <c r="B5860" s="3919"/>
      <c r="C5860" s="3919"/>
      <c r="D5860" s="3919"/>
      <c r="E5860" s="3919"/>
      <c r="F5860" s="3919"/>
      <c r="G5860" s="3915"/>
    </row>
    <row r="5861" spans="1:7" ht="15.75" thickBot="1">
      <c r="A5861" s="3247" t="s">
        <v>3856</v>
      </c>
      <c r="B5861" s="3248" t="s">
        <v>114</v>
      </c>
      <c r="C5861" s="3249" t="s">
        <v>2443</v>
      </c>
      <c r="D5861" s="3250"/>
      <c r="E5861" s="3251">
        <f>(G5861-F5861)/G5861</f>
        <v>0.26041666666666669</v>
      </c>
      <c r="F5861" s="3252">
        <v>0.71</v>
      </c>
      <c r="G5861" s="3253">
        <v>0.96</v>
      </c>
    </row>
    <row r="5862" spans="1:7" ht="15.75" thickBot="1"/>
    <row r="5863" spans="1:7">
      <c r="A5863" s="3572"/>
      <c r="B5863" s="3557"/>
      <c r="C5863" s="3557"/>
      <c r="D5863" s="3557"/>
      <c r="E5863" s="3557"/>
      <c r="F5863" s="3559"/>
      <c r="G5863" s="3559"/>
    </row>
    <row r="5864" spans="1:7" ht="15.75" thickBot="1">
      <c r="A5864" s="3905"/>
      <c r="B5864" s="3906"/>
      <c r="C5864" s="3906"/>
      <c r="D5864" s="3906"/>
      <c r="E5864" s="3906"/>
      <c r="F5864" s="3913"/>
      <c r="G5864" s="3913"/>
    </row>
    <row r="5865" spans="1:7">
      <c r="A5865" s="2668" t="s">
        <v>3875</v>
      </c>
      <c r="B5865" s="1690" t="s">
        <v>3229</v>
      </c>
      <c r="C5865" s="3184" t="s">
        <v>1644</v>
      </c>
      <c r="D5865" s="2766"/>
      <c r="E5865" s="3067">
        <f>(G5865-F5865)/G5865</f>
        <v>0.24838709677419354</v>
      </c>
      <c r="F5865" s="3156">
        <v>2.33</v>
      </c>
      <c r="G5865" s="3157">
        <v>3.1</v>
      </c>
    </row>
    <row r="5866" spans="1:7">
      <c r="A5866" s="2910"/>
      <c r="B5866" s="2911"/>
      <c r="C5866" s="2905" t="s">
        <v>3409</v>
      </c>
      <c r="D5866" s="2911"/>
      <c r="E5866" s="3016">
        <f t="shared" ref="E5866:E5899" si="133">(G5866-F5866)/G5866</f>
        <v>0.24932975871313678</v>
      </c>
      <c r="F5866" s="3010">
        <v>2.8</v>
      </c>
      <c r="G5866" s="2957">
        <v>3.73</v>
      </c>
    </row>
    <row r="5867" spans="1:7">
      <c r="A5867" s="2910"/>
      <c r="B5867" s="2911"/>
      <c r="C5867" s="2905" t="s">
        <v>1498</v>
      </c>
      <c r="D5867" s="2911"/>
      <c r="E5867" s="3016">
        <f t="shared" si="133"/>
        <v>0.10098522167487678</v>
      </c>
      <c r="F5867" s="3010">
        <v>3.65</v>
      </c>
      <c r="G5867" s="2957">
        <v>4.0599999999999996</v>
      </c>
    </row>
    <row r="5868" spans="1:7">
      <c r="A5868" s="2910"/>
      <c r="B5868" s="2911"/>
      <c r="C5868" s="2905" t="s">
        <v>3876</v>
      </c>
      <c r="D5868" s="2911"/>
      <c r="E5868" s="3016">
        <f t="shared" si="133"/>
        <v>0.10098522167487678</v>
      </c>
      <c r="F5868" s="3010">
        <v>3.65</v>
      </c>
      <c r="G5868" s="2957">
        <v>4.0599999999999996</v>
      </c>
    </row>
    <row r="5869" spans="1:7">
      <c r="A5869" s="2910"/>
      <c r="B5869" s="2911"/>
      <c r="C5869" s="2911" t="s">
        <v>2274</v>
      </c>
      <c r="D5869" s="2911"/>
      <c r="E5869" s="3017">
        <f t="shared" si="133"/>
        <v>0.10098522167487678</v>
      </c>
      <c r="F5869" s="2911">
        <v>3.65</v>
      </c>
      <c r="G5869" s="2958">
        <v>4.0599999999999996</v>
      </c>
    </row>
    <row r="5870" spans="1:7">
      <c r="A5870" s="2910"/>
      <c r="B5870" s="2911"/>
      <c r="C5870" s="2911" t="s">
        <v>1497</v>
      </c>
      <c r="D5870" s="2911"/>
      <c r="E5870" s="3017">
        <f t="shared" si="133"/>
        <v>0.10098522167487678</v>
      </c>
      <c r="F5870" s="2911">
        <v>3.65</v>
      </c>
      <c r="G5870" s="2958">
        <v>4.0599999999999996</v>
      </c>
    </row>
    <row r="5871" spans="1:7">
      <c r="A5871" s="2910"/>
      <c r="B5871" s="2911"/>
      <c r="C5871" s="2911" t="s">
        <v>2272</v>
      </c>
      <c r="D5871" s="2911"/>
      <c r="E5871" s="3017">
        <f t="shared" si="133"/>
        <v>0.10098522167487678</v>
      </c>
      <c r="F5871" s="2911">
        <v>3.65</v>
      </c>
      <c r="G5871" s="2958">
        <v>4.0599999999999996</v>
      </c>
    </row>
    <row r="5872" spans="1:7">
      <c r="A5872" s="2910"/>
      <c r="B5872" s="2911"/>
      <c r="C5872" s="2911" t="s">
        <v>1496</v>
      </c>
      <c r="D5872" s="2911"/>
      <c r="E5872" s="3017">
        <f t="shared" si="133"/>
        <v>0.10098522167487678</v>
      </c>
      <c r="F5872" s="2911">
        <v>3.65</v>
      </c>
      <c r="G5872" s="2958">
        <v>4.0599999999999996</v>
      </c>
    </row>
    <row r="5873" spans="1:7">
      <c r="A5873" s="2910"/>
      <c r="B5873" s="2911"/>
      <c r="C5873" s="2911" t="s">
        <v>2275</v>
      </c>
      <c r="D5873" s="2911"/>
      <c r="E5873" s="3017">
        <f t="shared" si="133"/>
        <v>9.9557522123893655E-2</v>
      </c>
      <c r="F5873" s="2911">
        <v>8.14</v>
      </c>
      <c r="G5873" s="2958">
        <v>9.0399999999999991</v>
      </c>
    </row>
    <row r="5874" spans="1:7">
      <c r="A5874" s="2910"/>
      <c r="B5874" s="2911"/>
      <c r="C5874" s="2911" t="s">
        <v>239</v>
      </c>
      <c r="D5874" s="2911"/>
      <c r="E5874" s="3017">
        <f t="shared" si="133"/>
        <v>9.9557522123893655E-2</v>
      </c>
      <c r="F5874" s="2911">
        <v>8.14</v>
      </c>
      <c r="G5874" s="2958">
        <v>9.0399999999999991</v>
      </c>
    </row>
    <row r="5875" spans="1:7">
      <c r="A5875" s="2910"/>
      <c r="B5875" s="2911"/>
      <c r="C5875" s="2911" t="s">
        <v>2271</v>
      </c>
      <c r="D5875" s="2911"/>
      <c r="E5875" s="3017">
        <f t="shared" si="133"/>
        <v>9.9557522123893655E-2</v>
      </c>
      <c r="F5875" s="2911">
        <v>8.14</v>
      </c>
      <c r="G5875" s="2958">
        <v>9.0399999999999991</v>
      </c>
    </row>
    <row r="5876" spans="1:7">
      <c r="A5876" s="2910"/>
      <c r="B5876" s="2911"/>
      <c r="C5876" s="2911" t="s">
        <v>238</v>
      </c>
      <c r="D5876" s="2911"/>
      <c r="E5876" s="3017">
        <f t="shared" si="133"/>
        <v>9.9557522123893655E-2</v>
      </c>
      <c r="F5876" s="2911">
        <v>8.14</v>
      </c>
      <c r="G5876" s="2958">
        <v>9.0399999999999991</v>
      </c>
    </row>
    <row r="5877" spans="1:7">
      <c r="A5877" s="2910"/>
      <c r="B5877" s="2911"/>
      <c r="C5877" s="2911" t="s">
        <v>2281</v>
      </c>
      <c r="D5877" s="2911"/>
      <c r="E5877" s="3017">
        <f t="shared" si="133"/>
        <v>9.9557522123893655E-2</v>
      </c>
      <c r="F5877" s="2911">
        <v>8.14</v>
      </c>
      <c r="G5877" s="2958">
        <v>9.0399999999999991</v>
      </c>
    </row>
    <row r="5878" spans="1:7">
      <c r="A5878" s="2910"/>
      <c r="B5878" s="2911"/>
      <c r="C5878" s="2911" t="s">
        <v>2282</v>
      </c>
      <c r="D5878" s="2911"/>
      <c r="E5878" s="3017">
        <f t="shared" si="133"/>
        <v>9.9557522123893655E-2</v>
      </c>
      <c r="F5878" s="2911">
        <v>8.14</v>
      </c>
      <c r="G5878" s="2958">
        <v>9.0399999999999991</v>
      </c>
    </row>
    <row r="5879" spans="1:7">
      <c r="A5879" s="2910"/>
      <c r="B5879" s="2911"/>
      <c r="C5879" s="2911" t="s">
        <v>2052</v>
      </c>
      <c r="D5879" s="2911"/>
      <c r="E5879" s="3017">
        <f t="shared" si="133"/>
        <v>0.10009182736455462</v>
      </c>
      <c r="F5879" s="2911">
        <v>19.600000000000001</v>
      </c>
      <c r="G5879" s="2958">
        <v>21.78</v>
      </c>
    </row>
    <row r="5880" spans="1:7">
      <c r="A5880" s="2910"/>
      <c r="B5880" s="2911"/>
      <c r="C5880" s="2911" t="s">
        <v>1120</v>
      </c>
      <c r="D5880" s="2911"/>
      <c r="E5880" s="3017">
        <f t="shared" si="133"/>
        <v>0.20370370370370378</v>
      </c>
      <c r="F5880" s="2911">
        <v>0.43</v>
      </c>
      <c r="G5880" s="2958">
        <v>0.54</v>
      </c>
    </row>
    <row r="5881" spans="1:7">
      <c r="A5881" s="2910"/>
      <c r="B5881" s="2911"/>
      <c r="C5881" s="2911" t="s">
        <v>1950</v>
      </c>
      <c r="D5881" s="2911"/>
      <c r="E5881" s="3017">
        <f t="shared" si="133"/>
        <v>0.20212765957446804</v>
      </c>
      <c r="F5881" s="2911">
        <v>0.75</v>
      </c>
      <c r="G5881" s="2958">
        <v>0.94</v>
      </c>
    </row>
    <row r="5882" spans="1:7">
      <c r="A5882" s="2910"/>
      <c r="B5882" s="2911"/>
      <c r="C5882" s="2911" t="s">
        <v>3317</v>
      </c>
      <c r="D5882" s="2911"/>
      <c r="E5882" s="3017">
        <f t="shared" si="133"/>
        <v>0.20212765957446804</v>
      </c>
      <c r="F5882" s="2911">
        <v>0.75</v>
      </c>
      <c r="G5882" s="2958">
        <v>0.94</v>
      </c>
    </row>
    <row r="5883" spans="1:7">
      <c r="A5883" s="2910"/>
      <c r="B5883" s="2911"/>
      <c r="C5883" s="2911" t="s">
        <v>1949</v>
      </c>
      <c r="D5883" s="2911"/>
      <c r="E5883" s="3017">
        <f t="shared" si="133"/>
        <v>0.20212765957446804</v>
      </c>
      <c r="F5883" s="2911">
        <v>0.75</v>
      </c>
      <c r="G5883" s="2958">
        <v>0.94</v>
      </c>
    </row>
    <row r="5884" spans="1:7">
      <c r="A5884" s="2910"/>
      <c r="B5884" s="2911"/>
      <c r="C5884" s="2911" t="s">
        <v>3316</v>
      </c>
      <c r="D5884" s="2911"/>
      <c r="E5884" s="3017">
        <f t="shared" si="133"/>
        <v>0.20212765957446804</v>
      </c>
      <c r="F5884" s="2911">
        <v>0.75</v>
      </c>
      <c r="G5884" s="2958">
        <v>0.94</v>
      </c>
    </row>
    <row r="5885" spans="1:7">
      <c r="A5885" s="2910"/>
      <c r="B5885" s="2911"/>
      <c r="C5885" s="2911" t="s">
        <v>2080</v>
      </c>
      <c r="D5885" s="2911"/>
      <c r="E5885" s="3017">
        <f t="shared" si="133"/>
        <v>0.20212765957446804</v>
      </c>
      <c r="F5885" s="2911">
        <v>0.75</v>
      </c>
      <c r="G5885" s="2958">
        <v>0.94</v>
      </c>
    </row>
    <row r="5886" spans="1:7">
      <c r="A5886" s="2910"/>
      <c r="B5886" s="2911"/>
      <c r="C5886" s="2911" t="s">
        <v>3315</v>
      </c>
      <c r="D5886" s="2911"/>
      <c r="E5886" s="3017">
        <f t="shared" si="133"/>
        <v>0.20212765957446804</v>
      </c>
      <c r="F5886" s="2911">
        <v>0.75</v>
      </c>
      <c r="G5886" s="2958">
        <v>0.94</v>
      </c>
    </row>
    <row r="5887" spans="1:7">
      <c r="A5887" s="2910"/>
      <c r="B5887" s="2911"/>
      <c r="C5887" s="2911" t="s">
        <v>554</v>
      </c>
      <c r="D5887" s="2911"/>
      <c r="E5887" s="3017">
        <f t="shared" si="133"/>
        <v>0.20155038759689922</v>
      </c>
      <c r="F5887" s="2911">
        <v>1.03</v>
      </c>
      <c r="G5887" s="2958">
        <v>1.29</v>
      </c>
    </row>
    <row r="5888" spans="1:7">
      <c r="A5888" s="2910"/>
      <c r="B5888" s="2911"/>
      <c r="C5888" s="2911" t="s">
        <v>1563</v>
      </c>
      <c r="D5888" s="2911"/>
      <c r="E5888" s="3017">
        <f t="shared" si="133"/>
        <v>0.20149253731343283</v>
      </c>
      <c r="F5888" s="2911">
        <v>1.07</v>
      </c>
      <c r="G5888" s="2958">
        <v>1.34</v>
      </c>
    </row>
    <row r="5889" spans="1:7">
      <c r="A5889" s="2910"/>
      <c r="B5889" s="2911"/>
      <c r="C5889" s="2911" t="s">
        <v>1092</v>
      </c>
      <c r="D5889" s="2911"/>
      <c r="E5889" s="3017">
        <f t="shared" si="133"/>
        <v>0.1974522292993631</v>
      </c>
      <c r="F5889" s="2911">
        <v>1.26</v>
      </c>
      <c r="G5889" s="2958">
        <v>1.57</v>
      </c>
    </row>
    <row r="5890" spans="1:7">
      <c r="A5890" s="2910"/>
      <c r="B5890" s="2911"/>
      <c r="C5890" s="2911" t="s">
        <v>1091</v>
      </c>
      <c r="D5890" s="2911"/>
      <c r="E5890" s="3017">
        <f t="shared" si="133"/>
        <v>0.1974522292993631</v>
      </c>
      <c r="F5890" s="2911">
        <v>1.26</v>
      </c>
      <c r="G5890" s="2958">
        <v>1.57</v>
      </c>
    </row>
    <row r="5891" spans="1:7">
      <c r="A5891" s="2910"/>
      <c r="B5891" s="2911"/>
      <c r="C5891" s="2911" t="s">
        <v>1090</v>
      </c>
      <c r="D5891" s="2911"/>
      <c r="E5891" s="3017">
        <f t="shared" si="133"/>
        <v>0.1974522292993631</v>
      </c>
      <c r="F5891" s="2911">
        <v>1.26</v>
      </c>
      <c r="G5891" s="2958">
        <v>1.57</v>
      </c>
    </row>
    <row r="5892" spans="1:7">
      <c r="A5892" s="2910"/>
      <c r="B5892" s="2911"/>
      <c r="C5892" s="2911" t="s">
        <v>2983</v>
      </c>
      <c r="D5892" s="2911"/>
      <c r="E5892" s="3017">
        <f t="shared" si="133"/>
        <v>0.29473684210526307</v>
      </c>
      <c r="F5892" s="2911">
        <v>1.34</v>
      </c>
      <c r="G5892" s="2958">
        <v>1.9</v>
      </c>
    </row>
    <row r="5893" spans="1:7">
      <c r="A5893" s="2910"/>
      <c r="B5893" s="2911"/>
      <c r="C5893" s="2911" t="s">
        <v>3801</v>
      </c>
      <c r="D5893" s="2911"/>
      <c r="E5893" s="3017">
        <f t="shared" si="133"/>
        <v>0.29473684210526307</v>
      </c>
      <c r="F5893" s="2911">
        <v>1.34</v>
      </c>
      <c r="G5893" s="2958">
        <v>1.9</v>
      </c>
    </row>
    <row r="5894" spans="1:7">
      <c r="A5894" s="2910"/>
      <c r="B5894" s="2911"/>
      <c r="C5894" s="2911" t="s">
        <v>2984</v>
      </c>
      <c r="D5894" s="2911"/>
      <c r="E5894" s="3017">
        <f t="shared" si="133"/>
        <v>0.29473684210526307</v>
      </c>
      <c r="F5894" s="2911">
        <v>1.34</v>
      </c>
      <c r="G5894" s="2958">
        <v>1.9</v>
      </c>
    </row>
    <row r="5895" spans="1:7">
      <c r="A5895" s="2910"/>
      <c r="B5895" s="2911"/>
      <c r="C5895" s="2911" t="s">
        <v>3802</v>
      </c>
      <c r="D5895" s="2911"/>
      <c r="E5895" s="3017">
        <f t="shared" si="133"/>
        <v>0.29473684210526307</v>
      </c>
      <c r="F5895" s="2911">
        <v>1.34</v>
      </c>
      <c r="G5895" s="2958">
        <v>1.9</v>
      </c>
    </row>
    <row r="5896" spans="1:7">
      <c r="A5896" s="2910"/>
      <c r="B5896" s="2911"/>
      <c r="C5896" s="2911" t="s">
        <v>2940</v>
      </c>
      <c r="D5896" s="2911"/>
      <c r="E5896" s="3017">
        <f t="shared" si="133"/>
        <v>0.29473684210526307</v>
      </c>
      <c r="F5896" s="2911">
        <v>1.34</v>
      </c>
      <c r="G5896" s="2958">
        <v>1.9</v>
      </c>
    </row>
    <row r="5897" spans="1:7">
      <c r="A5897" s="2910"/>
      <c r="B5897" s="2911"/>
      <c r="C5897" s="2911" t="s">
        <v>3785</v>
      </c>
      <c r="D5897" s="2911"/>
      <c r="E5897" s="3017">
        <f t="shared" si="133"/>
        <v>0.29473684210526307</v>
      </c>
      <c r="F5897" s="2911">
        <v>1.34</v>
      </c>
      <c r="G5897" s="2958">
        <v>1.9</v>
      </c>
    </row>
    <row r="5898" spans="1:7">
      <c r="A5898" s="2910"/>
      <c r="B5898" s="2911"/>
      <c r="C5898" s="2911" t="s">
        <v>2941</v>
      </c>
      <c r="D5898" s="2911"/>
      <c r="E5898" s="3017">
        <f t="shared" si="133"/>
        <v>0.29473684210526307</v>
      </c>
      <c r="F5898" s="2911">
        <v>1.34</v>
      </c>
      <c r="G5898" s="2958">
        <v>1.9</v>
      </c>
    </row>
    <row r="5899" spans="1:7" ht="15.75" thickBot="1">
      <c r="A5899" s="2914"/>
      <c r="B5899" s="2915"/>
      <c r="C5899" s="2915" t="s">
        <v>3786</v>
      </c>
      <c r="D5899" s="2915"/>
      <c r="E5899" s="3018">
        <f t="shared" si="133"/>
        <v>0.29473684210526307</v>
      </c>
      <c r="F5899" s="2915">
        <v>1.34</v>
      </c>
      <c r="G5899" s="2959">
        <v>1.9</v>
      </c>
    </row>
    <row r="5900" spans="1:7" ht="15.75" thickBot="1"/>
    <row r="5901" spans="1:7">
      <c r="A5901" s="3593"/>
      <c r="B5901" s="3601"/>
      <c r="C5901" s="3601"/>
      <c r="D5901" s="3601"/>
      <c r="E5901" s="3601"/>
      <c r="F5901" s="3601"/>
      <c r="G5901" s="3559"/>
    </row>
    <row r="5902" spans="1:7" ht="15.75" thickBot="1">
      <c r="A5902" s="3912"/>
      <c r="B5902" s="3907"/>
      <c r="C5902" s="3907"/>
      <c r="D5902" s="3907"/>
      <c r="E5902" s="3907"/>
      <c r="F5902" s="3907"/>
      <c r="G5902" s="3910"/>
    </row>
    <row r="5903" spans="1:7">
      <c r="A5903" s="2870" t="s">
        <v>3883</v>
      </c>
      <c r="B5903" s="2871" t="s">
        <v>114</v>
      </c>
      <c r="C5903" s="2181" t="s">
        <v>3244</v>
      </c>
      <c r="D5903" s="2872"/>
      <c r="E5903" s="2182">
        <f>(G5903-F5903)/G5903</f>
        <v>0.15006305170239589</v>
      </c>
      <c r="F5903" s="2468">
        <v>6.74</v>
      </c>
      <c r="G5903" s="3167">
        <v>7.93</v>
      </c>
    </row>
    <row r="5904" spans="1:7">
      <c r="A5904" s="2910"/>
      <c r="B5904" s="2911"/>
      <c r="C5904" s="2911" t="s">
        <v>3245</v>
      </c>
      <c r="D5904" s="2911"/>
      <c r="E5904" s="3126">
        <f t="shared" ref="E5904:E5940" si="134">(G5904-F5904)/G5904</f>
        <v>0.15006305170239589</v>
      </c>
      <c r="F5904" s="2911">
        <v>6.74</v>
      </c>
      <c r="G5904" s="3127">
        <v>7.93</v>
      </c>
    </row>
    <row r="5905" spans="1:7">
      <c r="A5905" s="2910"/>
      <c r="B5905" s="2911"/>
      <c r="C5905" s="2911" t="s">
        <v>3246</v>
      </c>
      <c r="D5905" s="2911"/>
      <c r="E5905" s="3126">
        <f t="shared" si="134"/>
        <v>0.15006305170239589</v>
      </c>
      <c r="F5905" s="2911">
        <v>6.74</v>
      </c>
      <c r="G5905" s="3127">
        <v>7.93</v>
      </c>
    </row>
    <row r="5906" spans="1:7">
      <c r="A5906" s="2910"/>
      <c r="B5906" s="2911"/>
      <c r="C5906" s="2911" t="s">
        <v>3247</v>
      </c>
      <c r="D5906" s="2911"/>
      <c r="E5906" s="3126">
        <f t="shared" si="134"/>
        <v>0.15006305170239589</v>
      </c>
      <c r="F5906" s="2911">
        <v>6.74</v>
      </c>
      <c r="G5906" s="3127">
        <v>7.93</v>
      </c>
    </row>
    <row r="5907" spans="1:7">
      <c r="A5907" s="2910"/>
      <c r="B5907" s="2911"/>
      <c r="C5907" s="2911" t="s">
        <v>3248</v>
      </c>
      <c r="D5907" s="2911"/>
      <c r="E5907" s="3126">
        <f t="shared" si="134"/>
        <v>0.15006305170239589</v>
      </c>
      <c r="F5907" s="2911">
        <v>6.74</v>
      </c>
      <c r="G5907" s="3127">
        <v>7.93</v>
      </c>
    </row>
    <row r="5908" spans="1:7">
      <c r="A5908" s="2910"/>
      <c r="B5908" s="2911"/>
      <c r="C5908" s="2911" t="s">
        <v>3249</v>
      </c>
      <c r="D5908" s="2911"/>
      <c r="E5908" s="3126">
        <f t="shared" si="134"/>
        <v>0.15006305170239589</v>
      </c>
      <c r="F5908" s="2911">
        <v>6.74</v>
      </c>
      <c r="G5908" s="3127">
        <v>7.93</v>
      </c>
    </row>
    <row r="5909" spans="1:7">
      <c r="A5909" s="2910"/>
      <c r="B5909" s="2911"/>
      <c r="C5909" s="2911" t="s">
        <v>3250</v>
      </c>
      <c r="D5909" s="2911"/>
      <c r="E5909" s="3126">
        <f t="shared" si="134"/>
        <v>0.15006305170239589</v>
      </c>
      <c r="F5909" s="2911">
        <v>6.74</v>
      </c>
      <c r="G5909" s="3127">
        <v>7.93</v>
      </c>
    </row>
    <row r="5910" spans="1:7">
      <c r="A5910" s="2910"/>
      <c r="B5910" s="2911"/>
      <c r="C5910" s="2911" t="s">
        <v>3251</v>
      </c>
      <c r="D5910" s="2911"/>
      <c r="E5910" s="3126">
        <f t="shared" si="134"/>
        <v>0.15006305170239589</v>
      </c>
      <c r="F5910" s="2911">
        <v>6.74</v>
      </c>
      <c r="G5910" s="3127">
        <v>7.93</v>
      </c>
    </row>
    <row r="5911" spans="1:7">
      <c r="A5911" s="2910"/>
      <c r="B5911" s="2911"/>
      <c r="C5911" s="2911" t="s">
        <v>3252</v>
      </c>
      <c r="D5911" s="2911"/>
      <c r="E5911" s="3126">
        <f t="shared" si="134"/>
        <v>0.15006305170239589</v>
      </c>
      <c r="F5911" s="2911">
        <v>6.74</v>
      </c>
      <c r="G5911" s="3127">
        <v>7.93</v>
      </c>
    </row>
    <row r="5912" spans="1:7">
      <c r="A5912" s="2910"/>
      <c r="B5912" s="2911"/>
      <c r="C5912" s="2911" t="s">
        <v>3404</v>
      </c>
      <c r="D5912" s="2911"/>
      <c r="E5912" s="3126">
        <f t="shared" si="134"/>
        <v>0.15006305170239589</v>
      </c>
      <c r="F5912" s="2911">
        <v>6.74</v>
      </c>
      <c r="G5912" s="3127">
        <v>7.93</v>
      </c>
    </row>
    <row r="5913" spans="1:7">
      <c r="A5913" s="2910"/>
      <c r="B5913" s="2911"/>
      <c r="C5913" s="2911" t="s">
        <v>3405</v>
      </c>
      <c r="D5913" s="2911"/>
      <c r="E5913" s="3126">
        <f t="shared" si="134"/>
        <v>0.15006305170239589</v>
      </c>
      <c r="F5913" s="2911">
        <v>6.74</v>
      </c>
      <c r="G5913" s="3127">
        <v>7.93</v>
      </c>
    </row>
    <row r="5914" spans="1:7">
      <c r="A5914" s="2910"/>
      <c r="B5914" s="2911"/>
      <c r="C5914" s="2911" t="s">
        <v>3406</v>
      </c>
      <c r="D5914" s="2911"/>
      <c r="E5914" s="3126">
        <f t="shared" si="134"/>
        <v>0.15006305170239589</v>
      </c>
      <c r="F5914" s="2911">
        <v>6.74</v>
      </c>
      <c r="G5914" s="3127">
        <v>7.93</v>
      </c>
    </row>
    <row r="5915" spans="1:7">
      <c r="A5915" s="2910"/>
      <c r="B5915" s="2911"/>
      <c r="C5915" s="2911" t="s">
        <v>3253</v>
      </c>
      <c r="D5915" s="2911"/>
      <c r="E5915" s="3126">
        <f t="shared" si="134"/>
        <v>0.14989733059548263</v>
      </c>
      <c r="F5915" s="2911">
        <v>4.1399999999999997</v>
      </c>
      <c r="G5915" s="2922">
        <v>4.87</v>
      </c>
    </row>
    <row r="5916" spans="1:7">
      <c r="A5916" s="2910"/>
      <c r="B5916" s="2911"/>
      <c r="C5916" s="2911" t="s">
        <v>3254</v>
      </c>
      <c r="D5916" s="2911"/>
      <c r="E5916" s="3126">
        <f t="shared" si="134"/>
        <v>0.14989733059548263</v>
      </c>
      <c r="F5916" s="2911">
        <v>4.1399999999999997</v>
      </c>
      <c r="G5916" s="2922">
        <v>4.87</v>
      </c>
    </row>
    <row r="5917" spans="1:7">
      <c r="A5917" s="2910"/>
      <c r="B5917" s="2911"/>
      <c r="C5917" s="2911" t="s">
        <v>3236</v>
      </c>
      <c r="D5917" s="2911"/>
      <c r="E5917" s="3126">
        <f t="shared" si="134"/>
        <v>0.14989733059548263</v>
      </c>
      <c r="F5917" s="2911">
        <v>4.1399999999999997</v>
      </c>
      <c r="G5917" s="2922">
        <v>4.87</v>
      </c>
    </row>
    <row r="5918" spans="1:7">
      <c r="A5918" s="2910"/>
      <c r="B5918" s="2911"/>
      <c r="C5918" s="2911" t="s">
        <v>3237</v>
      </c>
      <c r="D5918" s="2911"/>
      <c r="E5918" s="3126">
        <f t="shared" si="134"/>
        <v>0.14989733059548263</v>
      </c>
      <c r="F5918" s="2911">
        <v>4.1399999999999997</v>
      </c>
      <c r="G5918" s="2922">
        <v>4.87</v>
      </c>
    </row>
    <row r="5919" spans="1:7">
      <c r="A5919" s="2910"/>
      <c r="B5919" s="2911"/>
      <c r="C5919" s="2911" t="s">
        <v>3255</v>
      </c>
      <c r="D5919" s="2911"/>
      <c r="E5919" s="3126">
        <f t="shared" si="134"/>
        <v>0.14989733059548263</v>
      </c>
      <c r="F5919" s="2911">
        <v>4.1399999999999997</v>
      </c>
      <c r="G5919" s="2922">
        <v>4.87</v>
      </c>
    </row>
    <row r="5920" spans="1:7">
      <c r="A5920" s="2910"/>
      <c r="B5920" s="2911"/>
      <c r="C5920" s="2911" t="s">
        <v>3256</v>
      </c>
      <c r="D5920" s="2911"/>
      <c r="E5920" s="3126">
        <f t="shared" si="134"/>
        <v>0.15076923076923082</v>
      </c>
      <c r="F5920" s="2911">
        <v>8.2799999999999994</v>
      </c>
      <c r="G5920" s="2922">
        <v>9.75</v>
      </c>
    </row>
    <row r="5921" spans="1:7">
      <c r="A5921" s="2910"/>
      <c r="B5921" s="2911"/>
      <c r="C5921" s="2911" t="s">
        <v>3257</v>
      </c>
      <c r="D5921" s="2911"/>
      <c r="E5921" s="3126">
        <f t="shared" si="134"/>
        <v>0.15076923076923082</v>
      </c>
      <c r="F5921" s="2911">
        <v>8.2799999999999994</v>
      </c>
      <c r="G5921" s="2922">
        <v>9.75</v>
      </c>
    </row>
    <row r="5922" spans="1:7">
      <c r="A5922" s="2910"/>
      <c r="B5922" s="2911"/>
      <c r="C5922" s="2911" t="s">
        <v>3258</v>
      </c>
      <c r="D5922" s="2911"/>
      <c r="E5922" s="3126">
        <f t="shared" si="134"/>
        <v>0.15076923076923082</v>
      </c>
      <c r="F5922" s="2911">
        <v>8.2799999999999994</v>
      </c>
      <c r="G5922" s="2922">
        <v>9.75</v>
      </c>
    </row>
    <row r="5923" spans="1:7">
      <c r="A5923" s="2910"/>
      <c r="B5923" s="2911"/>
      <c r="C5923" s="2911" t="s">
        <v>3259</v>
      </c>
      <c r="D5923" s="2911"/>
      <c r="E5923" s="3126">
        <f t="shared" si="134"/>
        <v>0.15076923076923082</v>
      </c>
      <c r="F5923" s="2911">
        <v>8.2799999999999994</v>
      </c>
      <c r="G5923" s="2922">
        <v>9.75</v>
      </c>
    </row>
    <row r="5924" spans="1:7">
      <c r="A5924" s="2910"/>
      <c r="B5924" s="2911"/>
      <c r="C5924" s="2911" t="s">
        <v>3260</v>
      </c>
      <c r="D5924" s="2911"/>
      <c r="E5924" s="3126">
        <f t="shared" si="134"/>
        <v>0.15076923076923082</v>
      </c>
      <c r="F5924" s="2911">
        <v>8.2799999999999994</v>
      </c>
      <c r="G5924" s="2922">
        <v>9.75</v>
      </c>
    </row>
    <row r="5925" spans="1:7">
      <c r="A5925" s="2910"/>
      <c r="B5925" s="2911"/>
      <c r="C5925" s="2911" t="s">
        <v>3877</v>
      </c>
      <c r="D5925" s="2911"/>
      <c r="E5925" s="3126">
        <f t="shared" si="134"/>
        <v>0.15065502183406113</v>
      </c>
      <c r="F5925" s="2911">
        <v>3.89</v>
      </c>
      <c r="G5925" s="2922">
        <v>4.58</v>
      </c>
    </row>
    <row r="5926" spans="1:7">
      <c r="A5926" s="2910"/>
      <c r="B5926" s="2911"/>
      <c r="C5926" s="2911" t="s">
        <v>3878</v>
      </c>
      <c r="D5926" s="2911"/>
      <c r="E5926" s="3126">
        <f t="shared" si="134"/>
        <v>0.15065502183406113</v>
      </c>
      <c r="F5926" s="2911">
        <v>3.89</v>
      </c>
      <c r="G5926" s="2922">
        <v>4.58</v>
      </c>
    </row>
    <row r="5927" spans="1:7">
      <c r="A5927" s="2910"/>
      <c r="B5927" s="2911"/>
      <c r="C5927" s="2911" t="s">
        <v>3879</v>
      </c>
      <c r="D5927" s="2911"/>
      <c r="E5927" s="3126">
        <f t="shared" si="134"/>
        <v>0.15065502183406113</v>
      </c>
      <c r="F5927" s="2911">
        <v>3.89</v>
      </c>
      <c r="G5927" s="2922">
        <v>4.58</v>
      </c>
    </row>
    <row r="5928" spans="1:7">
      <c r="A5928" s="2910"/>
      <c r="B5928" s="2911"/>
      <c r="C5928" s="2911" t="s">
        <v>3880</v>
      </c>
      <c r="D5928" s="2911"/>
      <c r="E5928" s="3126">
        <f t="shared" si="134"/>
        <v>0.15065502183406113</v>
      </c>
      <c r="F5928" s="2911">
        <v>3.89</v>
      </c>
      <c r="G5928" s="2922">
        <v>4.58</v>
      </c>
    </row>
    <row r="5929" spans="1:7">
      <c r="A5929" s="2910"/>
      <c r="B5929" s="2911"/>
      <c r="C5929" s="2911" t="s">
        <v>3881</v>
      </c>
      <c r="D5929" s="2911"/>
      <c r="E5929" s="3126">
        <f t="shared" si="134"/>
        <v>0.15065502183406113</v>
      </c>
      <c r="F5929" s="2911">
        <v>3.89</v>
      </c>
      <c r="G5929" s="2922">
        <v>4.58</v>
      </c>
    </row>
    <row r="5930" spans="1:7">
      <c r="A5930" s="2910"/>
      <c r="B5930" s="2911"/>
      <c r="C5930" s="2911" t="s">
        <v>3882</v>
      </c>
      <c r="D5930" s="2911"/>
      <c r="E5930" s="3126">
        <f t="shared" si="134"/>
        <v>0.15065502183406113</v>
      </c>
      <c r="F5930" s="2911">
        <v>3.89</v>
      </c>
      <c r="G5930" s="2922">
        <v>4.58</v>
      </c>
    </row>
    <row r="5931" spans="1:7">
      <c r="A5931" s="2910"/>
      <c r="B5931" s="2911"/>
      <c r="C5931" s="2911" t="s">
        <v>3804</v>
      </c>
      <c r="D5931" s="2911"/>
      <c r="E5931" s="3126">
        <f t="shared" si="134"/>
        <v>0.15057915057915047</v>
      </c>
      <c r="F5931" s="3010">
        <v>2.2000000000000002</v>
      </c>
      <c r="G5931" s="2922">
        <v>2.59</v>
      </c>
    </row>
    <row r="5932" spans="1:7">
      <c r="A5932" s="2910"/>
      <c r="B5932" s="2911"/>
      <c r="C5932" s="2911" t="s">
        <v>3805</v>
      </c>
      <c r="D5932" s="2911"/>
      <c r="E5932" s="3126">
        <f t="shared" si="134"/>
        <v>0.15057915057915047</v>
      </c>
      <c r="F5932" s="3010">
        <v>2.2000000000000002</v>
      </c>
      <c r="G5932" s="2922">
        <v>2.59</v>
      </c>
    </row>
    <row r="5933" spans="1:7">
      <c r="A5933" s="2910"/>
      <c r="B5933" s="2911"/>
      <c r="C5933" s="2911" t="s">
        <v>3627</v>
      </c>
      <c r="D5933" s="2911"/>
      <c r="E5933" s="3126">
        <f t="shared" si="134"/>
        <v>0.14999999999999994</v>
      </c>
      <c r="F5933" s="2911">
        <v>2.89</v>
      </c>
      <c r="G5933" s="3199">
        <v>3.4</v>
      </c>
    </row>
    <row r="5934" spans="1:7">
      <c r="A5934" s="2910"/>
      <c r="B5934" s="2911"/>
      <c r="C5934" s="2911" t="s">
        <v>3797</v>
      </c>
      <c r="D5934" s="2911"/>
      <c r="E5934" s="3126">
        <f t="shared" si="134"/>
        <v>0.14999999999999994</v>
      </c>
      <c r="F5934" s="2911">
        <v>2.89</v>
      </c>
      <c r="G5934" s="3199">
        <v>3.4</v>
      </c>
    </row>
    <row r="5935" spans="1:7">
      <c r="A5935" s="2910"/>
      <c r="B5935" s="2911"/>
      <c r="C5935" s="2911" t="s">
        <v>3628</v>
      </c>
      <c r="D5935" s="2911"/>
      <c r="E5935" s="3126">
        <f t="shared" si="134"/>
        <v>0.14999999999999994</v>
      </c>
      <c r="F5935" s="2911">
        <v>2.89</v>
      </c>
      <c r="G5935" s="3199">
        <v>3.4</v>
      </c>
    </row>
    <row r="5936" spans="1:7">
      <c r="A5936" s="2910"/>
      <c r="B5936" s="2911"/>
      <c r="C5936" s="2911" t="s">
        <v>3487</v>
      </c>
      <c r="D5936" s="2911"/>
      <c r="E5936" s="3126">
        <f t="shared" si="134"/>
        <v>0.14999999999999994</v>
      </c>
      <c r="F5936" s="2911">
        <v>2.89</v>
      </c>
      <c r="G5936" s="3199">
        <v>3.4</v>
      </c>
    </row>
    <row r="5937" spans="1:7">
      <c r="A5937" s="2910"/>
      <c r="B5937" s="2911"/>
      <c r="C5937" s="2911" t="s">
        <v>3488</v>
      </c>
      <c r="D5937" s="2911"/>
      <c r="E5937" s="3126">
        <f t="shared" si="134"/>
        <v>0.14999999999999994</v>
      </c>
      <c r="F5937" s="2911">
        <v>2.89</v>
      </c>
      <c r="G5937" s="3199">
        <v>3.4</v>
      </c>
    </row>
    <row r="5938" spans="1:7">
      <c r="A5938" s="2910"/>
      <c r="B5938" s="2911"/>
      <c r="C5938" s="2911" t="s">
        <v>3629</v>
      </c>
      <c r="D5938" s="2911"/>
      <c r="E5938" s="3126">
        <f t="shared" si="134"/>
        <v>0.14999999999999994</v>
      </c>
      <c r="F5938" s="2911">
        <v>2.89</v>
      </c>
      <c r="G5938" s="3199">
        <v>3.4</v>
      </c>
    </row>
    <row r="5939" spans="1:7">
      <c r="A5939" s="2910"/>
      <c r="B5939" s="2911"/>
      <c r="C5939" s="2911" t="s">
        <v>3489</v>
      </c>
      <c r="D5939" s="2911"/>
      <c r="E5939" s="3126">
        <f t="shared" si="134"/>
        <v>0.14999999999999994</v>
      </c>
      <c r="F5939" s="2911">
        <v>2.89</v>
      </c>
      <c r="G5939" s="3199">
        <v>3.4</v>
      </c>
    </row>
    <row r="5940" spans="1:7" ht="15.75" thickBot="1">
      <c r="A5940" s="2914"/>
      <c r="B5940" s="2915"/>
      <c r="C5940" s="2915" t="s">
        <v>3490</v>
      </c>
      <c r="D5940" s="2915"/>
      <c r="E5940" s="3035">
        <f t="shared" si="134"/>
        <v>0.14999999999999994</v>
      </c>
      <c r="F5940" s="2915">
        <v>2.89</v>
      </c>
      <c r="G5940" s="3200">
        <v>3.4</v>
      </c>
    </row>
    <row r="5941" spans="1:7" ht="15.75" thickBot="1"/>
    <row r="5942" spans="1:7">
      <c r="A5942" s="3572"/>
      <c r="B5942" s="3557"/>
      <c r="C5942" s="3557"/>
      <c r="D5942" s="3557"/>
      <c r="E5942" s="3557"/>
      <c r="F5942" s="3557"/>
      <c r="G5942" s="3559"/>
    </row>
    <row r="5943" spans="1:7" ht="15.75" thickBot="1">
      <c r="A5943" s="3905"/>
      <c r="B5943" s="3906"/>
      <c r="C5943" s="3906"/>
      <c r="D5943" s="3906"/>
      <c r="E5943" s="3906"/>
      <c r="F5943" s="3906"/>
      <c r="G5943" s="3910"/>
    </row>
    <row r="5944" spans="1:7">
      <c r="A5944" s="2668" t="s">
        <v>3887</v>
      </c>
      <c r="B5944" s="1690" t="s">
        <v>106</v>
      </c>
      <c r="C5944" s="2765" t="s">
        <v>1772</v>
      </c>
      <c r="D5944" s="2766"/>
      <c r="E5944" s="3067">
        <f>(G5944-F5944)/G5944</f>
        <v>0.36842105263157887</v>
      </c>
      <c r="F5944" s="3156">
        <v>1.32</v>
      </c>
      <c r="G5944" s="3157">
        <v>2.09</v>
      </c>
    </row>
    <row r="5945" spans="1:7">
      <c r="A5945" s="2910"/>
      <c r="B5945" s="2911"/>
      <c r="C5945" s="2911" t="s">
        <v>858</v>
      </c>
      <c r="D5945" s="2911"/>
      <c r="E5945" s="3016">
        <f>(G5945-F5945)/G5945</f>
        <v>0.37383177570093457</v>
      </c>
      <c r="F5945" s="3010">
        <v>0.67</v>
      </c>
      <c r="G5945" s="2957">
        <v>1.07</v>
      </c>
    </row>
    <row r="5946" spans="1:7" ht="15.75" thickBot="1">
      <c r="A5946" s="2914"/>
      <c r="B5946" s="2915"/>
      <c r="C5946" s="2915" t="s">
        <v>730</v>
      </c>
      <c r="D5946" s="2915"/>
      <c r="E5946" s="3050">
        <f t="shared" ref="E5946" si="135">(G5946-F5946)/G5946</f>
        <v>0.38043478260869573</v>
      </c>
      <c r="F5946" s="2915">
        <v>0.56999999999999995</v>
      </c>
      <c r="G5946" s="2959">
        <v>0.92</v>
      </c>
    </row>
    <row r="5947" spans="1:7" ht="15.75" thickBot="1"/>
    <row r="5948" spans="1:7">
      <c r="A5948" s="3572"/>
      <c r="B5948" s="3557"/>
      <c r="C5948" s="3557"/>
      <c r="D5948" s="3557"/>
      <c r="E5948" s="3557"/>
      <c r="F5948" s="3557"/>
      <c r="G5948" s="3559"/>
    </row>
    <row r="5949" spans="1:7" ht="15.75" thickBot="1">
      <c r="A5949" s="3905"/>
      <c r="B5949" s="3906"/>
      <c r="C5949" s="3906"/>
      <c r="D5949" s="3906"/>
      <c r="E5949" s="3906"/>
      <c r="F5949" s="3906"/>
      <c r="G5949" s="3910"/>
    </row>
    <row r="5950" spans="1:7">
      <c r="A5950" s="2668" t="s">
        <v>3890</v>
      </c>
      <c r="B5950" s="1690" t="s">
        <v>106</v>
      </c>
      <c r="C5950" s="2765" t="s">
        <v>1499</v>
      </c>
      <c r="D5950" s="2766"/>
      <c r="E5950" s="3067">
        <f>(G5950-F5950)/G5950</f>
        <v>0.14970059880239522</v>
      </c>
      <c r="F5950" s="3156">
        <v>9.94</v>
      </c>
      <c r="G5950" s="3157">
        <v>11.69</v>
      </c>
    </row>
    <row r="5951" spans="1:7">
      <c r="A5951" s="2910"/>
      <c r="B5951" s="2911"/>
      <c r="C5951" s="2911" t="s">
        <v>2052</v>
      </c>
      <c r="D5951" s="2911"/>
      <c r="E5951" s="3016">
        <f>(G5951-F5951)/G5951</f>
        <v>0.15006305170239598</v>
      </c>
      <c r="F5951" s="3010">
        <v>20.22</v>
      </c>
      <c r="G5951" s="2957">
        <v>23.79</v>
      </c>
    </row>
    <row r="5952" spans="1:7">
      <c r="A5952" s="2910"/>
      <c r="B5952" s="2911"/>
      <c r="C5952" s="2911" t="s">
        <v>868</v>
      </c>
      <c r="D5952" s="2911"/>
      <c r="E5952" s="3016">
        <f t="shared" ref="E5952:E5963" si="136">(G5952-F5952)/G5952</f>
        <v>0.14979757085020245</v>
      </c>
      <c r="F5952" s="2911">
        <v>8.4</v>
      </c>
      <c r="G5952" s="2958">
        <v>9.8800000000000008</v>
      </c>
    </row>
    <row r="5953" spans="1:7">
      <c r="A5953" s="2910"/>
      <c r="B5953" s="2911"/>
      <c r="C5953" s="2911" t="s">
        <v>2274</v>
      </c>
      <c r="D5953" s="2911"/>
      <c r="E5953" s="3016">
        <f t="shared" si="136"/>
        <v>0.15090090090090097</v>
      </c>
      <c r="F5953" s="2911">
        <v>3.77</v>
      </c>
      <c r="G5953" s="2913">
        <v>4.4400000000000004</v>
      </c>
    </row>
    <row r="5954" spans="1:7">
      <c r="A5954" s="2910"/>
      <c r="B5954" s="2911"/>
      <c r="C5954" s="2911" t="s">
        <v>2275</v>
      </c>
      <c r="D5954" s="2911"/>
      <c r="E5954" s="3016">
        <f t="shared" si="136"/>
        <v>0.14979757085020245</v>
      </c>
      <c r="F5954" s="2911">
        <v>8.4</v>
      </c>
      <c r="G5954" s="2913">
        <v>9.8800000000000008</v>
      </c>
    </row>
    <row r="5955" spans="1:7">
      <c r="A5955" s="2910"/>
      <c r="B5955" s="2911"/>
      <c r="C5955" s="2911" t="s">
        <v>2277</v>
      </c>
      <c r="D5955" s="2911"/>
      <c r="E5955" s="3016">
        <f t="shared" si="136"/>
        <v>0.15090090090090097</v>
      </c>
      <c r="F5955" s="2911">
        <v>3.77</v>
      </c>
      <c r="G5955" s="2913">
        <v>4.4400000000000004</v>
      </c>
    </row>
    <row r="5956" spans="1:7">
      <c r="A5956" s="2910"/>
      <c r="B5956" s="2911"/>
      <c r="C5956" s="2911" t="s">
        <v>2272</v>
      </c>
      <c r="D5956" s="2911"/>
      <c r="E5956" s="3016">
        <f t="shared" si="136"/>
        <v>0.15090090090090097</v>
      </c>
      <c r="F5956" s="2911">
        <v>3.77</v>
      </c>
      <c r="G5956" s="2913">
        <v>4.4400000000000004</v>
      </c>
    </row>
    <row r="5957" spans="1:7">
      <c r="A5957" s="2910"/>
      <c r="B5957" s="2911"/>
      <c r="C5957" s="2911" t="s">
        <v>2271</v>
      </c>
      <c r="D5957" s="2911"/>
      <c r="E5957" s="3016">
        <f t="shared" si="136"/>
        <v>0.14979757085020245</v>
      </c>
      <c r="F5957" s="2911">
        <v>8.4</v>
      </c>
      <c r="G5957" s="2913">
        <v>9.8800000000000008</v>
      </c>
    </row>
    <row r="5958" spans="1:7">
      <c r="A5958" s="2910"/>
      <c r="B5958" s="2911"/>
      <c r="C5958" s="2911" t="s">
        <v>238</v>
      </c>
      <c r="D5958" s="2911"/>
      <c r="E5958" s="3016">
        <f t="shared" si="136"/>
        <v>0.14979757085020245</v>
      </c>
      <c r="F5958" s="2911">
        <v>8.4</v>
      </c>
      <c r="G5958" s="2913">
        <v>9.8800000000000008</v>
      </c>
    </row>
    <row r="5959" spans="1:7">
      <c r="A5959" s="2910"/>
      <c r="B5959" s="2911"/>
      <c r="C5959" s="2911" t="s">
        <v>2281</v>
      </c>
      <c r="D5959" s="2911"/>
      <c r="E5959" s="3016">
        <f t="shared" si="136"/>
        <v>0.14979757085020245</v>
      </c>
      <c r="F5959" s="2911">
        <v>8.4</v>
      </c>
      <c r="G5959" s="2913">
        <v>9.8800000000000008</v>
      </c>
    </row>
    <row r="5960" spans="1:7">
      <c r="A5960" s="2910"/>
      <c r="B5960" s="2911"/>
      <c r="C5960" s="2911" t="s">
        <v>2282</v>
      </c>
      <c r="D5960" s="2911"/>
      <c r="E5960" s="3016">
        <f t="shared" si="136"/>
        <v>0.14979757085020245</v>
      </c>
      <c r="F5960" s="2911">
        <v>8.4</v>
      </c>
      <c r="G5960" s="2913">
        <v>9.8800000000000008</v>
      </c>
    </row>
    <row r="5961" spans="1:7">
      <c r="A5961" s="2910"/>
      <c r="B5961" s="2911"/>
      <c r="C5961" s="2911" t="s">
        <v>3408</v>
      </c>
      <c r="D5961" s="2911"/>
      <c r="E5961" s="3016">
        <f t="shared" si="136"/>
        <v>0.15315315315315328</v>
      </c>
      <c r="F5961" s="2911">
        <v>0.94</v>
      </c>
      <c r="G5961" s="2913">
        <v>1.1100000000000001</v>
      </c>
    </row>
    <row r="5962" spans="1:7">
      <c r="A5962" s="2910"/>
      <c r="B5962" s="2911"/>
      <c r="C5962" s="2911" t="s">
        <v>1644</v>
      </c>
      <c r="D5962" s="2911"/>
      <c r="E5962" s="3016">
        <f t="shared" si="136"/>
        <v>0.15030674846625761</v>
      </c>
      <c r="F5962" s="2911">
        <v>2.77</v>
      </c>
      <c r="G5962" s="2913">
        <v>3.26</v>
      </c>
    </row>
    <row r="5963" spans="1:7" ht="15.75" thickBot="1">
      <c r="A5963" s="2914"/>
      <c r="B5963" s="2915"/>
      <c r="C5963" s="2915" t="s">
        <v>3409</v>
      </c>
      <c r="D5963" s="2915"/>
      <c r="E5963" s="3050">
        <f t="shared" si="136"/>
        <v>0.15113350125944586</v>
      </c>
      <c r="F5963" s="2915">
        <v>3.37</v>
      </c>
      <c r="G5963" s="2917">
        <v>3.97</v>
      </c>
    </row>
    <row r="5964" spans="1:7" ht="15.75" thickBot="1"/>
    <row r="5965" spans="1:7">
      <c r="A5965" s="3572"/>
      <c r="B5965" s="3557"/>
      <c r="C5965" s="3557"/>
      <c r="D5965" s="3557"/>
      <c r="E5965" s="3557"/>
      <c r="F5965" s="3559"/>
      <c r="G5965" s="3559"/>
    </row>
    <row r="5966" spans="1:7" ht="15.75" thickBot="1">
      <c r="A5966" s="3905"/>
      <c r="B5966" s="3906"/>
      <c r="C5966" s="3906"/>
      <c r="D5966" s="3906"/>
      <c r="E5966" s="3906"/>
      <c r="F5966" s="3910"/>
      <c r="G5966" s="3910"/>
    </row>
    <row r="5967" spans="1:7">
      <c r="A5967" s="2668" t="s">
        <v>3892</v>
      </c>
      <c r="B5967" s="1690" t="s">
        <v>3229</v>
      </c>
      <c r="C5967" s="3184" t="s">
        <v>730</v>
      </c>
      <c r="D5967" s="2766"/>
      <c r="E5967" s="3067">
        <f>(G5967-F5967)/G5967</f>
        <v>0.33333333333333337</v>
      </c>
      <c r="F5967" s="3156">
        <v>0.6</v>
      </c>
      <c r="G5967" s="3157">
        <v>0.9</v>
      </c>
    </row>
    <row r="5968" spans="1:7">
      <c r="A5968" s="2910"/>
      <c r="B5968" s="2911"/>
      <c r="C5968" s="2905" t="s">
        <v>858</v>
      </c>
      <c r="D5968" s="2911"/>
      <c r="E5968" s="3016">
        <f t="shared" ref="E5968:E5970" si="137">(G5968-F5968)/G5968</f>
        <v>0.32692307692307698</v>
      </c>
      <c r="F5968" s="3010">
        <v>0.7</v>
      </c>
      <c r="G5968" s="2957">
        <v>1.04</v>
      </c>
    </row>
    <row r="5969" spans="1:7">
      <c r="A5969" s="2910"/>
      <c r="B5969" s="2911"/>
      <c r="C5969" s="2905" t="s">
        <v>686</v>
      </c>
      <c r="D5969" s="2911"/>
      <c r="E5969" s="3016">
        <f t="shared" si="137"/>
        <v>0.33193277310924363</v>
      </c>
      <c r="F5969" s="3010">
        <v>1.59</v>
      </c>
      <c r="G5969" s="2957">
        <v>2.38</v>
      </c>
    </row>
    <row r="5970" spans="1:7" ht="15.75" thickBot="1">
      <c r="A5970" s="2914"/>
      <c r="B5970" s="2915"/>
      <c r="C5970" s="2938" t="s">
        <v>687</v>
      </c>
      <c r="D5970" s="2915"/>
      <c r="E5970" s="3050">
        <f t="shared" si="137"/>
        <v>0.33193277310924363</v>
      </c>
      <c r="F5970" s="3011">
        <v>1.59</v>
      </c>
      <c r="G5970" s="3144">
        <v>2.38</v>
      </c>
    </row>
    <row r="5971" spans="1:7" ht="15.75" thickBot="1"/>
    <row r="5972" spans="1:7">
      <c r="A5972" s="3572"/>
      <c r="B5972" s="3557"/>
      <c r="C5972" s="3557"/>
      <c r="D5972" s="3557"/>
      <c r="E5972" s="3557"/>
      <c r="F5972" s="3557"/>
      <c r="G5972" s="3559"/>
    </row>
    <row r="5973" spans="1:7" ht="15.75" thickBot="1">
      <c r="A5973" s="3905"/>
      <c r="B5973" s="3906"/>
      <c r="C5973" s="3906"/>
      <c r="D5973" s="3906"/>
      <c r="E5973" s="3906"/>
      <c r="F5973" s="3906"/>
      <c r="G5973" s="3910"/>
    </row>
    <row r="5974" spans="1:7">
      <c r="A5974" s="2668" t="s">
        <v>3895</v>
      </c>
      <c r="B5974" s="1690" t="s">
        <v>106</v>
      </c>
      <c r="C5974" s="2765" t="s">
        <v>1120</v>
      </c>
      <c r="D5974" s="2766"/>
      <c r="E5974" s="3067">
        <f>(G5974-F5974)/G5974</f>
        <v>0.20000000000000007</v>
      </c>
      <c r="F5974" s="3156">
        <v>0.44</v>
      </c>
      <c r="G5974" s="3157">
        <v>0.55000000000000004</v>
      </c>
    </row>
    <row r="5975" spans="1:7">
      <c r="A5975" s="2910"/>
      <c r="B5975" s="2911"/>
      <c r="C5975" s="2911" t="s">
        <v>554</v>
      </c>
      <c r="D5975" s="2911"/>
      <c r="E5975" s="3016">
        <f>(G5975-F5975)/G5975</f>
        <v>0.19696969696969696</v>
      </c>
      <c r="F5975" s="3010">
        <v>1.06</v>
      </c>
      <c r="G5975" s="2957">
        <v>1.32</v>
      </c>
    </row>
    <row r="5976" spans="1:7" ht="15.75" thickBot="1">
      <c r="A5976" s="2914"/>
      <c r="B5976" s="2915"/>
      <c r="C5976" s="2915"/>
      <c r="D5976" s="2915"/>
      <c r="E5976" s="3050"/>
      <c r="F5976" s="2915"/>
      <c r="G5976" s="2959"/>
    </row>
    <row r="5977" spans="1:7" ht="15.75" thickBot="1"/>
    <row r="5978" spans="1:7">
      <c r="A5978" s="3593"/>
      <c r="B5978" s="3601"/>
      <c r="C5978" s="3601"/>
      <c r="D5978" s="3601"/>
      <c r="E5978" s="3601"/>
      <c r="F5978" s="3601"/>
      <c r="G5978" s="3559"/>
    </row>
    <row r="5979" spans="1:7" ht="15.75" thickBot="1">
      <c r="A5979" s="3912"/>
      <c r="B5979" s="3907"/>
      <c r="C5979" s="3907"/>
      <c r="D5979" s="3907"/>
      <c r="E5979" s="3907"/>
      <c r="F5979" s="3907"/>
      <c r="G5979" s="3910"/>
    </row>
    <row r="5980" spans="1:7">
      <c r="A5980" s="2870" t="s">
        <v>3895</v>
      </c>
      <c r="B5980" s="2871" t="s">
        <v>114</v>
      </c>
      <c r="C5980" s="2181" t="s">
        <v>2176</v>
      </c>
      <c r="D5980" s="2872"/>
      <c r="E5980" s="2182">
        <f>(G5980-F5980)/G5980</f>
        <v>0.21457489878542518</v>
      </c>
      <c r="F5980" s="2468">
        <v>1.94</v>
      </c>
      <c r="G5980" s="3167">
        <v>2.4700000000000002</v>
      </c>
    </row>
    <row r="5981" spans="1:7">
      <c r="A5981" s="3275"/>
      <c r="B5981" s="3276"/>
      <c r="C5981" s="3276" t="s">
        <v>2743</v>
      </c>
      <c r="D5981" s="3276"/>
      <c r="E5981" s="3277">
        <f t="shared" ref="E5981:E5987" si="138">(G5981-F5981)/G5981</f>
        <v>0.22784810126582283</v>
      </c>
      <c r="F5981" s="3276">
        <v>0.61</v>
      </c>
      <c r="G5981" s="3278">
        <v>0.79</v>
      </c>
    </row>
    <row r="5982" spans="1:7">
      <c r="A5982" s="3275"/>
      <c r="B5982" s="3276"/>
      <c r="C5982" s="3276" t="s">
        <v>623</v>
      </c>
      <c r="D5982" s="3276"/>
      <c r="E5982" s="3277">
        <f t="shared" si="138"/>
        <v>0.33971291866028708</v>
      </c>
      <c r="F5982" s="3276">
        <v>1.38</v>
      </c>
      <c r="G5982" s="3278">
        <v>2.09</v>
      </c>
    </row>
    <row r="5983" spans="1:7">
      <c r="A5983" s="3275"/>
      <c r="B5983" s="3276"/>
      <c r="C5983" s="3276" t="s">
        <v>3253</v>
      </c>
      <c r="D5983" s="3276"/>
      <c r="E5983" s="3277">
        <f t="shared" si="138"/>
        <v>0.50483091787439616</v>
      </c>
      <c r="F5983" s="3276">
        <v>2.0499999999999998</v>
      </c>
      <c r="G5983" s="3278">
        <v>4.1399999999999997</v>
      </c>
    </row>
    <row r="5984" spans="1:7">
      <c r="A5984" s="3275"/>
      <c r="B5984" s="3276"/>
      <c r="C5984" s="3276" t="s">
        <v>3254</v>
      </c>
      <c r="D5984" s="3276"/>
      <c r="E5984" s="3277">
        <f t="shared" si="138"/>
        <v>0.50483091787439616</v>
      </c>
      <c r="F5984" s="3276">
        <v>2.0499999999999998</v>
      </c>
      <c r="G5984" s="3278">
        <v>4.1399999999999997</v>
      </c>
    </row>
    <row r="5985" spans="1:7">
      <c r="A5985" s="3275"/>
      <c r="B5985" s="3276"/>
      <c r="C5985" s="3276" t="s">
        <v>3236</v>
      </c>
      <c r="D5985" s="3276"/>
      <c r="E5985" s="3277">
        <f t="shared" si="138"/>
        <v>0.50483091787439616</v>
      </c>
      <c r="F5985" s="3276">
        <v>2.0499999999999998</v>
      </c>
      <c r="G5985" s="3278">
        <v>4.1399999999999997</v>
      </c>
    </row>
    <row r="5986" spans="1:7">
      <c r="A5986" s="3275"/>
      <c r="B5986" s="3276"/>
      <c r="C5986" s="3276" t="s">
        <v>3237</v>
      </c>
      <c r="D5986" s="3276"/>
      <c r="E5986" s="3277">
        <f t="shared" si="138"/>
        <v>0.50483091787439616</v>
      </c>
      <c r="F5986" s="3276">
        <v>2.0499999999999998</v>
      </c>
      <c r="G5986" s="3278">
        <v>4.1399999999999997</v>
      </c>
    </row>
    <row r="5987" spans="1:7" ht="15.75" thickBot="1">
      <c r="A5987" s="3279"/>
      <c r="B5987" s="3280"/>
      <c r="C5987" s="3280" t="s">
        <v>3255</v>
      </c>
      <c r="D5987" s="3280"/>
      <c r="E5987" s="3281">
        <f t="shared" si="138"/>
        <v>0.50483091787439616</v>
      </c>
      <c r="F5987" s="3280">
        <v>2.0499999999999998</v>
      </c>
      <c r="G5987" s="3282">
        <v>4.1399999999999997</v>
      </c>
    </row>
    <row r="5988" spans="1:7" ht="15.75" thickBot="1"/>
    <row r="5989" spans="1:7">
      <c r="A5989" s="3572"/>
      <c r="B5989" s="3557"/>
      <c r="C5989" s="3557"/>
      <c r="D5989" s="3557"/>
      <c r="E5989" s="3557"/>
      <c r="F5989" s="3559"/>
      <c r="G5989" s="3559"/>
    </row>
    <row r="5990" spans="1:7" ht="15.75" thickBot="1">
      <c r="A5990" s="3905"/>
      <c r="B5990" s="3906"/>
      <c r="C5990" s="3906"/>
      <c r="D5990" s="3906"/>
      <c r="E5990" s="3906"/>
      <c r="F5990" s="3910"/>
      <c r="G5990" s="3910"/>
    </row>
    <row r="5991" spans="1:7">
      <c r="A5991" s="2668" t="s">
        <v>3900</v>
      </c>
      <c r="B5991" s="1690" t="s">
        <v>3229</v>
      </c>
      <c r="C5991" s="3184" t="s">
        <v>2273</v>
      </c>
      <c r="D5991" s="2766"/>
      <c r="E5991" s="3067">
        <f>(G5991-F5991)/G5991</f>
        <v>0.21992653810835641</v>
      </c>
      <c r="F5991" s="3156">
        <v>16.989999999999998</v>
      </c>
      <c r="G5991" s="3157">
        <v>21.78</v>
      </c>
    </row>
    <row r="5992" spans="1:7">
      <c r="A5992" s="3275"/>
      <c r="B5992" s="3276"/>
      <c r="C5992" s="3290" t="s">
        <v>71</v>
      </c>
      <c r="D5992" s="3276"/>
      <c r="E5992" s="3288">
        <f t="shared" ref="E5992:E5998" si="139">(G5992-F5992)/G5992</f>
        <v>0.21992653810835641</v>
      </c>
      <c r="F5992" s="3289">
        <v>16.989999999999998</v>
      </c>
      <c r="G5992" s="3291">
        <v>21.78</v>
      </c>
    </row>
    <row r="5993" spans="1:7">
      <c r="A5993" s="3275"/>
      <c r="B5993" s="3276"/>
      <c r="C5993" s="3290" t="s">
        <v>2566</v>
      </c>
      <c r="D5993" s="3276"/>
      <c r="E5993" s="3288">
        <f t="shared" si="139"/>
        <v>0.21992653810835641</v>
      </c>
      <c r="F5993" s="3289">
        <v>16.989999999999998</v>
      </c>
      <c r="G5993" s="3291">
        <v>21.78</v>
      </c>
    </row>
    <row r="5994" spans="1:7">
      <c r="A5994" s="3275"/>
      <c r="B5994" s="3276"/>
      <c r="C5994" s="3290" t="s">
        <v>72</v>
      </c>
      <c r="D5994" s="3276"/>
      <c r="E5994" s="3288">
        <f t="shared" si="139"/>
        <v>0.21992653810835641</v>
      </c>
      <c r="F5994" s="3289">
        <v>16.989999999999998</v>
      </c>
      <c r="G5994" s="3291">
        <v>21.78</v>
      </c>
    </row>
    <row r="5995" spans="1:7">
      <c r="A5995" s="3275"/>
      <c r="B5995" s="3276"/>
      <c r="C5995" s="3276" t="s">
        <v>1883</v>
      </c>
      <c r="D5995" s="3276"/>
      <c r="E5995" s="3288">
        <f t="shared" si="139"/>
        <v>0.21992653810835641</v>
      </c>
      <c r="F5995" s="3289">
        <v>16.989999999999998</v>
      </c>
      <c r="G5995" s="3291">
        <v>21.78</v>
      </c>
    </row>
    <row r="5996" spans="1:7">
      <c r="A5996" s="3275"/>
      <c r="B5996" s="3276"/>
      <c r="C5996" s="3276" t="s">
        <v>2276</v>
      </c>
      <c r="D5996" s="3276"/>
      <c r="E5996" s="3288">
        <f t="shared" si="139"/>
        <v>0.21992653810835641</v>
      </c>
      <c r="F5996" s="3289">
        <v>16.989999999999998</v>
      </c>
      <c r="G5996" s="3291">
        <v>21.78</v>
      </c>
    </row>
    <row r="5997" spans="1:7">
      <c r="A5997" s="3275"/>
      <c r="B5997" s="3276"/>
      <c r="C5997" s="3276" t="s">
        <v>2880</v>
      </c>
      <c r="D5997" s="3276"/>
      <c r="E5997" s="3288">
        <f t="shared" si="139"/>
        <v>0.21992653810835641</v>
      </c>
      <c r="F5997" s="3289">
        <v>16.989999999999998</v>
      </c>
      <c r="G5997" s="3291">
        <v>21.78</v>
      </c>
    </row>
    <row r="5998" spans="1:7" ht="15.75" thickBot="1">
      <c r="A5998" s="3279"/>
      <c r="B5998" s="3280"/>
      <c r="C5998" s="3280" t="s">
        <v>2881</v>
      </c>
      <c r="D5998" s="3280"/>
      <c r="E5998" s="3292">
        <f t="shared" si="139"/>
        <v>0.21992653810835641</v>
      </c>
      <c r="F5998" s="3293">
        <v>16.989999999999998</v>
      </c>
      <c r="G5998" s="3294">
        <v>21.78</v>
      </c>
    </row>
    <row r="5999" spans="1:7" ht="15.75" thickBot="1"/>
    <row r="6000" spans="1:7">
      <c r="A6000" s="3572" t="s">
        <v>0</v>
      </c>
      <c r="B6000" s="3557" t="s">
        <v>1</v>
      </c>
      <c r="C6000" s="3557" t="s">
        <v>2</v>
      </c>
      <c r="D6000" s="3557" t="s">
        <v>3</v>
      </c>
      <c r="E6000" s="3557" t="s">
        <v>4</v>
      </c>
      <c r="F6000" s="3557" t="s">
        <v>5</v>
      </c>
      <c r="G6000" s="3559" t="s">
        <v>3504</v>
      </c>
    </row>
    <row r="6001" spans="1:7" ht="15.75" thickBot="1">
      <c r="A6001" s="3905"/>
      <c r="B6001" s="3906"/>
      <c r="C6001" s="3906"/>
      <c r="D6001" s="3906"/>
      <c r="E6001" s="3906"/>
      <c r="F6001" s="3906"/>
      <c r="G6001" s="3910"/>
    </row>
    <row r="6002" spans="1:7">
      <c r="A6002" s="2668" t="s">
        <v>3902</v>
      </c>
      <c r="B6002" s="1690" t="s">
        <v>106</v>
      </c>
      <c r="C6002" s="2765" t="s">
        <v>465</v>
      </c>
      <c r="D6002" s="2766"/>
      <c r="E6002" s="3067">
        <f>(G6002-F6002)/G6002</f>
        <v>0.19895287958115179</v>
      </c>
      <c r="F6002" s="3156">
        <v>1.53</v>
      </c>
      <c r="G6002" s="3157">
        <v>1.91</v>
      </c>
    </row>
    <row r="6003" spans="1:7">
      <c r="A6003" s="3275"/>
      <c r="B6003" s="3276"/>
      <c r="C6003" s="3276" t="s">
        <v>1563</v>
      </c>
      <c r="D6003" s="3276"/>
      <c r="E6003" s="3288">
        <f>(G6003-F6003)/G6003</f>
        <v>0.2</v>
      </c>
      <c r="F6003" s="3301">
        <v>1.08</v>
      </c>
      <c r="G6003" s="3306">
        <v>1.35</v>
      </c>
    </row>
    <row r="6004" spans="1:7">
      <c r="A6004" s="3275"/>
      <c r="B6004" s="3276"/>
      <c r="C6004" s="3276" t="s">
        <v>2273</v>
      </c>
      <c r="D6004" s="3276"/>
      <c r="E6004" s="3288">
        <f t="shared" ref="E6004:E6021" si="140">(G6004-F6004)/G6004</f>
        <v>0.23917612442202599</v>
      </c>
      <c r="F6004" s="3301">
        <v>18.100000000000001</v>
      </c>
      <c r="G6004" s="3307">
        <v>23.79</v>
      </c>
    </row>
    <row r="6005" spans="1:7">
      <c r="A6005" s="3275"/>
      <c r="B6005" s="3276"/>
      <c r="C6005" s="3276" t="s">
        <v>71</v>
      </c>
      <c r="D6005" s="3276"/>
      <c r="E6005" s="3288">
        <f t="shared" si="140"/>
        <v>0.23917612442202599</v>
      </c>
      <c r="F6005" s="3301">
        <v>18.100000000000001</v>
      </c>
      <c r="G6005" s="3307">
        <v>23.79</v>
      </c>
    </row>
    <row r="6006" spans="1:7">
      <c r="A6006" s="3275"/>
      <c r="B6006" s="3276"/>
      <c r="C6006" s="3276" t="s">
        <v>2880</v>
      </c>
      <c r="D6006" s="3276"/>
      <c r="E6006" s="3288">
        <f t="shared" si="140"/>
        <v>0.23917612442202599</v>
      </c>
      <c r="F6006" s="3301">
        <v>18.100000000000001</v>
      </c>
      <c r="G6006" s="3307">
        <v>23.79</v>
      </c>
    </row>
    <row r="6007" spans="1:7">
      <c r="A6007" s="3275"/>
      <c r="B6007" s="3276"/>
      <c r="C6007" s="3276" t="s">
        <v>2881</v>
      </c>
      <c r="D6007" s="3276"/>
      <c r="E6007" s="3288">
        <f t="shared" si="140"/>
        <v>0.23917612442202599</v>
      </c>
      <c r="F6007" s="3301">
        <v>18.100000000000001</v>
      </c>
      <c r="G6007" s="3307">
        <v>23.79</v>
      </c>
    </row>
    <row r="6008" spans="1:7">
      <c r="A6008" s="3275"/>
      <c r="B6008" s="3276"/>
      <c r="C6008" s="3276" t="s">
        <v>1883</v>
      </c>
      <c r="D6008" s="3276"/>
      <c r="E6008" s="3288">
        <f t="shared" si="140"/>
        <v>0.23917612442202599</v>
      </c>
      <c r="F6008" s="3301">
        <v>18.100000000000001</v>
      </c>
      <c r="G6008" s="3307">
        <v>23.79</v>
      </c>
    </row>
    <row r="6009" spans="1:7">
      <c r="A6009" s="3275"/>
      <c r="B6009" s="3276"/>
      <c r="C6009" s="3276" t="s">
        <v>2276</v>
      </c>
      <c r="D6009" s="3276"/>
      <c r="E6009" s="3288">
        <f t="shared" si="140"/>
        <v>0.23917612442202599</v>
      </c>
      <c r="F6009" s="3301">
        <v>18.100000000000001</v>
      </c>
      <c r="G6009" s="3307">
        <v>23.79</v>
      </c>
    </row>
    <row r="6010" spans="1:7">
      <c r="A6010" s="3275"/>
      <c r="B6010" s="3276"/>
      <c r="C6010" s="3276" t="s">
        <v>2566</v>
      </c>
      <c r="D6010" s="3276"/>
      <c r="E6010" s="3288">
        <f t="shared" si="140"/>
        <v>0.23917612442202599</v>
      </c>
      <c r="F6010" s="3301">
        <v>18.100000000000001</v>
      </c>
      <c r="G6010" s="3307">
        <v>23.79</v>
      </c>
    </row>
    <row r="6011" spans="1:7">
      <c r="A6011" s="3275"/>
      <c r="B6011" s="3276"/>
      <c r="C6011" s="3276" t="s">
        <v>72</v>
      </c>
      <c r="D6011" s="3276"/>
      <c r="E6011" s="3288">
        <f t="shared" si="140"/>
        <v>0.23917612442202599</v>
      </c>
      <c r="F6011" s="3301">
        <v>18.100000000000001</v>
      </c>
      <c r="G6011" s="3307">
        <v>23.79</v>
      </c>
    </row>
    <row r="6012" spans="1:7">
      <c r="A6012" s="3275"/>
      <c r="B6012" s="3276"/>
      <c r="C6012" s="3276" t="s">
        <v>3258</v>
      </c>
      <c r="D6012" s="3276"/>
      <c r="E6012" s="3288">
        <f t="shared" si="140"/>
        <v>0.19980506822612076</v>
      </c>
      <c r="F6012" s="3301">
        <v>8.2100000000000009</v>
      </c>
      <c r="G6012" s="3302">
        <v>10.26</v>
      </c>
    </row>
    <row r="6013" spans="1:7">
      <c r="A6013" s="3275"/>
      <c r="B6013" s="3276"/>
      <c r="C6013" s="3276" t="s">
        <v>3259</v>
      </c>
      <c r="D6013" s="3276"/>
      <c r="E6013" s="3288">
        <f t="shared" si="140"/>
        <v>0.19980506822612076</v>
      </c>
      <c r="F6013" s="3301">
        <v>8.2100000000000009</v>
      </c>
      <c r="G6013" s="3302">
        <v>10.26</v>
      </c>
    </row>
    <row r="6014" spans="1:7">
      <c r="A6014" s="3275"/>
      <c r="B6014" s="3276"/>
      <c r="C6014" s="3276" t="s">
        <v>3245</v>
      </c>
      <c r="D6014" s="3276"/>
      <c r="E6014" s="3288">
        <f t="shared" si="140"/>
        <v>0.2</v>
      </c>
      <c r="F6014" s="3301">
        <v>6.68</v>
      </c>
      <c r="G6014" s="3302">
        <v>8.35</v>
      </c>
    </row>
    <row r="6015" spans="1:7">
      <c r="A6015" s="3275"/>
      <c r="B6015" s="3276"/>
      <c r="C6015" s="3276" t="s">
        <v>3246</v>
      </c>
      <c r="D6015" s="3276"/>
      <c r="E6015" s="3288">
        <f t="shared" si="140"/>
        <v>0.2</v>
      </c>
      <c r="F6015" s="3301">
        <v>6.68</v>
      </c>
      <c r="G6015" s="3302">
        <v>8.35</v>
      </c>
    </row>
    <row r="6016" spans="1:7">
      <c r="A6016" s="3275"/>
      <c r="B6016" s="3276"/>
      <c r="C6016" s="3276" t="s">
        <v>3247</v>
      </c>
      <c r="D6016" s="3276"/>
      <c r="E6016" s="3288">
        <f t="shared" si="140"/>
        <v>0.2</v>
      </c>
      <c r="F6016" s="3301">
        <v>6.68</v>
      </c>
      <c r="G6016" s="3302">
        <v>8.35</v>
      </c>
    </row>
    <row r="6017" spans="1:7">
      <c r="A6017" s="3275"/>
      <c r="B6017" s="3276"/>
      <c r="C6017" s="3276" t="s">
        <v>3250</v>
      </c>
      <c r="D6017" s="3276"/>
      <c r="E6017" s="3288">
        <f t="shared" si="140"/>
        <v>0.2</v>
      </c>
      <c r="F6017" s="3301">
        <v>6.68</v>
      </c>
      <c r="G6017" s="3302">
        <v>8.35</v>
      </c>
    </row>
    <row r="6018" spans="1:7">
      <c r="A6018" s="3275"/>
      <c r="B6018" s="3276"/>
      <c r="C6018" s="3276" t="s">
        <v>3251</v>
      </c>
      <c r="D6018" s="3276"/>
      <c r="E6018" s="3288">
        <f t="shared" si="140"/>
        <v>0.2</v>
      </c>
      <c r="F6018" s="3301">
        <v>6.68</v>
      </c>
      <c r="G6018" s="3302">
        <v>8.35</v>
      </c>
    </row>
    <row r="6019" spans="1:7">
      <c r="A6019" s="3275"/>
      <c r="B6019" s="3276"/>
      <c r="C6019" s="3276" t="s">
        <v>3404</v>
      </c>
      <c r="D6019" s="3276"/>
      <c r="E6019" s="3288">
        <f t="shared" si="140"/>
        <v>0.2</v>
      </c>
      <c r="F6019" s="3301">
        <v>6.68</v>
      </c>
      <c r="G6019" s="3302">
        <v>8.35</v>
      </c>
    </row>
    <row r="6020" spans="1:7">
      <c r="A6020" s="3275"/>
      <c r="B6020" s="3276"/>
      <c r="C6020" s="3276" t="s">
        <v>3405</v>
      </c>
      <c r="D6020" s="3276"/>
      <c r="E6020" s="3288">
        <f t="shared" si="140"/>
        <v>0.2</v>
      </c>
      <c r="F6020" s="3301">
        <v>6.68</v>
      </c>
      <c r="G6020" s="3302">
        <v>8.35</v>
      </c>
    </row>
    <row r="6021" spans="1:7" ht="15.75" thickBot="1">
      <c r="A6021" s="3279"/>
      <c r="B6021" s="3280"/>
      <c r="C6021" s="3280" t="s">
        <v>3406</v>
      </c>
      <c r="D6021" s="3280"/>
      <c r="E6021" s="3292">
        <f t="shared" si="140"/>
        <v>0.2</v>
      </c>
      <c r="F6021" s="3304">
        <v>6.68</v>
      </c>
      <c r="G6021" s="3305">
        <v>8.35</v>
      </c>
    </row>
    <row r="6022" spans="1:7" ht="15.75" thickBot="1"/>
    <row r="6023" spans="1:7">
      <c r="A6023" s="3572" t="s">
        <v>0</v>
      </c>
      <c r="B6023" s="3557" t="s">
        <v>1</v>
      </c>
      <c r="C6023" s="3557" t="s">
        <v>2</v>
      </c>
      <c r="D6023" s="3557" t="s">
        <v>3</v>
      </c>
      <c r="E6023" s="3557" t="s">
        <v>4</v>
      </c>
      <c r="F6023" s="3557" t="s">
        <v>5</v>
      </c>
      <c r="G6023" s="3559" t="s">
        <v>3504</v>
      </c>
    </row>
    <row r="6024" spans="1:7" ht="15.75" thickBot="1">
      <c r="A6024" s="3905"/>
      <c r="B6024" s="3906"/>
      <c r="C6024" s="3906"/>
      <c r="D6024" s="3906"/>
      <c r="E6024" s="3906"/>
      <c r="F6024" s="3906"/>
      <c r="G6024" s="3910"/>
    </row>
    <row r="6025" spans="1:7">
      <c r="A6025" s="2668" t="s">
        <v>3903</v>
      </c>
      <c r="B6025" s="1690" t="s">
        <v>3229</v>
      </c>
      <c r="C6025" s="2765" t="s">
        <v>1258</v>
      </c>
      <c r="D6025" s="2766"/>
      <c r="E6025" s="3067">
        <f>(G6025-F6025)/G6025</f>
        <v>0.11987560079163129</v>
      </c>
      <c r="F6025" s="3156">
        <v>31.13</v>
      </c>
      <c r="G6025" s="3157">
        <v>35.369999999999997</v>
      </c>
    </row>
    <row r="6026" spans="1:7">
      <c r="A6026" s="3275"/>
      <c r="B6026" s="3276"/>
      <c r="C6026" s="3276" t="s">
        <v>1259</v>
      </c>
      <c r="D6026" s="3276"/>
      <c r="E6026" s="3288">
        <f>(G6026-F6026)/G6026</f>
        <v>0.1199603436880371</v>
      </c>
      <c r="F6026" s="3301">
        <v>26.63</v>
      </c>
      <c r="G6026" s="3306">
        <v>30.26</v>
      </c>
    </row>
    <row r="6027" spans="1:7">
      <c r="A6027" s="3275"/>
      <c r="B6027" s="3276"/>
      <c r="C6027" s="3276" t="s">
        <v>3020</v>
      </c>
      <c r="D6027" s="3276"/>
      <c r="E6027" s="3288">
        <f t="shared" ref="E6027:E6043" si="141">(G6027-F6027)/G6027</f>
        <v>0.15012722646310431</v>
      </c>
      <c r="F6027" s="3301">
        <v>10.02</v>
      </c>
      <c r="G6027" s="3307">
        <v>11.79</v>
      </c>
    </row>
    <row r="6028" spans="1:7">
      <c r="A6028" s="3275"/>
      <c r="B6028" s="3276"/>
      <c r="C6028" s="3276" t="s">
        <v>1176</v>
      </c>
      <c r="D6028" s="3276"/>
      <c r="E6028" s="3288">
        <f t="shared" si="141"/>
        <v>0.15003261578604049</v>
      </c>
      <c r="F6028" s="3301">
        <v>13.03</v>
      </c>
      <c r="G6028" s="3307">
        <v>15.33</v>
      </c>
    </row>
    <row r="6029" spans="1:7">
      <c r="A6029" s="3275"/>
      <c r="B6029" s="3276"/>
      <c r="C6029" s="3276" t="s">
        <v>3021</v>
      </c>
      <c r="D6029" s="3276"/>
      <c r="E6029" s="3288">
        <f t="shared" si="141"/>
        <v>0.15178571428571441</v>
      </c>
      <c r="F6029" s="3301">
        <v>1.9</v>
      </c>
      <c r="G6029" s="3307">
        <v>2.2400000000000002</v>
      </c>
    </row>
    <row r="6030" spans="1:7">
      <c r="A6030" s="3275"/>
      <c r="B6030" s="3276"/>
      <c r="C6030" s="3276" t="s">
        <v>1272</v>
      </c>
      <c r="D6030" s="3276"/>
      <c r="E6030" s="3288">
        <f t="shared" si="141"/>
        <v>0.15099009900990096</v>
      </c>
      <c r="F6030" s="3301">
        <v>3.43</v>
      </c>
      <c r="G6030" s="3307">
        <v>4.04</v>
      </c>
    </row>
    <row r="6031" spans="1:7">
      <c r="A6031" s="3275"/>
      <c r="B6031" s="3276"/>
      <c r="C6031" s="3276" t="s">
        <v>1271</v>
      </c>
      <c r="D6031" s="3276"/>
      <c r="E6031" s="3288">
        <f t="shared" si="141"/>
        <v>0.11990471148755959</v>
      </c>
      <c r="F6031" s="3301">
        <v>33.25</v>
      </c>
      <c r="G6031" s="3307">
        <v>37.78</v>
      </c>
    </row>
    <row r="6032" spans="1:7">
      <c r="A6032" s="3275"/>
      <c r="B6032" s="3276"/>
      <c r="C6032" s="3276" t="s">
        <v>1175</v>
      </c>
      <c r="D6032" s="3276"/>
      <c r="E6032" s="3288">
        <f t="shared" si="141"/>
        <v>0.1001821493624772</v>
      </c>
      <c r="F6032" s="3301">
        <v>4.9400000000000004</v>
      </c>
      <c r="G6032" s="3307">
        <v>5.49</v>
      </c>
    </row>
    <row r="6033" spans="1:7">
      <c r="A6033" s="3275"/>
      <c r="B6033" s="3276"/>
      <c r="C6033" s="3276" t="s">
        <v>2460</v>
      </c>
      <c r="D6033" s="3276"/>
      <c r="E6033" s="3288">
        <f t="shared" si="141"/>
        <v>0.1001821493624772</v>
      </c>
      <c r="F6033" s="3301">
        <v>4.9400000000000004</v>
      </c>
      <c r="G6033" s="3307">
        <v>5.49</v>
      </c>
    </row>
    <row r="6034" spans="1:7">
      <c r="A6034" s="3275"/>
      <c r="B6034" s="3276"/>
      <c r="C6034" s="3276" t="s">
        <v>1266</v>
      </c>
      <c r="D6034" s="3276"/>
      <c r="E6034" s="3288">
        <f t="shared" si="141"/>
        <v>9.9426386233269673E-2</v>
      </c>
      <c r="F6034" s="3301">
        <v>4.71</v>
      </c>
      <c r="G6034" s="3307">
        <v>5.23</v>
      </c>
    </row>
    <row r="6035" spans="1:7">
      <c r="A6035" s="3275"/>
      <c r="B6035" s="3276"/>
      <c r="C6035" s="3276" t="s">
        <v>1814</v>
      </c>
      <c r="D6035" s="3276"/>
      <c r="E6035" s="3288">
        <f t="shared" si="141"/>
        <v>9.9426386233269673E-2</v>
      </c>
      <c r="F6035" s="3301">
        <v>4.71</v>
      </c>
      <c r="G6035" s="3302">
        <v>5.23</v>
      </c>
    </row>
    <row r="6036" spans="1:7">
      <c r="A6036" s="3275"/>
      <c r="B6036" s="3276"/>
      <c r="C6036" s="3276" t="s">
        <v>1174</v>
      </c>
      <c r="D6036" s="3276"/>
      <c r="E6036" s="3288">
        <f t="shared" si="141"/>
        <v>9.9999999999999964E-2</v>
      </c>
      <c r="F6036" s="3301">
        <v>3.06</v>
      </c>
      <c r="G6036" s="3302">
        <v>3.4</v>
      </c>
    </row>
    <row r="6037" spans="1:7">
      <c r="A6037" s="3275"/>
      <c r="B6037" s="3276"/>
      <c r="C6037" s="3276" t="s">
        <v>1511</v>
      </c>
      <c r="D6037" s="3276"/>
      <c r="E6037" s="3288">
        <f t="shared" si="141"/>
        <v>9.9999999999999964E-2</v>
      </c>
      <c r="F6037" s="3301">
        <v>3.06</v>
      </c>
      <c r="G6037" s="3302">
        <v>3.4</v>
      </c>
    </row>
    <row r="6038" spans="1:7">
      <c r="A6038" s="3275"/>
      <c r="B6038" s="3276"/>
      <c r="C6038" s="3276" t="s">
        <v>1293</v>
      </c>
      <c r="D6038" s="3276"/>
      <c r="E6038" s="3288">
        <f t="shared" si="141"/>
        <v>0.1241202815099169</v>
      </c>
      <c r="F6038" s="3301">
        <v>13.69</v>
      </c>
      <c r="G6038" s="3302">
        <v>15.63</v>
      </c>
    </row>
    <row r="6039" spans="1:7">
      <c r="A6039" s="3275"/>
      <c r="B6039" s="3276"/>
      <c r="C6039" s="3276" t="s">
        <v>1294</v>
      </c>
      <c r="D6039" s="3276"/>
      <c r="E6039" s="3288">
        <f t="shared" si="141"/>
        <v>0.15017301038062283</v>
      </c>
      <c r="F6039" s="3301">
        <v>12.28</v>
      </c>
      <c r="G6039" s="3302">
        <v>14.45</v>
      </c>
    </row>
    <row r="6040" spans="1:7">
      <c r="A6040" s="3275"/>
      <c r="B6040" s="3276"/>
      <c r="C6040" s="3276" t="s">
        <v>1295</v>
      </c>
      <c r="D6040" s="3276"/>
      <c r="E6040" s="3288">
        <f t="shared" si="141"/>
        <v>0.14988814317673377</v>
      </c>
      <c r="F6040" s="3301">
        <v>11.4</v>
      </c>
      <c r="G6040" s="3302">
        <v>13.41</v>
      </c>
    </row>
    <row r="6041" spans="1:7">
      <c r="A6041" s="3275"/>
      <c r="B6041" s="3276"/>
      <c r="C6041" s="3276" t="s">
        <v>3815</v>
      </c>
      <c r="D6041" s="3276"/>
      <c r="E6041" s="3288">
        <f t="shared" si="141"/>
        <v>0.15168539325842698</v>
      </c>
      <c r="F6041" s="3301">
        <v>1.51</v>
      </c>
      <c r="G6041" s="3302">
        <v>1.78</v>
      </c>
    </row>
    <row r="6042" spans="1:7">
      <c r="A6042" s="3275"/>
      <c r="B6042" s="3276"/>
      <c r="C6042" s="3276" t="s">
        <v>3815</v>
      </c>
      <c r="D6042" s="3276"/>
      <c r="E6042" s="3288">
        <f t="shared" si="141"/>
        <v>0.15168539325842698</v>
      </c>
      <c r="F6042" s="3301">
        <v>1.51</v>
      </c>
      <c r="G6042" s="3302">
        <v>1.78</v>
      </c>
    </row>
    <row r="6043" spans="1:7" ht="15.75" thickBot="1">
      <c r="A6043" s="3279"/>
      <c r="B6043" s="3280"/>
      <c r="C6043" s="3280" t="s">
        <v>3816</v>
      </c>
      <c r="D6043" s="3280"/>
      <c r="E6043" s="3292">
        <f t="shared" si="141"/>
        <v>0.15061728395061727</v>
      </c>
      <c r="F6043" s="3304">
        <v>3.44</v>
      </c>
      <c r="G6043" s="3305">
        <v>4.05</v>
      </c>
    </row>
    <row r="6044" spans="1:7" ht="15.75" thickBot="1"/>
    <row r="6045" spans="1:7">
      <c r="A6045" s="3593"/>
      <c r="B6045" s="3601"/>
      <c r="C6045" s="3601"/>
      <c r="D6045" s="3601"/>
      <c r="E6045" s="3601"/>
      <c r="F6045" s="3601"/>
      <c r="G6045" s="3559"/>
    </row>
    <row r="6046" spans="1:7" ht="15.75" thickBot="1">
      <c r="A6046" s="3909"/>
      <c r="B6046" s="3907"/>
      <c r="C6046" s="3907"/>
      <c r="D6046" s="3907"/>
      <c r="E6046" s="3907"/>
      <c r="F6046" s="3907"/>
      <c r="G6046" s="3904"/>
    </row>
    <row r="6047" spans="1:7">
      <c r="A6047" s="2870" t="s">
        <v>3908</v>
      </c>
      <c r="B6047" s="2871" t="s">
        <v>114</v>
      </c>
      <c r="C6047" s="2181" t="s">
        <v>3909</v>
      </c>
      <c r="D6047" s="2872"/>
      <c r="E6047" s="2182">
        <f>(G6047-F6047)/G6047</f>
        <v>0.42307692307692313</v>
      </c>
      <c r="F6047" s="2468">
        <v>1.2</v>
      </c>
      <c r="G6047" s="3167">
        <v>2.08</v>
      </c>
    </row>
    <row r="6048" spans="1:7" ht="15.75" thickBot="1">
      <c r="A6048" s="3327"/>
      <c r="B6048" s="3328"/>
      <c r="C6048" s="3328" t="s">
        <v>2462</v>
      </c>
      <c r="D6048" s="3328"/>
      <c r="E6048" s="3342">
        <f t="shared" ref="E6048" si="142">(G6048-F6048)/G6048</f>
        <v>0.27272727272727271</v>
      </c>
      <c r="F6048" s="3343">
        <v>1.2</v>
      </c>
      <c r="G6048" s="3344">
        <v>1.65</v>
      </c>
    </row>
    <row r="6049" spans="1:7" ht="15.75" thickBot="1"/>
    <row r="6050" spans="1:7">
      <c r="A6050" s="3572" t="s">
        <v>0</v>
      </c>
      <c r="B6050" s="3557" t="s">
        <v>1</v>
      </c>
      <c r="C6050" s="3557" t="s">
        <v>2</v>
      </c>
      <c r="D6050" s="3557" t="s">
        <v>3</v>
      </c>
      <c r="E6050" s="3557" t="s">
        <v>4</v>
      </c>
      <c r="F6050" s="3557" t="s">
        <v>5</v>
      </c>
      <c r="G6050" s="3559" t="s">
        <v>3504</v>
      </c>
    </row>
    <row r="6051" spans="1:7" ht="15.75" thickBot="1">
      <c r="A6051" s="3905"/>
      <c r="B6051" s="3906"/>
      <c r="C6051" s="3906"/>
      <c r="D6051" s="3906"/>
      <c r="E6051" s="3906"/>
      <c r="F6051" s="3906"/>
      <c r="G6051" s="3910"/>
    </row>
    <row r="6052" spans="1:7">
      <c r="A6052" s="2668" t="s">
        <v>3911</v>
      </c>
      <c r="B6052" s="1690" t="s">
        <v>3229</v>
      </c>
      <c r="C6052" s="2765" t="s">
        <v>1258</v>
      </c>
      <c r="D6052" s="2766"/>
      <c r="E6052" s="3067">
        <f>(G6052-F6052)/G6052</f>
        <v>0.11987560079163129</v>
      </c>
      <c r="F6052" s="3156">
        <v>31.13</v>
      </c>
      <c r="G6052" s="3157">
        <v>35.369999999999997</v>
      </c>
    </row>
    <row r="6053" spans="1:7">
      <c r="A6053" s="3275"/>
      <c r="B6053" s="3276"/>
      <c r="C6053" s="3276" t="s">
        <v>1259</v>
      </c>
      <c r="D6053" s="3276"/>
      <c r="E6053" s="3288">
        <f>(G6053-F6053)/G6053</f>
        <v>0.1199603436880371</v>
      </c>
      <c r="F6053" s="3301">
        <v>26.63</v>
      </c>
      <c r="G6053" s="3306">
        <v>30.26</v>
      </c>
    </row>
    <row r="6054" spans="1:7">
      <c r="A6054" s="3275"/>
      <c r="B6054" s="3276"/>
      <c r="C6054" s="3276" t="s">
        <v>3020</v>
      </c>
      <c r="D6054" s="3276"/>
      <c r="E6054" s="3288">
        <f t="shared" ref="E6054:E6070" si="143">(G6054-F6054)/G6054</f>
        <v>0.15012722646310431</v>
      </c>
      <c r="F6054" s="3301">
        <v>10.02</v>
      </c>
      <c r="G6054" s="3307">
        <v>11.79</v>
      </c>
    </row>
    <row r="6055" spans="1:7">
      <c r="A6055" s="3275"/>
      <c r="B6055" s="3276"/>
      <c r="C6055" s="3276" t="s">
        <v>1176</v>
      </c>
      <c r="D6055" s="3276"/>
      <c r="E6055" s="3288">
        <f t="shared" si="143"/>
        <v>0.15003261578604049</v>
      </c>
      <c r="F6055" s="3301">
        <v>13.03</v>
      </c>
      <c r="G6055" s="3307">
        <v>15.33</v>
      </c>
    </row>
    <row r="6056" spans="1:7">
      <c r="A6056" s="3275"/>
      <c r="B6056" s="3276"/>
      <c r="C6056" s="3276" t="s">
        <v>3021</v>
      </c>
      <c r="D6056" s="3276"/>
      <c r="E6056" s="3288">
        <f t="shared" si="143"/>
        <v>0.15178571428571441</v>
      </c>
      <c r="F6056" s="3301">
        <v>1.9</v>
      </c>
      <c r="G6056" s="3307">
        <v>2.2400000000000002</v>
      </c>
    </row>
    <row r="6057" spans="1:7">
      <c r="A6057" s="3275"/>
      <c r="B6057" s="3276"/>
      <c r="C6057" s="3276" t="s">
        <v>1272</v>
      </c>
      <c r="D6057" s="3276"/>
      <c r="E6057" s="3288">
        <f t="shared" si="143"/>
        <v>0.15099009900990096</v>
      </c>
      <c r="F6057" s="3301">
        <v>3.43</v>
      </c>
      <c r="G6057" s="3307">
        <v>4.04</v>
      </c>
    </row>
    <row r="6058" spans="1:7">
      <c r="A6058" s="3275"/>
      <c r="B6058" s="3276"/>
      <c r="C6058" s="3276" t="s">
        <v>1271</v>
      </c>
      <c r="D6058" s="3276"/>
      <c r="E6058" s="3288">
        <f t="shared" si="143"/>
        <v>0.11990471148755959</v>
      </c>
      <c r="F6058" s="3301">
        <v>33.25</v>
      </c>
      <c r="G6058" s="3307">
        <v>37.78</v>
      </c>
    </row>
    <row r="6059" spans="1:7">
      <c r="A6059" s="3275"/>
      <c r="B6059" s="3276"/>
      <c r="C6059" s="3276" t="s">
        <v>1175</v>
      </c>
      <c r="D6059" s="3276"/>
      <c r="E6059" s="3288">
        <f t="shared" si="143"/>
        <v>0.1001821493624772</v>
      </c>
      <c r="F6059" s="3301">
        <v>4.9400000000000004</v>
      </c>
      <c r="G6059" s="3307">
        <v>5.49</v>
      </c>
    </row>
    <row r="6060" spans="1:7">
      <c r="A6060" s="3275"/>
      <c r="B6060" s="3276"/>
      <c r="C6060" s="3276" t="s">
        <v>2460</v>
      </c>
      <c r="D6060" s="3276"/>
      <c r="E6060" s="3288">
        <f t="shared" si="143"/>
        <v>0.1001821493624772</v>
      </c>
      <c r="F6060" s="3301">
        <v>4.9400000000000004</v>
      </c>
      <c r="G6060" s="3307">
        <v>5.49</v>
      </c>
    </row>
    <row r="6061" spans="1:7">
      <c r="A6061" s="3275"/>
      <c r="B6061" s="3276"/>
      <c r="C6061" s="3276" t="s">
        <v>1266</v>
      </c>
      <c r="D6061" s="3276"/>
      <c r="E6061" s="3288">
        <f t="shared" si="143"/>
        <v>9.9426386233269673E-2</v>
      </c>
      <c r="F6061" s="3301">
        <v>4.71</v>
      </c>
      <c r="G6061" s="3307">
        <v>5.23</v>
      </c>
    </row>
    <row r="6062" spans="1:7">
      <c r="A6062" s="3275"/>
      <c r="B6062" s="3276"/>
      <c r="C6062" s="3276" t="s">
        <v>1814</v>
      </c>
      <c r="D6062" s="3276"/>
      <c r="E6062" s="3288">
        <f t="shared" si="143"/>
        <v>9.9426386233269673E-2</v>
      </c>
      <c r="F6062" s="3301">
        <v>4.71</v>
      </c>
      <c r="G6062" s="3302">
        <v>5.23</v>
      </c>
    </row>
    <row r="6063" spans="1:7">
      <c r="A6063" s="3275"/>
      <c r="B6063" s="3276"/>
      <c r="C6063" s="3276" t="s">
        <v>1174</v>
      </c>
      <c r="D6063" s="3276"/>
      <c r="E6063" s="3288">
        <f t="shared" si="143"/>
        <v>9.9999999999999964E-2</v>
      </c>
      <c r="F6063" s="3301">
        <v>3.06</v>
      </c>
      <c r="G6063" s="3302">
        <v>3.4</v>
      </c>
    </row>
    <row r="6064" spans="1:7">
      <c r="A6064" s="3275"/>
      <c r="B6064" s="3276"/>
      <c r="C6064" s="3276" t="s">
        <v>1511</v>
      </c>
      <c r="D6064" s="3276"/>
      <c r="E6064" s="3288">
        <f t="shared" si="143"/>
        <v>9.9999999999999964E-2</v>
      </c>
      <c r="F6064" s="3301">
        <v>3.06</v>
      </c>
      <c r="G6064" s="3302">
        <v>3.4</v>
      </c>
    </row>
    <row r="6065" spans="1:7">
      <c r="A6065" s="3275"/>
      <c r="B6065" s="3276"/>
      <c r="C6065" s="3276" t="s">
        <v>1293</v>
      </c>
      <c r="D6065" s="3276"/>
      <c r="E6065" s="3288">
        <f t="shared" si="143"/>
        <v>0.14971209213051834</v>
      </c>
      <c r="F6065" s="3301">
        <v>13.29</v>
      </c>
      <c r="G6065" s="3302">
        <v>15.63</v>
      </c>
    </row>
    <row r="6066" spans="1:7">
      <c r="A6066" s="3275"/>
      <c r="B6066" s="3276"/>
      <c r="C6066" s="3276" t="s">
        <v>1294</v>
      </c>
      <c r="D6066" s="3276"/>
      <c r="E6066" s="3288">
        <f t="shared" si="143"/>
        <v>0.15017301038062283</v>
      </c>
      <c r="F6066" s="3301">
        <v>12.28</v>
      </c>
      <c r="G6066" s="3302">
        <v>14.45</v>
      </c>
    </row>
    <row r="6067" spans="1:7">
      <c r="A6067" s="3275"/>
      <c r="B6067" s="3276"/>
      <c r="C6067" s="3276" t="s">
        <v>1295</v>
      </c>
      <c r="D6067" s="3276"/>
      <c r="E6067" s="3288">
        <f t="shared" si="143"/>
        <v>0.14988814317673377</v>
      </c>
      <c r="F6067" s="3301">
        <v>11.4</v>
      </c>
      <c r="G6067" s="3302">
        <v>13.41</v>
      </c>
    </row>
    <row r="6068" spans="1:7">
      <c r="A6068" s="3275"/>
      <c r="B6068" s="3276"/>
      <c r="C6068" s="3276" t="s">
        <v>3815</v>
      </c>
      <c r="D6068" s="3276"/>
      <c r="E6068" s="3288">
        <f t="shared" si="143"/>
        <v>0.15168539325842698</v>
      </c>
      <c r="F6068" s="3301">
        <v>1.51</v>
      </c>
      <c r="G6068" s="3302">
        <v>1.78</v>
      </c>
    </row>
    <row r="6069" spans="1:7">
      <c r="A6069" s="3275"/>
      <c r="B6069" s="3276"/>
      <c r="C6069" s="3276" t="s">
        <v>3815</v>
      </c>
      <c r="D6069" s="3276"/>
      <c r="E6069" s="3288">
        <f t="shared" si="143"/>
        <v>0.15168539325842698</v>
      </c>
      <c r="F6069" s="3301">
        <v>1.51</v>
      </c>
      <c r="G6069" s="3302">
        <v>1.78</v>
      </c>
    </row>
    <row r="6070" spans="1:7" ht="15.75" thickBot="1">
      <c r="A6070" s="3279"/>
      <c r="B6070" s="3280"/>
      <c r="C6070" s="3280" t="s">
        <v>3816</v>
      </c>
      <c r="D6070" s="3280"/>
      <c r="E6070" s="3292">
        <f t="shared" si="143"/>
        <v>0.15061728395061727</v>
      </c>
      <c r="F6070" s="3304">
        <v>3.44</v>
      </c>
      <c r="G6070" s="3305">
        <v>4.05</v>
      </c>
    </row>
    <row r="6071" spans="1:7" ht="15.75" thickBot="1"/>
    <row r="6072" spans="1:7">
      <c r="A6072" s="3572"/>
      <c r="B6072" s="3557"/>
      <c r="C6072" s="3557"/>
      <c r="D6072" s="3557"/>
      <c r="E6072" s="3557"/>
      <c r="F6072" s="3557"/>
      <c r="G6072" s="3559"/>
    </row>
    <row r="6073" spans="1:7" ht="15.75" thickBot="1">
      <c r="A6073" s="3911"/>
      <c r="B6073" s="3906"/>
      <c r="C6073" s="3906"/>
      <c r="D6073" s="3906"/>
      <c r="E6073" s="3906"/>
      <c r="F6073" s="3906"/>
      <c r="G6073" s="3904"/>
    </row>
    <row r="6074" spans="1:7">
      <c r="A6074" s="2668" t="s">
        <v>3913</v>
      </c>
      <c r="B6074" s="1690" t="s">
        <v>106</v>
      </c>
      <c r="C6074" s="2765" t="s">
        <v>3254</v>
      </c>
      <c r="D6074" s="2766"/>
      <c r="E6074" s="3067">
        <f>(G6074-F6074)/G6074</f>
        <v>0.46978557504873292</v>
      </c>
      <c r="F6074" s="3156">
        <v>2.72</v>
      </c>
      <c r="G6074" s="3157">
        <v>5.13</v>
      </c>
    </row>
    <row r="6075" spans="1:7">
      <c r="A6075" s="3324"/>
      <c r="B6075" s="3319"/>
      <c r="C6075" s="3319" t="s">
        <v>3236</v>
      </c>
      <c r="D6075" s="3319"/>
      <c r="E6075" s="3353">
        <f>(G6075-F6075)/G6075</f>
        <v>0.46978557504873292</v>
      </c>
      <c r="F6075" s="3354">
        <v>2.72</v>
      </c>
      <c r="G6075" s="3355">
        <v>5.13</v>
      </c>
    </row>
    <row r="6076" spans="1:7">
      <c r="A6076" s="3324"/>
      <c r="B6076" s="3319"/>
      <c r="C6076" s="3319" t="s">
        <v>3237</v>
      </c>
      <c r="D6076" s="3319"/>
      <c r="E6076" s="3353">
        <f t="shared" ref="E6076:E6080" si="144">(G6076-F6076)/G6076</f>
        <v>0.46978557504873292</v>
      </c>
      <c r="F6076" s="3354">
        <v>2.72</v>
      </c>
      <c r="G6076" s="3356">
        <v>5.13</v>
      </c>
    </row>
    <row r="6077" spans="1:7">
      <c r="A6077" s="3324"/>
      <c r="B6077" s="3319"/>
      <c r="C6077" s="3319" t="s">
        <v>1614</v>
      </c>
      <c r="D6077" s="3319"/>
      <c r="E6077" s="3353">
        <f t="shared" si="144"/>
        <v>0.35483870967741937</v>
      </c>
      <c r="F6077" s="3354">
        <v>1</v>
      </c>
      <c r="G6077" s="3323">
        <v>1.55</v>
      </c>
    </row>
    <row r="6078" spans="1:7">
      <c r="A6078" s="3324"/>
      <c r="B6078" s="3319"/>
      <c r="C6078" s="3319" t="s">
        <v>2792</v>
      </c>
      <c r="D6078" s="3319"/>
      <c r="E6078" s="3353">
        <f t="shared" si="144"/>
        <v>0.35483870967741937</v>
      </c>
      <c r="F6078" s="3354">
        <v>1</v>
      </c>
      <c r="G6078" s="3323">
        <v>1.55</v>
      </c>
    </row>
    <row r="6079" spans="1:7">
      <c r="A6079" s="3324"/>
      <c r="B6079" s="3319"/>
      <c r="C6079" s="3319" t="s">
        <v>686</v>
      </c>
      <c r="D6079" s="3319"/>
      <c r="E6079" s="3353">
        <f t="shared" si="144"/>
        <v>0.35537190082644626</v>
      </c>
      <c r="F6079" s="3354">
        <v>1.56</v>
      </c>
      <c r="G6079" s="3323">
        <v>2.42</v>
      </c>
    </row>
    <row r="6080" spans="1:7" ht="15.75" thickBot="1">
      <c r="A6080" s="3327"/>
      <c r="B6080" s="3328"/>
      <c r="C6080" s="3328" t="s">
        <v>3409</v>
      </c>
      <c r="D6080" s="3328"/>
      <c r="E6080" s="3357">
        <f t="shared" si="144"/>
        <v>0.36775818639798497</v>
      </c>
      <c r="F6080" s="3343">
        <v>2.5099999999999998</v>
      </c>
      <c r="G6080" s="3334">
        <v>3.97</v>
      </c>
    </row>
    <row r="6081" spans="1:7" ht="15.75" thickBot="1"/>
    <row r="6082" spans="1:7">
      <c r="A6082" s="3572"/>
      <c r="B6082" s="3557"/>
      <c r="C6082" s="3557"/>
      <c r="D6082" s="3557"/>
      <c r="E6082" s="3557"/>
      <c r="F6082" s="3557"/>
      <c r="G6082" s="3559"/>
    </row>
    <row r="6083" spans="1:7" ht="15.75" thickBot="1">
      <c r="A6083" s="3911"/>
      <c r="B6083" s="3906"/>
      <c r="C6083" s="3906"/>
      <c r="D6083" s="3906"/>
      <c r="E6083" s="3906"/>
      <c r="F6083" s="3906"/>
      <c r="G6083" s="3904"/>
    </row>
    <row r="6084" spans="1:7">
      <c r="A6084" s="2668" t="s">
        <v>3915</v>
      </c>
      <c r="B6084" s="1690" t="s">
        <v>106</v>
      </c>
      <c r="C6084" s="2765" t="s">
        <v>554</v>
      </c>
      <c r="D6084" s="2766"/>
      <c r="E6084" s="3067">
        <f>(G6084-F6084)/G6084</f>
        <v>0.19696969696969696</v>
      </c>
      <c r="F6084" s="3156">
        <v>1.06</v>
      </c>
      <c r="G6084" s="3157">
        <v>1.32</v>
      </c>
    </row>
    <row r="6085" spans="1:7">
      <c r="A6085" s="3324"/>
      <c r="B6085" s="3319"/>
      <c r="C6085" s="3319" t="s">
        <v>1120</v>
      </c>
      <c r="D6085" s="3319"/>
      <c r="E6085" s="3353">
        <f t="shared" ref="E6085:E6089" si="145">(G6085-F6085)/G6085</f>
        <v>0.20000000000000007</v>
      </c>
      <c r="F6085" s="3354">
        <v>0.44</v>
      </c>
      <c r="G6085" s="3355">
        <v>0.55000000000000004</v>
      </c>
    </row>
    <row r="6086" spans="1:7">
      <c r="A6086" s="3324"/>
      <c r="B6086" s="3319"/>
      <c r="C6086" s="3319" t="s">
        <v>3256</v>
      </c>
      <c r="D6086" s="3319"/>
      <c r="E6086" s="3353">
        <f t="shared" si="145"/>
        <v>0.19980506822612076</v>
      </c>
      <c r="F6086" s="3354">
        <v>8.2100000000000009</v>
      </c>
      <c r="G6086" s="3356">
        <v>10.26</v>
      </c>
    </row>
    <row r="6087" spans="1:7">
      <c r="A6087" s="3324"/>
      <c r="B6087" s="3319"/>
      <c r="C6087" s="3319" t="s">
        <v>3257</v>
      </c>
      <c r="D6087" s="3319"/>
      <c r="E6087" s="3353">
        <f t="shared" si="145"/>
        <v>0.19980506822612076</v>
      </c>
      <c r="F6087" s="3354">
        <v>8.2100000000000009</v>
      </c>
      <c r="G6087" s="3356">
        <v>10.26</v>
      </c>
    </row>
    <row r="6088" spans="1:7">
      <c r="A6088" s="3324"/>
      <c r="B6088" s="3319"/>
      <c r="C6088" s="3319" t="s">
        <v>3258</v>
      </c>
      <c r="D6088" s="3319"/>
      <c r="E6088" s="3353">
        <f t="shared" si="145"/>
        <v>0.19980506822612076</v>
      </c>
      <c r="F6088" s="3354">
        <v>8.2100000000000009</v>
      </c>
      <c r="G6088" s="3356">
        <v>10.26</v>
      </c>
    </row>
    <row r="6089" spans="1:7" ht="15.75" thickBot="1">
      <c r="A6089" s="3327"/>
      <c r="B6089" s="3328"/>
      <c r="C6089" s="3328" t="s">
        <v>3259</v>
      </c>
      <c r="D6089" s="3328"/>
      <c r="E6089" s="3357">
        <f t="shared" si="145"/>
        <v>0.19980506822612076</v>
      </c>
      <c r="F6089" s="3343">
        <v>8.2100000000000009</v>
      </c>
      <c r="G6089" s="3374">
        <v>10.26</v>
      </c>
    </row>
    <row r="6090" spans="1:7" ht="15.75" thickBot="1"/>
    <row r="6091" spans="1:7">
      <c r="A6091" s="3593"/>
      <c r="B6091" s="3601"/>
      <c r="C6091" s="3601"/>
      <c r="D6091" s="3601"/>
      <c r="E6091" s="3601"/>
      <c r="F6091" s="3601"/>
      <c r="G6091" s="3559"/>
    </row>
    <row r="6092" spans="1:7" ht="15.75" thickBot="1">
      <c r="A6092" s="3909"/>
      <c r="B6092" s="3907"/>
      <c r="C6092" s="3907"/>
      <c r="D6092" s="3907"/>
      <c r="E6092" s="3907"/>
      <c r="F6092" s="3907"/>
      <c r="G6092" s="3904"/>
    </row>
    <row r="6093" spans="1:7">
      <c r="A6093" s="2870" t="s">
        <v>3908</v>
      </c>
      <c r="B6093" s="2871" t="s">
        <v>114</v>
      </c>
      <c r="C6093" s="2181" t="s">
        <v>3894</v>
      </c>
      <c r="D6093" s="2872"/>
      <c r="E6093" s="2182">
        <f>(G6093-F6093)/G6093</f>
        <v>0.23829787234042554</v>
      </c>
      <c r="F6093" s="2468">
        <v>1.79</v>
      </c>
      <c r="G6093" s="3167">
        <v>2.35</v>
      </c>
    </row>
    <row r="6094" spans="1:7" ht="15.75" thickBot="1">
      <c r="A6094" s="3327"/>
      <c r="B6094" s="3328"/>
      <c r="C6094" s="3328" t="s">
        <v>2383</v>
      </c>
      <c r="D6094" s="3328"/>
      <c r="E6094" s="3342">
        <f t="shared" ref="E6094" si="146">(G6094-F6094)/G6094</f>
        <v>0.24186046511627909</v>
      </c>
      <c r="F6094" s="3343">
        <v>3.26</v>
      </c>
      <c r="G6094" s="3344">
        <v>4.3</v>
      </c>
    </row>
    <row r="6095" spans="1:7" ht="15.75" thickBot="1"/>
    <row r="6096" spans="1:7">
      <c r="A6096" s="3572" t="s">
        <v>0</v>
      </c>
      <c r="B6096" s="3557" t="s">
        <v>1</v>
      </c>
      <c r="C6096" s="3557" t="s">
        <v>2</v>
      </c>
      <c r="D6096" s="3557" t="s">
        <v>3</v>
      </c>
      <c r="E6096" s="3557" t="s">
        <v>4</v>
      </c>
      <c r="F6096" s="3557" t="s">
        <v>5</v>
      </c>
      <c r="G6096" s="3559" t="s">
        <v>3504</v>
      </c>
    </row>
    <row r="6097" spans="1:7" ht="15.75" thickBot="1">
      <c r="A6097" s="3905"/>
      <c r="B6097" s="3906"/>
      <c r="C6097" s="3906"/>
      <c r="D6097" s="3906"/>
      <c r="E6097" s="3906"/>
      <c r="F6097" s="3906"/>
      <c r="G6097" s="3910"/>
    </row>
    <row r="6098" spans="1:7">
      <c r="A6098" s="2668" t="s">
        <v>3924</v>
      </c>
      <c r="B6098" s="1690" t="s">
        <v>3229</v>
      </c>
      <c r="C6098" s="2765" t="s">
        <v>1120</v>
      </c>
      <c r="D6098" s="2766"/>
      <c r="E6098" s="3067">
        <f>(G6098-F6098)/G6098</f>
        <v>0.14814814814814817</v>
      </c>
      <c r="F6098" s="3156">
        <v>0.46</v>
      </c>
      <c r="G6098" s="3157">
        <v>0.54</v>
      </c>
    </row>
    <row r="6099" spans="1:7">
      <c r="A6099" s="3324"/>
      <c r="B6099" s="3319"/>
      <c r="C6099" s="3319" t="s">
        <v>554</v>
      </c>
      <c r="D6099" s="3319"/>
      <c r="E6099" s="3353">
        <f>(G6099-F6099)/G6099</f>
        <v>0.14728682170542631</v>
      </c>
      <c r="F6099" s="3354">
        <v>1.1000000000000001</v>
      </c>
      <c r="G6099" s="3355">
        <v>1.29</v>
      </c>
    </row>
    <row r="6100" spans="1:7">
      <c r="A6100" s="3324"/>
      <c r="B6100" s="3319"/>
      <c r="C6100" s="3319" t="s">
        <v>3315</v>
      </c>
      <c r="D6100" s="3319"/>
      <c r="E6100" s="3353">
        <f t="shared" ref="E6100:E6113" si="147">(G6100-F6100)/G6100</f>
        <v>0.14893617021276587</v>
      </c>
      <c r="F6100" s="3354">
        <v>0.8</v>
      </c>
      <c r="G6100" s="3356">
        <v>0.94</v>
      </c>
    </row>
    <row r="6101" spans="1:7">
      <c r="A6101" s="3324"/>
      <c r="B6101" s="3319"/>
      <c r="C6101" s="3319" t="s">
        <v>3316</v>
      </c>
      <c r="D6101" s="3319"/>
      <c r="E6101" s="3353">
        <f t="shared" si="147"/>
        <v>0.14893617021276587</v>
      </c>
      <c r="F6101" s="3354">
        <v>0.8</v>
      </c>
      <c r="G6101" s="3356">
        <v>0.94</v>
      </c>
    </row>
    <row r="6102" spans="1:7">
      <c r="A6102" s="3324"/>
      <c r="B6102" s="3319"/>
      <c r="C6102" s="3319" t="s">
        <v>3317</v>
      </c>
      <c r="D6102" s="3319"/>
      <c r="E6102" s="3353">
        <f t="shared" si="147"/>
        <v>0.14893617021276587</v>
      </c>
      <c r="F6102" s="3354">
        <v>0.8</v>
      </c>
      <c r="G6102" s="3356">
        <v>0.94</v>
      </c>
    </row>
    <row r="6103" spans="1:7">
      <c r="A6103" s="3324"/>
      <c r="B6103" s="3319"/>
      <c r="C6103" s="3319" t="s">
        <v>2115</v>
      </c>
      <c r="D6103" s="3319"/>
      <c r="E6103" s="3353">
        <f t="shared" si="147"/>
        <v>0.14970059880239522</v>
      </c>
      <c r="F6103" s="3354">
        <v>1.42</v>
      </c>
      <c r="G6103" s="3356">
        <v>1.67</v>
      </c>
    </row>
    <row r="6104" spans="1:7">
      <c r="A6104" s="3324"/>
      <c r="B6104" s="3319"/>
      <c r="C6104" s="3319" t="s">
        <v>2116</v>
      </c>
      <c r="D6104" s="3319"/>
      <c r="E6104" s="3353">
        <f t="shared" si="147"/>
        <v>0.14970059880239522</v>
      </c>
      <c r="F6104" s="3354">
        <v>1.42</v>
      </c>
      <c r="G6104" s="3356">
        <v>1.67</v>
      </c>
    </row>
    <row r="6105" spans="1:7">
      <c r="A6105" s="3324"/>
      <c r="B6105" s="3319"/>
      <c r="C6105" s="3319" t="s">
        <v>2066</v>
      </c>
      <c r="D6105" s="3319"/>
      <c r="E6105" s="3353">
        <f t="shared" si="147"/>
        <v>0.14970059880239522</v>
      </c>
      <c r="F6105" s="3354">
        <v>1.42</v>
      </c>
      <c r="G6105" s="3356">
        <v>1.67</v>
      </c>
    </row>
    <row r="6106" spans="1:7">
      <c r="A6106" s="3324"/>
      <c r="B6106" s="3319"/>
      <c r="C6106" s="3319" t="s">
        <v>1090</v>
      </c>
      <c r="D6106" s="3319"/>
      <c r="E6106" s="3353">
        <f t="shared" si="147"/>
        <v>0.15286624203821655</v>
      </c>
      <c r="F6106" s="3354">
        <v>1.33</v>
      </c>
      <c r="G6106" s="3356">
        <v>1.57</v>
      </c>
    </row>
    <row r="6107" spans="1:7">
      <c r="A6107" s="3324"/>
      <c r="B6107" s="3319"/>
      <c r="C6107" s="3319" t="s">
        <v>1091</v>
      </c>
      <c r="D6107" s="3319"/>
      <c r="E6107" s="3353">
        <f t="shared" si="147"/>
        <v>0.15286624203821655</v>
      </c>
      <c r="F6107" s="3354">
        <v>1.33</v>
      </c>
      <c r="G6107" s="3356">
        <v>1.57</v>
      </c>
    </row>
    <row r="6108" spans="1:7">
      <c r="A6108" s="3324"/>
      <c r="B6108" s="3319"/>
      <c r="C6108" s="3319" t="s">
        <v>1092</v>
      </c>
      <c r="D6108" s="3319"/>
      <c r="E6108" s="3353">
        <f t="shared" si="147"/>
        <v>0.15286624203821655</v>
      </c>
      <c r="F6108" s="3354">
        <v>1.33</v>
      </c>
      <c r="G6108" s="3323">
        <v>1.57</v>
      </c>
    </row>
    <row r="6109" spans="1:7">
      <c r="A6109" s="3324"/>
      <c r="B6109" s="3319"/>
      <c r="C6109" s="3319" t="s">
        <v>2801</v>
      </c>
      <c r="D6109" s="3319"/>
      <c r="E6109" s="3353">
        <f t="shared" si="147"/>
        <v>0.1518324607329842</v>
      </c>
      <c r="F6109" s="3354">
        <v>1.62</v>
      </c>
      <c r="G6109" s="3323">
        <v>1.91</v>
      </c>
    </row>
    <row r="6110" spans="1:7">
      <c r="A6110" s="3324"/>
      <c r="B6110" s="3319"/>
      <c r="C6110" s="3319" t="s">
        <v>2802</v>
      </c>
      <c r="D6110" s="3319"/>
      <c r="E6110" s="3353">
        <f t="shared" si="147"/>
        <v>0.1518324607329842</v>
      </c>
      <c r="F6110" s="3354">
        <v>1.62</v>
      </c>
      <c r="G6110" s="3323">
        <v>1.91</v>
      </c>
    </row>
    <row r="6111" spans="1:7">
      <c r="A6111" s="3324"/>
      <c r="B6111" s="3319"/>
      <c r="C6111" s="3319" t="s">
        <v>2426</v>
      </c>
      <c r="D6111" s="3319"/>
      <c r="E6111" s="3353">
        <f t="shared" si="147"/>
        <v>0.15137614678899083</v>
      </c>
      <c r="F6111" s="3354">
        <v>1.85</v>
      </c>
      <c r="G6111" s="3323">
        <v>2.1800000000000002</v>
      </c>
    </row>
    <row r="6112" spans="1:7">
      <c r="A6112" s="3324"/>
      <c r="B6112" s="3319"/>
      <c r="C6112" s="3319" t="s">
        <v>2425</v>
      </c>
      <c r="D6112" s="3319"/>
      <c r="E6112" s="3353">
        <f t="shared" si="147"/>
        <v>0.15137614678899083</v>
      </c>
      <c r="F6112" s="3354">
        <v>1.85</v>
      </c>
      <c r="G6112" s="3323">
        <v>2.1800000000000002</v>
      </c>
    </row>
    <row r="6113" spans="1:7" ht="15.75" thickBot="1">
      <c r="A6113" s="3327"/>
      <c r="B6113" s="3328"/>
      <c r="C6113" s="3328" t="s">
        <v>1058</v>
      </c>
      <c r="D6113" s="3328"/>
      <c r="E6113" s="3357">
        <f t="shared" si="147"/>
        <v>0.15178571428571441</v>
      </c>
      <c r="F6113" s="3343">
        <v>1.9</v>
      </c>
      <c r="G6113" s="3334">
        <v>2.2400000000000002</v>
      </c>
    </row>
    <row r="6114" spans="1:7" ht="15.75" thickBot="1"/>
    <row r="6115" spans="1:7">
      <c r="A6115" s="3572"/>
      <c r="B6115" s="3557"/>
      <c r="C6115" s="3557"/>
      <c r="D6115" s="3557"/>
      <c r="E6115" s="3557"/>
      <c r="F6115" s="3557"/>
      <c r="G6115" s="3559"/>
    </row>
    <row r="6116" spans="1:7" ht="15.75" thickBot="1">
      <c r="A6116" s="3908"/>
      <c r="B6116" s="3903"/>
      <c r="C6116" s="3903"/>
      <c r="D6116" s="3903"/>
      <c r="E6116" s="3903"/>
      <c r="F6116" s="3903"/>
      <c r="G6116" s="3904"/>
    </row>
    <row r="6117" spans="1:7">
      <c r="A6117" s="2668" t="s">
        <v>3934</v>
      </c>
      <c r="B6117" s="1690" t="s">
        <v>106</v>
      </c>
      <c r="C6117" s="2765" t="s">
        <v>3634</v>
      </c>
      <c r="D6117" s="2766"/>
      <c r="E6117" s="3067">
        <f>(G6117-F6117)/G6117</f>
        <v>0.19850187265917596</v>
      </c>
      <c r="F6117" s="3156">
        <v>2.14</v>
      </c>
      <c r="G6117" s="3157">
        <v>2.67</v>
      </c>
    </row>
    <row r="6118" spans="1:7">
      <c r="A6118" s="3324"/>
      <c r="B6118" s="3319"/>
      <c r="C6118" s="3319" t="s">
        <v>3410</v>
      </c>
      <c r="D6118" s="3319"/>
      <c r="E6118" s="3353">
        <f t="shared" ref="E6118:E6120" si="148">(G6118-F6118)/G6118</f>
        <v>0.19850187265917596</v>
      </c>
      <c r="F6118" s="3354">
        <v>2.14</v>
      </c>
      <c r="G6118" s="3355">
        <v>2.67</v>
      </c>
    </row>
    <row r="6119" spans="1:7">
      <c r="A6119" s="3324"/>
      <c r="B6119" s="3319"/>
      <c r="C6119" s="3319" t="s">
        <v>1644</v>
      </c>
      <c r="D6119" s="3319"/>
      <c r="E6119" s="3353">
        <f t="shared" si="148"/>
        <v>0.19938650306748465</v>
      </c>
      <c r="F6119" s="3354">
        <v>2.61</v>
      </c>
      <c r="G6119" s="3356">
        <v>3.26</v>
      </c>
    </row>
    <row r="6120" spans="1:7" ht="15.75" thickBot="1">
      <c r="A6120" s="3327"/>
      <c r="B6120" s="3328"/>
      <c r="C6120" s="3328" t="s">
        <v>3409</v>
      </c>
      <c r="D6120" s="3328"/>
      <c r="E6120" s="3357">
        <f t="shared" si="148"/>
        <v>0.19899244332493704</v>
      </c>
      <c r="F6120" s="3343">
        <v>3.18</v>
      </c>
      <c r="G6120" s="3374">
        <v>3.97</v>
      </c>
    </row>
    <row r="6121" spans="1:7" ht="15.75" thickBot="1"/>
    <row r="6122" spans="1:7">
      <c r="A6122" s="3572"/>
      <c r="B6122" s="3557"/>
      <c r="C6122" s="3557"/>
      <c r="D6122" s="3557"/>
      <c r="E6122" s="3557"/>
      <c r="F6122" s="3557"/>
      <c r="G6122" s="3559"/>
    </row>
    <row r="6123" spans="1:7" ht="15.75" thickBot="1">
      <c r="A6123" s="3908"/>
      <c r="B6123" s="3903"/>
      <c r="C6123" s="3903"/>
      <c r="D6123" s="3903"/>
      <c r="E6123" s="3903"/>
      <c r="F6123" s="3903"/>
      <c r="G6123" s="3904"/>
    </row>
    <row r="6124" spans="1:7">
      <c r="A6124" s="2668" t="s">
        <v>3946</v>
      </c>
      <c r="B6124" s="1690" t="s">
        <v>106</v>
      </c>
      <c r="C6124" s="2181" t="s">
        <v>2115</v>
      </c>
      <c r="D6124" s="2766"/>
      <c r="E6124" s="3067">
        <f>(G6124-F6124)/G6124</f>
        <v>0.37209302325581389</v>
      </c>
      <c r="F6124" s="3156">
        <v>1.08</v>
      </c>
      <c r="G6124" s="3157">
        <v>1.72</v>
      </c>
    </row>
    <row r="6125" spans="1:7">
      <c r="A6125" s="3324"/>
      <c r="B6125" s="3319"/>
      <c r="C6125" s="3422" t="s">
        <v>2116</v>
      </c>
      <c r="D6125" s="3319"/>
      <c r="E6125" s="3353">
        <f t="shared" ref="E6125:E6129" si="149">(G6125-F6125)/G6125</f>
        <v>0.37209302325581389</v>
      </c>
      <c r="F6125" s="3354">
        <v>1.08</v>
      </c>
      <c r="G6125" s="3355">
        <v>1.72</v>
      </c>
    </row>
    <row r="6126" spans="1:7">
      <c r="A6126" s="3324"/>
      <c r="B6126" s="3319"/>
      <c r="C6126" s="3422" t="s">
        <v>2066</v>
      </c>
      <c r="D6126" s="3319"/>
      <c r="E6126" s="3353">
        <f t="shared" si="149"/>
        <v>0.37209302325581389</v>
      </c>
      <c r="F6126" s="3354">
        <v>1.08</v>
      </c>
      <c r="G6126" s="3356">
        <v>1.72</v>
      </c>
    </row>
    <row r="6127" spans="1:7">
      <c r="A6127" s="3324"/>
      <c r="B6127" s="3319"/>
      <c r="C6127" s="3422" t="s">
        <v>3947</v>
      </c>
      <c r="D6127" s="3319"/>
      <c r="E6127" s="3353">
        <f t="shared" si="149"/>
        <v>0.33306962025316461</v>
      </c>
      <c r="F6127" s="3354">
        <v>8.43</v>
      </c>
      <c r="G6127" s="3356">
        <v>12.64</v>
      </c>
    </row>
    <row r="6128" spans="1:7">
      <c r="A6128" s="3324"/>
      <c r="B6128" s="3319"/>
      <c r="C6128" s="3422" t="s">
        <v>3948</v>
      </c>
      <c r="D6128" s="3319"/>
      <c r="E6128" s="3420">
        <f t="shared" si="149"/>
        <v>0.33284349742836145</v>
      </c>
      <c r="F6128" s="3319">
        <v>9.08</v>
      </c>
      <c r="G6128" s="3356">
        <v>13.61</v>
      </c>
    </row>
    <row r="6129" spans="1:7" ht="15.75" thickBot="1">
      <c r="A6129" s="3327"/>
      <c r="B6129" s="3328"/>
      <c r="C6129" s="3423" t="s">
        <v>3949</v>
      </c>
      <c r="D6129" s="3328"/>
      <c r="E6129" s="3421">
        <f t="shared" si="149"/>
        <v>0.33312142403051492</v>
      </c>
      <c r="F6129" s="3328">
        <v>10.49</v>
      </c>
      <c r="G6129" s="3374">
        <v>15.73</v>
      </c>
    </row>
    <row r="6130" spans="1:7" ht="15.75" thickBot="1"/>
    <row r="6131" spans="1:7">
      <c r="A6131" s="3572" t="s">
        <v>0</v>
      </c>
      <c r="B6131" s="3557" t="s">
        <v>1</v>
      </c>
      <c r="C6131" s="3557" t="s">
        <v>2</v>
      </c>
      <c r="D6131" s="3557" t="s">
        <v>3</v>
      </c>
      <c r="E6131" s="3557" t="s">
        <v>4</v>
      </c>
      <c r="F6131" s="3557" t="s">
        <v>5</v>
      </c>
      <c r="G6131" s="3559" t="s">
        <v>3504</v>
      </c>
    </row>
    <row r="6132" spans="1:7" ht="15.75" thickBot="1">
      <c r="A6132" s="3908"/>
      <c r="B6132" s="3903"/>
      <c r="C6132" s="3903"/>
      <c r="D6132" s="3903"/>
      <c r="E6132" s="3903"/>
      <c r="F6132" s="3903"/>
      <c r="G6132" s="3904"/>
    </row>
    <row r="6133" spans="1:7">
      <c r="A6133" s="2668" t="s">
        <v>3951</v>
      </c>
      <c r="B6133" s="1690" t="s">
        <v>3229</v>
      </c>
      <c r="C6133" s="2765" t="s">
        <v>730</v>
      </c>
      <c r="D6133" s="2766"/>
      <c r="E6133" s="3067">
        <f>(G6133-F6133)/G6133</f>
        <v>0.24444444444444441</v>
      </c>
      <c r="F6133" s="3156">
        <v>0.68</v>
      </c>
      <c r="G6133" s="3157">
        <v>0.9</v>
      </c>
    </row>
    <row r="6134" spans="1:7" ht="15.75" thickBot="1">
      <c r="A6134" s="3327"/>
      <c r="B6134" s="3328"/>
      <c r="C6134" s="3328" t="s">
        <v>858</v>
      </c>
      <c r="D6134" s="3328"/>
      <c r="E6134" s="3357">
        <f>(G6134-F6134)/G6134</f>
        <v>0.25</v>
      </c>
      <c r="F6134" s="3343">
        <v>0.78</v>
      </c>
      <c r="G6134" s="3415">
        <v>1.04</v>
      </c>
    </row>
    <row r="6135" spans="1:7" ht="15.75" thickBot="1"/>
    <row r="6136" spans="1:7">
      <c r="A6136" s="3593"/>
      <c r="B6136" s="3601"/>
      <c r="C6136" s="3601"/>
      <c r="D6136" s="3601"/>
      <c r="E6136" s="3601"/>
      <c r="F6136" s="3601"/>
      <c r="G6136" s="3559"/>
    </row>
    <row r="6137" spans="1:7" ht="15.75" thickBot="1">
      <c r="A6137" s="3909"/>
      <c r="B6137" s="3907"/>
      <c r="C6137" s="3907"/>
      <c r="D6137" s="3907"/>
      <c r="E6137" s="3907"/>
      <c r="F6137" s="3907"/>
      <c r="G6137" s="3904"/>
    </row>
    <row r="6138" spans="1:7">
      <c r="A6138" s="2870" t="s">
        <v>3952</v>
      </c>
      <c r="B6138" s="2871" t="s">
        <v>114</v>
      </c>
      <c r="C6138" s="2181" t="s">
        <v>2176</v>
      </c>
      <c r="D6138" s="2872"/>
      <c r="E6138" s="2182">
        <f>(G6138-F6138)/G6138</f>
        <v>0.21457489878542518</v>
      </c>
      <c r="F6138" s="2468">
        <v>1.94</v>
      </c>
      <c r="G6138" s="3167">
        <v>2.4700000000000002</v>
      </c>
    </row>
    <row r="6139" spans="1:7" ht="15.75" thickBot="1">
      <c r="A6139" s="3327"/>
      <c r="B6139" s="3328"/>
      <c r="C6139" s="3328" t="s">
        <v>2743</v>
      </c>
      <c r="D6139" s="3328"/>
      <c r="E6139" s="3342">
        <f t="shared" ref="E6139" si="150">(G6139-F6139)/G6139</f>
        <v>0.22784810126582283</v>
      </c>
      <c r="F6139" s="3343">
        <v>0.61</v>
      </c>
      <c r="G6139" s="3344">
        <v>0.79</v>
      </c>
    </row>
    <row r="6140" spans="1:7" ht="15.75" thickBot="1"/>
    <row r="6141" spans="1:7">
      <c r="A6141" s="3572" t="s">
        <v>0</v>
      </c>
      <c r="B6141" s="3557" t="s">
        <v>1</v>
      </c>
      <c r="C6141" s="3557" t="s">
        <v>2</v>
      </c>
      <c r="D6141" s="3557" t="s">
        <v>3</v>
      </c>
      <c r="E6141" s="3557" t="s">
        <v>4</v>
      </c>
      <c r="F6141" s="3557" t="s">
        <v>5</v>
      </c>
      <c r="G6141" s="3559" t="s">
        <v>3504</v>
      </c>
    </row>
    <row r="6142" spans="1:7" ht="15.75" thickBot="1">
      <c r="A6142" s="3908"/>
      <c r="B6142" s="3903"/>
      <c r="C6142" s="3903"/>
      <c r="D6142" s="3903"/>
      <c r="E6142" s="3903"/>
      <c r="F6142" s="3903"/>
      <c r="G6142" s="3904"/>
    </row>
    <row r="6143" spans="1:7">
      <c r="A6143" s="2668" t="s">
        <v>3963</v>
      </c>
      <c r="B6143" s="1690" t="s">
        <v>3229</v>
      </c>
      <c r="C6143" s="2765" t="s">
        <v>3815</v>
      </c>
      <c r="D6143" s="2766"/>
      <c r="E6143" s="3067">
        <f>(G6143-F6143)/G6143</f>
        <v>0.10112359550561795</v>
      </c>
      <c r="F6143" s="3156">
        <v>1.6</v>
      </c>
      <c r="G6143" s="3157">
        <v>1.78</v>
      </c>
    </row>
    <row r="6144" spans="1:7">
      <c r="A6144" s="3324"/>
      <c r="B6144" s="3319"/>
      <c r="C6144" s="3319" t="s">
        <v>3815</v>
      </c>
      <c r="D6144" s="3319"/>
      <c r="E6144" s="3353">
        <f>(G6144-F6144)/G6144</f>
        <v>0.10112359550561795</v>
      </c>
      <c r="F6144" s="3354">
        <v>1.6</v>
      </c>
      <c r="G6144" s="3355">
        <v>1.78</v>
      </c>
    </row>
    <row r="6145" spans="1:7">
      <c r="A6145" s="3324"/>
      <c r="B6145" s="3319"/>
      <c r="C6145" s="3319" t="s">
        <v>3021</v>
      </c>
      <c r="D6145" s="3319"/>
      <c r="E6145" s="3353">
        <f t="shared" ref="E6145:E6159" si="151">(G6145-F6145)/G6145</f>
        <v>0.15178571428571441</v>
      </c>
      <c r="F6145" s="3354">
        <v>1.9</v>
      </c>
      <c r="G6145" s="3355">
        <v>2.2400000000000002</v>
      </c>
    </row>
    <row r="6146" spans="1:7">
      <c r="A6146" s="3324"/>
      <c r="B6146" s="3319"/>
      <c r="C6146" s="3319" t="s">
        <v>1263</v>
      </c>
      <c r="D6146" s="3319"/>
      <c r="E6146" s="3353">
        <f t="shared" si="151"/>
        <v>0.15050167224080271</v>
      </c>
      <c r="F6146" s="3354">
        <v>2.54</v>
      </c>
      <c r="G6146" s="3355">
        <v>2.99</v>
      </c>
    </row>
    <row r="6147" spans="1:7">
      <c r="A6147" s="3324"/>
      <c r="B6147" s="3319"/>
      <c r="C6147" s="3319" t="s">
        <v>1174</v>
      </c>
      <c r="D6147" s="3319"/>
      <c r="E6147" s="3353">
        <f t="shared" si="151"/>
        <v>9.9999999999999964E-2</v>
      </c>
      <c r="F6147" s="3354">
        <v>3.06</v>
      </c>
      <c r="G6147" s="3355">
        <v>3.4</v>
      </c>
    </row>
    <row r="6148" spans="1:7">
      <c r="A6148" s="3324"/>
      <c r="B6148" s="3319"/>
      <c r="C6148" s="3319" t="s">
        <v>1511</v>
      </c>
      <c r="D6148" s="3319"/>
      <c r="E6148" s="3353">
        <f t="shared" si="151"/>
        <v>9.9999999999999964E-2</v>
      </c>
      <c r="F6148" s="3354">
        <v>3.06</v>
      </c>
      <c r="G6148" s="3355">
        <v>3.4</v>
      </c>
    </row>
    <row r="6149" spans="1:7">
      <c r="A6149" s="3324"/>
      <c r="B6149" s="3319"/>
      <c r="C6149" s="3319" t="s">
        <v>1272</v>
      </c>
      <c r="D6149" s="3319"/>
      <c r="E6149" s="3353">
        <f t="shared" si="151"/>
        <v>0.15099009900990096</v>
      </c>
      <c r="F6149" s="3354">
        <v>3.43</v>
      </c>
      <c r="G6149" s="3355">
        <v>4.04</v>
      </c>
    </row>
    <row r="6150" spans="1:7">
      <c r="A6150" s="3324"/>
      <c r="B6150" s="3319"/>
      <c r="C6150" s="3319" t="s">
        <v>3816</v>
      </c>
      <c r="D6150" s="3319"/>
      <c r="E6150" s="3353">
        <f t="shared" si="151"/>
        <v>9.8765432098765413E-2</v>
      </c>
      <c r="F6150" s="3354">
        <v>3.65</v>
      </c>
      <c r="G6150" s="3355">
        <v>4.05</v>
      </c>
    </row>
    <row r="6151" spans="1:7">
      <c r="A6151" s="3324"/>
      <c r="B6151" s="3319"/>
      <c r="C6151" s="3319" t="s">
        <v>3964</v>
      </c>
      <c r="D6151" s="3319"/>
      <c r="E6151" s="3353">
        <f t="shared" si="151"/>
        <v>9.8765432098765413E-2</v>
      </c>
      <c r="F6151" s="3354">
        <v>3.65</v>
      </c>
      <c r="G6151" s="3355">
        <v>4.05</v>
      </c>
    </row>
    <row r="6152" spans="1:7">
      <c r="A6152" s="3324"/>
      <c r="B6152" s="3319"/>
      <c r="C6152" s="3319" t="s">
        <v>1266</v>
      </c>
      <c r="D6152" s="3319"/>
      <c r="E6152" s="3353">
        <f t="shared" si="151"/>
        <v>9.9426386233269673E-2</v>
      </c>
      <c r="F6152" s="3354">
        <v>4.71</v>
      </c>
      <c r="G6152" s="3355">
        <v>5.23</v>
      </c>
    </row>
    <row r="6153" spans="1:7">
      <c r="A6153" s="3324"/>
      <c r="B6153" s="3319"/>
      <c r="C6153" s="3319" t="s">
        <v>1814</v>
      </c>
      <c r="D6153" s="3319"/>
      <c r="E6153" s="3353">
        <f t="shared" si="151"/>
        <v>9.9426386233269673E-2</v>
      </c>
      <c r="F6153" s="3354">
        <v>4.71</v>
      </c>
      <c r="G6153" s="3355">
        <v>5.23</v>
      </c>
    </row>
    <row r="6154" spans="1:7">
      <c r="A6154" s="3324"/>
      <c r="B6154" s="3319"/>
      <c r="C6154" s="3319" t="s">
        <v>1175</v>
      </c>
      <c r="D6154" s="3319"/>
      <c r="E6154" s="3353">
        <f t="shared" si="151"/>
        <v>0.1001821493624772</v>
      </c>
      <c r="F6154" s="3354">
        <v>4.9400000000000004</v>
      </c>
      <c r="G6154" s="3355">
        <v>5.49</v>
      </c>
    </row>
    <row r="6155" spans="1:7">
      <c r="A6155" s="3324"/>
      <c r="B6155" s="3319"/>
      <c r="C6155" s="3319" t="s">
        <v>2460</v>
      </c>
      <c r="D6155" s="3319"/>
      <c r="E6155" s="3353">
        <f t="shared" si="151"/>
        <v>0.1001821493624772</v>
      </c>
      <c r="F6155" s="3354">
        <v>4.9400000000000004</v>
      </c>
      <c r="G6155" s="3355">
        <v>5.49</v>
      </c>
    </row>
    <row r="6156" spans="1:7">
      <c r="A6156" s="3324"/>
      <c r="B6156" s="3319"/>
      <c r="C6156" s="3319" t="s">
        <v>3020</v>
      </c>
      <c r="D6156" s="3319"/>
      <c r="E6156" s="3353">
        <f t="shared" si="151"/>
        <v>0.15012722646310431</v>
      </c>
      <c r="F6156" s="3354">
        <v>10.02</v>
      </c>
      <c r="G6156" s="3355">
        <v>11.79</v>
      </c>
    </row>
    <row r="6157" spans="1:7">
      <c r="A6157" s="3324"/>
      <c r="B6157" s="3319"/>
      <c r="C6157" s="3319" t="s">
        <v>1176</v>
      </c>
      <c r="D6157" s="3319"/>
      <c r="E6157" s="3353">
        <f t="shared" si="151"/>
        <v>0.15003261578604049</v>
      </c>
      <c r="F6157" s="3354">
        <v>13.03</v>
      </c>
      <c r="G6157" s="3355">
        <v>15.33</v>
      </c>
    </row>
    <row r="6158" spans="1:7">
      <c r="A6158" s="3324"/>
      <c r="B6158" s="3319"/>
      <c r="C6158" s="3319" t="s">
        <v>1259</v>
      </c>
      <c r="D6158" s="3319"/>
      <c r="E6158" s="3353">
        <f t="shared" si="151"/>
        <v>0.10013218770654332</v>
      </c>
      <c r="F6158" s="3354">
        <v>27.23</v>
      </c>
      <c r="G6158" s="3355">
        <v>30.26</v>
      </c>
    </row>
    <row r="6159" spans="1:7" ht="15.75" thickBot="1">
      <c r="A6159" s="3327"/>
      <c r="B6159" s="3328"/>
      <c r="C6159" s="3328" t="s">
        <v>1258</v>
      </c>
      <c r="D6159" s="3328"/>
      <c r="E6159" s="3357">
        <f t="shared" si="151"/>
        <v>0.10008481764206953</v>
      </c>
      <c r="F6159" s="3343">
        <v>31.83</v>
      </c>
      <c r="G6159" s="3415">
        <v>35.369999999999997</v>
      </c>
    </row>
    <row r="6160" spans="1:7" ht="15.75" thickBot="1"/>
    <row r="6161" spans="1:7">
      <c r="A6161" s="3572" t="s">
        <v>0</v>
      </c>
      <c r="B6161" s="3557" t="s">
        <v>1</v>
      </c>
      <c r="C6161" s="3557" t="s">
        <v>2</v>
      </c>
      <c r="D6161" s="3557" t="s">
        <v>3</v>
      </c>
      <c r="E6161" s="3557" t="s">
        <v>4</v>
      </c>
      <c r="F6161" s="3557" t="s">
        <v>5</v>
      </c>
      <c r="G6161" s="3559" t="s">
        <v>3504</v>
      </c>
    </row>
    <row r="6162" spans="1:7" ht="15.75" thickBot="1">
      <c r="A6162" s="3908"/>
      <c r="B6162" s="3903"/>
      <c r="C6162" s="3903"/>
      <c r="D6162" s="3903"/>
      <c r="E6162" s="3903"/>
      <c r="F6162" s="3903"/>
      <c r="G6162" s="3904"/>
    </row>
    <row r="6163" spans="1:7">
      <c r="A6163" s="2668" t="s">
        <v>3965</v>
      </c>
      <c r="B6163" s="1690" t="s">
        <v>3229</v>
      </c>
      <c r="C6163" s="2765" t="s">
        <v>3947</v>
      </c>
      <c r="D6163" s="2766"/>
      <c r="E6163" s="3067" t="e">
        <f>(G6163-F6163)/G6163</f>
        <v>#VALUE!</v>
      </c>
      <c r="F6163" s="3156">
        <v>10.199999999999999</v>
      </c>
      <c r="G6163" s="3430" t="s">
        <v>1903</v>
      </c>
    </row>
    <row r="6164" spans="1:7">
      <c r="A6164" s="3324"/>
      <c r="B6164" s="3319"/>
      <c r="C6164" s="3319" t="s">
        <v>3948</v>
      </c>
      <c r="D6164" s="3319"/>
      <c r="E6164" s="3353" t="e">
        <f>(G6164-F6164)/G6164</f>
        <v>#VALUE!</v>
      </c>
      <c r="F6164" s="3354">
        <v>10.99</v>
      </c>
      <c r="G6164" s="3431" t="s">
        <v>1903</v>
      </c>
    </row>
    <row r="6165" spans="1:7" ht="15.75" thickBot="1">
      <c r="A6165" s="3327"/>
      <c r="B6165" s="3328"/>
      <c r="C6165" s="3328" t="s">
        <v>3949</v>
      </c>
      <c r="D6165" s="3328"/>
      <c r="E6165" s="3357" t="e">
        <f t="shared" ref="E6165" si="152">(G6165-F6165)/G6165</f>
        <v>#VALUE!</v>
      </c>
      <c r="F6165" s="3343">
        <v>12.7</v>
      </c>
      <c r="G6165" s="3432" t="s">
        <v>1903</v>
      </c>
    </row>
    <row r="6166" spans="1:7" ht="15.75" thickBot="1"/>
    <row r="6167" spans="1:7">
      <c r="A6167" s="3572" t="s">
        <v>0</v>
      </c>
      <c r="B6167" s="3557" t="s">
        <v>1</v>
      </c>
      <c r="C6167" s="3557" t="s">
        <v>2</v>
      </c>
      <c r="D6167" s="3557" t="s">
        <v>3</v>
      </c>
      <c r="E6167" s="3557" t="s">
        <v>4</v>
      </c>
      <c r="F6167" s="3557" t="s">
        <v>5</v>
      </c>
      <c r="G6167" s="3559" t="s">
        <v>3504</v>
      </c>
    </row>
    <row r="6168" spans="1:7" ht="15.75" thickBot="1">
      <c r="A6168" s="3908"/>
      <c r="B6168" s="3903"/>
      <c r="C6168" s="3903"/>
      <c r="D6168" s="3903"/>
      <c r="E6168" s="3903"/>
      <c r="F6168" s="3903"/>
      <c r="G6168" s="3904"/>
    </row>
    <row r="6169" spans="1:7">
      <c r="A6169" s="2668" t="s">
        <v>3968</v>
      </c>
      <c r="B6169" s="1690" t="s">
        <v>106</v>
      </c>
      <c r="C6169" s="2181" t="s">
        <v>554</v>
      </c>
      <c r="D6169" s="2766"/>
      <c r="E6169" s="3067">
        <f>(G6169-F6169)/G6169</f>
        <v>0.19696969696969696</v>
      </c>
      <c r="F6169" s="3156">
        <v>1.06</v>
      </c>
      <c r="G6169" s="3157">
        <v>1.32</v>
      </c>
    </row>
    <row r="6170" spans="1:7" ht="15.75" thickBot="1">
      <c r="A6170" s="3327"/>
      <c r="B6170" s="3328"/>
      <c r="C6170" s="3423" t="s">
        <v>1120</v>
      </c>
      <c r="D6170" s="3328"/>
      <c r="E6170" s="3357">
        <f t="shared" ref="E6170" si="153">(G6170-F6170)/G6170</f>
        <v>0.20000000000000007</v>
      </c>
      <c r="F6170" s="3343">
        <v>0.44</v>
      </c>
      <c r="G6170" s="3415">
        <v>0.55000000000000004</v>
      </c>
    </row>
    <row r="6171" spans="1:7" ht="15.75" thickBot="1"/>
    <row r="6172" spans="1:7">
      <c r="A6172" s="3572" t="s">
        <v>0</v>
      </c>
      <c r="B6172" s="3557" t="s">
        <v>1</v>
      </c>
      <c r="C6172" s="3557" t="s">
        <v>2</v>
      </c>
      <c r="D6172" s="3557" t="s">
        <v>3</v>
      </c>
      <c r="E6172" s="3557" t="s">
        <v>4</v>
      </c>
      <c r="F6172" s="3557" t="s">
        <v>5</v>
      </c>
      <c r="G6172" s="3559" t="s">
        <v>3504</v>
      </c>
    </row>
    <row r="6173" spans="1:7" ht="15.75" thickBot="1">
      <c r="A6173" s="3908"/>
      <c r="B6173" s="3903"/>
      <c r="C6173" s="3903"/>
      <c r="D6173" s="3903"/>
      <c r="E6173" s="3903"/>
      <c r="F6173" s="3903"/>
      <c r="G6173" s="3904"/>
    </row>
    <row r="6174" spans="1:7">
      <c r="A6174" s="2668" t="s">
        <v>3970</v>
      </c>
      <c r="B6174" s="1690" t="s">
        <v>106</v>
      </c>
      <c r="C6174" s="2181" t="s">
        <v>1092</v>
      </c>
      <c r="D6174" s="2766"/>
      <c r="E6174" s="3067">
        <f>(G6174-F6174)/G6174</f>
        <v>0.19753086419753088</v>
      </c>
      <c r="F6174" s="3156">
        <v>1.3</v>
      </c>
      <c r="G6174" s="3157">
        <v>1.62</v>
      </c>
    </row>
    <row r="6175" spans="1:7">
      <c r="A6175" s="3324"/>
      <c r="B6175" s="3319"/>
      <c r="C6175" s="3422" t="s">
        <v>1091</v>
      </c>
      <c r="D6175" s="3319"/>
      <c r="E6175" s="3353">
        <f t="shared" ref="E6175:E6182" si="154">(G6175-F6175)/G6175</f>
        <v>0.19875776397515529</v>
      </c>
      <c r="F6175" s="3354">
        <v>1.29</v>
      </c>
      <c r="G6175" s="3355">
        <v>1.61</v>
      </c>
    </row>
    <row r="6176" spans="1:7">
      <c r="A6176" s="3324"/>
      <c r="B6176" s="3319"/>
      <c r="C6176" s="3319" t="s">
        <v>1090</v>
      </c>
      <c r="D6176" s="3319"/>
      <c r="E6176" s="3353">
        <f t="shared" si="154"/>
        <v>0.20253164556962028</v>
      </c>
      <c r="F6176" s="3354">
        <v>1.26</v>
      </c>
      <c r="G6176" s="3355">
        <v>1.58</v>
      </c>
    </row>
    <row r="6177" spans="1:15">
      <c r="A6177" s="3324"/>
      <c r="B6177" s="3319"/>
      <c r="C6177" s="3319" t="s">
        <v>3971</v>
      </c>
      <c r="D6177" s="3319"/>
      <c r="E6177" s="3353">
        <f t="shared" si="154"/>
        <v>0.19999999999999996</v>
      </c>
      <c r="F6177" s="3354">
        <v>0.8</v>
      </c>
      <c r="G6177" s="3355">
        <v>1</v>
      </c>
    </row>
    <row r="6178" spans="1:15">
      <c r="A6178" s="3324"/>
      <c r="B6178" s="3319"/>
      <c r="C6178" s="3319" t="s">
        <v>3972</v>
      </c>
      <c r="D6178" s="3319"/>
      <c r="E6178" s="3353">
        <f t="shared" si="154"/>
        <v>0.19999999999999996</v>
      </c>
      <c r="F6178" s="3354">
        <v>0.8</v>
      </c>
      <c r="G6178" s="3355">
        <v>1</v>
      </c>
    </row>
    <row r="6179" spans="1:15">
      <c r="A6179" s="3324"/>
      <c r="B6179" s="3319"/>
      <c r="C6179" s="3319" t="s">
        <v>3663</v>
      </c>
      <c r="D6179" s="3319"/>
      <c r="E6179" s="3353">
        <f t="shared" si="154"/>
        <v>0.1962616822429907</v>
      </c>
      <c r="F6179" s="3354">
        <v>0.86</v>
      </c>
      <c r="G6179" s="3355">
        <v>1.07</v>
      </c>
    </row>
    <row r="6180" spans="1:15">
      <c r="A6180" s="3324"/>
      <c r="B6180" s="3319"/>
      <c r="C6180" s="3319" t="s">
        <v>2999</v>
      </c>
      <c r="D6180" s="3319"/>
      <c r="E6180" s="3353">
        <f t="shared" si="154"/>
        <v>0.2010309278350515</v>
      </c>
      <c r="F6180" s="3354">
        <v>1.55</v>
      </c>
      <c r="G6180" s="3355">
        <v>1.94</v>
      </c>
    </row>
    <row r="6181" spans="1:15">
      <c r="A6181" s="3324"/>
      <c r="B6181" s="3319"/>
      <c r="C6181" s="3319" t="s">
        <v>3664</v>
      </c>
      <c r="D6181" s="3319"/>
      <c r="E6181" s="3353">
        <f t="shared" si="154"/>
        <v>0.20000000000000004</v>
      </c>
      <c r="F6181" s="3354">
        <v>0.6</v>
      </c>
      <c r="G6181" s="3355">
        <v>0.75</v>
      </c>
    </row>
    <row r="6182" spans="1:15" ht="15.75" thickBot="1">
      <c r="A6182" s="3327"/>
      <c r="B6182" s="3328"/>
      <c r="C6182" s="3328" t="s">
        <v>3470</v>
      </c>
      <c r="D6182" s="3328"/>
      <c r="E6182" s="3357">
        <f t="shared" si="154"/>
        <v>0.20061728395061737</v>
      </c>
      <c r="F6182" s="3343">
        <v>2.59</v>
      </c>
      <c r="G6182" s="3415">
        <v>3.24</v>
      </c>
    </row>
    <row r="6183" spans="1:15" ht="15.75" thickBot="1"/>
    <row r="6184" spans="1:15">
      <c r="A6184" s="3572" t="s">
        <v>0</v>
      </c>
      <c r="B6184" s="3557" t="s">
        <v>1</v>
      </c>
      <c r="C6184" s="3557" t="s">
        <v>2</v>
      </c>
      <c r="D6184" s="3557" t="s">
        <v>3</v>
      </c>
      <c r="E6184" s="3557" t="s">
        <v>4</v>
      </c>
      <c r="F6184" s="3557" t="s">
        <v>5</v>
      </c>
      <c r="G6184" s="3559" t="s">
        <v>3504</v>
      </c>
    </row>
    <row r="6185" spans="1:15" ht="15.75" thickBot="1">
      <c r="A6185" s="3908"/>
      <c r="B6185" s="3903"/>
      <c r="C6185" s="3903"/>
      <c r="D6185" s="3903"/>
      <c r="E6185" s="3903"/>
      <c r="F6185" s="3903"/>
      <c r="G6185" s="3904"/>
    </row>
    <row r="6186" spans="1:15">
      <c r="A6186" s="2668" t="s">
        <v>3977</v>
      </c>
      <c r="B6186" s="1690" t="s">
        <v>3229</v>
      </c>
      <c r="C6186" s="2765" t="s">
        <v>1250</v>
      </c>
      <c r="D6186" s="2766"/>
      <c r="E6186" s="3067">
        <f>(G6186-F6186)/G6186</f>
        <v>5.0000000000000044E-2</v>
      </c>
      <c r="F6186" s="3156">
        <v>0.19</v>
      </c>
      <c r="G6186" s="3157">
        <v>0.2</v>
      </c>
    </row>
    <row r="6187" spans="1:15">
      <c r="A6187" s="3324"/>
      <c r="B6187" s="3319"/>
      <c r="C6187" s="3319" t="s">
        <v>2461</v>
      </c>
      <c r="D6187" s="3319"/>
      <c r="E6187" s="3353">
        <f>(G6187-F6187)/G6187</f>
        <v>5.0000000000000044E-2</v>
      </c>
      <c r="F6187" s="3354">
        <v>0.19</v>
      </c>
      <c r="G6187" s="3355">
        <v>0.2</v>
      </c>
    </row>
    <row r="6188" spans="1:15" s="2885" customFormat="1">
      <c r="A6188" s="3324"/>
      <c r="B6188" s="3319"/>
      <c r="C6188" s="3319" t="s">
        <v>1346</v>
      </c>
      <c r="D6188" s="3319"/>
      <c r="E6188" s="3353">
        <f t="shared" ref="E6188:E6191" si="155">(G6188-F6188)/G6188</f>
        <v>5.0000000000000044E-2</v>
      </c>
      <c r="F6188" s="3354">
        <v>0.19</v>
      </c>
      <c r="G6188" s="3355">
        <v>0.2</v>
      </c>
      <c r="O6188" s="176"/>
    </row>
    <row r="6189" spans="1:15">
      <c r="A6189" s="3324"/>
      <c r="B6189" s="3319"/>
      <c r="C6189" s="3319" t="s">
        <v>1347</v>
      </c>
      <c r="D6189" s="3319"/>
      <c r="E6189" s="3353">
        <f t="shared" si="155"/>
        <v>5.0000000000000044E-2</v>
      </c>
      <c r="F6189" s="3354">
        <v>0.19</v>
      </c>
      <c r="G6189" s="3355">
        <v>0.2</v>
      </c>
    </row>
    <row r="6190" spans="1:15">
      <c r="A6190" s="3324"/>
      <c r="B6190" s="3319"/>
      <c r="C6190" s="3319" t="s">
        <v>1327</v>
      </c>
      <c r="D6190" s="3319"/>
      <c r="E6190" s="3353">
        <f t="shared" si="155"/>
        <v>5.0000000000000044E-2</v>
      </c>
      <c r="F6190" s="3354">
        <v>0.19</v>
      </c>
      <c r="G6190" s="3355">
        <v>0.2</v>
      </c>
    </row>
    <row r="6191" spans="1:15" ht="15.75" thickBot="1">
      <c r="A6191" s="3327"/>
      <c r="B6191" s="3328"/>
      <c r="C6191" s="3328" t="s">
        <v>1325</v>
      </c>
      <c r="D6191" s="3328"/>
      <c r="E6191" s="3357">
        <f t="shared" si="155"/>
        <v>5.0000000000000044E-2</v>
      </c>
      <c r="F6191" s="3343">
        <v>0.19</v>
      </c>
      <c r="G6191" s="3415">
        <v>0.2</v>
      </c>
    </row>
    <row r="6192" spans="1:15" ht="15.75" thickBot="1"/>
    <row r="6193" spans="1:7">
      <c r="A6193" s="3572" t="s">
        <v>0</v>
      </c>
      <c r="B6193" s="3557" t="s">
        <v>1</v>
      </c>
      <c r="C6193" s="3557" t="s">
        <v>2</v>
      </c>
      <c r="D6193" s="3557" t="s">
        <v>3</v>
      </c>
      <c r="E6193" s="3557" t="s">
        <v>4</v>
      </c>
      <c r="F6193" s="3557" t="s">
        <v>5</v>
      </c>
      <c r="G6193" s="3559" t="s">
        <v>3504</v>
      </c>
    </row>
    <row r="6194" spans="1:7" ht="15.75" thickBot="1">
      <c r="A6194" s="3908"/>
      <c r="B6194" s="3903"/>
      <c r="C6194" s="3903"/>
      <c r="D6194" s="3903"/>
      <c r="E6194" s="3903"/>
      <c r="F6194" s="3903"/>
      <c r="G6194" s="3904"/>
    </row>
    <row r="6195" spans="1:7">
      <c r="A6195" s="2668" t="s">
        <v>3978</v>
      </c>
      <c r="B6195" s="1690" t="s">
        <v>3229</v>
      </c>
      <c r="C6195" s="2765" t="s">
        <v>3947</v>
      </c>
      <c r="D6195" s="2766"/>
      <c r="E6195" s="3067" t="e">
        <f>(G6195-F6195)/G6195</f>
        <v>#VALUE!</v>
      </c>
      <c r="F6195" s="3156">
        <v>8.4</v>
      </c>
      <c r="G6195" s="3430" t="s">
        <v>1903</v>
      </c>
    </row>
    <row r="6196" spans="1:7">
      <c r="A6196" s="3324"/>
      <c r="B6196" s="3319"/>
      <c r="C6196" s="3319" t="s">
        <v>3948</v>
      </c>
      <c r="D6196" s="3319"/>
      <c r="E6196" s="3353" t="e">
        <f>(G6196-F6196)/G6196</f>
        <v>#VALUE!</v>
      </c>
      <c r="F6196" s="3354">
        <v>9.0500000000000007</v>
      </c>
      <c r="G6196" s="3431" t="s">
        <v>1903</v>
      </c>
    </row>
    <row r="6197" spans="1:7">
      <c r="A6197" s="3324"/>
      <c r="B6197" s="3319"/>
      <c r="C6197" s="3319" t="s">
        <v>3949</v>
      </c>
      <c r="D6197" s="3319"/>
      <c r="E6197" s="3353" t="e">
        <f t="shared" ref="E6197:E6200" si="156">(G6197-F6197)/G6197</f>
        <v>#VALUE!</v>
      </c>
      <c r="F6197" s="3354">
        <v>10.46</v>
      </c>
      <c r="G6197" s="3431" t="s">
        <v>1903</v>
      </c>
    </row>
    <row r="6198" spans="1:7">
      <c r="A6198" s="3324"/>
      <c r="B6198" s="3319"/>
      <c r="C6198" s="3319" t="s">
        <v>2115</v>
      </c>
      <c r="D6198" s="3319"/>
      <c r="E6198" s="3353">
        <f t="shared" si="156"/>
        <v>0.32934131736526939</v>
      </c>
      <c r="F6198" s="3354">
        <v>1.1200000000000001</v>
      </c>
      <c r="G6198" s="3355">
        <v>1.67</v>
      </c>
    </row>
    <row r="6199" spans="1:7">
      <c r="A6199" s="3324"/>
      <c r="B6199" s="3319"/>
      <c r="C6199" s="3319" t="s">
        <v>2116</v>
      </c>
      <c r="D6199" s="3319"/>
      <c r="E6199" s="3353">
        <f t="shared" si="156"/>
        <v>0.32934131736526939</v>
      </c>
      <c r="F6199" s="3354">
        <v>1.1200000000000001</v>
      </c>
      <c r="G6199" s="3355">
        <v>1.67</v>
      </c>
    </row>
    <row r="6200" spans="1:7" ht="15.75" thickBot="1">
      <c r="A6200" s="3327"/>
      <c r="B6200" s="3328"/>
      <c r="C6200" s="3328" t="s">
        <v>2066</v>
      </c>
      <c r="D6200" s="3328"/>
      <c r="E6200" s="3357">
        <f t="shared" si="156"/>
        <v>0.32934131736526939</v>
      </c>
      <c r="F6200" s="3343">
        <v>1.1200000000000001</v>
      </c>
      <c r="G6200" s="3415">
        <v>1.67</v>
      </c>
    </row>
    <row r="6201" spans="1:7" ht="15.75" thickBot="1"/>
    <row r="6202" spans="1:7">
      <c r="A6202" s="3572" t="s">
        <v>0</v>
      </c>
      <c r="B6202" s="3557" t="s">
        <v>1</v>
      </c>
      <c r="C6202" s="3557" t="s">
        <v>2</v>
      </c>
      <c r="D6202" s="3557" t="s">
        <v>3</v>
      </c>
      <c r="E6202" s="3557" t="s">
        <v>4</v>
      </c>
      <c r="F6202" s="3557" t="s">
        <v>5</v>
      </c>
      <c r="G6202" s="3559" t="s">
        <v>3504</v>
      </c>
    </row>
    <row r="6203" spans="1:7" ht="15.75" thickBot="1">
      <c r="A6203" s="3908"/>
      <c r="B6203" s="3903"/>
      <c r="C6203" s="3903"/>
      <c r="D6203" s="3903"/>
      <c r="E6203" s="3903"/>
      <c r="F6203" s="3903"/>
      <c r="G6203" s="3904"/>
    </row>
    <row r="6204" spans="1:7">
      <c r="A6204" s="2668" t="s">
        <v>3994</v>
      </c>
      <c r="B6204" s="1690" t="s">
        <v>3229</v>
      </c>
      <c r="C6204" s="2765" t="s">
        <v>623</v>
      </c>
      <c r="D6204" s="2766"/>
      <c r="E6204" s="3067">
        <f>(G6204-F6204)/G6204</f>
        <v>0.30208333333333326</v>
      </c>
      <c r="F6204" s="3156">
        <v>1.34</v>
      </c>
      <c r="G6204" s="3430">
        <v>1.92</v>
      </c>
    </row>
    <row r="6205" spans="1:7">
      <c r="A6205" s="3324"/>
      <c r="B6205" s="3319"/>
      <c r="C6205" s="3319" t="s">
        <v>1772</v>
      </c>
      <c r="D6205" s="3319"/>
      <c r="E6205" s="3353">
        <f>(G6205-F6205)/G6205</f>
        <v>0.30208333333333326</v>
      </c>
      <c r="F6205" s="3354">
        <v>1.34</v>
      </c>
      <c r="G6205" s="3431">
        <v>1.92</v>
      </c>
    </row>
    <row r="6206" spans="1:7">
      <c r="A6206" s="3324"/>
      <c r="B6206" s="3319"/>
      <c r="C6206" s="3319" t="s">
        <v>2273</v>
      </c>
      <c r="D6206" s="3319"/>
      <c r="E6206" s="3353">
        <f t="shared" ref="E6206:E6213" si="157">(G6206-F6206)/G6206</f>
        <v>0.15977961432506887</v>
      </c>
      <c r="F6206" s="3354">
        <v>18.3</v>
      </c>
      <c r="G6206" s="3431">
        <v>21.78</v>
      </c>
    </row>
    <row r="6207" spans="1:7">
      <c r="A6207" s="3324"/>
      <c r="B6207" s="3319"/>
      <c r="C6207" s="3319" t="s">
        <v>71</v>
      </c>
      <c r="D6207" s="3319"/>
      <c r="E6207" s="3353">
        <f t="shared" si="157"/>
        <v>0.15977961432506887</v>
      </c>
      <c r="F6207" s="3354">
        <v>18.3</v>
      </c>
      <c r="G6207" s="3431">
        <v>21.78</v>
      </c>
    </row>
    <row r="6208" spans="1:7">
      <c r="A6208" s="3324"/>
      <c r="B6208" s="3319"/>
      <c r="C6208" s="3319" t="s">
        <v>2880</v>
      </c>
      <c r="D6208" s="3319"/>
      <c r="E6208" s="3353">
        <f t="shared" si="157"/>
        <v>0.15977961432506887</v>
      </c>
      <c r="F6208" s="3354">
        <v>18.3</v>
      </c>
      <c r="G6208" s="3431">
        <v>21.78</v>
      </c>
    </row>
    <row r="6209" spans="1:8">
      <c r="A6209" s="3324"/>
      <c r="B6209" s="3319"/>
      <c r="C6209" s="3319" t="s">
        <v>2881</v>
      </c>
      <c r="D6209" s="3319"/>
      <c r="E6209" s="3353">
        <f t="shared" si="157"/>
        <v>0.15977961432506887</v>
      </c>
      <c r="F6209" s="3354">
        <v>18.3</v>
      </c>
      <c r="G6209" s="3431">
        <v>21.78</v>
      </c>
    </row>
    <row r="6210" spans="1:8">
      <c r="A6210" s="3324"/>
      <c r="B6210" s="3319"/>
      <c r="C6210" s="3319" t="s">
        <v>1883</v>
      </c>
      <c r="D6210" s="3319"/>
      <c r="E6210" s="3353">
        <f t="shared" si="157"/>
        <v>0.15977961432506887</v>
      </c>
      <c r="F6210" s="3354">
        <v>18.3</v>
      </c>
      <c r="G6210" s="3431">
        <v>21.78</v>
      </c>
    </row>
    <row r="6211" spans="1:8">
      <c r="A6211" s="3324"/>
      <c r="B6211" s="3319"/>
      <c r="C6211" s="3319" t="s">
        <v>2276</v>
      </c>
      <c r="D6211" s="3319"/>
      <c r="E6211" s="3353">
        <f t="shared" si="157"/>
        <v>0.15977961432506887</v>
      </c>
      <c r="F6211" s="3354">
        <v>18.3</v>
      </c>
      <c r="G6211" s="3431">
        <v>21.78</v>
      </c>
    </row>
    <row r="6212" spans="1:8">
      <c r="A6212" s="3324"/>
      <c r="B6212" s="3319"/>
      <c r="C6212" s="3319" t="s">
        <v>2566</v>
      </c>
      <c r="D6212" s="3319"/>
      <c r="E6212" s="3353">
        <f t="shared" si="157"/>
        <v>0.15977961432506887</v>
      </c>
      <c r="F6212" s="3354">
        <v>18.3</v>
      </c>
      <c r="G6212" s="3431">
        <v>21.78</v>
      </c>
    </row>
    <row r="6213" spans="1:8" ht="15.75" thickBot="1">
      <c r="A6213" s="3327"/>
      <c r="B6213" s="3328"/>
      <c r="C6213" s="3328" t="s">
        <v>72</v>
      </c>
      <c r="D6213" s="3328"/>
      <c r="E6213" s="3357">
        <f t="shared" si="157"/>
        <v>0.15977961432506887</v>
      </c>
      <c r="F6213" s="3343">
        <v>18.3</v>
      </c>
      <c r="G6213" s="3432">
        <v>21.78</v>
      </c>
    </row>
    <row r="6214" spans="1:8" ht="15.75" thickBot="1"/>
    <row r="6215" spans="1:8">
      <c r="A6215" s="3572" t="s">
        <v>0</v>
      </c>
      <c r="B6215" s="3557" t="s">
        <v>1</v>
      </c>
      <c r="C6215" s="3557" t="s">
        <v>2</v>
      </c>
      <c r="D6215" s="3557" t="s">
        <v>3</v>
      </c>
      <c r="E6215" s="3557" t="s">
        <v>4</v>
      </c>
      <c r="F6215" s="3557" t="s">
        <v>5</v>
      </c>
      <c r="G6215" s="3559" t="s">
        <v>3504</v>
      </c>
    </row>
    <row r="6216" spans="1:8" ht="15.75" thickBot="1">
      <c r="A6216" s="3908"/>
      <c r="B6216" s="3903"/>
      <c r="C6216" s="3903"/>
      <c r="D6216" s="3903"/>
      <c r="E6216" s="3903"/>
      <c r="F6216" s="3903"/>
      <c r="G6216" s="3904"/>
    </row>
    <row r="6217" spans="1:8">
      <c r="A6217" s="2668" t="s">
        <v>3999</v>
      </c>
      <c r="B6217" s="1690" t="s">
        <v>106</v>
      </c>
      <c r="C6217" s="2181" t="s">
        <v>687</v>
      </c>
      <c r="D6217" s="2766"/>
      <c r="E6217" s="3067">
        <f>(G6217-F6217)/G6217</f>
        <v>0.33057851239669417</v>
      </c>
      <c r="F6217" s="3156">
        <v>1.62</v>
      </c>
      <c r="G6217" s="3157">
        <v>2.42</v>
      </c>
    </row>
    <row r="6218" spans="1:8">
      <c r="A6218" s="3324"/>
      <c r="B6218" s="3319"/>
      <c r="C6218" s="3422" t="s">
        <v>686</v>
      </c>
      <c r="D6218" s="3319"/>
      <c r="E6218" s="3353">
        <f t="shared" ref="E6218:E6225" si="158">(G6218-F6218)/G6218</f>
        <v>0.33057851239669417</v>
      </c>
      <c r="F6218" s="3354">
        <v>1.62</v>
      </c>
      <c r="G6218" s="3355">
        <v>2.42</v>
      </c>
    </row>
    <row r="6219" spans="1:8">
      <c r="A6219" s="3324"/>
      <c r="B6219" s="3319"/>
      <c r="C6219" s="3319" t="s">
        <v>4000</v>
      </c>
      <c r="D6219" s="3319"/>
      <c r="E6219" s="3353">
        <f t="shared" si="158"/>
        <v>0.32994923857868014</v>
      </c>
      <c r="F6219" s="3354">
        <v>1.32</v>
      </c>
      <c r="G6219" s="3355">
        <v>1.97</v>
      </c>
      <c r="H6219" s="667" t="s">
        <v>4006</v>
      </c>
    </row>
    <row r="6220" spans="1:8">
      <c r="A6220" s="3324"/>
      <c r="B6220" s="3319"/>
      <c r="C6220" s="3319" t="s">
        <v>3995</v>
      </c>
      <c r="D6220" s="3319"/>
      <c r="E6220" s="3353">
        <f t="shared" si="158"/>
        <v>0.32994923857868014</v>
      </c>
      <c r="F6220" s="3354">
        <v>1.32</v>
      </c>
      <c r="G6220" s="3355">
        <v>1.97</v>
      </c>
      <c r="H6220" s="667" t="s">
        <v>4006</v>
      </c>
    </row>
    <row r="6221" spans="1:8">
      <c r="A6221" s="3324"/>
      <c r="B6221" s="3319"/>
      <c r="C6221" s="3319" t="s">
        <v>3996</v>
      </c>
      <c r="D6221" s="3319"/>
      <c r="E6221" s="3353">
        <f t="shared" si="158"/>
        <v>0.32994923857868014</v>
      </c>
      <c r="F6221" s="3354">
        <v>1.32</v>
      </c>
      <c r="G6221" s="3355">
        <v>1.97</v>
      </c>
      <c r="H6221" s="667" t="s">
        <v>4006</v>
      </c>
    </row>
    <row r="6222" spans="1:8">
      <c r="A6222" s="3324"/>
      <c r="B6222" s="3319"/>
      <c r="C6222" s="3319" t="s">
        <v>3997</v>
      </c>
      <c r="D6222" s="3319"/>
      <c r="E6222" s="3353">
        <f t="shared" si="158"/>
        <v>0.32994923857868014</v>
      </c>
      <c r="F6222" s="3354">
        <v>1.32</v>
      </c>
      <c r="G6222" s="3355">
        <v>1.97</v>
      </c>
      <c r="H6222" s="667" t="s">
        <v>4006</v>
      </c>
    </row>
    <row r="6223" spans="1:8">
      <c r="A6223" s="3324"/>
      <c r="B6223" s="3319"/>
      <c r="C6223" s="3319" t="s">
        <v>3947</v>
      </c>
      <c r="D6223" s="3319"/>
      <c r="E6223" s="3353">
        <f t="shared" si="158"/>
        <v>0.32990506329113922</v>
      </c>
      <c r="F6223" s="3354">
        <v>8.4700000000000006</v>
      </c>
      <c r="G6223" s="3355">
        <v>12.64</v>
      </c>
      <c r="H6223" s="667" t="s">
        <v>4006</v>
      </c>
    </row>
    <row r="6224" spans="1:8">
      <c r="A6224" s="3324"/>
      <c r="B6224" s="3319"/>
      <c r="C6224" s="3319" t="s">
        <v>3948</v>
      </c>
      <c r="D6224" s="3319"/>
      <c r="E6224" s="3353">
        <f t="shared" si="158"/>
        <v>0.32990448199853051</v>
      </c>
      <c r="F6224" s="3354">
        <v>9.1199999999999992</v>
      </c>
      <c r="G6224" s="3355">
        <v>13.61</v>
      </c>
      <c r="H6224" s="667" t="s">
        <v>4006</v>
      </c>
    </row>
    <row r="6225" spans="1:8" ht="15.75" thickBot="1">
      <c r="A6225" s="3327"/>
      <c r="B6225" s="3328"/>
      <c r="C6225" s="3328" t="s">
        <v>3949</v>
      </c>
      <c r="D6225" s="3328"/>
      <c r="E6225" s="3357">
        <f t="shared" si="158"/>
        <v>0.3299427844882391</v>
      </c>
      <c r="F6225" s="3343">
        <v>10.54</v>
      </c>
      <c r="G6225" s="3415">
        <v>15.73</v>
      </c>
      <c r="H6225" s="667" t="s">
        <v>4006</v>
      </c>
    </row>
    <row r="6226" spans="1:8" ht="15.75" thickBot="1"/>
    <row r="6227" spans="1:8">
      <c r="A6227" s="3572" t="s">
        <v>0</v>
      </c>
      <c r="B6227" s="3557" t="s">
        <v>1</v>
      </c>
      <c r="C6227" s="3557" t="s">
        <v>2</v>
      </c>
      <c r="D6227" s="3557" t="s">
        <v>3</v>
      </c>
      <c r="E6227" s="3557" t="s">
        <v>4</v>
      </c>
      <c r="F6227" s="3557" t="s">
        <v>5</v>
      </c>
      <c r="G6227" s="3559" t="s">
        <v>3504</v>
      </c>
    </row>
    <row r="6228" spans="1:8" ht="15.75" thickBot="1">
      <c r="A6228" s="3908"/>
      <c r="B6228" s="3903"/>
      <c r="C6228" s="3903"/>
      <c r="D6228" s="3903"/>
      <c r="E6228" s="3903"/>
      <c r="F6228" s="3903"/>
      <c r="G6228" s="3904"/>
    </row>
    <row r="6229" spans="1:8" ht="15.75" thickBot="1">
      <c r="A6229" s="3173" t="s">
        <v>4009</v>
      </c>
      <c r="B6229" s="3174" t="s">
        <v>106</v>
      </c>
      <c r="C6229" s="3249" t="s">
        <v>858</v>
      </c>
      <c r="D6229" s="3176"/>
      <c r="E6229" s="3177">
        <f>(G6229-F6229)/G6229</f>
        <v>0.31858407079646012</v>
      </c>
      <c r="F6229" s="3178">
        <v>0.77</v>
      </c>
      <c r="G6229" s="3179">
        <v>1.1299999999999999</v>
      </c>
    </row>
    <row r="6230" spans="1:8" ht="15.75" thickBot="1"/>
    <row r="6231" spans="1:8">
      <c r="A6231" s="3572" t="s">
        <v>0</v>
      </c>
      <c r="B6231" s="3557" t="s">
        <v>1</v>
      </c>
      <c r="C6231" s="3557" t="s">
        <v>2</v>
      </c>
      <c r="D6231" s="3557" t="s">
        <v>3</v>
      </c>
      <c r="E6231" s="3557" t="s">
        <v>4</v>
      </c>
      <c r="F6231" s="3557" t="s">
        <v>5</v>
      </c>
      <c r="G6231" s="3559" t="s">
        <v>3504</v>
      </c>
    </row>
    <row r="6232" spans="1:8" ht="15.75" thickBot="1">
      <c r="A6232" s="3908"/>
      <c r="B6232" s="3903"/>
      <c r="C6232" s="3903"/>
      <c r="D6232" s="3903"/>
      <c r="E6232" s="3903"/>
      <c r="F6232" s="3903"/>
      <c r="G6232" s="3904"/>
    </row>
    <row r="6233" spans="1:8">
      <c r="A6233" s="3455" t="s">
        <v>4011</v>
      </c>
      <c r="B6233" s="1690" t="s">
        <v>3229</v>
      </c>
      <c r="C6233" s="3452" t="s">
        <v>686</v>
      </c>
      <c r="D6233" s="3453"/>
      <c r="E6233" s="3353">
        <f>(G6233-F6233)/G6233</f>
        <v>0.31525423728813562</v>
      </c>
      <c r="F6233" s="3454">
        <v>2.02</v>
      </c>
      <c r="G6233" s="3456">
        <v>2.95</v>
      </c>
      <c r="H6233" s="39"/>
    </row>
    <row r="6234" spans="1:8">
      <c r="A6234" s="3324"/>
      <c r="B6234" s="3319"/>
      <c r="C6234" s="3422" t="s">
        <v>687</v>
      </c>
      <c r="D6234" s="3319"/>
      <c r="E6234" s="3353">
        <f t="shared" ref="E6234:E6244" si="159">(G6234-F6234)/G6234</f>
        <v>0.31525423728813562</v>
      </c>
      <c r="F6234" s="3354">
        <v>2.02</v>
      </c>
      <c r="G6234" s="3355">
        <v>2.95</v>
      </c>
      <c r="H6234" s="39"/>
    </row>
    <row r="6235" spans="1:8">
      <c r="A6235" s="3324"/>
      <c r="B6235" s="3319"/>
      <c r="C6235" s="3319" t="s">
        <v>2066</v>
      </c>
      <c r="D6235" s="3319"/>
      <c r="E6235" s="3353">
        <f t="shared" si="159"/>
        <v>0.19323671497584538</v>
      </c>
      <c r="F6235" s="3354">
        <v>1.67</v>
      </c>
      <c r="G6235" s="3355">
        <v>2.0699999999999998</v>
      </c>
      <c r="H6235" s="39"/>
    </row>
    <row r="6236" spans="1:8">
      <c r="A6236" s="3324"/>
      <c r="B6236" s="3319"/>
      <c r="C6236" s="3319" t="s">
        <v>2116</v>
      </c>
      <c r="D6236" s="3319"/>
      <c r="E6236" s="3353">
        <f t="shared" si="159"/>
        <v>0.19323671497584538</v>
      </c>
      <c r="F6236" s="3354">
        <v>1.67</v>
      </c>
      <c r="G6236" s="3355">
        <v>2.0699999999999998</v>
      </c>
      <c r="H6236" s="39"/>
    </row>
    <row r="6237" spans="1:8">
      <c r="A6237" s="3324"/>
      <c r="B6237" s="3319"/>
      <c r="C6237" s="3319" t="s">
        <v>2115</v>
      </c>
      <c r="D6237" s="3319"/>
      <c r="E6237" s="3353">
        <f t="shared" si="159"/>
        <v>0.19323671497584538</v>
      </c>
      <c r="F6237" s="3354">
        <v>1.67</v>
      </c>
      <c r="G6237" s="3355">
        <v>2.0699999999999998</v>
      </c>
      <c r="H6237" s="39"/>
    </row>
    <row r="6238" spans="1:8">
      <c r="A6238" s="3324"/>
      <c r="B6238" s="3319"/>
      <c r="C6238" s="3319" t="s">
        <v>3315</v>
      </c>
      <c r="D6238" s="3319"/>
      <c r="E6238" s="3353">
        <f t="shared" si="159"/>
        <v>0.18965517241379309</v>
      </c>
      <c r="F6238" s="3354">
        <v>0.94</v>
      </c>
      <c r="G6238" s="3355">
        <v>1.1599999999999999</v>
      </c>
      <c r="H6238" s="39"/>
    </row>
    <row r="6239" spans="1:8">
      <c r="A6239" s="3324"/>
      <c r="B6239" s="3319"/>
      <c r="C6239" s="3319" t="s">
        <v>3316</v>
      </c>
      <c r="D6239" s="3319"/>
      <c r="E6239" s="3353">
        <f t="shared" si="159"/>
        <v>0.18965517241379309</v>
      </c>
      <c r="F6239" s="3354">
        <v>0.94</v>
      </c>
      <c r="G6239" s="3355">
        <v>1.1599999999999999</v>
      </c>
      <c r="H6239" s="39"/>
    </row>
    <row r="6240" spans="1:8">
      <c r="A6240" s="3324"/>
      <c r="B6240" s="3319"/>
      <c r="C6240" s="3319" t="s">
        <v>3317</v>
      </c>
      <c r="D6240" s="3319"/>
      <c r="E6240" s="3353">
        <f t="shared" si="159"/>
        <v>0.18965517241379309</v>
      </c>
      <c r="F6240" s="3354">
        <v>0.94</v>
      </c>
      <c r="G6240" s="3355">
        <v>1.1599999999999999</v>
      </c>
      <c r="H6240" s="39"/>
    </row>
    <row r="6241" spans="1:8">
      <c r="A6241" s="3324"/>
      <c r="B6241" s="3319"/>
      <c r="C6241" s="3319" t="s">
        <v>2425</v>
      </c>
      <c r="D6241" s="3319"/>
      <c r="E6241" s="3353">
        <f t="shared" si="159"/>
        <v>0.19259259259259259</v>
      </c>
      <c r="F6241" s="3354">
        <v>2.1800000000000002</v>
      </c>
      <c r="G6241" s="3355">
        <v>2.7</v>
      </c>
      <c r="H6241" s="39"/>
    </row>
    <row r="6242" spans="1:8">
      <c r="A6242" s="3324"/>
      <c r="B6242" s="3319"/>
      <c r="C6242" s="3319" t="s">
        <v>2426</v>
      </c>
      <c r="D6242" s="3319"/>
      <c r="E6242" s="3353">
        <f t="shared" si="159"/>
        <v>0.19259259259259259</v>
      </c>
      <c r="F6242" s="3319">
        <v>2.1800000000000002</v>
      </c>
      <c r="G6242" s="3355">
        <v>2.7</v>
      </c>
      <c r="H6242" s="39"/>
    </row>
    <row r="6243" spans="1:8">
      <c r="A6243" s="3324"/>
      <c r="B6243" s="3319"/>
      <c r="C6243" s="3319" t="s">
        <v>2801</v>
      </c>
      <c r="D6243" s="3319"/>
      <c r="E6243" s="3353">
        <f t="shared" si="159"/>
        <v>0.19409282700421948</v>
      </c>
      <c r="F6243" s="3319">
        <v>1.91</v>
      </c>
      <c r="G6243" s="3355">
        <v>2.37</v>
      </c>
      <c r="H6243" s="39"/>
    </row>
    <row r="6244" spans="1:8" ht="15.75" thickBot="1">
      <c r="A6244" s="3327"/>
      <c r="B6244" s="3328"/>
      <c r="C6244" s="3328" t="s">
        <v>2802</v>
      </c>
      <c r="D6244" s="3328"/>
      <c r="E6244" s="3357">
        <f t="shared" si="159"/>
        <v>0.19409282700421948</v>
      </c>
      <c r="F6244" s="3328">
        <v>1.91</v>
      </c>
      <c r="G6244" s="3415">
        <v>2.37</v>
      </c>
      <c r="H6244" s="39"/>
    </row>
    <row r="6245" spans="1:8" ht="15.75" thickBot="1"/>
    <row r="6246" spans="1:8">
      <c r="A6246" s="3572" t="s">
        <v>0</v>
      </c>
      <c r="B6246" s="3557" t="s">
        <v>1</v>
      </c>
      <c r="C6246" s="3557" t="s">
        <v>2</v>
      </c>
      <c r="D6246" s="3557" t="s">
        <v>3</v>
      </c>
      <c r="E6246" s="3557" t="s">
        <v>4</v>
      </c>
      <c r="F6246" s="3557" t="s">
        <v>5</v>
      </c>
      <c r="G6246" s="3559" t="s">
        <v>3504</v>
      </c>
    </row>
    <row r="6247" spans="1:8" ht="15.75" thickBot="1">
      <c r="A6247" s="3908"/>
      <c r="B6247" s="3903"/>
      <c r="C6247" s="3903"/>
      <c r="D6247" s="3903"/>
      <c r="E6247" s="3903"/>
      <c r="F6247" s="3903"/>
      <c r="G6247" s="3904"/>
    </row>
    <row r="6248" spans="1:8">
      <c r="A6248" s="2668" t="s">
        <v>4020</v>
      </c>
      <c r="B6248" s="1690" t="s">
        <v>3229</v>
      </c>
      <c r="C6248" s="2181" t="s">
        <v>1258</v>
      </c>
      <c r="D6248" s="2766"/>
      <c r="E6248" s="3067">
        <f>(G6248-F6248)/G6248</f>
        <v>0.12484011256075728</v>
      </c>
      <c r="F6248" s="3156">
        <v>34.21</v>
      </c>
      <c r="G6248" s="3157">
        <v>39.090000000000003</v>
      </c>
    </row>
    <row r="6249" spans="1:8">
      <c r="A6249" s="3324"/>
      <c r="B6249" s="3319"/>
      <c r="C6249" s="3422" t="s">
        <v>1259</v>
      </c>
      <c r="D6249" s="3319"/>
      <c r="E6249" s="3353">
        <f t="shared" ref="E6249:E6274" si="160">(G6249-F6249)/G6249</f>
        <v>0.1252615844544096</v>
      </c>
      <c r="F6249" s="3354">
        <v>29.26</v>
      </c>
      <c r="G6249" s="3355">
        <v>33.450000000000003</v>
      </c>
    </row>
    <row r="6250" spans="1:8">
      <c r="A6250" s="3324"/>
      <c r="B6250" s="3319"/>
      <c r="C6250" s="3319" t="s">
        <v>1254</v>
      </c>
      <c r="D6250" s="3319"/>
      <c r="E6250" s="3353">
        <f t="shared" si="160"/>
        <v>0.12481857764876625</v>
      </c>
      <c r="F6250" s="3354">
        <v>12.06</v>
      </c>
      <c r="G6250" s="3355">
        <v>13.78</v>
      </c>
    </row>
    <row r="6251" spans="1:8">
      <c r="A6251" s="3324"/>
      <c r="B6251" s="3319"/>
      <c r="C6251" s="3319" t="s">
        <v>1256</v>
      </c>
      <c r="D6251" s="3319"/>
      <c r="E6251" s="3353">
        <f t="shared" si="160"/>
        <v>0.12489158716392017</v>
      </c>
      <c r="F6251" s="3354">
        <v>10.09</v>
      </c>
      <c r="G6251" s="3355">
        <v>11.53</v>
      </c>
    </row>
    <row r="6252" spans="1:8">
      <c r="A6252" s="3324"/>
      <c r="B6252" s="3319"/>
      <c r="C6252" s="3319" t="s">
        <v>3020</v>
      </c>
      <c r="D6252" s="3319"/>
      <c r="E6252" s="3353">
        <f t="shared" si="160"/>
        <v>0.12509593246354558</v>
      </c>
      <c r="F6252" s="3354">
        <v>11.4</v>
      </c>
      <c r="G6252" s="3355">
        <v>13.03</v>
      </c>
    </row>
    <row r="6253" spans="1:8">
      <c r="A6253" s="3324"/>
      <c r="B6253" s="3319"/>
      <c r="C6253" s="3319" t="s">
        <v>1176</v>
      </c>
      <c r="D6253" s="3319"/>
      <c r="E6253" s="3353">
        <f t="shared" si="160"/>
        <v>0.12455726092089735</v>
      </c>
      <c r="F6253" s="3354">
        <v>14.83</v>
      </c>
      <c r="G6253" s="3355">
        <v>16.940000000000001</v>
      </c>
    </row>
    <row r="6254" spans="1:8">
      <c r="A6254" s="3324"/>
      <c r="B6254" s="3319"/>
      <c r="C6254" s="3319" t="s">
        <v>3168</v>
      </c>
      <c r="D6254" s="3319"/>
      <c r="E6254" s="3353">
        <f t="shared" si="160"/>
        <v>0.12478184991274009</v>
      </c>
      <c r="F6254" s="3354">
        <v>20.059999999999999</v>
      </c>
      <c r="G6254" s="3355">
        <v>22.92</v>
      </c>
    </row>
    <row r="6255" spans="1:8">
      <c r="A6255" s="3324"/>
      <c r="B6255" s="3319"/>
      <c r="C6255" s="3319" t="s">
        <v>3021</v>
      </c>
      <c r="D6255" s="3319"/>
      <c r="E6255" s="3353">
        <f t="shared" si="160"/>
        <v>0.12500000000000003</v>
      </c>
      <c r="F6255" s="3354">
        <v>2.17</v>
      </c>
      <c r="G6255" s="3355">
        <v>2.48</v>
      </c>
    </row>
    <row r="6256" spans="1:8">
      <c r="A6256" s="3324"/>
      <c r="B6256" s="3319"/>
      <c r="C6256" s="3319" t="s">
        <v>1272</v>
      </c>
      <c r="D6256" s="3319"/>
      <c r="E6256" s="3353">
        <f t="shared" si="160"/>
        <v>0.12527964205816547</v>
      </c>
      <c r="F6256" s="3354">
        <v>3.91</v>
      </c>
      <c r="G6256" s="3355">
        <v>4.47</v>
      </c>
    </row>
    <row r="6257" spans="1:7">
      <c r="A6257" s="3324"/>
      <c r="B6257" s="3319"/>
      <c r="C6257" s="3319" t="s">
        <v>1263</v>
      </c>
      <c r="D6257" s="3319"/>
      <c r="E6257" s="3353">
        <f t="shared" si="160"/>
        <v>0.12424242424242415</v>
      </c>
      <c r="F6257" s="3319">
        <v>2.89</v>
      </c>
      <c r="G6257" s="3355">
        <v>3.3</v>
      </c>
    </row>
    <row r="6258" spans="1:7">
      <c r="A6258" s="3324"/>
      <c r="B6258" s="3319"/>
      <c r="C6258" s="3319" t="s">
        <v>1271</v>
      </c>
      <c r="D6258" s="3319"/>
      <c r="E6258" s="3353">
        <f t="shared" si="160"/>
        <v>0.12499999999999997</v>
      </c>
      <c r="F6258" s="3319">
        <v>36.54</v>
      </c>
      <c r="G6258" s="3355">
        <v>41.76</v>
      </c>
    </row>
    <row r="6259" spans="1:7">
      <c r="A6259" s="3324"/>
      <c r="B6259" s="3319"/>
      <c r="C6259" s="3319" t="s">
        <v>3169</v>
      </c>
      <c r="D6259" s="3319"/>
      <c r="E6259" s="3353">
        <f t="shared" si="160"/>
        <v>0.12500000000000003</v>
      </c>
      <c r="F6259" s="3319">
        <v>24.22</v>
      </c>
      <c r="G6259" s="3355">
        <v>27.68</v>
      </c>
    </row>
    <row r="6260" spans="1:7">
      <c r="A6260" s="3324"/>
      <c r="B6260" s="3319"/>
      <c r="C6260" s="3319" t="s">
        <v>1252</v>
      </c>
      <c r="D6260" s="3319"/>
      <c r="E6260" s="3353">
        <f t="shared" si="160"/>
        <v>0.12474713418745784</v>
      </c>
      <c r="F6260" s="3319">
        <v>12.98</v>
      </c>
      <c r="G6260" s="3323">
        <v>14.83</v>
      </c>
    </row>
    <row r="6261" spans="1:7">
      <c r="A6261" s="3324"/>
      <c r="B6261" s="3319"/>
      <c r="C6261" s="3319" t="s">
        <v>1257</v>
      </c>
      <c r="D6261" s="3319"/>
      <c r="E6261" s="3353">
        <f t="shared" si="160"/>
        <v>0.12455934195064626</v>
      </c>
      <c r="F6261" s="3319">
        <v>7.45</v>
      </c>
      <c r="G6261" s="3323">
        <v>8.51</v>
      </c>
    </row>
    <row r="6262" spans="1:7">
      <c r="A6262" s="3324"/>
      <c r="B6262" s="3319"/>
      <c r="C6262" s="3319" t="s">
        <v>1175</v>
      </c>
      <c r="D6262" s="3319"/>
      <c r="E6262" s="3353">
        <f t="shared" si="160"/>
        <v>0.12520593080724887</v>
      </c>
      <c r="F6262" s="3319">
        <v>5.31</v>
      </c>
      <c r="G6262" s="3323">
        <v>6.07</v>
      </c>
    </row>
    <row r="6263" spans="1:7">
      <c r="A6263" s="3324"/>
      <c r="B6263" s="3319"/>
      <c r="C6263" s="3319" t="s">
        <v>2460</v>
      </c>
      <c r="D6263" s="3319"/>
      <c r="E6263" s="3353">
        <f t="shared" si="160"/>
        <v>0.12520593080724887</v>
      </c>
      <c r="F6263" s="3319">
        <v>5.31</v>
      </c>
      <c r="G6263" s="3323">
        <v>6.07</v>
      </c>
    </row>
    <row r="6264" spans="1:7">
      <c r="A6264" s="3324"/>
      <c r="B6264" s="3319"/>
      <c r="C6264" s="3319" t="s">
        <v>1266</v>
      </c>
      <c r="D6264" s="3319"/>
      <c r="E6264" s="3353">
        <f t="shared" si="160"/>
        <v>0.12456747404844301</v>
      </c>
      <c r="F6264" s="3319">
        <v>5.0599999999999996</v>
      </c>
      <c r="G6264" s="3323">
        <v>5.78</v>
      </c>
    </row>
    <row r="6265" spans="1:7">
      <c r="A6265" s="3324"/>
      <c r="B6265" s="3319"/>
      <c r="C6265" s="3319" t="s">
        <v>1814</v>
      </c>
      <c r="D6265" s="3319"/>
      <c r="E6265" s="3353">
        <f t="shared" si="160"/>
        <v>0.12456747404844301</v>
      </c>
      <c r="F6265" s="3319">
        <v>5.0599999999999996</v>
      </c>
      <c r="G6265" s="3323">
        <v>5.78</v>
      </c>
    </row>
    <row r="6266" spans="1:7">
      <c r="A6266" s="3324"/>
      <c r="B6266" s="3319"/>
      <c r="C6266" s="3319" t="s">
        <v>1174</v>
      </c>
      <c r="D6266" s="3319"/>
      <c r="E6266" s="3353">
        <f t="shared" si="160"/>
        <v>0.12499999999999994</v>
      </c>
      <c r="F6266" s="3319">
        <v>3.29</v>
      </c>
      <c r="G6266" s="3323">
        <v>3.76</v>
      </c>
    </row>
    <row r="6267" spans="1:7">
      <c r="A6267" s="3324"/>
      <c r="B6267" s="3319"/>
      <c r="C6267" s="3319" t="s">
        <v>1511</v>
      </c>
      <c r="D6267" s="3319"/>
      <c r="E6267" s="3353">
        <f t="shared" si="160"/>
        <v>0.12499999999999994</v>
      </c>
      <c r="F6267" s="3319">
        <v>3.29</v>
      </c>
      <c r="G6267" s="3323">
        <v>3.76</v>
      </c>
    </row>
    <row r="6268" spans="1:7">
      <c r="A6268" s="3324"/>
      <c r="B6268" s="3319"/>
      <c r="C6268" s="3319" t="s">
        <v>3815</v>
      </c>
      <c r="D6268" s="3319"/>
      <c r="E6268" s="3353">
        <f t="shared" si="160"/>
        <v>0.12690355329949238</v>
      </c>
      <c r="F6268" s="3319">
        <v>1.72</v>
      </c>
      <c r="G6268" s="3323">
        <v>1.97</v>
      </c>
    </row>
    <row r="6269" spans="1:7">
      <c r="A6269" s="3324"/>
      <c r="B6269" s="3319"/>
      <c r="C6269" s="3319" t="s">
        <v>3815</v>
      </c>
      <c r="D6269" s="3319"/>
      <c r="E6269" s="3353">
        <f t="shared" si="160"/>
        <v>0.12690355329949238</v>
      </c>
      <c r="F6269" s="3319">
        <v>1.72</v>
      </c>
      <c r="G6269" s="3323">
        <v>1.97</v>
      </c>
    </row>
    <row r="6270" spans="1:7">
      <c r="A6270" s="3324"/>
      <c r="B6270" s="3319"/>
      <c r="C6270" s="3319" t="s">
        <v>3816</v>
      </c>
      <c r="D6270" s="3319"/>
      <c r="E6270" s="3353">
        <f t="shared" si="160"/>
        <v>0.12500000000000011</v>
      </c>
      <c r="F6270" s="3319">
        <v>3.92</v>
      </c>
      <c r="G6270" s="3323">
        <v>4.4800000000000004</v>
      </c>
    </row>
    <row r="6271" spans="1:7">
      <c r="A6271" s="3324"/>
      <c r="B6271" s="3319"/>
      <c r="C6271" s="3319" t="s">
        <v>3964</v>
      </c>
      <c r="D6271" s="3319"/>
      <c r="E6271" s="3353">
        <f t="shared" si="160"/>
        <v>0.12500000000000011</v>
      </c>
      <c r="F6271" s="3319">
        <v>3.92</v>
      </c>
      <c r="G6271" s="3323">
        <v>4.4800000000000004</v>
      </c>
    </row>
    <row r="6272" spans="1:7">
      <c r="A6272" s="3324"/>
      <c r="B6272" s="3319"/>
      <c r="C6272" s="3319" t="s">
        <v>3947</v>
      </c>
      <c r="D6272" s="3319"/>
      <c r="E6272" s="3353">
        <f t="shared" si="160"/>
        <v>0.12443438914027152</v>
      </c>
      <c r="F6272" s="3319">
        <v>11.61</v>
      </c>
      <c r="G6272" s="3323">
        <v>13.26</v>
      </c>
    </row>
    <row r="6273" spans="1:7">
      <c r="A6273" s="3324"/>
      <c r="B6273" s="3319"/>
      <c r="C6273" s="3319" t="s">
        <v>3948</v>
      </c>
      <c r="D6273" s="3319"/>
      <c r="E6273" s="3353">
        <f t="shared" si="160"/>
        <v>0.12526242127361786</v>
      </c>
      <c r="F6273" s="3319">
        <v>12.5</v>
      </c>
      <c r="G6273" s="3323">
        <v>14.29</v>
      </c>
    </row>
    <row r="6274" spans="1:7" ht="15.75" thickBot="1">
      <c r="A6274" s="3327"/>
      <c r="B6274" s="3328"/>
      <c r="C6274" s="3328" t="s">
        <v>3949</v>
      </c>
      <c r="D6274" s="3328"/>
      <c r="E6274" s="3357">
        <f t="shared" si="160"/>
        <v>0.12477286493034537</v>
      </c>
      <c r="F6274" s="3328">
        <v>14.45</v>
      </c>
      <c r="G6274" s="3334">
        <v>16.510000000000002</v>
      </c>
    </row>
    <row r="6275" spans="1:7" ht="15.75" thickBot="1"/>
    <row r="6276" spans="1:7">
      <c r="A6276" s="3572" t="s">
        <v>0</v>
      </c>
      <c r="B6276" s="3557" t="s">
        <v>1</v>
      </c>
      <c r="C6276" s="3557" t="s">
        <v>2</v>
      </c>
      <c r="D6276" s="3557" t="s">
        <v>3</v>
      </c>
      <c r="E6276" s="3557" t="s">
        <v>4</v>
      </c>
      <c r="F6276" s="3557" t="s">
        <v>5</v>
      </c>
      <c r="G6276" s="3559" t="s">
        <v>3504</v>
      </c>
    </row>
    <row r="6277" spans="1:7" ht="15.75" thickBot="1">
      <c r="A6277" s="3908"/>
      <c r="B6277" s="3903"/>
      <c r="C6277" s="3903"/>
      <c r="D6277" s="3903"/>
      <c r="E6277" s="3903"/>
      <c r="F6277" s="3903"/>
      <c r="G6277" s="3904"/>
    </row>
    <row r="6278" spans="1:7" ht="15.75" thickBot="1">
      <c r="A6278" s="3173" t="s">
        <v>4021</v>
      </c>
      <c r="B6278" s="3174" t="s">
        <v>106</v>
      </c>
      <c r="C6278" s="3249" t="s">
        <v>858</v>
      </c>
      <c r="D6278" s="3176"/>
      <c r="E6278" s="3177">
        <f>(G6278-F6278)/G6278</f>
        <v>0.33050847457627114</v>
      </c>
      <c r="F6278" s="3178">
        <v>0.79</v>
      </c>
      <c r="G6278" s="3179">
        <v>1.18</v>
      </c>
    </row>
    <row r="6279" spans="1:7" ht="15.75" thickBot="1"/>
    <row r="6280" spans="1:7">
      <c r="A6280" s="3572" t="s">
        <v>0</v>
      </c>
      <c r="B6280" s="3557" t="s">
        <v>1</v>
      </c>
      <c r="C6280" s="3557" t="s">
        <v>2</v>
      </c>
      <c r="D6280" s="3557" t="s">
        <v>3</v>
      </c>
      <c r="E6280" s="3557" t="s">
        <v>4</v>
      </c>
      <c r="F6280" s="3557" t="s">
        <v>5</v>
      </c>
      <c r="G6280" s="3559" t="s">
        <v>3504</v>
      </c>
    </row>
    <row r="6281" spans="1:7">
      <c r="A6281" s="4028"/>
      <c r="B6281" s="4029"/>
      <c r="C6281" s="4029"/>
      <c r="D6281" s="4029"/>
      <c r="E6281" s="4029"/>
      <c r="F6281" s="4029"/>
      <c r="G6281" s="4030"/>
    </row>
    <row r="6282" spans="1:7">
      <c r="A6282" s="3496" t="s">
        <v>4041</v>
      </c>
      <c r="B6282" s="3441" t="s">
        <v>106</v>
      </c>
      <c r="C6282" s="3452" t="s">
        <v>4042</v>
      </c>
      <c r="D6282" s="3441"/>
      <c r="E6282" s="3338">
        <f>(G6282-F6282)/G6282</f>
        <v>0.32943143812709036</v>
      </c>
      <c r="F6282" s="3495">
        <v>4.01</v>
      </c>
      <c r="G6282" s="3497">
        <v>5.98</v>
      </c>
    </row>
    <row r="6283" spans="1:7" ht="15.75" thickBot="1">
      <c r="A6283" s="3498"/>
      <c r="B6283" s="3499"/>
      <c r="C6283" s="3500" t="s">
        <v>3409</v>
      </c>
      <c r="D6283" s="3499"/>
      <c r="E6283" s="3338">
        <f>(G6283-F6283)/G6283</f>
        <v>0.33029612756264232</v>
      </c>
      <c r="F6283" s="3501">
        <v>2.94</v>
      </c>
      <c r="G6283" s="3502">
        <v>4.3899999999999997</v>
      </c>
    </row>
    <row r="6284" spans="1:7" ht="15.75" thickBot="1"/>
    <row r="6285" spans="1:7">
      <c r="A6285" s="3572" t="s">
        <v>0</v>
      </c>
      <c r="B6285" s="3557" t="s">
        <v>1</v>
      </c>
      <c r="C6285" s="3557" t="s">
        <v>2</v>
      </c>
      <c r="D6285" s="3557" t="s">
        <v>3</v>
      </c>
      <c r="E6285" s="3557" t="s">
        <v>4</v>
      </c>
      <c r="F6285" s="3557" t="s">
        <v>5</v>
      </c>
      <c r="G6285" s="3559" t="s">
        <v>3504</v>
      </c>
    </row>
    <row r="6286" spans="1:7" ht="15.75" thickBot="1">
      <c r="A6286" s="3908"/>
      <c r="B6286" s="3903"/>
      <c r="C6286" s="3903"/>
      <c r="D6286" s="3903"/>
      <c r="E6286" s="3903"/>
      <c r="F6286" s="3903"/>
      <c r="G6286" s="3904"/>
    </row>
    <row r="6287" spans="1:7">
      <c r="A6287" s="2668" t="s">
        <v>4043</v>
      </c>
      <c r="B6287" s="1690" t="s">
        <v>3229</v>
      </c>
      <c r="C6287" s="2181" t="s">
        <v>1563</v>
      </c>
      <c r="D6287" s="2766"/>
      <c r="E6287" s="3067">
        <f>(G6287-F6287)/G6287</f>
        <v>0.20261437908496735</v>
      </c>
      <c r="F6287" s="3156">
        <v>1.22</v>
      </c>
      <c r="G6287" s="3157">
        <v>1.53</v>
      </c>
    </row>
    <row r="6288" spans="1:7" ht="15.75" thickBot="1">
      <c r="A6288" s="3327"/>
      <c r="B6288" s="3328"/>
      <c r="C6288" s="3423" t="s">
        <v>1120</v>
      </c>
      <c r="D6288" s="3328"/>
      <c r="E6288" s="3357">
        <f t="shared" ref="E6288" si="161">(G6288-F6288)/G6288</f>
        <v>0.19354838709677419</v>
      </c>
      <c r="F6288" s="3343">
        <v>0.5</v>
      </c>
      <c r="G6288" s="3415">
        <v>0.62</v>
      </c>
    </row>
  </sheetData>
  <protectedRanges>
    <protectedRange sqref="C3522" name="Диапазон2_3_1_2"/>
    <protectedRange sqref="C3519" name="Диапазон2_3_1_1_1_1_1"/>
  </protectedRanges>
  <mergeCells count="2881">
    <mergeCell ref="A6285:A6286"/>
    <mergeCell ref="B6285:B6286"/>
    <mergeCell ref="C6285:C6286"/>
    <mergeCell ref="D6285:D6286"/>
    <mergeCell ref="E6285:E6286"/>
    <mergeCell ref="F6285:F6286"/>
    <mergeCell ref="G6285:G6286"/>
    <mergeCell ref="A6246:A6247"/>
    <mergeCell ref="B6246:B6247"/>
    <mergeCell ref="C6246:C6247"/>
    <mergeCell ref="D6246:D6247"/>
    <mergeCell ref="E6246:E6247"/>
    <mergeCell ref="F6246:F6247"/>
    <mergeCell ref="G6246:G6247"/>
    <mergeCell ref="A6231:A6232"/>
    <mergeCell ref="B6231:B6232"/>
    <mergeCell ref="C6231:C6232"/>
    <mergeCell ref="D6231:D6232"/>
    <mergeCell ref="E6231:E6232"/>
    <mergeCell ref="F6231:F6232"/>
    <mergeCell ref="G6231:G6232"/>
    <mergeCell ref="A6280:A6281"/>
    <mergeCell ref="B6280:B6281"/>
    <mergeCell ref="C6280:C6281"/>
    <mergeCell ref="D6280:D6281"/>
    <mergeCell ref="E6280:E6281"/>
    <mergeCell ref="F6280:F6281"/>
    <mergeCell ref="G6280:G6281"/>
    <mergeCell ref="A6276:A6277"/>
    <mergeCell ref="B6276:B6277"/>
    <mergeCell ref="C6276:C6277"/>
    <mergeCell ref="D6276:D6277"/>
    <mergeCell ref="C6215:C6216"/>
    <mergeCell ref="D6215:D6216"/>
    <mergeCell ref="E6215:E6216"/>
    <mergeCell ref="F6215:F6216"/>
    <mergeCell ref="G6215:G6216"/>
    <mergeCell ref="A6202:A6203"/>
    <mergeCell ref="B6202:B6203"/>
    <mergeCell ref="C6202:C6203"/>
    <mergeCell ref="D6202:D6203"/>
    <mergeCell ref="E6202:E6203"/>
    <mergeCell ref="F6202:F6203"/>
    <mergeCell ref="G6202:G6203"/>
    <mergeCell ref="A6227:A6228"/>
    <mergeCell ref="B6227:B6228"/>
    <mergeCell ref="C6227:C6228"/>
    <mergeCell ref="D6227:D6228"/>
    <mergeCell ref="E6227:E6228"/>
    <mergeCell ref="F6227:F6228"/>
    <mergeCell ref="G6227:G6228"/>
    <mergeCell ref="A6215:A6216"/>
    <mergeCell ref="B6215:B6216"/>
    <mergeCell ref="A6193:A6194"/>
    <mergeCell ref="B6193:B6194"/>
    <mergeCell ref="C6193:C6194"/>
    <mergeCell ref="D6193:D6194"/>
    <mergeCell ref="E6193:E6194"/>
    <mergeCell ref="F6193:F6194"/>
    <mergeCell ref="G6193:G6194"/>
    <mergeCell ref="A6141:A6142"/>
    <mergeCell ref="B6141:B6142"/>
    <mergeCell ref="C6141:C6142"/>
    <mergeCell ref="D6141:D6142"/>
    <mergeCell ref="E6141:E6142"/>
    <mergeCell ref="F6141:F6142"/>
    <mergeCell ref="G6141:G6142"/>
    <mergeCell ref="A6184:A6185"/>
    <mergeCell ref="B6184:B6185"/>
    <mergeCell ref="C6184:C6185"/>
    <mergeCell ref="D6184:D6185"/>
    <mergeCell ref="E6184:E6185"/>
    <mergeCell ref="F6184:F6185"/>
    <mergeCell ref="G6184:G6185"/>
    <mergeCell ref="A6172:A6173"/>
    <mergeCell ref="B6172:B6173"/>
    <mergeCell ref="C6172:C6173"/>
    <mergeCell ref="D6172:D6173"/>
    <mergeCell ref="E6172:E6173"/>
    <mergeCell ref="F6172:F6173"/>
    <mergeCell ref="G6172:G6173"/>
    <mergeCell ref="A6167:A6168"/>
    <mergeCell ref="B6167:B6168"/>
    <mergeCell ref="A5841:A5842"/>
    <mergeCell ref="B5841:B5842"/>
    <mergeCell ref="C5841:C5842"/>
    <mergeCell ref="D5841:D5842"/>
    <mergeCell ref="E5841:E5842"/>
    <mergeCell ref="B6091:B6092"/>
    <mergeCell ref="C6091:C6092"/>
    <mergeCell ref="D6091:D6092"/>
    <mergeCell ref="E6091:E6092"/>
    <mergeCell ref="F6091:F6092"/>
    <mergeCell ref="G6091:G6092"/>
    <mergeCell ref="A6161:A6162"/>
    <mergeCell ref="B6161:B6162"/>
    <mergeCell ref="C6161:C6162"/>
    <mergeCell ref="D6161:D6162"/>
    <mergeCell ref="E6161:E6162"/>
    <mergeCell ref="F6161:F6162"/>
    <mergeCell ref="G6161:G6162"/>
    <mergeCell ref="A6115:A6116"/>
    <mergeCell ref="B6115:B6116"/>
    <mergeCell ref="C6115:C6116"/>
    <mergeCell ref="E6136:E6137"/>
    <mergeCell ref="F6136:F6137"/>
    <mergeCell ref="G6136:G6137"/>
    <mergeCell ref="E5863:E5864"/>
    <mergeCell ref="F5863:F5864"/>
    <mergeCell ref="G5863:G5864"/>
    <mergeCell ref="A5901:A5902"/>
    <mergeCell ref="B5901:B5902"/>
    <mergeCell ref="C5901:C5902"/>
    <mergeCell ref="E5901:E5902"/>
    <mergeCell ref="F5901:F5902"/>
    <mergeCell ref="G5901:G5902"/>
    <mergeCell ref="C5855:C5856"/>
    <mergeCell ref="A6122:A6123"/>
    <mergeCell ref="B6122:B6123"/>
    <mergeCell ref="C6122:C6123"/>
    <mergeCell ref="D6122:D6123"/>
    <mergeCell ref="A6000:A6001"/>
    <mergeCell ref="B6000:B6001"/>
    <mergeCell ref="C6000:C6001"/>
    <mergeCell ref="D6000:D6001"/>
    <mergeCell ref="E6000:E6001"/>
    <mergeCell ref="F6000:F6001"/>
    <mergeCell ref="G6000:G6001"/>
    <mergeCell ref="F5841:F5842"/>
    <mergeCell ref="G5841:G5842"/>
    <mergeCell ref="A5828:A5829"/>
    <mergeCell ref="B5828:B5829"/>
    <mergeCell ref="C5828:C5829"/>
    <mergeCell ref="A5863:A5864"/>
    <mergeCell ref="A5859:A5860"/>
    <mergeCell ref="B5859:B5860"/>
    <mergeCell ref="A5942:A5943"/>
    <mergeCell ref="B5942:B5943"/>
    <mergeCell ref="C5942:C5943"/>
    <mergeCell ref="D5942:D5943"/>
    <mergeCell ref="E5942:E5943"/>
    <mergeCell ref="F5942:F5943"/>
    <mergeCell ref="G5942:G5943"/>
    <mergeCell ref="E5859:E5860"/>
    <mergeCell ref="F5859:F5860"/>
    <mergeCell ref="D5855:D5856"/>
    <mergeCell ref="E5855:E5856"/>
    <mergeCell ref="C5859:C5860"/>
    <mergeCell ref="D5859:D5860"/>
    <mergeCell ref="B5863:B5864"/>
    <mergeCell ref="C5863:C5864"/>
    <mergeCell ref="D5901:D5902"/>
    <mergeCell ref="F5855:F5856"/>
    <mergeCell ref="G5855:G5856"/>
    <mergeCell ref="F5828:F5829"/>
    <mergeCell ref="G5828:G5829"/>
    <mergeCell ref="G5859:G5860"/>
    <mergeCell ref="A5855:A5856"/>
    <mergeCell ref="B5855:B5856"/>
    <mergeCell ref="D5863:D5864"/>
    <mergeCell ref="F5606:F5607"/>
    <mergeCell ref="G5606:G5607"/>
    <mergeCell ref="A5615:A5616"/>
    <mergeCell ref="B5615:B5616"/>
    <mergeCell ref="A5848:A5849"/>
    <mergeCell ref="B5848:B5849"/>
    <mergeCell ref="C5848:C5849"/>
    <mergeCell ref="D5848:D5849"/>
    <mergeCell ref="E5848:E5849"/>
    <mergeCell ref="F5848:F5849"/>
    <mergeCell ref="G5848:G5849"/>
    <mergeCell ref="F5823:F5824"/>
    <mergeCell ref="G5823:G5824"/>
    <mergeCell ref="A5801:A5802"/>
    <mergeCell ref="B5801:B5802"/>
    <mergeCell ref="C5801:C5802"/>
    <mergeCell ref="D5801:D5802"/>
    <mergeCell ref="E5801:E5802"/>
    <mergeCell ref="F5801:F5802"/>
    <mergeCell ref="G5801:G5802"/>
    <mergeCell ref="D5828:D5829"/>
    <mergeCell ref="E5828:E5829"/>
    <mergeCell ref="A5665:A5666"/>
    <mergeCell ref="B5665:B5666"/>
    <mergeCell ref="C5665:C5666"/>
    <mergeCell ref="G5665:G5666"/>
    <mergeCell ref="A5674:A5675"/>
    <mergeCell ref="B5674:B5675"/>
    <mergeCell ref="C5674:C5675"/>
    <mergeCell ref="D5674:D5675"/>
    <mergeCell ref="E5674:E5675"/>
    <mergeCell ref="F5674:F5675"/>
    <mergeCell ref="A5576:A5577"/>
    <mergeCell ref="B5576:B5577"/>
    <mergeCell ref="C5576:C5577"/>
    <mergeCell ref="D5576:D5577"/>
    <mergeCell ref="E5576:E5577"/>
    <mergeCell ref="F5576:F5577"/>
    <mergeCell ref="G5576:G5577"/>
    <mergeCell ref="A5595:A5596"/>
    <mergeCell ref="B5595:B5596"/>
    <mergeCell ref="C5595:C5596"/>
    <mergeCell ref="D5595:D5596"/>
    <mergeCell ref="E5595:E5596"/>
    <mergeCell ref="F5595:F5596"/>
    <mergeCell ref="G5595:G5596"/>
    <mergeCell ref="B5660:B5661"/>
    <mergeCell ref="C5660:C5661"/>
    <mergeCell ref="C5615:C5616"/>
    <mergeCell ref="A5606:A5607"/>
    <mergeCell ref="G5630:G5631"/>
    <mergeCell ref="D5630:D5631"/>
    <mergeCell ref="E5630:E5631"/>
    <mergeCell ref="F5630:F5631"/>
    <mergeCell ref="B5606:B5607"/>
    <mergeCell ref="C5606:C5607"/>
    <mergeCell ref="D5606:D5607"/>
    <mergeCell ref="E5606:E5607"/>
    <mergeCell ref="E5615:E5616"/>
    <mergeCell ref="F5615:F5616"/>
    <mergeCell ref="G5615:G5616"/>
    <mergeCell ref="A5630:A5631"/>
    <mergeCell ref="D5660:D5661"/>
    <mergeCell ref="E5660:E5661"/>
    <mergeCell ref="D5537:D5538"/>
    <mergeCell ref="E5537:E5538"/>
    <mergeCell ref="F5537:F5538"/>
    <mergeCell ref="G5537:G5538"/>
    <mergeCell ref="A5492:A5493"/>
    <mergeCell ref="B5492:B5493"/>
    <mergeCell ref="C5492:C5493"/>
    <mergeCell ref="D5492:D5493"/>
    <mergeCell ref="E5492:E5493"/>
    <mergeCell ref="F5492:F5493"/>
    <mergeCell ref="G5492:G5493"/>
    <mergeCell ref="A5546:A5547"/>
    <mergeCell ref="B5546:B5547"/>
    <mergeCell ref="C5546:C5547"/>
    <mergeCell ref="D5546:D5547"/>
    <mergeCell ref="E5546:E5547"/>
    <mergeCell ref="F5546:F5547"/>
    <mergeCell ref="G5546:G5547"/>
    <mergeCell ref="A5537:A5538"/>
    <mergeCell ref="B5537:B5538"/>
    <mergeCell ref="C5537:C5538"/>
    <mergeCell ref="A5497:A5498"/>
    <mergeCell ref="B5497:B5498"/>
    <mergeCell ref="C5497:C5498"/>
    <mergeCell ref="D5497:D5498"/>
    <mergeCell ref="E5497:E5498"/>
    <mergeCell ref="F5497:F5498"/>
    <mergeCell ref="G5497:G5498"/>
    <mergeCell ref="E5464:E5465"/>
    <mergeCell ref="F5464:F5465"/>
    <mergeCell ref="G5464:G5465"/>
    <mergeCell ref="A5487:A5488"/>
    <mergeCell ref="B5487:B5488"/>
    <mergeCell ref="C5487:C5488"/>
    <mergeCell ref="D5487:D5488"/>
    <mergeCell ref="E5487:E5488"/>
    <mergeCell ref="F5487:F5488"/>
    <mergeCell ref="G5487:G5488"/>
    <mergeCell ref="A5464:A5465"/>
    <mergeCell ref="D5023:D5024"/>
    <mergeCell ref="E5023:E5024"/>
    <mergeCell ref="F5023:F5024"/>
    <mergeCell ref="C5037:C5038"/>
    <mergeCell ref="D5037:D5038"/>
    <mergeCell ref="E5037:E5038"/>
    <mergeCell ref="F5037:F5038"/>
    <mergeCell ref="A5030:A5031"/>
    <mergeCell ref="B5030:B5031"/>
    <mergeCell ref="C5030:C5031"/>
    <mergeCell ref="D5030:D5031"/>
    <mergeCell ref="A5023:A5024"/>
    <mergeCell ref="B5023:B5024"/>
    <mergeCell ref="C5023:C5024"/>
    <mergeCell ref="A5073:A5074"/>
    <mergeCell ref="B5073:B5074"/>
    <mergeCell ref="C5073:C5074"/>
    <mergeCell ref="D5073:D5074"/>
    <mergeCell ref="E5073:E5074"/>
    <mergeCell ref="E5030:E5031"/>
    <mergeCell ref="F5030:F5031"/>
    <mergeCell ref="A4879:A4880"/>
    <mergeCell ref="B4879:B4880"/>
    <mergeCell ref="C4879:C4880"/>
    <mergeCell ref="D4879:D4880"/>
    <mergeCell ref="A4890:A4891"/>
    <mergeCell ref="B4890:B4891"/>
    <mergeCell ref="E4890:E4891"/>
    <mergeCell ref="F4890:F4891"/>
    <mergeCell ref="C4950:C4951"/>
    <mergeCell ref="D4950:D4951"/>
    <mergeCell ref="E4950:E4951"/>
    <mergeCell ref="F4950:F4951"/>
    <mergeCell ref="A4940:A4941"/>
    <mergeCell ref="B4940:B4941"/>
    <mergeCell ref="C4940:C4941"/>
    <mergeCell ref="D4940:D4941"/>
    <mergeCell ref="C4960:C4961"/>
    <mergeCell ref="D4960:D4961"/>
    <mergeCell ref="E4960:E4961"/>
    <mergeCell ref="F4960:F4961"/>
    <mergeCell ref="E4940:E4941"/>
    <mergeCell ref="F4940:F4941"/>
    <mergeCell ref="A5037:A5038"/>
    <mergeCell ref="B5037:B5038"/>
    <mergeCell ref="C5045:C5046"/>
    <mergeCell ref="D5045:D5046"/>
    <mergeCell ref="E5045:E5046"/>
    <mergeCell ref="F5045:F5046"/>
    <mergeCell ref="A5056:A5057"/>
    <mergeCell ref="B5056:B5057"/>
    <mergeCell ref="C5056:C5057"/>
    <mergeCell ref="D5056:D5057"/>
    <mergeCell ref="E5056:E5057"/>
    <mergeCell ref="F5056:F5057"/>
    <mergeCell ref="A5069:A5070"/>
    <mergeCell ref="B5069:B5070"/>
    <mergeCell ref="C5069:C5070"/>
    <mergeCell ref="D5069:D5070"/>
    <mergeCell ref="E5069:E5070"/>
    <mergeCell ref="F5069:F5070"/>
    <mergeCell ref="A5045:A5046"/>
    <mergeCell ref="B5045:B5046"/>
    <mergeCell ref="D5012:D5013"/>
    <mergeCell ref="F4975:F4976"/>
    <mergeCell ref="A4960:A4961"/>
    <mergeCell ref="B4960:B4961"/>
    <mergeCell ref="A4987:A4988"/>
    <mergeCell ref="B4987:B4988"/>
    <mergeCell ref="C4987:C4988"/>
    <mergeCell ref="D4997:D4998"/>
    <mergeCell ref="E4997:E4998"/>
    <mergeCell ref="F4997:F4998"/>
    <mergeCell ref="A5006:A5007"/>
    <mergeCell ref="B5006:B5007"/>
    <mergeCell ref="C5006:C5007"/>
    <mergeCell ref="D5006:D5007"/>
    <mergeCell ref="E5006:E5007"/>
    <mergeCell ref="F5006:F5007"/>
    <mergeCell ref="A5012:A5013"/>
    <mergeCell ref="B5012:B5013"/>
    <mergeCell ref="C5012:C5013"/>
    <mergeCell ref="E5012:E5013"/>
    <mergeCell ref="F5012:F5013"/>
    <mergeCell ref="D4987:D4988"/>
    <mergeCell ref="E4987:E4988"/>
    <mergeCell ref="F4987:F4988"/>
    <mergeCell ref="A4997:A4998"/>
    <mergeCell ref="B4997:B4998"/>
    <mergeCell ref="C4997:C4998"/>
    <mergeCell ref="A4975:A4976"/>
    <mergeCell ref="B4975:B4976"/>
    <mergeCell ref="C4975:C4976"/>
    <mergeCell ref="D4975:D4976"/>
    <mergeCell ref="E4975:E4976"/>
    <mergeCell ref="C4780:C4781"/>
    <mergeCell ref="D4780:D4781"/>
    <mergeCell ref="E4780:E4781"/>
    <mergeCell ref="F4780:F4781"/>
    <mergeCell ref="A4785:A4786"/>
    <mergeCell ref="B4785:B4786"/>
    <mergeCell ref="C4785:C4786"/>
    <mergeCell ref="D4785:D4786"/>
    <mergeCell ref="E4785:E4786"/>
    <mergeCell ref="F4785:F4786"/>
    <mergeCell ref="A4801:A4802"/>
    <mergeCell ref="B4801:B4802"/>
    <mergeCell ref="C4801:C4802"/>
    <mergeCell ref="D4801:D4802"/>
    <mergeCell ref="E4801:E4802"/>
    <mergeCell ref="F4801:F4802"/>
    <mergeCell ref="A4950:A4951"/>
    <mergeCell ref="B4950:B4951"/>
    <mergeCell ref="A4811:A4812"/>
    <mergeCell ref="B4811:B4812"/>
    <mergeCell ref="C4811:C4812"/>
    <mergeCell ref="D4811:D4812"/>
    <mergeCell ref="C4828:C4829"/>
    <mergeCell ref="D4828:D4829"/>
    <mergeCell ref="E4828:E4829"/>
    <mergeCell ref="F4828:F4829"/>
    <mergeCell ref="A4833:A4834"/>
    <mergeCell ref="B4833:B4834"/>
    <mergeCell ref="E4838:E4839"/>
    <mergeCell ref="F4838:F4839"/>
    <mergeCell ref="A4838:A4839"/>
    <mergeCell ref="B4838:B4839"/>
    <mergeCell ref="A4806:A4807"/>
    <mergeCell ref="B4806:B4807"/>
    <mergeCell ref="C4806:C4807"/>
    <mergeCell ref="D4806:D4807"/>
    <mergeCell ref="E4806:E4807"/>
    <mergeCell ref="F4806:F4807"/>
    <mergeCell ref="A4828:A4829"/>
    <mergeCell ref="B4828:B4829"/>
    <mergeCell ref="A4739:A4740"/>
    <mergeCell ref="B4739:B4740"/>
    <mergeCell ref="C4739:C4740"/>
    <mergeCell ref="D4739:D4740"/>
    <mergeCell ref="E4739:E4740"/>
    <mergeCell ref="F4739:F4740"/>
    <mergeCell ref="A4751:A4752"/>
    <mergeCell ref="B4751:B4752"/>
    <mergeCell ref="C4751:C4752"/>
    <mergeCell ref="D4751:D4752"/>
    <mergeCell ref="E4751:E4752"/>
    <mergeCell ref="F4751:F4752"/>
    <mergeCell ref="A4767:A4768"/>
    <mergeCell ref="B4767:B4768"/>
    <mergeCell ref="C4767:C4768"/>
    <mergeCell ref="D4767:D4768"/>
    <mergeCell ref="A4791:A4792"/>
    <mergeCell ref="B4791:B4792"/>
    <mergeCell ref="C4791:C4792"/>
    <mergeCell ref="D4791:D4792"/>
    <mergeCell ref="E4791:E4792"/>
    <mergeCell ref="F4791:F4792"/>
    <mergeCell ref="A4780:A4781"/>
    <mergeCell ref="B4780:B4781"/>
    <mergeCell ref="A4733:A4734"/>
    <mergeCell ref="B4733:B4734"/>
    <mergeCell ref="C4733:C4734"/>
    <mergeCell ref="D4733:D4734"/>
    <mergeCell ref="E4733:E4734"/>
    <mergeCell ref="F4733:F4734"/>
    <mergeCell ref="E4767:E4768"/>
    <mergeCell ref="F4767:F4768"/>
    <mergeCell ref="A4668:A4669"/>
    <mergeCell ref="B4668:B4669"/>
    <mergeCell ref="C4668:C4669"/>
    <mergeCell ref="D4668:D4669"/>
    <mergeCell ref="E4668:E4669"/>
    <mergeCell ref="F4668:F4669"/>
    <mergeCell ref="A4688:A4689"/>
    <mergeCell ref="B4688:B4689"/>
    <mergeCell ref="C4688:C4689"/>
    <mergeCell ref="D4688:D4689"/>
    <mergeCell ref="E4688:E4689"/>
    <mergeCell ref="F4688:F4689"/>
    <mergeCell ref="A4711:A4712"/>
    <mergeCell ref="B4711:B4712"/>
    <mergeCell ref="C4711:C4712"/>
    <mergeCell ref="D4711:D4712"/>
    <mergeCell ref="E4711:E4712"/>
    <mergeCell ref="F4711:F4712"/>
    <mergeCell ref="A4698:A4699"/>
    <mergeCell ref="B4698:B4699"/>
    <mergeCell ref="C4698:C4699"/>
    <mergeCell ref="D4698:D4699"/>
    <mergeCell ref="E4698:E4699"/>
    <mergeCell ref="F4698:F4699"/>
    <mergeCell ref="A4705:A4706"/>
    <mergeCell ref="B4705:B4706"/>
    <mergeCell ref="C4705:C4706"/>
    <mergeCell ref="D4705:D4706"/>
    <mergeCell ref="E4705:E4706"/>
    <mergeCell ref="F4705:F4706"/>
    <mergeCell ref="A4652:A4653"/>
    <mergeCell ref="B4652:B4653"/>
    <mergeCell ref="C4652:C4653"/>
    <mergeCell ref="D4652:D4653"/>
    <mergeCell ref="E4652:E4653"/>
    <mergeCell ref="F4652:F4653"/>
    <mergeCell ref="A4657:A4658"/>
    <mergeCell ref="B4657:B4658"/>
    <mergeCell ref="C4657:C4658"/>
    <mergeCell ref="D4657:D4658"/>
    <mergeCell ref="E4657:E4658"/>
    <mergeCell ref="F4657:F4658"/>
    <mergeCell ref="A4663:A4664"/>
    <mergeCell ref="B4663:B4664"/>
    <mergeCell ref="C4663:C4664"/>
    <mergeCell ref="D4663:D4664"/>
    <mergeCell ref="E4663:E4664"/>
    <mergeCell ref="F4663:F4664"/>
    <mergeCell ref="A4647:A4648"/>
    <mergeCell ref="B4647:B4648"/>
    <mergeCell ref="C4647:C4648"/>
    <mergeCell ref="D4647:D4648"/>
    <mergeCell ref="E4647:E4648"/>
    <mergeCell ref="F4647:F4648"/>
    <mergeCell ref="A4627:A4628"/>
    <mergeCell ref="B4627:B4628"/>
    <mergeCell ref="C4627:C4628"/>
    <mergeCell ref="D4627:D4628"/>
    <mergeCell ref="E4627:E4628"/>
    <mergeCell ref="F4627:F4628"/>
    <mergeCell ref="A4635:A4636"/>
    <mergeCell ref="B4635:B4636"/>
    <mergeCell ref="C4635:C4636"/>
    <mergeCell ref="D4635:D4636"/>
    <mergeCell ref="E4635:E4636"/>
    <mergeCell ref="F4635:F4636"/>
    <mergeCell ref="A4618:A4619"/>
    <mergeCell ref="B4618:B4619"/>
    <mergeCell ref="C4618:C4619"/>
    <mergeCell ref="D4618:D4619"/>
    <mergeCell ref="E4618:E4619"/>
    <mergeCell ref="F4618:F4619"/>
    <mergeCell ref="A4610:A4611"/>
    <mergeCell ref="B4610:B4611"/>
    <mergeCell ref="C4610:C4611"/>
    <mergeCell ref="D4610:D4611"/>
    <mergeCell ref="E4610:E4611"/>
    <mergeCell ref="F4610:F4611"/>
    <mergeCell ref="A4579:A4580"/>
    <mergeCell ref="B4579:B4580"/>
    <mergeCell ref="C4579:C4580"/>
    <mergeCell ref="D4579:D4580"/>
    <mergeCell ref="E4579:E4580"/>
    <mergeCell ref="F4579:F4580"/>
    <mergeCell ref="A4560:A4561"/>
    <mergeCell ref="B4560:B4561"/>
    <mergeCell ref="C4560:C4561"/>
    <mergeCell ref="D4560:D4561"/>
    <mergeCell ref="E4560:E4561"/>
    <mergeCell ref="F4560:F4561"/>
    <mergeCell ref="A4565:A4566"/>
    <mergeCell ref="B4565:B4566"/>
    <mergeCell ref="C4565:C4566"/>
    <mergeCell ref="D4565:D4566"/>
    <mergeCell ref="E4565:E4566"/>
    <mergeCell ref="F4565:F4566"/>
    <mergeCell ref="A4549:A4550"/>
    <mergeCell ref="B4549:B4550"/>
    <mergeCell ref="C4549:C4550"/>
    <mergeCell ref="D4549:D4550"/>
    <mergeCell ref="E4549:E4550"/>
    <mergeCell ref="F4549:F4550"/>
    <mergeCell ref="A4555:A4556"/>
    <mergeCell ref="B4555:B4556"/>
    <mergeCell ref="C4555:C4556"/>
    <mergeCell ref="D4555:D4556"/>
    <mergeCell ref="E4555:E4556"/>
    <mergeCell ref="F4555:F4556"/>
    <mergeCell ref="A4483:A4484"/>
    <mergeCell ref="B4483:B4484"/>
    <mergeCell ref="C4483:C4484"/>
    <mergeCell ref="D4483:D4484"/>
    <mergeCell ref="E4483:E4484"/>
    <mergeCell ref="F4483:F4484"/>
    <mergeCell ref="A4541:A4542"/>
    <mergeCell ref="B4541:B4542"/>
    <mergeCell ref="C4541:C4542"/>
    <mergeCell ref="D4541:D4542"/>
    <mergeCell ref="E4541:E4542"/>
    <mergeCell ref="F4541:F4542"/>
    <mergeCell ref="A4535:A4536"/>
    <mergeCell ref="B4535:B4536"/>
    <mergeCell ref="C4535:C4536"/>
    <mergeCell ref="D4535:D4536"/>
    <mergeCell ref="E4535:E4536"/>
    <mergeCell ref="F4535:F4536"/>
    <mergeCell ref="A4499:A4500"/>
    <mergeCell ref="B4499:B4500"/>
    <mergeCell ref="C4499:C4500"/>
    <mergeCell ref="D4499:D4500"/>
    <mergeCell ref="E4499:E4500"/>
    <mergeCell ref="F4499:F4500"/>
    <mergeCell ref="A4512:A4513"/>
    <mergeCell ref="B4512:B4513"/>
    <mergeCell ref="C4512:C4513"/>
    <mergeCell ref="D4512:D4513"/>
    <mergeCell ref="E4512:E4513"/>
    <mergeCell ref="F4512:F4513"/>
    <mergeCell ref="A4465:A4466"/>
    <mergeCell ref="B4465:B4466"/>
    <mergeCell ref="C4465:C4466"/>
    <mergeCell ref="D4465:D4466"/>
    <mergeCell ref="E4465:E4466"/>
    <mergeCell ref="F4465:F4466"/>
    <mergeCell ref="A4453:A4454"/>
    <mergeCell ref="B4453:B4454"/>
    <mergeCell ref="C4453:C4454"/>
    <mergeCell ref="D4453:D4454"/>
    <mergeCell ref="E4453:E4454"/>
    <mergeCell ref="F4453:F4454"/>
    <mergeCell ref="A4444:A4445"/>
    <mergeCell ref="B4444:B4445"/>
    <mergeCell ref="C4444:C4445"/>
    <mergeCell ref="D4444:D4445"/>
    <mergeCell ref="E4444:E4445"/>
    <mergeCell ref="F4444:F4445"/>
    <mergeCell ref="A4457:A4458"/>
    <mergeCell ref="B4457:B4458"/>
    <mergeCell ref="C4457:C4458"/>
    <mergeCell ref="D4457:D4458"/>
    <mergeCell ref="E4457:E4458"/>
    <mergeCell ref="F4457:F4458"/>
    <mergeCell ref="A4431:A4432"/>
    <mergeCell ref="B4431:B4432"/>
    <mergeCell ref="C4431:C4432"/>
    <mergeCell ref="D4431:D4432"/>
    <mergeCell ref="E4431:E4432"/>
    <mergeCell ref="F4431:F4432"/>
    <mergeCell ref="A4424:A4425"/>
    <mergeCell ref="B4424:B4425"/>
    <mergeCell ref="C4424:C4425"/>
    <mergeCell ref="D4424:D4425"/>
    <mergeCell ref="E4424:E4425"/>
    <mergeCell ref="F4424:F4425"/>
    <mergeCell ref="A4376:A4377"/>
    <mergeCell ref="B4376:B4377"/>
    <mergeCell ref="C4376:C4377"/>
    <mergeCell ref="D4376:D4377"/>
    <mergeCell ref="E4376:E4377"/>
    <mergeCell ref="F4376:F4377"/>
    <mergeCell ref="A4363:A4364"/>
    <mergeCell ref="B4363:B4364"/>
    <mergeCell ref="C4363:C4364"/>
    <mergeCell ref="D4363:D4364"/>
    <mergeCell ref="E4363:E4364"/>
    <mergeCell ref="F4363:F4364"/>
    <mergeCell ref="A4370:A4371"/>
    <mergeCell ref="B4370:B4371"/>
    <mergeCell ref="C4370:C4371"/>
    <mergeCell ref="D4370:D4371"/>
    <mergeCell ref="E4370:E4371"/>
    <mergeCell ref="F4370:F4371"/>
    <mergeCell ref="A4411:A4412"/>
    <mergeCell ref="B4411:B4412"/>
    <mergeCell ref="C4411:C4412"/>
    <mergeCell ref="D4411:D4412"/>
    <mergeCell ref="E4411:E4412"/>
    <mergeCell ref="F4411:F4412"/>
    <mergeCell ref="A4383:A4384"/>
    <mergeCell ref="B4383:B4384"/>
    <mergeCell ref="C4383:C4384"/>
    <mergeCell ref="D4383:D4384"/>
    <mergeCell ref="E4383:E4384"/>
    <mergeCell ref="F4383:F4384"/>
    <mergeCell ref="A4405:A4406"/>
    <mergeCell ref="B4405:B4406"/>
    <mergeCell ref="C4405:C4406"/>
    <mergeCell ref="D4405:D4406"/>
    <mergeCell ref="E4405:E4406"/>
    <mergeCell ref="F4405:F4406"/>
    <mergeCell ref="A4330:A4331"/>
    <mergeCell ref="B4330:B4331"/>
    <mergeCell ref="C4330:C4331"/>
    <mergeCell ref="D4330:D4331"/>
    <mergeCell ref="E4330:E4331"/>
    <mergeCell ref="F4330:F4331"/>
    <mergeCell ref="A4345:A4346"/>
    <mergeCell ref="B4345:B4346"/>
    <mergeCell ref="C4345:C4346"/>
    <mergeCell ref="D4345:D4346"/>
    <mergeCell ref="E4345:E4346"/>
    <mergeCell ref="F4345:F4346"/>
    <mergeCell ref="A4356:A4357"/>
    <mergeCell ref="B4356:B4357"/>
    <mergeCell ref="C4356:C4357"/>
    <mergeCell ref="D4356:D4357"/>
    <mergeCell ref="E4356:E4357"/>
    <mergeCell ref="F4356:F4357"/>
    <mergeCell ref="A4324:A4325"/>
    <mergeCell ref="B4324:B4325"/>
    <mergeCell ref="C4324:C4325"/>
    <mergeCell ref="D4324:D4325"/>
    <mergeCell ref="E4324:E4325"/>
    <mergeCell ref="F4324:F4325"/>
    <mergeCell ref="A4304:A4305"/>
    <mergeCell ref="B4304:B4305"/>
    <mergeCell ref="C4304:C4305"/>
    <mergeCell ref="D4304:D4305"/>
    <mergeCell ref="E4304:E4305"/>
    <mergeCell ref="F4304:F4305"/>
    <mergeCell ref="A4287:A4288"/>
    <mergeCell ref="B4287:B4288"/>
    <mergeCell ref="C4287:C4288"/>
    <mergeCell ref="D4287:D4288"/>
    <mergeCell ref="E4287:E4288"/>
    <mergeCell ref="F4287:F4288"/>
    <mergeCell ref="A4311:A4312"/>
    <mergeCell ref="B4311:B4312"/>
    <mergeCell ref="C4311:C4312"/>
    <mergeCell ref="D4311:D4312"/>
    <mergeCell ref="E4311:E4312"/>
    <mergeCell ref="F4311:F4312"/>
    <mergeCell ref="A4273:A4274"/>
    <mergeCell ref="B4273:B4274"/>
    <mergeCell ref="C4273:C4274"/>
    <mergeCell ref="D4273:D4274"/>
    <mergeCell ref="E4273:E4274"/>
    <mergeCell ref="F4273:F4274"/>
    <mergeCell ref="A4280:A4281"/>
    <mergeCell ref="B4280:B4281"/>
    <mergeCell ref="C4280:C4281"/>
    <mergeCell ref="D4280:D4281"/>
    <mergeCell ref="E4280:E4281"/>
    <mergeCell ref="F4280:F4281"/>
    <mergeCell ref="A4297:A4298"/>
    <mergeCell ref="B4297:B4298"/>
    <mergeCell ref="C4297:C4298"/>
    <mergeCell ref="D4297:D4298"/>
    <mergeCell ref="E4297:E4298"/>
    <mergeCell ref="F4297:F4298"/>
    <mergeCell ref="D4237:D4238"/>
    <mergeCell ref="E4237:E4238"/>
    <mergeCell ref="F4237:F4238"/>
    <mergeCell ref="A4228:A4229"/>
    <mergeCell ref="B4228:B4229"/>
    <mergeCell ref="C4228:C4229"/>
    <mergeCell ref="D4228:D4229"/>
    <mergeCell ref="E4228:E4229"/>
    <mergeCell ref="F4228:F4229"/>
    <mergeCell ref="A4247:A4248"/>
    <mergeCell ref="B4247:B4248"/>
    <mergeCell ref="C4247:C4248"/>
    <mergeCell ref="D4247:D4248"/>
    <mergeCell ref="E4247:E4248"/>
    <mergeCell ref="F4247:F4248"/>
    <mergeCell ref="A4263:A4264"/>
    <mergeCell ref="B4263:B4264"/>
    <mergeCell ref="C4064:C4065"/>
    <mergeCell ref="D4064:D4065"/>
    <mergeCell ref="E4064:E4065"/>
    <mergeCell ref="F4064:F4065"/>
    <mergeCell ref="E4213:E4214"/>
    <mergeCell ref="F4213:F4214"/>
    <mergeCell ref="A4204:A4205"/>
    <mergeCell ref="B4204:B4205"/>
    <mergeCell ref="A4171:A4172"/>
    <mergeCell ref="B4171:B4172"/>
    <mergeCell ref="C4171:C4172"/>
    <mergeCell ref="D4171:D4172"/>
    <mergeCell ref="E4171:E4172"/>
    <mergeCell ref="F4171:F4172"/>
    <mergeCell ref="A4166:A4167"/>
    <mergeCell ref="B4166:B4167"/>
    <mergeCell ref="C4166:C4167"/>
    <mergeCell ref="D4166:D4167"/>
    <mergeCell ref="E4076:E4077"/>
    <mergeCell ref="F4076:F4077"/>
    <mergeCell ref="A4084:A4085"/>
    <mergeCell ref="B4084:B4085"/>
    <mergeCell ref="A4182:A4183"/>
    <mergeCell ref="B4182:B4183"/>
    <mergeCell ref="C4182:C4183"/>
    <mergeCell ref="D4182:D4183"/>
    <mergeCell ref="A4161:A4162"/>
    <mergeCell ref="B4161:B4162"/>
    <mergeCell ref="A4101:A4102"/>
    <mergeCell ref="B4101:B4102"/>
    <mergeCell ref="E4118:E4119"/>
    <mergeCell ref="F4118:F4119"/>
    <mergeCell ref="E3887:E3888"/>
    <mergeCell ref="F3887:F3888"/>
    <mergeCell ref="D3901:D3902"/>
    <mergeCell ref="F4014:F4015"/>
    <mergeCell ref="A4022:A4023"/>
    <mergeCell ref="B4022:B4023"/>
    <mergeCell ref="E4040:E4041"/>
    <mergeCell ref="F4040:F4041"/>
    <mergeCell ref="A4014:A4015"/>
    <mergeCell ref="B4014:B4015"/>
    <mergeCell ref="C4161:C4162"/>
    <mergeCell ref="D4161:D4162"/>
    <mergeCell ref="E4161:E4162"/>
    <mergeCell ref="F4161:F4162"/>
    <mergeCell ref="A4154:A4155"/>
    <mergeCell ref="B4154:B4155"/>
    <mergeCell ref="C4154:C4155"/>
    <mergeCell ref="D4154:D4155"/>
    <mergeCell ref="E4154:E4155"/>
    <mergeCell ref="F4154:F4155"/>
    <mergeCell ref="A4118:A4119"/>
    <mergeCell ref="B4118:B4119"/>
    <mergeCell ref="C4118:C4119"/>
    <mergeCell ref="D4118:D4119"/>
    <mergeCell ref="A4124:A4125"/>
    <mergeCell ref="B4124:B4125"/>
    <mergeCell ref="C4124:C4125"/>
    <mergeCell ref="D4124:D4125"/>
    <mergeCell ref="E4124:E4125"/>
    <mergeCell ref="F4124:F4125"/>
    <mergeCell ref="A4056:A4057"/>
    <mergeCell ref="B4056:B4057"/>
    <mergeCell ref="D3079:D3080"/>
    <mergeCell ref="B3146:B3147"/>
    <mergeCell ref="A3199:A3200"/>
    <mergeCell ref="B3199:B3200"/>
    <mergeCell ref="C3199:C3200"/>
    <mergeCell ref="D3199:D3200"/>
    <mergeCell ref="A3079:A3080"/>
    <mergeCell ref="A3284:A3285"/>
    <mergeCell ref="B3284:B3285"/>
    <mergeCell ref="C3330:C3331"/>
    <mergeCell ref="D3330:D3331"/>
    <mergeCell ref="C3396:C3397"/>
    <mergeCell ref="D3396:D3397"/>
    <mergeCell ref="E3896:E3897"/>
    <mergeCell ref="F3896:F3897"/>
    <mergeCell ref="A3850:A3851"/>
    <mergeCell ref="A3928:A3929"/>
    <mergeCell ref="B3928:B3929"/>
    <mergeCell ref="C3928:C3929"/>
    <mergeCell ref="D3928:D3929"/>
    <mergeCell ref="E3928:E3929"/>
    <mergeCell ref="F3928:F3929"/>
    <mergeCell ref="A3879:A3880"/>
    <mergeCell ref="B3879:B3880"/>
    <mergeCell ref="C3879:C3880"/>
    <mergeCell ref="D3879:D3880"/>
    <mergeCell ref="E3879:E3880"/>
    <mergeCell ref="F3879:F3880"/>
    <mergeCell ref="E3901:E3902"/>
    <mergeCell ref="F3901:F3902"/>
    <mergeCell ref="F3913:F3914"/>
    <mergeCell ref="C3896:C3897"/>
    <mergeCell ref="D3045:D3046"/>
    <mergeCell ref="E3045:E3046"/>
    <mergeCell ref="F3045:F3046"/>
    <mergeCell ref="C3093:C3094"/>
    <mergeCell ref="D3093:D3094"/>
    <mergeCell ref="E3093:E3094"/>
    <mergeCell ref="F3093:F3094"/>
    <mergeCell ref="A3125:A3126"/>
    <mergeCell ref="B3125:B3126"/>
    <mergeCell ref="C3125:C3126"/>
    <mergeCell ref="D3125:D3126"/>
    <mergeCell ref="A3060:A3061"/>
    <mergeCell ref="B3060:B3061"/>
    <mergeCell ref="C3060:C3061"/>
    <mergeCell ref="D3060:D3061"/>
    <mergeCell ref="E3060:E3061"/>
    <mergeCell ref="F3060:F3061"/>
    <mergeCell ref="A3109:A3110"/>
    <mergeCell ref="B3109:B3110"/>
    <mergeCell ref="C3109:C3110"/>
    <mergeCell ref="D3109:D3110"/>
    <mergeCell ref="E3109:E3110"/>
    <mergeCell ref="F3109:F3110"/>
    <mergeCell ref="E3125:E3126"/>
    <mergeCell ref="F3125:F3126"/>
    <mergeCell ref="E3079:E3080"/>
    <mergeCell ref="F3079:F3080"/>
    <mergeCell ref="A3093:A3094"/>
    <mergeCell ref="B3093:B3094"/>
    <mergeCell ref="C3045:C3046"/>
    <mergeCell ref="B3079:B3080"/>
    <mergeCell ref="C3079:C3080"/>
    <mergeCell ref="E2989:E2990"/>
    <mergeCell ref="F2989:F2990"/>
    <mergeCell ref="D2898:D2899"/>
    <mergeCell ref="E2898:E2899"/>
    <mergeCell ref="F2898:F2899"/>
    <mergeCell ref="F2933:F2934"/>
    <mergeCell ref="A2941:A2942"/>
    <mergeCell ref="B2941:B2942"/>
    <mergeCell ref="C2941:C2942"/>
    <mergeCell ref="D2941:D2942"/>
    <mergeCell ref="E2941:E2942"/>
    <mergeCell ref="F2941:F2942"/>
    <mergeCell ref="A2915:A2916"/>
    <mergeCell ref="B2915:B2916"/>
    <mergeCell ref="C2915:C2916"/>
    <mergeCell ref="D2915:D2916"/>
    <mergeCell ref="E2915:E2916"/>
    <mergeCell ref="F2915:F2916"/>
    <mergeCell ref="A2933:A2934"/>
    <mergeCell ref="A2989:A2990"/>
    <mergeCell ref="B2989:B2990"/>
    <mergeCell ref="C2989:C2990"/>
    <mergeCell ref="D2989:D2990"/>
    <mergeCell ref="A2837:A2838"/>
    <mergeCell ref="A3275:A3276"/>
    <mergeCell ref="B3275:B3276"/>
    <mergeCell ref="C3275:C3276"/>
    <mergeCell ref="D3275:D3276"/>
    <mergeCell ref="E3275:E3276"/>
    <mergeCell ref="F3275:F3276"/>
    <mergeCell ref="A3241:A3242"/>
    <mergeCell ref="B3241:B3242"/>
    <mergeCell ref="C3241:C3242"/>
    <mergeCell ref="D3241:D3242"/>
    <mergeCell ref="A2957:A2958"/>
    <mergeCell ref="B2957:B2958"/>
    <mergeCell ref="C2957:C2958"/>
    <mergeCell ref="D2957:D2958"/>
    <mergeCell ref="E2957:E2958"/>
    <mergeCell ref="F2957:F2958"/>
    <mergeCell ref="A2972:A2973"/>
    <mergeCell ref="B2972:B2973"/>
    <mergeCell ref="C2972:C2973"/>
    <mergeCell ref="D2972:D2973"/>
    <mergeCell ref="E2972:E2973"/>
    <mergeCell ref="F2972:F2973"/>
    <mergeCell ref="A3045:A3046"/>
    <mergeCell ref="B3045:B3046"/>
    <mergeCell ref="A3141:A3142"/>
    <mergeCell ref="B3141:B3142"/>
    <mergeCell ref="C3141:C3142"/>
    <mergeCell ref="D3141:D3142"/>
    <mergeCell ref="E3141:E3142"/>
    <mergeCell ref="F3141:F3142"/>
    <mergeCell ref="A3146:A3147"/>
    <mergeCell ref="F2652:F2653"/>
    <mergeCell ref="B2933:B2934"/>
    <mergeCell ref="C2933:C2934"/>
    <mergeCell ref="D2933:D2934"/>
    <mergeCell ref="E2933:E2934"/>
    <mergeCell ref="A2745:A2746"/>
    <mergeCell ref="B2745:B2746"/>
    <mergeCell ref="C2745:C2746"/>
    <mergeCell ref="D2745:D2746"/>
    <mergeCell ref="E2745:E2746"/>
    <mergeCell ref="F2745:F2746"/>
    <mergeCell ref="A2868:A2869"/>
    <mergeCell ref="B2868:B2869"/>
    <mergeCell ref="C2868:C2869"/>
    <mergeCell ref="D2868:D2869"/>
    <mergeCell ref="E2868:E2869"/>
    <mergeCell ref="F2868:F2869"/>
    <mergeCell ref="A2883:A2884"/>
    <mergeCell ref="B2883:B2884"/>
    <mergeCell ref="C2883:C2884"/>
    <mergeCell ref="D2883:D2884"/>
    <mergeCell ref="E2883:E2884"/>
    <mergeCell ref="F2883:F2884"/>
    <mergeCell ref="A2898:A2899"/>
    <mergeCell ref="B2898:B2899"/>
    <mergeCell ref="C2898:C2899"/>
    <mergeCell ref="A2806:A2807"/>
    <mergeCell ref="B2806:B2807"/>
    <mergeCell ref="C2806:C2807"/>
    <mergeCell ref="D2806:D2807"/>
    <mergeCell ref="E2806:E2807"/>
    <mergeCell ref="F2806:F2807"/>
    <mergeCell ref="A2715:A2716"/>
    <mergeCell ref="B2715:B2716"/>
    <mergeCell ref="A2776:A2777"/>
    <mergeCell ref="B2776:B2777"/>
    <mergeCell ref="C2776:C2777"/>
    <mergeCell ref="D2776:D2777"/>
    <mergeCell ref="E2776:E2777"/>
    <mergeCell ref="F2776:F2777"/>
    <mergeCell ref="A2791:A2792"/>
    <mergeCell ref="B2791:B2792"/>
    <mergeCell ref="C2791:C2792"/>
    <mergeCell ref="D2791:D2792"/>
    <mergeCell ref="E2791:E2792"/>
    <mergeCell ref="F2791:F2792"/>
    <mergeCell ref="A2761:A2762"/>
    <mergeCell ref="B2761:B2762"/>
    <mergeCell ref="C2761:C2762"/>
    <mergeCell ref="D2761:D2762"/>
    <mergeCell ref="E2761:E2762"/>
    <mergeCell ref="F2761:F2762"/>
    <mergeCell ref="C2715:C2716"/>
    <mergeCell ref="D2715:D2716"/>
    <mergeCell ref="E2715:E2716"/>
    <mergeCell ref="F2715:F2716"/>
    <mergeCell ref="A2730:A2731"/>
    <mergeCell ref="B2730:B2731"/>
    <mergeCell ref="C2730:C2731"/>
    <mergeCell ref="D2730:D2731"/>
    <mergeCell ref="E2730:E2731"/>
    <mergeCell ref="F2730:F2731"/>
    <mergeCell ref="A2299:A2300"/>
    <mergeCell ref="B2299:B2300"/>
    <mergeCell ref="C2299:C2300"/>
    <mergeCell ref="D2299:D2300"/>
    <mergeCell ref="E2299:E2300"/>
    <mergeCell ref="F2299:F2300"/>
    <mergeCell ref="A2592:A2593"/>
    <mergeCell ref="B2592:B2593"/>
    <mergeCell ref="C2592:C2593"/>
    <mergeCell ref="D2592:D2593"/>
    <mergeCell ref="E2592:E2593"/>
    <mergeCell ref="F2592:F2593"/>
    <mergeCell ref="A2700:A2701"/>
    <mergeCell ref="B2700:B2701"/>
    <mergeCell ref="C2700:C2701"/>
    <mergeCell ref="D2700:D2701"/>
    <mergeCell ref="E2700:E2701"/>
    <mergeCell ref="F2700:F2701"/>
    <mergeCell ref="A2685:A2686"/>
    <mergeCell ref="B2685:B2686"/>
    <mergeCell ref="C2685:C2686"/>
    <mergeCell ref="D2685:D2686"/>
    <mergeCell ref="E2685:E2686"/>
    <mergeCell ref="F2685:F2686"/>
    <mergeCell ref="C2637:C2638"/>
    <mergeCell ref="D2637:D2638"/>
    <mergeCell ref="C2622:C2623"/>
    <mergeCell ref="D2622:D2623"/>
    <mergeCell ref="A2637:A2638"/>
    <mergeCell ref="B2637:B2638"/>
    <mergeCell ref="E2637:E2638"/>
    <mergeCell ref="F2637:F2638"/>
    <mergeCell ref="C2284:C2285"/>
    <mergeCell ref="D2284:D2285"/>
    <mergeCell ref="E2284:E2285"/>
    <mergeCell ref="F2284:F2285"/>
    <mergeCell ref="A2254:A2255"/>
    <mergeCell ref="B2254:B2255"/>
    <mergeCell ref="A2175:A2176"/>
    <mergeCell ref="B2175:B2176"/>
    <mergeCell ref="C2175:C2176"/>
    <mergeCell ref="D2175:D2176"/>
    <mergeCell ref="E2175:E2176"/>
    <mergeCell ref="F2175:F2176"/>
    <mergeCell ref="E2191:E2192"/>
    <mergeCell ref="F2191:F2192"/>
    <mergeCell ref="C2224:C2225"/>
    <mergeCell ref="D2224:D2225"/>
    <mergeCell ref="E2224:E2225"/>
    <mergeCell ref="F2224:F2225"/>
    <mergeCell ref="A2224:A2225"/>
    <mergeCell ref="B2224:B2225"/>
    <mergeCell ref="E2269:E2270"/>
    <mergeCell ref="F2269:F2270"/>
    <mergeCell ref="A2269:A2270"/>
    <mergeCell ref="B2269:B2270"/>
    <mergeCell ref="C2269:C2270"/>
    <mergeCell ref="D2269:D2270"/>
    <mergeCell ref="C2141:C2142"/>
    <mergeCell ref="D2141:D2142"/>
    <mergeCell ref="A2239:A2240"/>
    <mergeCell ref="B2239:B2240"/>
    <mergeCell ref="A2209:A2210"/>
    <mergeCell ref="B2209:B2210"/>
    <mergeCell ref="C2209:C2210"/>
    <mergeCell ref="D2209:D2210"/>
    <mergeCell ref="E2209:E2210"/>
    <mergeCell ref="F2209:F2210"/>
    <mergeCell ref="E2254:E2255"/>
    <mergeCell ref="F2254:F2255"/>
    <mergeCell ref="A2191:A2192"/>
    <mergeCell ref="B2191:B2192"/>
    <mergeCell ref="C2191:C2192"/>
    <mergeCell ref="D2191:D2192"/>
    <mergeCell ref="E2141:E2142"/>
    <mergeCell ref="F2141:F2142"/>
    <mergeCell ref="C2111:C2112"/>
    <mergeCell ref="D2111:D2112"/>
    <mergeCell ref="E2111:E2112"/>
    <mergeCell ref="F2111:F2112"/>
    <mergeCell ref="A2141:A2142"/>
    <mergeCell ref="B2141:B2142"/>
    <mergeCell ref="A2078:A2079"/>
    <mergeCell ref="B2078:B2079"/>
    <mergeCell ref="C2078:C2079"/>
    <mergeCell ref="D2078:D2079"/>
    <mergeCell ref="E2078:E2079"/>
    <mergeCell ref="F2078:F2079"/>
    <mergeCell ref="A2096:A2097"/>
    <mergeCell ref="B2096:B2097"/>
    <mergeCell ref="C2048:C2049"/>
    <mergeCell ref="D2048:D2049"/>
    <mergeCell ref="A2048:A2049"/>
    <mergeCell ref="B2048:B2049"/>
    <mergeCell ref="A2111:A2112"/>
    <mergeCell ref="B2111:B2112"/>
    <mergeCell ref="A2126:A2127"/>
    <mergeCell ref="B2126:B2127"/>
    <mergeCell ref="C2126:C2127"/>
    <mergeCell ref="D2126:D2127"/>
    <mergeCell ref="E2126:E2127"/>
    <mergeCell ref="F2126:F2127"/>
    <mergeCell ref="C2096:C2097"/>
    <mergeCell ref="D2096:D2097"/>
    <mergeCell ref="E2048:E2049"/>
    <mergeCell ref="F2048:F2049"/>
    <mergeCell ref="A2063:A2064"/>
    <mergeCell ref="B2063:B2064"/>
    <mergeCell ref="C2063:C2064"/>
    <mergeCell ref="D2063:D2064"/>
    <mergeCell ref="E2063:E2064"/>
    <mergeCell ref="F2063:F2064"/>
    <mergeCell ref="E2096:E2097"/>
    <mergeCell ref="F2096:F2097"/>
    <mergeCell ref="A1688:A1689"/>
    <mergeCell ref="B1688:B1689"/>
    <mergeCell ref="C1883:C1884"/>
    <mergeCell ref="D1883:D1884"/>
    <mergeCell ref="E1883:E1884"/>
    <mergeCell ref="F1883:F1884"/>
    <mergeCell ref="A1973:A1974"/>
    <mergeCell ref="B1973:B1974"/>
    <mergeCell ref="C1973:C1974"/>
    <mergeCell ref="D1973:D1974"/>
    <mergeCell ref="E1973:E1974"/>
    <mergeCell ref="F1973:F1974"/>
    <mergeCell ref="A1958:A1959"/>
    <mergeCell ref="B1958:B1959"/>
    <mergeCell ref="C1958:C1959"/>
    <mergeCell ref="D1958:D1959"/>
    <mergeCell ref="E1688:E1689"/>
    <mergeCell ref="F1688:F1689"/>
    <mergeCell ref="E1718:E1719"/>
    <mergeCell ref="F1718:F1719"/>
    <mergeCell ref="A1778:A1779"/>
    <mergeCell ref="B1778:B1779"/>
    <mergeCell ref="C1778:C1779"/>
    <mergeCell ref="D1778:D1779"/>
    <mergeCell ref="E1778:E1779"/>
    <mergeCell ref="F1778:F1779"/>
    <mergeCell ref="C1613:C1614"/>
    <mergeCell ref="D1613:D1614"/>
    <mergeCell ref="E1613:E1614"/>
    <mergeCell ref="F1613:F1614"/>
    <mergeCell ref="C1943:C1944"/>
    <mergeCell ref="D1943:D1944"/>
    <mergeCell ref="E1928:E1929"/>
    <mergeCell ref="F1928:F1929"/>
    <mergeCell ref="C1868:C1869"/>
    <mergeCell ref="D1868:D1869"/>
    <mergeCell ref="E1868:E1869"/>
    <mergeCell ref="F1868:F1869"/>
    <mergeCell ref="E1823:E1824"/>
    <mergeCell ref="F1823:F1824"/>
    <mergeCell ref="A1838:A1839"/>
    <mergeCell ref="B1838:B1839"/>
    <mergeCell ref="C1838:C1839"/>
    <mergeCell ref="D1838:D1839"/>
    <mergeCell ref="E1838:E1839"/>
    <mergeCell ref="F1838:F1839"/>
    <mergeCell ref="A1628:A1629"/>
    <mergeCell ref="B1628:B1629"/>
    <mergeCell ref="C1628:C1629"/>
    <mergeCell ref="D1628:D1629"/>
    <mergeCell ref="A1643:A1644"/>
    <mergeCell ref="B1643:B1644"/>
    <mergeCell ref="C1643:C1644"/>
    <mergeCell ref="D1643:D1644"/>
    <mergeCell ref="E1643:E1644"/>
    <mergeCell ref="F1643:F1644"/>
    <mergeCell ref="C1688:C1689"/>
    <mergeCell ref="D1688:D1689"/>
    <mergeCell ref="A1489:A1490"/>
    <mergeCell ref="B1489:B1490"/>
    <mergeCell ref="C1489:C1490"/>
    <mergeCell ref="D1489:D1490"/>
    <mergeCell ref="E1489:E1490"/>
    <mergeCell ref="F1489:F1490"/>
    <mergeCell ref="A1504:A1505"/>
    <mergeCell ref="B1504:B1505"/>
    <mergeCell ref="C1504:C1505"/>
    <mergeCell ref="D1504:D1505"/>
    <mergeCell ref="A1429:A1430"/>
    <mergeCell ref="B1429:B1430"/>
    <mergeCell ref="E1504:E1505"/>
    <mergeCell ref="F1504:F1505"/>
    <mergeCell ref="A1519:A1520"/>
    <mergeCell ref="B1519:B1520"/>
    <mergeCell ref="C1519:C1520"/>
    <mergeCell ref="D1519:D1520"/>
    <mergeCell ref="E1519:E1520"/>
    <mergeCell ref="F1519:F1520"/>
    <mergeCell ref="C1474:C1475"/>
    <mergeCell ref="D1474:D1475"/>
    <mergeCell ref="E1474:E1475"/>
    <mergeCell ref="F1474:F1475"/>
    <mergeCell ref="A1474:A1475"/>
    <mergeCell ref="B1474:B1475"/>
    <mergeCell ref="A1399:A1400"/>
    <mergeCell ref="B1399:B1400"/>
    <mergeCell ref="C1399:C1400"/>
    <mergeCell ref="D1399:D1400"/>
    <mergeCell ref="E1399:E1400"/>
    <mergeCell ref="F1399:F1400"/>
    <mergeCell ref="A1324:A1325"/>
    <mergeCell ref="B1324:B1325"/>
    <mergeCell ref="C1324:C1325"/>
    <mergeCell ref="D1324:D1325"/>
    <mergeCell ref="E1384:E1385"/>
    <mergeCell ref="F1384:F1385"/>
    <mergeCell ref="A1564:A1565"/>
    <mergeCell ref="B1564:B1565"/>
    <mergeCell ref="C1564:C1565"/>
    <mergeCell ref="D1564:D1565"/>
    <mergeCell ref="E1564:E1565"/>
    <mergeCell ref="F1564:F1565"/>
    <mergeCell ref="E1444:E1445"/>
    <mergeCell ref="F1444:F1445"/>
    <mergeCell ref="A1384:A1385"/>
    <mergeCell ref="B1384:B1385"/>
    <mergeCell ref="C1384:C1385"/>
    <mergeCell ref="D1384:D1385"/>
    <mergeCell ref="C1369:C1370"/>
    <mergeCell ref="D1369:D1370"/>
    <mergeCell ref="E1459:E1460"/>
    <mergeCell ref="F1459:F1460"/>
    <mergeCell ref="C1444:C1445"/>
    <mergeCell ref="D1444:D1445"/>
    <mergeCell ref="A1414:A1415"/>
    <mergeCell ref="B1414:B1415"/>
    <mergeCell ref="E1249:E1250"/>
    <mergeCell ref="F1249:F1250"/>
    <mergeCell ref="A1264:A1265"/>
    <mergeCell ref="B1264:B1265"/>
    <mergeCell ref="C1264:C1265"/>
    <mergeCell ref="D1264:D1265"/>
    <mergeCell ref="E1264:E1265"/>
    <mergeCell ref="F1264:F1265"/>
    <mergeCell ref="A1369:A1370"/>
    <mergeCell ref="B1369:B1370"/>
    <mergeCell ref="E1369:E1370"/>
    <mergeCell ref="F1369:F1370"/>
    <mergeCell ref="A1444:A1445"/>
    <mergeCell ref="B1444:B1445"/>
    <mergeCell ref="A1279:A1280"/>
    <mergeCell ref="B1279:B1280"/>
    <mergeCell ref="C1279:C1280"/>
    <mergeCell ref="D1279:D1280"/>
    <mergeCell ref="E1279:E1280"/>
    <mergeCell ref="F1279:F1280"/>
    <mergeCell ref="A1294:A1295"/>
    <mergeCell ref="B1294:B1295"/>
    <mergeCell ref="C1294:C1295"/>
    <mergeCell ref="D1294:D1295"/>
    <mergeCell ref="E1294:E1295"/>
    <mergeCell ref="F1294:F1295"/>
    <mergeCell ref="A1309:A1310"/>
    <mergeCell ref="B1309:B1310"/>
    <mergeCell ref="C1309:C1310"/>
    <mergeCell ref="D1309:D1310"/>
    <mergeCell ref="E1309:E1310"/>
    <mergeCell ref="F1309:F1310"/>
    <mergeCell ref="F649:F650"/>
    <mergeCell ref="A664:A665"/>
    <mergeCell ref="B664:B665"/>
    <mergeCell ref="C664:C665"/>
    <mergeCell ref="D664:D665"/>
    <mergeCell ref="E664:E665"/>
    <mergeCell ref="F664:F665"/>
    <mergeCell ref="A679:A680"/>
    <mergeCell ref="B679:B680"/>
    <mergeCell ref="C679:C680"/>
    <mergeCell ref="D679:D680"/>
    <mergeCell ref="E679:E680"/>
    <mergeCell ref="F679:F680"/>
    <mergeCell ref="A799:A800"/>
    <mergeCell ref="B799:B800"/>
    <mergeCell ref="C799:C800"/>
    <mergeCell ref="D799:D800"/>
    <mergeCell ref="E799:E800"/>
    <mergeCell ref="F799:F800"/>
    <mergeCell ref="A754:A755"/>
    <mergeCell ref="B754:B755"/>
    <mergeCell ref="C754:C755"/>
    <mergeCell ref="D754:D755"/>
    <mergeCell ref="E754:E755"/>
    <mergeCell ref="F754:F755"/>
    <mergeCell ref="A769:A770"/>
    <mergeCell ref="B769:B770"/>
    <mergeCell ref="C769:C770"/>
    <mergeCell ref="D769:D770"/>
    <mergeCell ref="E769:E770"/>
    <mergeCell ref="F769:F770"/>
    <mergeCell ref="D709:D710"/>
    <mergeCell ref="G904:H917"/>
    <mergeCell ref="A604:A605"/>
    <mergeCell ref="B604:B605"/>
    <mergeCell ref="C604:C605"/>
    <mergeCell ref="D604:D605"/>
    <mergeCell ref="E604:E605"/>
    <mergeCell ref="F604:F605"/>
    <mergeCell ref="A619:A620"/>
    <mergeCell ref="B619:B620"/>
    <mergeCell ref="C619:C620"/>
    <mergeCell ref="D619:D620"/>
    <mergeCell ref="E619:E620"/>
    <mergeCell ref="F619:F620"/>
    <mergeCell ref="A634:A635"/>
    <mergeCell ref="B634:B635"/>
    <mergeCell ref="C634:C635"/>
    <mergeCell ref="D634:D635"/>
    <mergeCell ref="E634:E635"/>
    <mergeCell ref="F634:F635"/>
    <mergeCell ref="A649:A650"/>
    <mergeCell ref="B649:B650"/>
    <mergeCell ref="C649:C650"/>
    <mergeCell ref="D649:D650"/>
    <mergeCell ref="E649:E650"/>
    <mergeCell ref="A694:A695"/>
    <mergeCell ref="B694:B695"/>
    <mergeCell ref="A784:A785"/>
    <mergeCell ref="B784:B785"/>
    <mergeCell ref="C784:C785"/>
    <mergeCell ref="D784:D785"/>
    <mergeCell ref="E784:E785"/>
    <mergeCell ref="F784:F785"/>
    <mergeCell ref="B574:B575"/>
    <mergeCell ref="C574:C575"/>
    <mergeCell ref="D574:D575"/>
    <mergeCell ref="E574:E575"/>
    <mergeCell ref="F574:F575"/>
    <mergeCell ref="A184:A185"/>
    <mergeCell ref="B184:B185"/>
    <mergeCell ref="C184:C185"/>
    <mergeCell ref="D184:D185"/>
    <mergeCell ref="E184:E185"/>
    <mergeCell ref="F184:F185"/>
    <mergeCell ref="A169:A170"/>
    <mergeCell ref="B169:B170"/>
    <mergeCell ref="C169:C170"/>
    <mergeCell ref="D169:D170"/>
    <mergeCell ref="E169:E170"/>
    <mergeCell ref="A244:A245"/>
    <mergeCell ref="B244:B245"/>
    <mergeCell ref="C244:C245"/>
    <mergeCell ref="D244:D245"/>
    <mergeCell ref="E244:E245"/>
    <mergeCell ref="F244:F245"/>
    <mergeCell ref="A229:A230"/>
    <mergeCell ref="B229:B230"/>
    <mergeCell ref="C229:C230"/>
    <mergeCell ref="D229:D230"/>
    <mergeCell ref="E229:E230"/>
    <mergeCell ref="F229:F230"/>
    <mergeCell ref="A214:A215"/>
    <mergeCell ref="B214:B215"/>
    <mergeCell ref="C214:C215"/>
    <mergeCell ref="D214:D215"/>
    <mergeCell ref="A17:A18"/>
    <mergeCell ref="B17:B18"/>
    <mergeCell ref="C17:C18"/>
    <mergeCell ref="D17:D18"/>
    <mergeCell ref="E17:E18"/>
    <mergeCell ref="F17:F18"/>
    <mergeCell ref="A2:A3"/>
    <mergeCell ref="B2:B3"/>
    <mergeCell ref="C2:C3"/>
    <mergeCell ref="D2:D3"/>
    <mergeCell ref="E2:E3"/>
    <mergeCell ref="F2:F3"/>
    <mergeCell ref="C32:C33"/>
    <mergeCell ref="D32:D33"/>
    <mergeCell ref="E32:E33"/>
    <mergeCell ref="F32:F33"/>
    <mergeCell ref="A77:A78"/>
    <mergeCell ref="B77:B78"/>
    <mergeCell ref="C77:C78"/>
    <mergeCell ref="D77:D78"/>
    <mergeCell ref="A32:A33"/>
    <mergeCell ref="B32:B33"/>
    <mergeCell ref="E77:E78"/>
    <mergeCell ref="F77:F78"/>
    <mergeCell ref="A62:A63"/>
    <mergeCell ref="B62:B63"/>
    <mergeCell ref="C62:C63"/>
    <mergeCell ref="D62:D63"/>
    <mergeCell ref="E62:E63"/>
    <mergeCell ref="F62:F63"/>
    <mergeCell ref="A47:A48"/>
    <mergeCell ref="B47:B48"/>
    <mergeCell ref="C47:C48"/>
    <mergeCell ref="D47:D48"/>
    <mergeCell ref="E47:E48"/>
    <mergeCell ref="F47:F48"/>
    <mergeCell ref="A137:A138"/>
    <mergeCell ref="B137:B138"/>
    <mergeCell ref="A107:A108"/>
    <mergeCell ref="B107:B108"/>
    <mergeCell ref="C107:C108"/>
    <mergeCell ref="D107:D108"/>
    <mergeCell ref="E107:E108"/>
    <mergeCell ref="F107:F108"/>
    <mergeCell ref="A92:A93"/>
    <mergeCell ref="B92:B93"/>
    <mergeCell ref="C92:C93"/>
    <mergeCell ref="D92:D93"/>
    <mergeCell ref="E92:E93"/>
    <mergeCell ref="F92:F93"/>
    <mergeCell ref="C137:C138"/>
    <mergeCell ref="D137:D13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E214:E215"/>
    <mergeCell ref="F214:F215"/>
    <mergeCell ref="A199:A200"/>
    <mergeCell ref="B199:B200"/>
    <mergeCell ref="C199:C200"/>
    <mergeCell ref="D199:D200"/>
    <mergeCell ref="E199:E200"/>
    <mergeCell ref="F199:F200"/>
    <mergeCell ref="F169:F170"/>
    <mergeCell ref="A154:A155"/>
    <mergeCell ref="B154:B155"/>
    <mergeCell ref="C154:C155"/>
    <mergeCell ref="D154:D155"/>
    <mergeCell ref="E154:E155"/>
    <mergeCell ref="F154:F155"/>
    <mergeCell ref="A289:A290"/>
    <mergeCell ref="B289:B290"/>
    <mergeCell ref="C289:C290"/>
    <mergeCell ref="D289:D290"/>
    <mergeCell ref="E289:E290"/>
    <mergeCell ref="F289:F290"/>
    <mergeCell ref="A274:A275"/>
    <mergeCell ref="B274:B275"/>
    <mergeCell ref="C274:C275"/>
    <mergeCell ref="D274:D275"/>
    <mergeCell ref="E274:E275"/>
    <mergeCell ref="F274:F275"/>
    <mergeCell ref="A259:A260"/>
    <mergeCell ref="B259:B260"/>
    <mergeCell ref="C259:C260"/>
    <mergeCell ref="D259:D260"/>
    <mergeCell ref="E259:E260"/>
    <mergeCell ref="F259:F260"/>
    <mergeCell ref="A334:A335"/>
    <mergeCell ref="B334:B335"/>
    <mergeCell ref="C334:C335"/>
    <mergeCell ref="D334:D335"/>
    <mergeCell ref="E334:E335"/>
    <mergeCell ref="F334:F335"/>
    <mergeCell ref="A319:A320"/>
    <mergeCell ref="B319:B320"/>
    <mergeCell ref="C319:C320"/>
    <mergeCell ref="D319:D320"/>
    <mergeCell ref="E319:E320"/>
    <mergeCell ref="F319:F320"/>
    <mergeCell ref="A304:A305"/>
    <mergeCell ref="B304:B305"/>
    <mergeCell ref="C304:C305"/>
    <mergeCell ref="D304:D305"/>
    <mergeCell ref="E304:E305"/>
    <mergeCell ref="F304:F305"/>
    <mergeCell ref="A379:A380"/>
    <mergeCell ref="B379:B380"/>
    <mergeCell ref="C379:C380"/>
    <mergeCell ref="D379:D380"/>
    <mergeCell ref="E379:E380"/>
    <mergeCell ref="F379:F380"/>
    <mergeCell ref="A364:A365"/>
    <mergeCell ref="B364:B365"/>
    <mergeCell ref="C364:C365"/>
    <mergeCell ref="D364:D365"/>
    <mergeCell ref="E364:E365"/>
    <mergeCell ref="F364:F365"/>
    <mergeCell ref="A349:A350"/>
    <mergeCell ref="B349:B350"/>
    <mergeCell ref="C349:C350"/>
    <mergeCell ref="D349:D350"/>
    <mergeCell ref="E349:E350"/>
    <mergeCell ref="F349:F350"/>
    <mergeCell ref="A424:A425"/>
    <mergeCell ref="B424:B425"/>
    <mergeCell ref="C424:C425"/>
    <mergeCell ref="D424:D425"/>
    <mergeCell ref="E424:E425"/>
    <mergeCell ref="F424:F425"/>
    <mergeCell ref="A409:A410"/>
    <mergeCell ref="B409:B410"/>
    <mergeCell ref="C409:C410"/>
    <mergeCell ref="D409:D410"/>
    <mergeCell ref="E409:E410"/>
    <mergeCell ref="F409:F410"/>
    <mergeCell ref="A394:A395"/>
    <mergeCell ref="B394:B395"/>
    <mergeCell ref="C394:C395"/>
    <mergeCell ref="D394:D395"/>
    <mergeCell ref="E394:E395"/>
    <mergeCell ref="F394:F395"/>
    <mergeCell ref="A514:A515"/>
    <mergeCell ref="B514:B515"/>
    <mergeCell ref="C514:C515"/>
    <mergeCell ref="D514:D515"/>
    <mergeCell ref="E514:E515"/>
    <mergeCell ref="F514:F515"/>
    <mergeCell ref="A529:A530"/>
    <mergeCell ref="B529:B530"/>
    <mergeCell ref="A454:A455"/>
    <mergeCell ref="B454:B455"/>
    <mergeCell ref="C454:C455"/>
    <mergeCell ref="D454:D455"/>
    <mergeCell ref="E454:E455"/>
    <mergeCell ref="F454:F455"/>
    <mergeCell ref="A439:A440"/>
    <mergeCell ref="B439:B440"/>
    <mergeCell ref="C439:C440"/>
    <mergeCell ref="D439:D440"/>
    <mergeCell ref="E439:E440"/>
    <mergeCell ref="F439:F440"/>
    <mergeCell ref="C529:C530"/>
    <mergeCell ref="D529:D530"/>
    <mergeCell ref="E529:E530"/>
    <mergeCell ref="F529:F530"/>
    <mergeCell ref="A484:A485"/>
    <mergeCell ref="B484:B485"/>
    <mergeCell ref="C484:C485"/>
    <mergeCell ref="D484:D485"/>
    <mergeCell ref="E484:E485"/>
    <mergeCell ref="F484:F485"/>
    <mergeCell ref="E709:E710"/>
    <mergeCell ref="F709:F710"/>
    <mergeCell ref="A589:A590"/>
    <mergeCell ref="B589:B590"/>
    <mergeCell ref="C589:C590"/>
    <mergeCell ref="D589:D590"/>
    <mergeCell ref="E589:E590"/>
    <mergeCell ref="F589:F590"/>
    <mergeCell ref="A469:A470"/>
    <mergeCell ref="B469:B470"/>
    <mergeCell ref="C469:C470"/>
    <mergeCell ref="D469:D470"/>
    <mergeCell ref="E469:E470"/>
    <mergeCell ref="F469:F470"/>
    <mergeCell ref="A544:A545"/>
    <mergeCell ref="B544:B545"/>
    <mergeCell ref="C544:C545"/>
    <mergeCell ref="D544:D545"/>
    <mergeCell ref="E544:E545"/>
    <mergeCell ref="F544:F545"/>
    <mergeCell ref="A559:A560"/>
    <mergeCell ref="B559:B560"/>
    <mergeCell ref="C559:C560"/>
    <mergeCell ref="D559:D560"/>
    <mergeCell ref="E559:E560"/>
    <mergeCell ref="F559:F560"/>
    <mergeCell ref="A499:A500"/>
    <mergeCell ref="B499:B500"/>
    <mergeCell ref="C499:C500"/>
    <mergeCell ref="D499:D500"/>
    <mergeCell ref="E499:E500"/>
    <mergeCell ref="F499:F500"/>
    <mergeCell ref="A814:A815"/>
    <mergeCell ref="B814:B815"/>
    <mergeCell ref="C814:C815"/>
    <mergeCell ref="D814:D815"/>
    <mergeCell ref="E814:E815"/>
    <mergeCell ref="F814:F815"/>
    <mergeCell ref="A829:A830"/>
    <mergeCell ref="B829:B830"/>
    <mergeCell ref="C829:C830"/>
    <mergeCell ref="D829:D830"/>
    <mergeCell ref="E829:E830"/>
    <mergeCell ref="F829:F830"/>
    <mergeCell ref="A574:A575"/>
    <mergeCell ref="A724:A725"/>
    <mergeCell ref="B724:B725"/>
    <mergeCell ref="C724:C725"/>
    <mergeCell ref="D724:D725"/>
    <mergeCell ref="E724:E725"/>
    <mergeCell ref="F724:F725"/>
    <mergeCell ref="A739:A740"/>
    <mergeCell ref="B739:B740"/>
    <mergeCell ref="C739:C740"/>
    <mergeCell ref="D739:D740"/>
    <mergeCell ref="E739:E740"/>
    <mergeCell ref="F739:F740"/>
    <mergeCell ref="C694:C695"/>
    <mergeCell ref="D694:D695"/>
    <mergeCell ref="E694:E695"/>
    <mergeCell ref="F694:F695"/>
    <mergeCell ref="A709:A710"/>
    <mergeCell ref="B709:B710"/>
    <mergeCell ref="C709:C710"/>
    <mergeCell ref="A874:A875"/>
    <mergeCell ref="B874:B875"/>
    <mergeCell ref="C874:C875"/>
    <mergeCell ref="D874:D875"/>
    <mergeCell ref="E874:E875"/>
    <mergeCell ref="F874:F875"/>
    <mergeCell ref="A889:A890"/>
    <mergeCell ref="B889:B890"/>
    <mergeCell ref="C889:C890"/>
    <mergeCell ref="D889:D890"/>
    <mergeCell ref="E889:E890"/>
    <mergeCell ref="F889:F890"/>
    <mergeCell ref="A844:A845"/>
    <mergeCell ref="B844:B845"/>
    <mergeCell ref="C844:C845"/>
    <mergeCell ref="D844:D845"/>
    <mergeCell ref="E844:E845"/>
    <mergeCell ref="F844:F845"/>
    <mergeCell ref="A859:A860"/>
    <mergeCell ref="B859:B860"/>
    <mergeCell ref="C859:C860"/>
    <mergeCell ref="D859:D860"/>
    <mergeCell ref="E859:E860"/>
    <mergeCell ref="F859:F860"/>
    <mergeCell ref="A934:A935"/>
    <mergeCell ref="B934:B935"/>
    <mergeCell ref="C934:C935"/>
    <mergeCell ref="D934:D935"/>
    <mergeCell ref="E934:E935"/>
    <mergeCell ref="F934:F935"/>
    <mergeCell ref="A949:A950"/>
    <mergeCell ref="B949:B950"/>
    <mergeCell ref="C949:C950"/>
    <mergeCell ref="D949:D950"/>
    <mergeCell ref="E949:E950"/>
    <mergeCell ref="F949:F950"/>
    <mergeCell ref="A904:A905"/>
    <mergeCell ref="B904:B905"/>
    <mergeCell ref="C904:C905"/>
    <mergeCell ref="D904:D905"/>
    <mergeCell ref="E904:E905"/>
    <mergeCell ref="F904:F905"/>
    <mergeCell ref="A919:A920"/>
    <mergeCell ref="B919:B920"/>
    <mergeCell ref="C919:C920"/>
    <mergeCell ref="D919:D920"/>
    <mergeCell ref="E919:E920"/>
    <mergeCell ref="F919:F920"/>
    <mergeCell ref="A994:A995"/>
    <mergeCell ref="B994:B995"/>
    <mergeCell ref="C994:C995"/>
    <mergeCell ref="D994:D995"/>
    <mergeCell ref="E994:E995"/>
    <mergeCell ref="F994:F995"/>
    <mergeCell ref="A1009:A1010"/>
    <mergeCell ref="B1009:B1010"/>
    <mergeCell ref="C1009:C1010"/>
    <mergeCell ref="D1009:D1010"/>
    <mergeCell ref="E1009:E1010"/>
    <mergeCell ref="F1009:F1010"/>
    <mergeCell ref="A964:A965"/>
    <mergeCell ref="B964:B965"/>
    <mergeCell ref="C964:C965"/>
    <mergeCell ref="D964:D965"/>
    <mergeCell ref="E964:E965"/>
    <mergeCell ref="F964:F965"/>
    <mergeCell ref="A979:A980"/>
    <mergeCell ref="B979:B980"/>
    <mergeCell ref="C979:C980"/>
    <mergeCell ref="D979:D980"/>
    <mergeCell ref="E979:E980"/>
    <mergeCell ref="F979:F980"/>
    <mergeCell ref="A1054:A1055"/>
    <mergeCell ref="B1054:B1055"/>
    <mergeCell ref="C1054:C1055"/>
    <mergeCell ref="D1054:D1055"/>
    <mergeCell ref="E1054:E1055"/>
    <mergeCell ref="F1054:F1055"/>
    <mergeCell ref="A1069:A1070"/>
    <mergeCell ref="B1069:B1070"/>
    <mergeCell ref="C1069:C1070"/>
    <mergeCell ref="D1069:D1070"/>
    <mergeCell ref="E1069:E1070"/>
    <mergeCell ref="F1069:F1070"/>
    <mergeCell ref="A1024:A1025"/>
    <mergeCell ref="B1024:B1025"/>
    <mergeCell ref="C1024:C1025"/>
    <mergeCell ref="D1024:D1025"/>
    <mergeCell ref="E1024:E1025"/>
    <mergeCell ref="F1024:F1025"/>
    <mergeCell ref="A1039:A1040"/>
    <mergeCell ref="B1039:B1040"/>
    <mergeCell ref="C1039:C1040"/>
    <mergeCell ref="D1039:D1040"/>
    <mergeCell ref="E1039:E1040"/>
    <mergeCell ref="F1039:F1040"/>
    <mergeCell ref="A1114:A1115"/>
    <mergeCell ref="B1114:B1115"/>
    <mergeCell ref="C1114:C1115"/>
    <mergeCell ref="D1114:D1115"/>
    <mergeCell ref="E1114:E1115"/>
    <mergeCell ref="F1114:F1115"/>
    <mergeCell ref="A1219:A1220"/>
    <mergeCell ref="B1219:B1220"/>
    <mergeCell ref="C1219:C1220"/>
    <mergeCell ref="D1219:D1220"/>
    <mergeCell ref="E1219:E1220"/>
    <mergeCell ref="F1219:F1220"/>
    <mergeCell ref="A1084:A1085"/>
    <mergeCell ref="B1084:B1085"/>
    <mergeCell ref="C1084:C1085"/>
    <mergeCell ref="D1084:D1085"/>
    <mergeCell ref="E1084:E1085"/>
    <mergeCell ref="F1084:F1085"/>
    <mergeCell ref="A1099:A1100"/>
    <mergeCell ref="B1099:B1100"/>
    <mergeCell ref="C1099:C1100"/>
    <mergeCell ref="D1099:D1100"/>
    <mergeCell ref="E1099:E1100"/>
    <mergeCell ref="F1099:F1100"/>
    <mergeCell ref="E1174:E1175"/>
    <mergeCell ref="F1174:F1175"/>
    <mergeCell ref="A1189:A1190"/>
    <mergeCell ref="B1189:B1190"/>
    <mergeCell ref="C1189:C1190"/>
    <mergeCell ref="D1189:D1190"/>
    <mergeCell ref="E1189:E1190"/>
    <mergeCell ref="F1189:F1190"/>
    <mergeCell ref="A1129:A1130"/>
    <mergeCell ref="B1129:B1130"/>
    <mergeCell ref="C1129:C1130"/>
    <mergeCell ref="D1129:D1130"/>
    <mergeCell ref="E1129:E1130"/>
    <mergeCell ref="F1129:F1130"/>
    <mergeCell ref="A1144:A1145"/>
    <mergeCell ref="B1144:B1145"/>
    <mergeCell ref="E1429:E1430"/>
    <mergeCell ref="F1429:F1430"/>
    <mergeCell ref="E1324:E1325"/>
    <mergeCell ref="F1324:F1325"/>
    <mergeCell ref="A1339:A1340"/>
    <mergeCell ref="B1339:B1340"/>
    <mergeCell ref="C1339:C1340"/>
    <mergeCell ref="D1339:D1340"/>
    <mergeCell ref="E1339:E1340"/>
    <mergeCell ref="F1339:F1340"/>
    <mergeCell ref="A1354:A1355"/>
    <mergeCell ref="B1354:B1355"/>
    <mergeCell ref="C1354:C1355"/>
    <mergeCell ref="D1354:D1355"/>
    <mergeCell ref="A1234:A1235"/>
    <mergeCell ref="B1234:B1235"/>
    <mergeCell ref="C1234:C1235"/>
    <mergeCell ref="D1234:D1235"/>
    <mergeCell ref="E1354:E1355"/>
    <mergeCell ref="F1354:F1355"/>
    <mergeCell ref="A1204:A1205"/>
    <mergeCell ref="B1204:B1205"/>
    <mergeCell ref="C1204:C1205"/>
    <mergeCell ref="D1204:D1205"/>
    <mergeCell ref="C1144:C1145"/>
    <mergeCell ref="D1144:D1145"/>
    <mergeCell ref="E1144:E1145"/>
    <mergeCell ref="F1144:F1145"/>
    <mergeCell ref="A1159:A1160"/>
    <mergeCell ref="B1159:B1160"/>
    <mergeCell ref="C1159:C1160"/>
    <mergeCell ref="D1159:D1160"/>
    <mergeCell ref="E1159:E1160"/>
    <mergeCell ref="F1159:F1160"/>
    <mergeCell ref="A1174:A1175"/>
    <mergeCell ref="B1174:B1175"/>
    <mergeCell ref="C1174:C1175"/>
    <mergeCell ref="D1174:D1175"/>
    <mergeCell ref="A1459:A1460"/>
    <mergeCell ref="B1459:B1460"/>
    <mergeCell ref="C1459:C1460"/>
    <mergeCell ref="D1459:D1460"/>
    <mergeCell ref="C1414:C1415"/>
    <mergeCell ref="D1414:D1415"/>
    <mergeCell ref="E1414:E1415"/>
    <mergeCell ref="F1414:F1415"/>
    <mergeCell ref="C1429:C1430"/>
    <mergeCell ref="D1429:D1430"/>
    <mergeCell ref="E1204:E1205"/>
    <mergeCell ref="F1204:F1205"/>
    <mergeCell ref="E1234:E1235"/>
    <mergeCell ref="F1234:F1235"/>
    <mergeCell ref="A1249:A1250"/>
    <mergeCell ref="B1249:B1250"/>
    <mergeCell ref="C1249:C1250"/>
    <mergeCell ref="D1249:D1250"/>
    <mergeCell ref="A1534:A1535"/>
    <mergeCell ref="B1534:B1535"/>
    <mergeCell ref="C1534:C1535"/>
    <mergeCell ref="D1534:D1535"/>
    <mergeCell ref="E1534:E1535"/>
    <mergeCell ref="F1534:F1535"/>
    <mergeCell ref="A1748:A1749"/>
    <mergeCell ref="B1748:B1749"/>
    <mergeCell ref="C1748:C1749"/>
    <mergeCell ref="D1748:D1749"/>
    <mergeCell ref="E1748:E1749"/>
    <mergeCell ref="F1748:F1749"/>
    <mergeCell ref="A1598:A1599"/>
    <mergeCell ref="B1598:B1599"/>
    <mergeCell ref="C1598:C1599"/>
    <mergeCell ref="D1598:D1599"/>
    <mergeCell ref="E1598:E1599"/>
    <mergeCell ref="F1598:F1599"/>
    <mergeCell ref="E1658:E1659"/>
    <mergeCell ref="F1658:F1659"/>
    <mergeCell ref="A1718:A1719"/>
    <mergeCell ref="B1718:B1719"/>
    <mergeCell ref="A1549:A1550"/>
    <mergeCell ref="B1549:B1550"/>
    <mergeCell ref="E1628:E1629"/>
    <mergeCell ref="F1628:F1629"/>
    <mergeCell ref="C1549:C1550"/>
    <mergeCell ref="D1549:D1550"/>
    <mergeCell ref="E1549:E1550"/>
    <mergeCell ref="F1549:F1550"/>
    <mergeCell ref="A1613:A1614"/>
    <mergeCell ref="B1613:B1614"/>
    <mergeCell ref="A1733:A1734"/>
    <mergeCell ref="B1733:B1734"/>
    <mergeCell ref="C1733:C1734"/>
    <mergeCell ref="D1733:D1734"/>
    <mergeCell ref="E1733:E1734"/>
    <mergeCell ref="F1733:F1734"/>
    <mergeCell ref="A1763:A1764"/>
    <mergeCell ref="B1763:B1764"/>
    <mergeCell ref="C1763:C1764"/>
    <mergeCell ref="D1763:D1764"/>
    <mergeCell ref="E1763:E1764"/>
    <mergeCell ref="F1763:F1764"/>
    <mergeCell ref="C1703:C1704"/>
    <mergeCell ref="D1703:D1704"/>
    <mergeCell ref="E1703:E1704"/>
    <mergeCell ref="F1703:F1704"/>
    <mergeCell ref="C1658:C1659"/>
    <mergeCell ref="D1658:D1659"/>
    <mergeCell ref="C1673:C1674"/>
    <mergeCell ref="D1673:D1674"/>
    <mergeCell ref="E1673:E1674"/>
    <mergeCell ref="F1673:F1674"/>
    <mergeCell ref="C1718:C1719"/>
    <mergeCell ref="D1718:D1719"/>
    <mergeCell ref="A1658:A1659"/>
    <mergeCell ref="B1658:B1659"/>
    <mergeCell ref="A1673:A1674"/>
    <mergeCell ref="B1673:B1674"/>
    <mergeCell ref="A1703:A1704"/>
    <mergeCell ref="B1703:B1704"/>
    <mergeCell ref="A1823:A1824"/>
    <mergeCell ref="B1823:B1824"/>
    <mergeCell ref="C1823:C1824"/>
    <mergeCell ref="D1823:D1824"/>
    <mergeCell ref="A1853:A1854"/>
    <mergeCell ref="B1853:B1854"/>
    <mergeCell ref="A1808:A1809"/>
    <mergeCell ref="B1808:B1809"/>
    <mergeCell ref="C1808:C1809"/>
    <mergeCell ref="D1808:D1809"/>
    <mergeCell ref="E1808:E1809"/>
    <mergeCell ref="F1808:F1809"/>
    <mergeCell ref="A1793:A1794"/>
    <mergeCell ref="B1793:B1794"/>
    <mergeCell ref="C1793:C1794"/>
    <mergeCell ref="D1793:D1794"/>
    <mergeCell ref="E1793:E1794"/>
    <mergeCell ref="F1793:F1794"/>
    <mergeCell ref="A1898:A1899"/>
    <mergeCell ref="B1898:B1899"/>
    <mergeCell ref="C1898:C1899"/>
    <mergeCell ref="D1898:D1899"/>
    <mergeCell ref="E1898:E1899"/>
    <mergeCell ref="F1898:F1899"/>
    <mergeCell ref="E1913:E1914"/>
    <mergeCell ref="F1913:F1914"/>
    <mergeCell ref="A1943:A1944"/>
    <mergeCell ref="B1943:B1944"/>
    <mergeCell ref="A1868:A1869"/>
    <mergeCell ref="B1868:B1869"/>
    <mergeCell ref="C1853:C1854"/>
    <mergeCell ref="D1853:D1854"/>
    <mergeCell ref="E1853:E1854"/>
    <mergeCell ref="F1853:F1854"/>
    <mergeCell ref="A1883:A1884"/>
    <mergeCell ref="B1883:B1884"/>
    <mergeCell ref="A1913:A1914"/>
    <mergeCell ref="B1913:B1914"/>
    <mergeCell ref="C1913:C1914"/>
    <mergeCell ref="D1913:D1914"/>
    <mergeCell ref="A2464:A2465"/>
    <mergeCell ref="B2464:B2465"/>
    <mergeCell ref="C2464:C2465"/>
    <mergeCell ref="D2464:D2465"/>
    <mergeCell ref="E2464:E2465"/>
    <mergeCell ref="F2464:F2465"/>
    <mergeCell ref="C2434:C2435"/>
    <mergeCell ref="D2434:D2435"/>
    <mergeCell ref="E2434:E2435"/>
    <mergeCell ref="F2434:F2435"/>
    <mergeCell ref="A2449:A2450"/>
    <mergeCell ref="B2449:B2450"/>
    <mergeCell ref="C2449:C2450"/>
    <mergeCell ref="D2449:D2450"/>
    <mergeCell ref="E2449:E2450"/>
    <mergeCell ref="F2449:F2450"/>
    <mergeCell ref="A2434:A2435"/>
    <mergeCell ref="B2434:B2435"/>
    <mergeCell ref="A2003:A2004"/>
    <mergeCell ref="B2003:B2004"/>
    <mergeCell ref="C2003:C2004"/>
    <mergeCell ref="D2003:D2004"/>
    <mergeCell ref="C1928:C1929"/>
    <mergeCell ref="D1928:D1929"/>
    <mergeCell ref="E2003:E2004"/>
    <mergeCell ref="F2003:F2004"/>
    <mergeCell ref="A1988:A1989"/>
    <mergeCell ref="B1988:B1989"/>
    <mergeCell ref="C1988:C1989"/>
    <mergeCell ref="D1988:D1989"/>
    <mergeCell ref="E1988:E1989"/>
    <mergeCell ref="F1988:F1989"/>
    <mergeCell ref="C2033:C2034"/>
    <mergeCell ref="D2033:D2034"/>
    <mergeCell ref="E1958:E1959"/>
    <mergeCell ref="F1958:F1959"/>
    <mergeCell ref="A1928:A1929"/>
    <mergeCell ref="B1928:B1929"/>
    <mergeCell ref="A2018:A2019"/>
    <mergeCell ref="B2018:B2019"/>
    <mergeCell ref="C2018:C2019"/>
    <mergeCell ref="D2018:D2019"/>
    <mergeCell ref="E2018:E2019"/>
    <mergeCell ref="F2018:F2019"/>
    <mergeCell ref="E1943:E1944"/>
    <mergeCell ref="F1943:F1944"/>
    <mergeCell ref="A2033:A2034"/>
    <mergeCell ref="B2033:B2034"/>
    <mergeCell ref="E2033:E2034"/>
    <mergeCell ref="F2033:F2034"/>
    <mergeCell ref="A2359:A2360"/>
    <mergeCell ref="B2359:B2360"/>
    <mergeCell ref="C2359:C2360"/>
    <mergeCell ref="D2359:D2360"/>
    <mergeCell ref="E2359:E2360"/>
    <mergeCell ref="F2359:F2360"/>
    <mergeCell ref="A2374:A2375"/>
    <mergeCell ref="B2374:B2375"/>
    <mergeCell ref="C2344:C2345"/>
    <mergeCell ref="D2344:D2345"/>
    <mergeCell ref="A2404:A2405"/>
    <mergeCell ref="B2404:B2405"/>
    <mergeCell ref="A2329:A2330"/>
    <mergeCell ref="B2329:B2330"/>
    <mergeCell ref="C2404:C2405"/>
    <mergeCell ref="D2404:D2405"/>
    <mergeCell ref="E2404:E2405"/>
    <mergeCell ref="F2404:F2405"/>
    <mergeCell ref="A2389:A2390"/>
    <mergeCell ref="B2389:B2390"/>
    <mergeCell ref="C2374:C2375"/>
    <mergeCell ref="D2374:D2375"/>
    <mergeCell ref="A2344:A2345"/>
    <mergeCell ref="B2344:B2345"/>
    <mergeCell ref="E2374:E2375"/>
    <mergeCell ref="F2374:F2375"/>
    <mergeCell ref="A2314:A2315"/>
    <mergeCell ref="B2314:B2315"/>
    <mergeCell ref="A2284:A2285"/>
    <mergeCell ref="B2284:B2285"/>
    <mergeCell ref="E2532:E2533"/>
    <mergeCell ref="F2532:F2533"/>
    <mergeCell ref="A2562:A2563"/>
    <mergeCell ref="B2562:B2563"/>
    <mergeCell ref="C2419:C2420"/>
    <mergeCell ref="D2419:D2420"/>
    <mergeCell ref="E2419:E2420"/>
    <mergeCell ref="F2419:F2420"/>
    <mergeCell ref="C2239:C2240"/>
    <mergeCell ref="D2239:D2240"/>
    <mergeCell ref="E2239:E2240"/>
    <mergeCell ref="F2239:F2240"/>
    <mergeCell ref="E2344:E2345"/>
    <mergeCell ref="F2344:F2345"/>
    <mergeCell ref="C2314:C2315"/>
    <mergeCell ref="D2314:D2315"/>
    <mergeCell ref="E2314:E2315"/>
    <mergeCell ref="F2314:F2315"/>
    <mergeCell ref="C2329:C2330"/>
    <mergeCell ref="D2329:D2330"/>
    <mergeCell ref="E2329:E2330"/>
    <mergeCell ref="F2329:F2330"/>
    <mergeCell ref="C2389:C2390"/>
    <mergeCell ref="D2389:D2390"/>
    <mergeCell ref="E2389:E2390"/>
    <mergeCell ref="F2389:F2390"/>
    <mergeCell ref="C2254:C2255"/>
    <mergeCell ref="D2254:D2255"/>
    <mergeCell ref="B2622:B2623"/>
    <mergeCell ref="A2607:A2608"/>
    <mergeCell ref="B2607:B2608"/>
    <mergeCell ref="C2607:C2608"/>
    <mergeCell ref="D2607:D2608"/>
    <mergeCell ref="E2607:E2608"/>
    <mergeCell ref="F2607:F2608"/>
    <mergeCell ref="E2487:E2488"/>
    <mergeCell ref="F2487:F2488"/>
    <mergeCell ref="A2502:A2503"/>
    <mergeCell ref="B2502:B2503"/>
    <mergeCell ref="C2502:C2503"/>
    <mergeCell ref="D2502:D2503"/>
    <mergeCell ref="E2502:E2503"/>
    <mergeCell ref="F2502:F2503"/>
    <mergeCell ref="A2532:A2533"/>
    <mergeCell ref="B2532:B2533"/>
    <mergeCell ref="C2532:C2533"/>
    <mergeCell ref="D2532:D2533"/>
    <mergeCell ref="E2517:E2518"/>
    <mergeCell ref="F2517:F2518"/>
    <mergeCell ref="A2487:A2488"/>
    <mergeCell ref="B2487:B2488"/>
    <mergeCell ref="C2487:C2488"/>
    <mergeCell ref="D2487:D2488"/>
    <mergeCell ref="C2517:C2518"/>
    <mergeCell ref="D2517:D2518"/>
    <mergeCell ref="A2517:A2518"/>
    <mergeCell ref="B2517:B2518"/>
    <mergeCell ref="E2622:E2623"/>
    <mergeCell ref="D2562:D2563"/>
    <mergeCell ref="F2622:F2623"/>
    <mergeCell ref="D2837:D2838"/>
    <mergeCell ref="E2837:E2838"/>
    <mergeCell ref="F2837:F2838"/>
    <mergeCell ref="A2822:A2823"/>
    <mergeCell ref="B2822:B2823"/>
    <mergeCell ref="C2822:C2823"/>
    <mergeCell ref="D2822:D2823"/>
    <mergeCell ref="A2419:A2420"/>
    <mergeCell ref="B2419:B2420"/>
    <mergeCell ref="E2822:E2823"/>
    <mergeCell ref="F2822:F2823"/>
    <mergeCell ref="E2577:E2578"/>
    <mergeCell ref="F2577:F2578"/>
    <mergeCell ref="A2547:A2548"/>
    <mergeCell ref="B2547:B2548"/>
    <mergeCell ref="C2547:C2548"/>
    <mergeCell ref="D2547:D2548"/>
    <mergeCell ref="E2547:E2548"/>
    <mergeCell ref="F2547:F2548"/>
    <mergeCell ref="A2667:A2668"/>
    <mergeCell ref="B2667:B2668"/>
    <mergeCell ref="C2667:C2668"/>
    <mergeCell ref="D2667:D2668"/>
    <mergeCell ref="E2667:E2668"/>
    <mergeCell ref="F2667:F2668"/>
    <mergeCell ref="A2652:A2653"/>
    <mergeCell ref="B2652:B2653"/>
    <mergeCell ref="C2652:C2653"/>
    <mergeCell ref="D2652:D2653"/>
    <mergeCell ref="C2562:C2563"/>
    <mergeCell ref="E2652:E2653"/>
    <mergeCell ref="A2622:A2623"/>
    <mergeCell ref="E2562:E2563"/>
    <mergeCell ref="F2562:F2563"/>
    <mergeCell ref="A3005:A3006"/>
    <mergeCell ref="B3005:B3006"/>
    <mergeCell ref="C3005:C3006"/>
    <mergeCell ref="D3005:D3006"/>
    <mergeCell ref="E3005:E3006"/>
    <mergeCell ref="F3005:F3006"/>
    <mergeCell ref="A3024:A3025"/>
    <mergeCell ref="B3024:B3025"/>
    <mergeCell ref="C3024:C3025"/>
    <mergeCell ref="D3024:D3025"/>
    <mergeCell ref="E3024:E3025"/>
    <mergeCell ref="F3024:F3025"/>
    <mergeCell ref="A3038:A3039"/>
    <mergeCell ref="B3038:B3039"/>
    <mergeCell ref="C3038:C3039"/>
    <mergeCell ref="D3038:D3039"/>
    <mergeCell ref="E3038:E3039"/>
    <mergeCell ref="F3038:F3039"/>
    <mergeCell ref="A2577:A2578"/>
    <mergeCell ref="B2577:B2578"/>
    <mergeCell ref="C2577:C2578"/>
    <mergeCell ref="D2577:D2578"/>
    <mergeCell ref="A2852:A2853"/>
    <mergeCell ref="B2852:B2853"/>
    <mergeCell ref="C2852:C2853"/>
    <mergeCell ref="D2852:D2853"/>
    <mergeCell ref="E2852:E2853"/>
    <mergeCell ref="F2852:F2853"/>
    <mergeCell ref="B2837:B2838"/>
    <mergeCell ref="C2837:C2838"/>
    <mergeCell ref="A3178:A3179"/>
    <mergeCell ref="B3178:B3179"/>
    <mergeCell ref="C3178:C3179"/>
    <mergeCell ref="D3178:D3179"/>
    <mergeCell ref="E3178:E3179"/>
    <mergeCell ref="F3178:F3179"/>
    <mergeCell ref="A3169:A3170"/>
    <mergeCell ref="B3169:B3170"/>
    <mergeCell ref="C3169:C3170"/>
    <mergeCell ref="D3169:D3170"/>
    <mergeCell ref="E3169:E3170"/>
    <mergeCell ref="F3169:F3170"/>
    <mergeCell ref="A3183:A3184"/>
    <mergeCell ref="B3183:B3184"/>
    <mergeCell ref="E3146:E3147"/>
    <mergeCell ref="F3146:F3147"/>
    <mergeCell ref="A3154:A3155"/>
    <mergeCell ref="B3154:B3155"/>
    <mergeCell ref="C3154:C3155"/>
    <mergeCell ref="D3154:D3155"/>
    <mergeCell ref="E3154:E3155"/>
    <mergeCell ref="F3154:F3155"/>
    <mergeCell ref="C3183:C3184"/>
    <mergeCell ref="D3183:D3184"/>
    <mergeCell ref="E3183:E3184"/>
    <mergeCell ref="F3183:F3184"/>
    <mergeCell ref="C3146:C3147"/>
    <mergeCell ref="D3146:D3147"/>
    <mergeCell ref="E3199:E3200"/>
    <mergeCell ref="F3199:F3200"/>
    <mergeCell ref="E3321:E3322"/>
    <mergeCell ref="F3321:F3322"/>
    <mergeCell ref="A3209:A3210"/>
    <mergeCell ref="B3209:B3210"/>
    <mergeCell ref="C3209:C3210"/>
    <mergeCell ref="D3209:D3210"/>
    <mergeCell ref="E3209:E3210"/>
    <mergeCell ref="F3209:F3210"/>
    <mergeCell ref="A3220:A3221"/>
    <mergeCell ref="B3220:B3221"/>
    <mergeCell ref="C3220:C3221"/>
    <mergeCell ref="D3220:D3221"/>
    <mergeCell ref="E3220:E3221"/>
    <mergeCell ref="F3220:F3221"/>
    <mergeCell ref="A3236:A3237"/>
    <mergeCell ref="B3236:B3237"/>
    <mergeCell ref="C3236:C3237"/>
    <mergeCell ref="D3236:D3237"/>
    <mergeCell ref="E3236:E3237"/>
    <mergeCell ref="F3236:F3237"/>
    <mergeCell ref="E3241:E3242"/>
    <mergeCell ref="F3241:F3242"/>
    <mergeCell ref="A3250:A3251"/>
    <mergeCell ref="B3250:B3251"/>
    <mergeCell ref="C3250:C3251"/>
    <mergeCell ref="D3250:D3251"/>
    <mergeCell ref="E3250:E3251"/>
    <mergeCell ref="F3250:F3251"/>
    <mergeCell ref="C3321:C3322"/>
    <mergeCell ref="D3321:D3322"/>
    <mergeCell ref="E3330:E3331"/>
    <mergeCell ref="F3330:F3331"/>
    <mergeCell ref="C3362:C3363"/>
    <mergeCell ref="D3362:D3363"/>
    <mergeCell ref="C3462:C3463"/>
    <mergeCell ref="D3462:D3463"/>
    <mergeCell ref="E3462:E3463"/>
    <mergeCell ref="F3462:F3463"/>
    <mergeCell ref="E3378:E3379"/>
    <mergeCell ref="F3378:F3379"/>
    <mergeCell ref="F3403:F3404"/>
    <mergeCell ref="A3403:A3404"/>
    <mergeCell ref="A3396:A3397"/>
    <mergeCell ref="B3396:B3397"/>
    <mergeCell ref="A3462:A3463"/>
    <mergeCell ref="B3462:B3463"/>
    <mergeCell ref="C3284:C3285"/>
    <mergeCell ref="D3284:D3285"/>
    <mergeCell ref="E3284:E3285"/>
    <mergeCell ref="F3284:F3285"/>
    <mergeCell ref="A3304:A3305"/>
    <mergeCell ref="B3304:B3305"/>
    <mergeCell ref="C3304:C3305"/>
    <mergeCell ref="D3304:D3305"/>
    <mergeCell ref="E3304:E3305"/>
    <mergeCell ref="F3304:F3305"/>
    <mergeCell ref="A3430:A3431"/>
    <mergeCell ref="B3430:B3431"/>
    <mergeCell ref="C3430:C3431"/>
    <mergeCell ref="D3430:D3431"/>
    <mergeCell ref="E3430:E3431"/>
    <mergeCell ref="F3430:F3431"/>
    <mergeCell ref="E3396:E3397"/>
    <mergeCell ref="F3396:F3397"/>
    <mergeCell ref="A3388:A3389"/>
    <mergeCell ref="B3388:B3389"/>
    <mergeCell ref="A3378:A3379"/>
    <mergeCell ref="B3378:B3379"/>
    <mergeCell ref="C3378:C3379"/>
    <mergeCell ref="D3378:D3379"/>
    <mergeCell ref="A3330:A3331"/>
    <mergeCell ref="B3330:B3331"/>
    <mergeCell ref="E3362:E3363"/>
    <mergeCell ref="F3362:F3363"/>
    <mergeCell ref="A3321:A3322"/>
    <mergeCell ref="B3321:B3322"/>
    <mergeCell ref="C3568:C3569"/>
    <mergeCell ref="D3568:D3569"/>
    <mergeCell ref="A3482:A3483"/>
    <mergeCell ref="B3482:B3483"/>
    <mergeCell ref="C3482:C3483"/>
    <mergeCell ref="D3482:D3483"/>
    <mergeCell ref="E3482:E3483"/>
    <mergeCell ref="F3482:F3483"/>
    <mergeCell ref="A3362:A3363"/>
    <mergeCell ref="B3362:B3363"/>
    <mergeCell ref="C3388:C3389"/>
    <mergeCell ref="D3388:D3389"/>
    <mergeCell ref="E3388:E3389"/>
    <mergeCell ref="F3388:F3389"/>
    <mergeCell ref="A3413:A3414"/>
    <mergeCell ref="B3413:B3414"/>
    <mergeCell ref="C3413:C3414"/>
    <mergeCell ref="D3413:D3414"/>
    <mergeCell ref="E3413:E3414"/>
    <mergeCell ref="F3413:F3414"/>
    <mergeCell ref="B3403:B3404"/>
    <mergeCell ref="C3403:C3404"/>
    <mergeCell ref="D3403:D3404"/>
    <mergeCell ref="E3403:E3404"/>
    <mergeCell ref="E3472:E3473"/>
    <mergeCell ref="F3472:F3473"/>
    <mergeCell ref="A3472:A3473"/>
    <mergeCell ref="B3472:B3473"/>
    <mergeCell ref="C3472:C3473"/>
    <mergeCell ref="D3472:D3473"/>
    <mergeCell ref="C3680:C3681"/>
    <mergeCell ref="E3680:E3681"/>
    <mergeCell ref="C3499:C3500"/>
    <mergeCell ref="D3499:D3500"/>
    <mergeCell ref="A3516:A3517"/>
    <mergeCell ref="B3516:B3517"/>
    <mergeCell ref="C3516:C3517"/>
    <mergeCell ref="D3516:D3517"/>
    <mergeCell ref="E3568:E3569"/>
    <mergeCell ref="F3568:F3569"/>
    <mergeCell ref="E3622:E3623"/>
    <mergeCell ref="F3622:F3623"/>
    <mergeCell ref="E3611:E3612"/>
    <mergeCell ref="F3611:F3612"/>
    <mergeCell ref="E3579:E3580"/>
    <mergeCell ref="F3579:F3580"/>
    <mergeCell ref="A3568:A3569"/>
    <mergeCell ref="B3568:B3569"/>
    <mergeCell ref="A3499:A3500"/>
    <mergeCell ref="B3499:B3500"/>
    <mergeCell ref="E3499:E3500"/>
    <mergeCell ref="F3499:F3500"/>
    <mergeCell ref="A3555:A3556"/>
    <mergeCell ref="B3555:B3556"/>
    <mergeCell ref="A3548:A3549"/>
    <mergeCell ref="B3548:B3549"/>
    <mergeCell ref="C3555:C3556"/>
    <mergeCell ref="D3555:D3556"/>
    <mergeCell ref="E3555:E3556"/>
    <mergeCell ref="F3555:F3556"/>
    <mergeCell ref="A3579:A3580"/>
    <mergeCell ref="B3579:B3580"/>
    <mergeCell ref="E3695:E3696"/>
    <mergeCell ref="D3738:D3739"/>
    <mergeCell ref="F3695:F3696"/>
    <mergeCell ref="A3715:A3716"/>
    <mergeCell ref="A3695:A3696"/>
    <mergeCell ref="B3695:B3696"/>
    <mergeCell ref="A3711:A3712"/>
    <mergeCell ref="B3711:B3712"/>
    <mergeCell ref="E3715:E3716"/>
    <mergeCell ref="F3715:F3716"/>
    <mergeCell ref="E3516:E3517"/>
    <mergeCell ref="F3516:F3517"/>
    <mergeCell ref="C3548:C3549"/>
    <mergeCell ref="D3548:D3549"/>
    <mergeCell ref="E3548:E3549"/>
    <mergeCell ref="F3548:F3549"/>
    <mergeCell ref="A3632:A3633"/>
    <mergeCell ref="B3632:B3633"/>
    <mergeCell ref="C3632:C3633"/>
    <mergeCell ref="D3632:D3633"/>
    <mergeCell ref="E3632:E3633"/>
    <mergeCell ref="F3632:F3633"/>
    <mergeCell ref="C3579:C3580"/>
    <mergeCell ref="D3579:D3580"/>
    <mergeCell ref="C3611:C3612"/>
    <mergeCell ref="D3611:D3612"/>
    <mergeCell ref="A3622:A3623"/>
    <mergeCell ref="B3622:B3623"/>
    <mergeCell ref="C3622:C3623"/>
    <mergeCell ref="D3622:D3623"/>
    <mergeCell ref="A3611:A3612"/>
    <mergeCell ref="B3611:B3612"/>
    <mergeCell ref="E3738:E3739"/>
    <mergeCell ref="D3680:D3681"/>
    <mergeCell ref="F3680:F3681"/>
    <mergeCell ref="A3689:A3690"/>
    <mergeCell ref="B3689:B3690"/>
    <mergeCell ref="F3728:F3729"/>
    <mergeCell ref="A3702:A3703"/>
    <mergeCell ref="B3702:B3703"/>
    <mergeCell ref="E3711:E3712"/>
    <mergeCell ref="F3711:F3712"/>
    <mergeCell ref="C3661:C3662"/>
    <mergeCell ref="D3661:D3662"/>
    <mergeCell ref="E3661:E3662"/>
    <mergeCell ref="F3661:F3662"/>
    <mergeCell ref="E3689:E3690"/>
    <mergeCell ref="F3689:F3690"/>
    <mergeCell ref="A3652:A3653"/>
    <mergeCell ref="B3652:B3653"/>
    <mergeCell ref="C3652:C3653"/>
    <mergeCell ref="D3652:D3653"/>
    <mergeCell ref="E3642:E3643"/>
    <mergeCell ref="F3642:F3643"/>
    <mergeCell ref="A3642:A3643"/>
    <mergeCell ref="B3642:B3643"/>
    <mergeCell ref="E3774:E3775"/>
    <mergeCell ref="F3774:F3775"/>
    <mergeCell ref="A3757:A3758"/>
    <mergeCell ref="B3757:B3758"/>
    <mergeCell ref="C3757:C3758"/>
    <mergeCell ref="D3757:D3758"/>
    <mergeCell ref="A3680:A3681"/>
    <mergeCell ref="B3680:B3681"/>
    <mergeCell ref="C3689:C3690"/>
    <mergeCell ref="D3689:D3690"/>
    <mergeCell ref="A3670:A3671"/>
    <mergeCell ref="B3670:B3671"/>
    <mergeCell ref="C3670:C3671"/>
    <mergeCell ref="D3670:D3671"/>
    <mergeCell ref="C3642:C3643"/>
    <mergeCell ref="D3642:D3643"/>
    <mergeCell ref="D3768:D3769"/>
    <mergeCell ref="C3768:C3769"/>
    <mergeCell ref="C3702:C3703"/>
    <mergeCell ref="D3702:D3703"/>
    <mergeCell ref="E3702:E3703"/>
    <mergeCell ref="F3702:F3703"/>
    <mergeCell ref="E3670:E3671"/>
    <mergeCell ref="E3652:E3653"/>
    <mergeCell ref="F3652:F3653"/>
    <mergeCell ref="A3661:A3662"/>
    <mergeCell ref="B3661:B3662"/>
    <mergeCell ref="B3715:B3716"/>
    <mergeCell ref="C3728:C3729"/>
    <mergeCell ref="D3728:D3729"/>
    <mergeCell ref="E3728:E3729"/>
    <mergeCell ref="F3670:F3671"/>
    <mergeCell ref="C3695:C3696"/>
    <mergeCell ref="D3695:D3696"/>
    <mergeCell ref="C3738:C3739"/>
    <mergeCell ref="F3738:F3739"/>
    <mergeCell ref="C3715:C3716"/>
    <mergeCell ref="D3715:D3716"/>
    <mergeCell ref="C3711:C3712"/>
    <mergeCell ref="D3711:D3712"/>
    <mergeCell ref="A3728:A3729"/>
    <mergeCell ref="B3728:B3729"/>
    <mergeCell ref="A3738:A3739"/>
    <mergeCell ref="B3738:B3739"/>
    <mergeCell ref="C3788:C3789"/>
    <mergeCell ref="D3788:D3789"/>
    <mergeCell ref="E3788:E3789"/>
    <mergeCell ref="F3788:F3789"/>
    <mergeCell ref="B3774:B3775"/>
    <mergeCell ref="F3757:F3758"/>
    <mergeCell ref="E3768:E3769"/>
    <mergeCell ref="C3774:C3775"/>
    <mergeCell ref="D3774:D3775"/>
    <mergeCell ref="B3796:B3797"/>
    <mergeCell ref="A3788:A3789"/>
    <mergeCell ref="B3788:B3789"/>
    <mergeCell ref="A3774:A3775"/>
    <mergeCell ref="E3796:E3797"/>
    <mergeCell ref="F3796:F3797"/>
    <mergeCell ref="F3768:F3769"/>
    <mergeCell ref="A3768:A3769"/>
    <mergeCell ref="B3768:B3769"/>
    <mergeCell ref="E3757:E3758"/>
    <mergeCell ref="A3796:A3797"/>
    <mergeCell ref="A3835:A3836"/>
    <mergeCell ref="B3835:B3836"/>
    <mergeCell ref="C3835:C3836"/>
    <mergeCell ref="D3835:D3836"/>
    <mergeCell ref="E3835:E3836"/>
    <mergeCell ref="F3835:F3836"/>
    <mergeCell ref="C3796:C3797"/>
    <mergeCell ref="D3796:D3797"/>
    <mergeCell ref="E3866:E3867"/>
    <mergeCell ref="F3866:F3867"/>
    <mergeCell ref="C3858:C3859"/>
    <mergeCell ref="D3858:D3859"/>
    <mergeCell ref="A3844:A3845"/>
    <mergeCell ref="A3803:A3804"/>
    <mergeCell ref="A3858:A3859"/>
    <mergeCell ref="B3858:B3859"/>
    <mergeCell ref="D3850:D3851"/>
    <mergeCell ref="B3826:B3827"/>
    <mergeCell ref="B3803:B3804"/>
    <mergeCell ref="C3803:C3804"/>
    <mergeCell ref="E3858:E3859"/>
    <mergeCell ref="B3866:B3867"/>
    <mergeCell ref="C3866:C3867"/>
    <mergeCell ref="D3866:D3867"/>
    <mergeCell ref="B3844:B3845"/>
    <mergeCell ref="C3844:C3845"/>
    <mergeCell ref="D3844:D3845"/>
    <mergeCell ref="E3844:E3845"/>
    <mergeCell ref="F3844:F3845"/>
    <mergeCell ref="B3850:B3851"/>
    <mergeCell ref="E3850:E3851"/>
    <mergeCell ref="F3850:F3851"/>
    <mergeCell ref="F3803:F3804"/>
    <mergeCell ref="C3850:C3851"/>
    <mergeCell ref="D3803:D3804"/>
    <mergeCell ref="E3803:E3804"/>
    <mergeCell ref="C3826:C3827"/>
    <mergeCell ref="D3826:D3827"/>
    <mergeCell ref="E3826:E3827"/>
    <mergeCell ref="F3826:F3827"/>
    <mergeCell ref="C3913:C3914"/>
    <mergeCell ref="D3913:D3914"/>
    <mergeCell ref="A3922:A3923"/>
    <mergeCell ref="B3922:B3923"/>
    <mergeCell ref="E3942:E3943"/>
    <mergeCell ref="F3942:F3943"/>
    <mergeCell ref="A3949:A3950"/>
    <mergeCell ref="B3949:B3950"/>
    <mergeCell ref="C3949:C3950"/>
    <mergeCell ref="D3949:D3950"/>
    <mergeCell ref="E3956:E3957"/>
    <mergeCell ref="F3956:F3957"/>
    <mergeCell ref="A3942:A3943"/>
    <mergeCell ref="B3942:B3943"/>
    <mergeCell ref="C3942:C3943"/>
    <mergeCell ref="A3826:A3827"/>
    <mergeCell ref="E3913:E3914"/>
    <mergeCell ref="A3887:A3888"/>
    <mergeCell ref="B3887:B3888"/>
    <mergeCell ref="A3901:A3902"/>
    <mergeCell ref="B3901:B3902"/>
    <mergeCell ref="C3901:C3902"/>
    <mergeCell ref="D3896:D3897"/>
    <mergeCell ref="C3922:C3923"/>
    <mergeCell ref="D3922:D3923"/>
    <mergeCell ref="E3922:E3923"/>
    <mergeCell ref="F3922:F3923"/>
    <mergeCell ref="F3858:F3859"/>
    <mergeCell ref="A3896:A3897"/>
    <mergeCell ref="B3896:B3897"/>
    <mergeCell ref="C3887:C3888"/>
    <mergeCell ref="D3887:D3888"/>
    <mergeCell ref="A4040:A4041"/>
    <mergeCell ref="B4040:B4041"/>
    <mergeCell ref="C4040:C4041"/>
    <mergeCell ref="D4040:D4041"/>
    <mergeCell ref="E4003:E4004"/>
    <mergeCell ref="F4003:F4004"/>
    <mergeCell ref="A4008:A4009"/>
    <mergeCell ref="B4008:B4009"/>
    <mergeCell ref="C4008:C4009"/>
    <mergeCell ref="D4008:D4009"/>
    <mergeCell ref="E4008:E4009"/>
    <mergeCell ref="F4008:F4009"/>
    <mergeCell ref="A4030:A4031"/>
    <mergeCell ref="B4030:B4031"/>
    <mergeCell ref="C4014:C4015"/>
    <mergeCell ref="A3866:A3867"/>
    <mergeCell ref="F3992:F3993"/>
    <mergeCell ref="A4003:A4004"/>
    <mergeCell ref="B4003:B4004"/>
    <mergeCell ref="A3992:A3993"/>
    <mergeCell ref="B3992:B3993"/>
    <mergeCell ref="C3992:C3993"/>
    <mergeCell ref="D3992:D3993"/>
    <mergeCell ref="E3992:E3993"/>
    <mergeCell ref="C4003:C4004"/>
    <mergeCell ref="D4003:D4004"/>
    <mergeCell ref="A3987:A3988"/>
    <mergeCell ref="B3987:B3988"/>
    <mergeCell ref="C3987:C3988"/>
    <mergeCell ref="D3987:D3988"/>
    <mergeCell ref="A3913:A3914"/>
    <mergeCell ref="B3913:B3914"/>
    <mergeCell ref="C4030:C4031"/>
    <mergeCell ref="D4030:D4031"/>
    <mergeCell ref="E4030:E4031"/>
    <mergeCell ref="F4030:F4031"/>
    <mergeCell ref="E4014:E4015"/>
    <mergeCell ref="D3942:D3943"/>
    <mergeCell ref="E3949:E3950"/>
    <mergeCell ref="F3949:F3950"/>
    <mergeCell ref="A3956:A3957"/>
    <mergeCell ref="B3956:B3957"/>
    <mergeCell ref="C3956:C3957"/>
    <mergeCell ref="D3956:D3957"/>
    <mergeCell ref="A3935:A3936"/>
    <mergeCell ref="B3935:B3936"/>
    <mergeCell ref="C3935:C3936"/>
    <mergeCell ref="D3935:D3936"/>
    <mergeCell ref="E3935:E3936"/>
    <mergeCell ref="F3935:F3936"/>
    <mergeCell ref="A3965:A3966"/>
    <mergeCell ref="B3965:B3966"/>
    <mergeCell ref="C3965:C3966"/>
    <mergeCell ref="D3965:D3966"/>
    <mergeCell ref="E3965:E3966"/>
    <mergeCell ref="F3965:F3966"/>
    <mergeCell ref="E3987:E3988"/>
    <mergeCell ref="F3987:F3988"/>
    <mergeCell ref="C4022:C4023"/>
    <mergeCell ref="D4022:D4023"/>
    <mergeCell ref="E4022:E4023"/>
    <mergeCell ref="F4022:F4023"/>
    <mergeCell ref="A3997:A3998"/>
    <mergeCell ref="B3997:B3998"/>
    <mergeCell ref="C3997:C3998"/>
    <mergeCell ref="D3997:D3998"/>
    <mergeCell ref="E3997:E3998"/>
    <mergeCell ref="F3997:F3998"/>
    <mergeCell ref="D4014:D4015"/>
    <mergeCell ref="A4048:A4049"/>
    <mergeCell ref="B4048:B4049"/>
    <mergeCell ref="C4048:C4049"/>
    <mergeCell ref="D4048:D4049"/>
    <mergeCell ref="E4048:E4049"/>
    <mergeCell ref="F4048:F4049"/>
    <mergeCell ref="A4108:A4109"/>
    <mergeCell ref="B4108:B4109"/>
    <mergeCell ref="C4108:C4109"/>
    <mergeCell ref="D4108:D4109"/>
    <mergeCell ref="E4108:E4109"/>
    <mergeCell ref="F4108:F4109"/>
    <mergeCell ref="A4076:A4077"/>
    <mergeCell ref="B4076:B4077"/>
    <mergeCell ref="C4076:C4077"/>
    <mergeCell ref="D4076:D4077"/>
    <mergeCell ref="C4056:C4057"/>
    <mergeCell ref="D4056:D4057"/>
    <mergeCell ref="E4056:E4057"/>
    <mergeCell ref="F4056:F4057"/>
    <mergeCell ref="C4101:C4102"/>
    <mergeCell ref="D4101:D4102"/>
    <mergeCell ref="E4101:E4102"/>
    <mergeCell ref="F4101:F4102"/>
    <mergeCell ref="C4084:C4085"/>
    <mergeCell ref="D4084:D4085"/>
    <mergeCell ref="E4084:E4085"/>
    <mergeCell ref="F4084:F4085"/>
    <mergeCell ref="A4064:A4065"/>
    <mergeCell ref="B4064:B4065"/>
    <mergeCell ref="E4811:E4812"/>
    <mergeCell ref="F4811:F4812"/>
    <mergeCell ref="E4166:E4167"/>
    <mergeCell ref="F4166:F4167"/>
    <mergeCell ref="C4204:C4205"/>
    <mergeCell ref="D4204:D4205"/>
    <mergeCell ref="E4204:E4205"/>
    <mergeCell ref="F4204:F4205"/>
    <mergeCell ref="A4176:A4177"/>
    <mergeCell ref="B4176:B4177"/>
    <mergeCell ref="C4176:C4177"/>
    <mergeCell ref="D4176:D4177"/>
    <mergeCell ref="E4176:E4177"/>
    <mergeCell ref="F4176:F4177"/>
    <mergeCell ref="A4220:A4221"/>
    <mergeCell ref="B4220:B4221"/>
    <mergeCell ref="C4220:C4221"/>
    <mergeCell ref="D4220:D4221"/>
    <mergeCell ref="E4220:E4221"/>
    <mergeCell ref="F4220:F4221"/>
    <mergeCell ref="A4192:A4193"/>
    <mergeCell ref="B4192:B4193"/>
    <mergeCell ref="C4192:C4193"/>
    <mergeCell ref="D4192:D4193"/>
    <mergeCell ref="E4192:E4193"/>
    <mergeCell ref="F4192:F4193"/>
    <mergeCell ref="E4182:E4183"/>
    <mergeCell ref="F4182:F4183"/>
    <mergeCell ref="A4213:A4214"/>
    <mergeCell ref="B4213:B4214"/>
    <mergeCell ref="C4213:C4214"/>
    <mergeCell ref="D4213:D4214"/>
    <mergeCell ref="A4925:A4926"/>
    <mergeCell ref="B4925:B4926"/>
    <mergeCell ref="C4925:C4926"/>
    <mergeCell ref="D4925:D4926"/>
    <mergeCell ref="E4925:E4926"/>
    <mergeCell ref="F4925:F4926"/>
    <mergeCell ref="C4833:C4834"/>
    <mergeCell ref="D4833:D4834"/>
    <mergeCell ref="E4833:E4834"/>
    <mergeCell ref="F4833:F4834"/>
    <mergeCell ref="A4916:A4917"/>
    <mergeCell ref="B4916:B4917"/>
    <mergeCell ref="C4916:C4917"/>
    <mergeCell ref="D4916:D4917"/>
    <mergeCell ref="E4916:E4917"/>
    <mergeCell ref="F4916:F4917"/>
    <mergeCell ref="C4838:C4839"/>
    <mergeCell ref="D4838:D4839"/>
    <mergeCell ref="E4879:E4880"/>
    <mergeCell ref="F4879:F4880"/>
    <mergeCell ref="C4890:C4891"/>
    <mergeCell ref="D4890:D4891"/>
    <mergeCell ref="C4263:C4264"/>
    <mergeCell ref="D4263:D4264"/>
    <mergeCell ref="E4263:E4264"/>
    <mergeCell ref="F4263:F4264"/>
    <mergeCell ref="A4237:A4238"/>
    <mergeCell ref="B4237:B4238"/>
    <mergeCell ref="C4237:C4238"/>
    <mergeCell ref="A5278:A5279"/>
    <mergeCell ref="B5278:B5279"/>
    <mergeCell ref="A5274:A5275"/>
    <mergeCell ref="A5266:A5267"/>
    <mergeCell ref="B5266:B5267"/>
    <mergeCell ref="F5073:F5074"/>
    <mergeCell ref="A5098:A5099"/>
    <mergeCell ref="B5098:B5099"/>
    <mergeCell ref="C5098:C5099"/>
    <mergeCell ref="D5098:D5099"/>
    <mergeCell ref="E5098:E5099"/>
    <mergeCell ref="F5098:F5099"/>
    <mergeCell ref="A5232:A5233"/>
    <mergeCell ref="B5232:B5233"/>
    <mergeCell ref="C5232:C5233"/>
    <mergeCell ref="D5232:D5233"/>
    <mergeCell ref="E5232:E5233"/>
    <mergeCell ref="F5232:F5233"/>
    <mergeCell ref="A5157:A5158"/>
    <mergeCell ref="B5157:B5158"/>
    <mergeCell ref="C5157:C5158"/>
    <mergeCell ref="D5157:D5158"/>
    <mergeCell ref="E5157:E5158"/>
    <mergeCell ref="F5157:F5158"/>
    <mergeCell ref="A5143:A5144"/>
    <mergeCell ref="B5143:B5144"/>
    <mergeCell ref="C5143:C5144"/>
    <mergeCell ref="D5143:D5144"/>
    <mergeCell ref="E5143:E5144"/>
    <mergeCell ref="F5143:F5144"/>
    <mergeCell ref="A5151:A5152"/>
    <mergeCell ref="B5151:B5152"/>
    <mergeCell ref="C5266:C5267"/>
    <mergeCell ref="D5266:D5267"/>
    <mergeCell ref="E5266:E5267"/>
    <mergeCell ref="F5266:F5267"/>
    <mergeCell ref="C5151:C5152"/>
    <mergeCell ref="D5151:D5152"/>
    <mergeCell ref="E5151:E5152"/>
    <mergeCell ref="F5151:F5152"/>
    <mergeCell ref="A5215:A5216"/>
    <mergeCell ref="B5215:B5216"/>
    <mergeCell ref="C5215:C5216"/>
    <mergeCell ref="D5215:D5216"/>
    <mergeCell ref="E5215:E5216"/>
    <mergeCell ref="F5215:F5216"/>
    <mergeCell ref="C5172:C5173"/>
    <mergeCell ref="D5172:D5173"/>
    <mergeCell ref="E5172:E5173"/>
    <mergeCell ref="F5172:F5173"/>
    <mergeCell ref="A5204:A5205"/>
    <mergeCell ref="B5204:B5205"/>
    <mergeCell ref="C5204:C5205"/>
    <mergeCell ref="D5204:D5205"/>
    <mergeCell ref="E5204:E5205"/>
    <mergeCell ref="F5204:F5205"/>
    <mergeCell ref="A5172:A5173"/>
    <mergeCell ref="B5172:B5173"/>
    <mergeCell ref="C5278:C5279"/>
    <mergeCell ref="D5278:D5279"/>
    <mergeCell ref="E5278:E5279"/>
    <mergeCell ref="F5278:F5279"/>
    <mergeCell ref="A5321:A5322"/>
    <mergeCell ref="B5321:B5322"/>
    <mergeCell ref="C5321:C5322"/>
    <mergeCell ref="D5321:D5322"/>
    <mergeCell ref="E5321:E5322"/>
    <mergeCell ref="B5274:B5275"/>
    <mergeCell ref="C5274:C5275"/>
    <mergeCell ref="D5274:D5275"/>
    <mergeCell ref="E5274:E5275"/>
    <mergeCell ref="F5274:F5275"/>
    <mergeCell ref="A5260:A5261"/>
    <mergeCell ref="B5260:B5261"/>
    <mergeCell ref="C5260:C5261"/>
    <mergeCell ref="D5260:D5261"/>
    <mergeCell ref="E5260:E5261"/>
    <mergeCell ref="F5260:F5261"/>
    <mergeCell ref="A5293:A5294"/>
    <mergeCell ref="B5293:B5294"/>
    <mergeCell ref="C5293:C5294"/>
    <mergeCell ref="D5293:D5294"/>
    <mergeCell ref="E5293:E5294"/>
    <mergeCell ref="F5293:F5294"/>
    <mergeCell ref="A5289:A5290"/>
    <mergeCell ref="B5289:B5290"/>
    <mergeCell ref="C5289:C5290"/>
    <mergeCell ref="D5289:D5290"/>
    <mergeCell ref="E5289:E5290"/>
    <mergeCell ref="F5289:F5290"/>
    <mergeCell ref="A5307:A5308"/>
    <mergeCell ref="B5307:B5308"/>
    <mergeCell ref="C5307:C5308"/>
    <mergeCell ref="D5307:D5308"/>
    <mergeCell ref="E5307:E5308"/>
    <mergeCell ref="F5307:F5308"/>
    <mergeCell ref="A5314:A5315"/>
    <mergeCell ref="B5314:B5315"/>
    <mergeCell ref="C5314:C5315"/>
    <mergeCell ref="D5314:D5315"/>
    <mergeCell ref="E5314:E5315"/>
    <mergeCell ref="F5314:F5315"/>
    <mergeCell ref="G5359:G5360"/>
    <mergeCell ref="F5321:F5322"/>
    <mergeCell ref="A5359:A5360"/>
    <mergeCell ref="B5359:B5360"/>
    <mergeCell ref="C5359:C5360"/>
    <mergeCell ref="D5359:D5360"/>
    <mergeCell ref="E5359:E5360"/>
    <mergeCell ref="F5359:F5360"/>
    <mergeCell ref="D5740:D5741"/>
    <mergeCell ref="G5409:G5410"/>
    <mergeCell ref="A5415:A5416"/>
    <mergeCell ref="B5415:B5416"/>
    <mergeCell ref="C5415:C5416"/>
    <mergeCell ref="D5415:D5416"/>
    <mergeCell ref="E5415:E5416"/>
    <mergeCell ref="F5415:F5416"/>
    <mergeCell ref="G5415:G5416"/>
    <mergeCell ref="A5460:A5461"/>
    <mergeCell ref="B5460:B5461"/>
    <mergeCell ref="C5460:C5461"/>
    <mergeCell ref="D5460:D5461"/>
    <mergeCell ref="A5455:A5456"/>
    <mergeCell ref="B5455:B5456"/>
    <mergeCell ref="C5455:C5456"/>
    <mergeCell ref="D5455:D5456"/>
    <mergeCell ref="E5455:E5456"/>
    <mergeCell ref="F5455:F5456"/>
    <mergeCell ref="G5455:G5456"/>
    <mergeCell ref="B5464:B5465"/>
    <mergeCell ref="C5464:C5465"/>
    <mergeCell ref="D5464:D5465"/>
    <mergeCell ref="E5460:E5461"/>
    <mergeCell ref="F5460:F5461"/>
    <mergeCell ref="G5460:G5461"/>
    <mergeCell ref="A5409:A5410"/>
    <mergeCell ref="B5409:B5410"/>
    <mergeCell ref="C5409:C5410"/>
    <mergeCell ref="D5409:D5410"/>
    <mergeCell ref="E5409:E5410"/>
    <mergeCell ref="F5409:F5410"/>
    <mergeCell ref="C5823:C5824"/>
    <mergeCell ref="D5615:D5616"/>
    <mergeCell ref="F5660:F5661"/>
    <mergeCell ref="F5725:F5726"/>
    <mergeCell ref="G5725:G5726"/>
    <mergeCell ref="A5720:A5721"/>
    <mergeCell ref="B5720:B5721"/>
    <mergeCell ref="C5720:C5721"/>
    <mergeCell ref="D5720:D5721"/>
    <mergeCell ref="A5766:A5767"/>
    <mergeCell ref="B5766:B5767"/>
    <mergeCell ref="C5766:C5767"/>
    <mergeCell ref="D5766:D5767"/>
    <mergeCell ref="E5766:E5767"/>
    <mergeCell ref="F5766:F5767"/>
    <mergeCell ref="G5766:G5767"/>
    <mergeCell ref="B5630:B5631"/>
    <mergeCell ref="C5630:C5631"/>
    <mergeCell ref="D5665:D5666"/>
    <mergeCell ref="E5665:E5666"/>
    <mergeCell ref="F5665:F5666"/>
    <mergeCell ref="G5674:G5675"/>
    <mergeCell ref="A5747:A5748"/>
    <mergeCell ref="B5747:B5748"/>
    <mergeCell ref="C5747:C5748"/>
    <mergeCell ref="D5747:D5748"/>
    <mergeCell ref="E5747:E5748"/>
    <mergeCell ref="F5747:F5748"/>
    <mergeCell ref="G5747:G5748"/>
    <mergeCell ref="A5740:A5741"/>
    <mergeCell ref="B5740:B5741"/>
    <mergeCell ref="C5740:C5741"/>
    <mergeCell ref="G5972:G5973"/>
    <mergeCell ref="A5978:A5979"/>
    <mergeCell ref="B5978:B5979"/>
    <mergeCell ref="C5978:C5979"/>
    <mergeCell ref="D5978:D5979"/>
    <mergeCell ref="E5978:E5979"/>
    <mergeCell ref="F5978:F5979"/>
    <mergeCell ref="G5978:G5979"/>
    <mergeCell ref="G5660:G5661"/>
    <mergeCell ref="A5660:A5661"/>
    <mergeCell ref="A5680:A5681"/>
    <mergeCell ref="B5680:B5681"/>
    <mergeCell ref="C5680:C5681"/>
    <mergeCell ref="D5680:D5681"/>
    <mergeCell ref="E5680:E5681"/>
    <mergeCell ref="F5680:F5681"/>
    <mergeCell ref="G5680:G5681"/>
    <mergeCell ref="D5823:D5824"/>
    <mergeCell ref="E5823:E5824"/>
    <mergeCell ref="E5740:E5741"/>
    <mergeCell ref="F5740:F5741"/>
    <mergeCell ref="G5740:G5741"/>
    <mergeCell ref="E5720:E5721"/>
    <mergeCell ref="F5720:F5721"/>
    <mergeCell ref="G5720:G5721"/>
    <mergeCell ref="A5725:A5726"/>
    <mergeCell ref="B5725:B5726"/>
    <mergeCell ref="C5725:C5726"/>
    <mergeCell ref="D5725:D5726"/>
    <mergeCell ref="E5725:E5726"/>
    <mergeCell ref="A5823:A5824"/>
    <mergeCell ref="B5823:B5824"/>
    <mergeCell ref="E6045:E6046"/>
    <mergeCell ref="A6072:A6073"/>
    <mergeCell ref="B6072:B6073"/>
    <mergeCell ref="C6072:C6073"/>
    <mergeCell ref="D6072:D6073"/>
    <mergeCell ref="E6072:E6073"/>
    <mergeCell ref="F6072:F6073"/>
    <mergeCell ref="G6072:G6073"/>
    <mergeCell ref="A6050:A6051"/>
    <mergeCell ref="E5989:E5990"/>
    <mergeCell ref="F5989:F5990"/>
    <mergeCell ref="G5989:G5990"/>
    <mergeCell ref="A5948:A5949"/>
    <mergeCell ref="B5948:B5949"/>
    <mergeCell ref="C5948:C5949"/>
    <mergeCell ref="D5948:D5949"/>
    <mergeCell ref="E5948:E5949"/>
    <mergeCell ref="F5948:F5949"/>
    <mergeCell ref="G5948:G5949"/>
    <mergeCell ref="A5965:A5966"/>
    <mergeCell ref="B5965:B5966"/>
    <mergeCell ref="C5965:C5966"/>
    <mergeCell ref="D5965:D5966"/>
    <mergeCell ref="E5965:E5966"/>
    <mergeCell ref="F5965:F5966"/>
    <mergeCell ref="G5965:G5966"/>
    <mergeCell ref="A5972:A5973"/>
    <mergeCell ref="B5972:B5973"/>
    <mergeCell ref="C5972:C5973"/>
    <mergeCell ref="D5972:D5973"/>
    <mergeCell ref="E5972:E5973"/>
    <mergeCell ref="F5972:F5973"/>
    <mergeCell ref="C6131:C6132"/>
    <mergeCell ref="D6131:D6132"/>
    <mergeCell ref="E6131:E6132"/>
    <mergeCell ref="F6131:F6132"/>
    <mergeCell ref="G6131:G6132"/>
    <mergeCell ref="A6136:A6137"/>
    <mergeCell ref="B6136:B6137"/>
    <mergeCell ref="C6136:C6137"/>
    <mergeCell ref="D6136:D6137"/>
    <mergeCell ref="E6023:E6024"/>
    <mergeCell ref="F6023:F6024"/>
    <mergeCell ref="G6023:G6024"/>
    <mergeCell ref="A5989:A5990"/>
    <mergeCell ref="B5989:B5990"/>
    <mergeCell ref="C5989:C5990"/>
    <mergeCell ref="D5989:D5990"/>
    <mergeCell ref="G6096:G6097"/>
    <mergeCell ref="A6091:A6092"/>
    <mergeCell ref="A6082:A6083"/>
    <mergeCell ref="B6082:B6083"/>
    <mergeCell ref="C6082:C6083"/>
    <mergeCell ref="D6082:D6083"/>
    <mergeCell ref="E6082:E6083"/>
    <mergeCell ref="F6082:F6083"/>
    <mergeCell ref="G6082:G6083"/>
    <mergeCell ref="E6050:E6051"/>
    <mergeCell ref="F6050:F6051"/>
    <mergeCell ref="G6050:G6051"/>
    <mergeCell ref="A6045:A6046"/>
    <mergeCell ref="B6045:B6046"/>
    <mergeCell ref="C6045:C6046"/>
    <mergeCell ref="D6045:D6046"/>
    <mergeCell ref="E6276:E6277"/>
    <mergeCell ref="F6276:F6277"/>
    <mergeCell ref="G6276:G6277"/>
    <mergeCell ref="A6023:A6024"/>
    <mergeCell ref="B6023:B6024"/>
    <mergeCell ref="C6023:C6024"/>
    <mergeCell ref="D6023:D6024"/>
    <mergeCell ref="E6122:E6123"/>
    <mergeCell ref="F6122:F6123"/>
    <mergeCell ref="G6122:G6123"/>
    <mergeCell ref="B6050:B6051"/>
    <mergeCell ref="C6050:C6051"/>
    <mergeCell ref="D6050:D6051"/>
    <mergeCell ref="A6096:A6097"/>
    <mergeCell ref="B6096:B6097"/>
    <mergeCell ref="C6096:C6097"/>
    <mergeCell ref="D6096:D6097"/>
    <mergeCell ref="E6096:E6097"/>
    <mergeCell ref="F6096:F6097"/>
    <mergeCell ref="F6045:F6046"/>
    <mergeCell ref="G6045:G6046"/>
    <mergeCell ref="C6167:C6168"/>
    <mergeCell ref="D6167:D6168"/>
    <mergeCell ref="E6167:E6168"/>
    <mergeCell ref="F6167:F6168"/>
    <mergeCell ref="G6167:G6168"/>
    <mergeCell ref="D6115:D6116"/>
    <mergeCell ref="E6115:E6116"/>
    <mergeCell ref="F6115:F6116"/>
    <mergeCell ref="G6115:G6116"/>
    <mergeCell ref="A6131:A6132"/>
    <mergeCell ref="B6131:B613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330"/>
  <sheetViews>
    <sheetView showGridLines="0" topLeftCell="A2305" zoomScaleNormal="100" workbookViewId="0">
      <selection activeCell="D2334" sqref="D2334"/>
    </sheetView>
  </sheetViews>
  <sheetFormatPr defaultRowHeight="15" outlineLevelRow="1"/>
  <cols>
    <col min="1" max="1" width="20.7109375" customWidth="1"/>
    <col min="2" max="2" width="39.5703125" bestFit="1" customWidth="1"/>
    <col min="3" max="3" width="45" bestFit="1" customWidth="1"/>
    <col min="4" max="6" width="20.7109375" customWidth="1"/>
    <col min="7" max="7" width="12.5703125" customWidth="1"/>
    <col min="8" max="8" width="23.28515625" customWidth="1"/>
    <col min="9" max="9" width="16.85546875" customWidth="1"/>
    <col min="10" max="10" width="21.28515625" customWidth="1"/>
    <col min="11" max="11" width="10" bestFit="1" customWidth="1"/>
    <col min="12" max="12" width="9.7109375" bestFit="1" customWidth="1"/>
  </cols>
  <sheetData>
    <row r="1" spans="1:11" ht="15.75" thickBot="1"/>
    <row r="2" spans="1:11" ht="15.75" thickTop="1">
      <c r="A2" s="3782" t="s">
        <v>0</v>
      </c>
      <c r="B2" s="3781" t="s">
        <v>1</v>
      </c>
      <c r="C2" s="3781" t="s">
        <v>2</v>
      </c>
      <c r="D2" s="3781" t="s">
        <v>3</v>
      </c>
      <c r="E2" s="3781" t="s">
        <v>4</v>
      </c>
      <c r="F2" s="3765" t="s">
        <v>5</v>
      </c>
      <c r="G2" t="s">
        <v>76</v>
      </c>
      <c r="H2" t="s">
        <v>77</v>
      </c>
      <c r="I2" t="s">
        <v>78</v>
      </c>
      <c r="J2" t="s">
        <v>79</v>
      </c>
    </row>
    <row r="3" spans="1:11" ht="25.5" customHeight="1" thickBot="1">
      <c r="A3" s="3783"/>
      <c r="B3" s="3767"/>
      <c r="C3" s="3767"/>
      <c r="D3" s="3767"/>
      <c r="E3" s="3767"/>
      <c r="F3" s="3766"/>
    </row>
    <row r="4" spans="1:11" ht="15.75" hidden="1" outlineLevel="1" thickTop="1">
      <c r="A4" s="7" t="s">
        <v>75</v>
      </c>
      <c r="B4" s="5" t="s">
        <v>21</v>
      </c>
      <c r="C4" s="5" t="s">
        <v>22</v>
      </c>
      <c r="D4" s="5" t="s">
        <v>20</v>
      </c>
      <c r="E4" s="11">
        <v>0.15</v>
      </c>
      <c r="F4" s="6">
        <v>9269</v>
      </c>
      <c r="G4">
        <v>260</v>
      </c>
      <c r="H4">
        <v>2409940</v>
      </c>
      <c r="I4">
        <v>10905</v>
      </c>
      <c r="J4">
        <f>G4*I4</f>
        <v>2835300</v>
      </c>
      <c r="K4" s="39">
        <f>I4*1.2</f>
        <v>13086</v>
      </c>
    </row>
    <row r="5" spans="1:11" hidden="1" outlineLevel="1">
      <c r="A5" s="8"/>
      <c r="B5" s="1"/>
      <c r="C5" s="1" t="s">
        <v>23</v>
      </c>
      <c r="D5" s="5" t="s">
        <v>20</v>
      </c>
      <c r="E5" s="11">
        <v>0.15</v>
      </c>
      <c r="F5" s="2">
        <v>5670</v>
      </c>
      <c r="G5">
        <v>500</v>
      </c>
      <c r="H5">
        <v>2835000</v>
      </c>
      <c r="I5">
        <v>6671</v>
      </c>
      <c r="J5">
        <f>G5*I5</f>
        <v>3335500</v>
      </c>
      <c r="K5" s="39">
        <f>I5*1.2</f>
        <v>8005.2</v>
      </c>
    </row>
    <row r="6" spans="1:11" hidden="1" outlineLevel="1">
      <c r="A6" s="8"/>
      <c r="B6" s="1"/>
      <c r="C6" s="1" t="s">
        <v>24</v>
      </c>
      <c r="D6" s="5" t="s">
        <v>20</v>
      </c>
      <c r="E6" s="11">
        <v>0.15</v>
      </c>
      <c r="F6" s="2">
        <v>5670</v>
      </c>
    </row>
    <row r="7" spans="1:11" hidden="1" outlineLevel="1">
      <c r="A7" s="8"/>
      <c r="B7" s="1"/>
      <c r="C7" s="1"/>
      <c r="D7" s="1"/>
      <c r="E7" s="1"/>
      <c r="F7" s="2"/>
      <c r="H7">
        <f>SUM(H4:H6)</f>
        <v>5244940</v>
      </c>
      <c r="J7">
        <f>SUM(J4:J6)</f>
        <v>6170800</v>
      </c>
    </row>
    <row r="8" spans="1:11" hidden="1" outlineLevel="1">
      <c r="A8" s="8"/>
      <c r="B8" s="1"/>
      <c r="C8" s="1"/>
      <c r="D8" s="1"/>
      <c r="E8" s="1"/>
      <c r="F8" s="2"/>
    </row>
    <row r="9" spans="1:11" hidden="1" outlineLevel="1">
      <c r="A9" s="8"/>
      <c r="B9" s="1"/>
      <c r="C9" s="1"/>
      <c r="D9" s="1"/>
      <c r="E9" s="1"/>
      <c r="F9" s="2"/>
      <c r="H9" s="15">
        <f>J7-H7</f>
        <v>925860</v>
      </c>
      <c r="I9" t="s">
        <v>80</v>
      </c>
    </row>
    <row r="10" spans="1:11" hidden="1" outlineLevel="1">
      <c r="A10" s="8"/>
      <c r="B10" s="1"/>
      <c r="C10" s="1"/>
      <c r="D10" s="1"/>
      <c r="E10" s="1"/>
      <c r="F10" s="2"/>
      <c r="H10" s="15">
        <f>H9*1.2</f>
        <v>1111032</v>
      </c>
      <c r="I10" t="s">
        <v>81</v>
      </c>
    </row>
    <row r="11" spans="1:11" hidden="1" outlineLevel="1">
      <c r="A11" s="8"/>
      <c r="B11" s="1"/>
      <c r="C11" s="1"/>
      <c r="D11" s="1"/>
      <c r="E11" s="1"/>
      <c r="F11" s="2"/>
    </row>
    <row r="12" spans="1:11" hidden="1" outlineLevel="1">
      <c r="A12" s="8"/>
      <c r="B12" s="1"/>
      <c r="C12" s="1"/>
      <c r="D12" s="1"/>
      <c r="E12" s="1"/>
      <c r="F12" s="2"/>
    </row>
    <row r="13" spans="1:11" hidden="1" outlineLevel="1">
      <c r="A13" s="8"/>
      <c r="B13" s="1"/>
      <c r="C13" s="1"/>
      <c r="D13" s="1"/>
      <c r="E13" s="1"/>
      <c r="F13" s="2"/>
    </row>
    <row r="14" spans="1:11" hidden="1" outlineLevel="1">
      <c r="A14" s="8"/>
      <c r="B14" s="1"/>
      <c r="C14" s="1"/>
      <c r="D14" s="1"/>
      <c r="E14" s="1"/>
      <c r="F14" s="2"/>
    </row>
    <row r="15" spans="1:11" ht="15.75" hidden="1" outlineLevel="1" thickBot="1">
      <c r="A15" s="9"/>
      <c r="B15" s="3"/>
      <c r="C15" s="3"/>
      <c r="D15" s="3"/>
      <c r="E15" s="3"/>
      <c r="F15" s="4"/>
    </row>
    <row r="16" spans="1:11" ht="16.5" collapsed="1" thickTop="1" thickBot="1"/>
    <row r="17" spans="1:10" ht="15.75" thickTop="1">
      <c r="A17" s="3782" t="s">
        <v>0</v>
      </c>
      <c r="B17" s="3781" t="s">
        <v>1</v>
      </c>
      <c r="C17" s="3781" t="s">
        <v>2</v>
      </c>
      <c r="D17" s="3781" t="s">
        <v>3</v>
      </c>
      <c r="E17" s="3781" t="s">
        <v>4</v>
      </c>
      <c r="F17" s="3765" t="s">
        <v>5</v>
      </c>
    </row>
    <row r="18" spans="1:10" ht="24.75" customHeight="1" collapsed="1" thickBot="1">
      <c r="A18" s="3783"/>
      <c r="B18" s="3767"/>
      <c r="C18" s="3767"/>
      <c r="D18" s="3767"/>
      <c r="E18" s="3767"/>
      <c r="F18" s="3766"/>
    </row>
    <row r="19" spans="1:10" ht="15.75" hidden="1" outlineLevel="1" thickTop="1">
      <c r="A19" s="7" t="s">
        <v>25</v>
      </c>
      <c r="B19" s="5" t="s">
        <v>26</v>
      </c>
      <c r="C19" s="5" t="s">
        <v>27</v>
      </c>
      <c r="D19" s="5" t="s">
        <v>30</v>
      </c>
      <c r="E19" s="11">
        <v>0.1</v>
      </c>
      <c r="F19" s="6">
        <v>6436</v>
      </c>
      <c r="G19">
        <v>9692</v>
      </c>
      <c r="H19">
        <v>62377712</v>
      </c>
      <c r="I19">
        <v>7151</v>
      </c>
      <c r="J19">
        <f>I19*G19</f>
        <v>69307492</v>
      </c>
    </row>
    <row r="20" spans="1:10" hidden="1" outlineLevel="1">
      <c r="A20" s="8"/>
      <c r="B20" s="1"/>
      <c r="C20" s="1" t="s">
        <v>28</v>
      </c>
      <c r="D20" s="5" t="s">
        <v>30</v>
      </c>
      <c r="E20" s="11">
        <v>0.1</v>
      </c>
      <c r="F20" s="2">
        <v>6436</v>
      </c>
    </row>
    <row r="21" spans="1:10" hidden="1" outlineLevel="1">
      <c r="A21" s="8"/>
      <c r="B21" s="1"/>
      <c r="C21" s="1" t="s">
        <v>29</v>
      </c>
      <c r="D21" s="5" t="s">
        <v>30</v>
      </c>
      <c r="E21" s="11">
        <v>0.1</v>
      </c>
      <c r="F21" s="2">
        <v>6436</v>
      </c>
      <c r="H21">
        <f>J19-H19</f>
        <v>6929780</v>
      </c>
      <c r="I21" t="s">
        <v>80</v>
      </c>
    </row>
    <row r="22" spans="1:10" hidden="1" outlineLevel="1">
      <c r="A22" s="8"/>
      <c r="B22" s="1"/>
      <c r="C22" s="1"/>
      <c r="D22" s="1"/>
      <c r="E22" s="1"/>
      <c r="F22" s="2"/>
      <c r="H22">
        <f>H21*1.2</f>
        <v>8315736</v>
      </c>
      <c r="I22" t="s">
        <v>81</v>
      </c>
    </row>
    <row r="23" spans="1:10" hidden="1" outlineLevel="1">
      <c r="A23" s="8"/>
      <c r="B23" s="1"/>
      <c r="C23" s="1"/>
      <c r="D23" s="1"/>
      <c r="E23" s="1"/>
      <c r="F23" s="2"/>
    </row>
    <row r="24" spans="1:10" hidden="1" outlineLevel="1">
      <c r="A24" s="8"/>
      <c r="B24" s="1"/>
      <c r="C24" s="1"/>
      <c r="D24" s="1"/>
      <c r="E24" s="1"/>
      <c r="F24" s="2"/>
    </row>
    <row r="25" spans="1:10" hidden="1" outlineLevel="1">
      <c r="A25" s="8"/>
      <c r="B25" s="1"/>
      <c r="C25" s="1"/>
      <c r="D25" s="1"/>
      <c r="E25" s="1"/>
      <c r="F25" s="2"/>
    </row>
    <row r="26" spans="1:10" hidden="1" outlineLevel="1">
      <c r="A26" s="8"/>
      <c r="B26" s="1"/>
      <c r="C26" s="1"/>
      <c r="D26" s="1"/>
      <c r="E26" s="1"/>
      <c r="F26" s="2"/>
    </row>
    <row r="27" spans="1:10" hidden="1" outlineLevel="1">
      <c r="A27" s="8"/>
      <c r="B27" s="1"/>
      <c r="C27" s="1"/>
      <c r="D27" s="1"/>
      <c r="E27" s="1"/>
      <c r="F27" s="2"/>
    </row>
    <row r="28" spans="1:10" hidden="1" outlineLevel="1">
      <c r="A28" s="8"/>
      <c r="B28" s="1"/>
      <c r="C28" s="1"/>
      <c r="D28" s="1"/>
      <c r="E28" s="1"/>
      <c r="F28" s="2"/>
    </row>
    <row r="29" spans="1:10" hidden="1" outlineLevel="1">
      <c r="A29" s="8"/>
      <c r="B29" s="1"/>
      <c r="C29" s="1"/>
      <c r="D29" s="1"/>
      <c r="E29" s="1"/>
      <c r="F29" s="2"/>
    </row>
    <row r="30" spans="1:10" ht="15.75" hidden="1" outlineLevel="1" thickBot="1">
      <c r="A30" s="9"/>
      <c r="B30" s="3"/>
      <c r="C30" s="3"/>
      <c r="D30" s="3"/>
      <c r="E30" s="3"/>
      <c r="F30" s="4"/>
    </row>
    <row r="31" spans="1:10" ht="16.5" collapsed="1" thickTop="1" thickBot="1"/>
    <row r="32" spans="1:10" ht="15.75" thickTop="1">
      <c r="A32" s="3782" t="s">
        <v>0</v>
      </c>
      <c r="B32" s="3781" t="s">
        <v>1</v>
      </c>
      <c r="C32" s="3781" t="s">
        <v>2</v>
      </c>
      <c r="D32" s="3781" t="s">
        <v>3</v>
      </c>
      <c r="E32" s="3781" t="s">
        <v>4</v>
      </c>
      <c r="F32" s="3765" t="s">
        <v>5</v>
      </c>
      <c r="G32" t="s">
        <v>76</v>
      </c>
      <c r="H32" t="s">
        <v>77</v>
      </c>
      <c r="I32" t="s">
        <v>78</v>
      </c>
      <c r="J32" t="s">
        <v>79</v>
      </c>
    </row>
    <row r="33" spans="1:10" ht="24.75" customHeight="1" collapsed="1" thickBot="1">
      <c r="A33" s="3783"/>
      <c r="B33" s="3767"/>
      <c r="C33" s="3767"/>
      <c r="D33" s="3767"/>
      <c r="E33" s="3767"/>
      <c r="F33" s="3766"/>
    </row>
    <row r="34" spans="1:10" ht="15.75" hidden="1" outlineLevel="1" thickTop="1">
      <c r="A34" s="7" t="s">
        <v>31</v>
      </c>
      <c r="B34" s="5" t="s">
        <v>32</v>
      </c>
      <c r="C34" s="5" t="s">
        <v>27</v>
      </c>
      <c r="D34" s="5" t="s">
        <v>20</v>
      </c>
      <c r="E34" s="11">
        <v>0.15</v>
      </c>
      <c r="F34" s="6">
        <v>6227</v>
      </c>
      <c r="G34">
        <v>18030</v>
      </c>
      <c r="H34">
        <v>112272810</v>
      </c>
      <c r="I34">
        <v>7326</v>
      </c>
      <c r="J34">
        <f>I34*G34</f>
        <v>132087780</v>
      </c>
    </row>
    <row r="35" spans="1:10" hidden="1" outlineLevel="1">
      <c r="A35" s="8"/>
      <c r="B35" s="1" t="s">
        <v>33</v>
      </c>
      <c r="C35" s="1" t="s">
        <v>28</v>
      </c>
      <c r="D35" s="5" t="s">
        <v>20</v>
      </c>
      <c r="E35" s="11">
        <v>0.15</v>
      </c>
      <c r="F35" s="2">
        <v>6227</v>
      </c>
    </row>
    <row r="36" spans="1:10" hidden="1" outlineLevel="1">
      <c r="A36" s="8"/>
      <c r="B36" s="1" t="s">
        <v>34</v>
      </c>
      <c r="C36" s="1" t="s">
        <v>29</v>
      </c>
      <c r="D36" s="5" t="s">
        <v>20</v>
      </c>
      <c r="E36" s="11">
        <v>0.15</v>
      </c>
      <c r="F36" s="2">
        <v>6227</v>
      </c>
      <c r="H36">
        <f>J34-H34</f>
        <v>19814970</v>
      </c>
      <c r="I36" t="s">
        <v>80</v>
      </c>
    </row>
    <row r="37" spans="1:10" hidden="1" outlineLevel="1">
      <c r="A37" s="8"/>
      <c r="B37" s="1" t="s">
        <v>35</v>
      </c>
      <c r="C37" s="1"/>
      <c r="D37" s="1"/>
      <c r="E37" s="1"/>
      <c r="F37" s="2"/>
      <c r="H37">
        <f>H36*1.2</f>
        <v>23777964</v>
      </c>
      <c r="I37" t="s">
        <v>81</v>
      </c>
    </row>
    <row r="38" spans="1:10" hidden="1" outlineLevel="1">
      <c r="A38" s="8"/>
      <c r="B38" s="1" t="s">
        <v>36</v>
      </c>
      <c r="C38" s="1"/>
      <c r="D38" s="1"/>
      <c r="E38" s="1"/>
      <c r="F38" s="2"/>
    </row>
    <row r="39" spans="1:10" hidden="1" outlineLevel="1">
      <c r="A39" s="8"/>
      <c r="B39" s="1" t="s">
        <v>37</v>
      </c>
      <c r="C39" s="1"/>
      <c r="D39" s="1"/>
      <c r="E39" s="1"/>
      <c r="F39" s="2"/>
    </row>
    <row r="40" spans="1:10" hidden="1" outlineLevel="1">
      <c r="A40" s="8"/>
      <c r="B40" s="1" t="s">
        <v>38</v>
      </c>
      <c r="C40" s="1"/>
      <c r="D40" s="1"/>
      <c r="E40" s="1"/>
      <c r="F40" s="2"/>
    </row>
    <row r="41" spans="1:10" hidden="1" outlineLevel="1">
      <c r="A41" s="8"/>
      <c r="B41" s="1"/>
      <c r="C41" s="1"/>
      <c r="D41" s="1"/>
      <c r="E41" s="1"/>
      <c r="F41" s="2"/>
    </row>
    <row r="42" spans="1:10" hidden="1" outlineLevel="1">
      <c r="A42" s="8"/>
      <c r="B42" s="1"/>
      <c r="C42" s="1"/>
      <c r="D42" s="1"/>
      <c r="E42" s="1"/>
      <c r="F42" s="2"/>
    </row>
    <row r="43" spans="1:10" hidden="1" outlineLevel="1">
      <c r="A43" s="8"/>
      <c r="B43" s="1"/>
      <c r="C43" s="1"/>
      <c r="D43" s="1"/>
      <c r="E43" s="1"/>
      <c r="F43" s="2"/>
    </row>
    <row r="44" spans="1:10" hidden="1" outlineLevel="1">
      <c r="A44" s="8"/>
      <c r="B44" s="1"/>
      <c r="C44" s="1"/>
      <c r="D44" s="1"/>
      <c r="E44" s="1"/>
      <c r="F44" s="2"/>
    </row>
    <row r="45" spans="1:10" ht="15.75" hidden="1" outlineLevel="1" thickBot="1">
      <c r="A45" s="9"/>
      <c r="B45" s="3"/>
      <c r="C45" s="3"/>
      <c r="D45" s="3"/>
      <c r="E45" s="3"/>
      <c r="F45" s="4"/>
    </row>
    <row r="46" spans="1:10" ht="16.5" collapsed="1" thickTop="1" thickBot="1"/>
    <row r="47" spans="1:10" ht="15.75" thickTop="1">
      <c r="A47" s="3782" t="s">
        <v>0</v>
      </c>
      <c r="B47" s="3781" t="s">
        <v>1</v>
      </c>
      <c r="C47" s="3781" t="s">
        <v>2</v>
      </c>
      <c r="D47" s="3781" t="s">
        <v>3</v>
      </c>
      <c r="E47" s="3781" t="s">
        <v>4</v>
      </c>
      <c r="F47" s="3765" t="s">
        <v>5</v>
      </c>
      <c r="G47" t="s">
        <v>76</v>
      </c>
      <c r="H47" t="s">
        <v>77</v>
      </c>
      <c r="I47" t="s">
        <v>78</v>
      </c>
      <c r="J47" t="s">
        <v>79</v>
      </c>
    </row>
    <row r="48" spans="1:10" ht="24.75" customHeight="1" collapsed="1" thickBot="1">
      <c r="A48" s="3783"/>
      <c r="B48" s="3767"/>
      <c r="C48" s="3767"/>
      <c r="D48" s="3767"/>
      <c r="E48" s="3767"/>
      <c r="F48" s="3766"/>
    </row>
    <row r="49" spans="1:10" ht="15.75" hidden="1" outlineLevel="1" thickTop="1">
      <c r="A49" s="7" t="s">
        <v>39</v>
      </c>
      <c r="B49" s="5" t="s">
        <v>32</v>
      </c>
      <c r="C49" s="5" t="s">
        <v>40</v>
      </c>
      <c r="D49" s="5" t="s">
        <v>20</v>
      </c>
      <c r="E49" s="11">
        <v>0.15</v>
      </c>
      <c r="F49" s="6">
        <v>3927</v>
      </c>
      <c r="G49" s="32">
        <v>5310</v>
      </c>
      <c r="H49" s="33">
        <v>20852370</v>
      </c>
      <c r="I49" s="33">
        <v>4620</v>
      </c>
      <c r="J49">
        <f>I49*G49</f>
        <v>24532200</v>
      </c>
    </row>
    <row r="50" spans="1:10" hidden="1" outlineLevel="1">
      <c r="A50" s="8"/>
      <c r="B50" s="1" t="s">
        <v>33</v>
      </c>
      <c r="C50" s="1" t="s">
        <v>41</v>
      </c>
      <c r="D50" s="1" t="s">
        <v>20</v>
      </c>
      <c r="E50" s="1">
        <v>0.15</v>
      </c>
      <c r="F50" s="2">
        <v>3927</v>
      </c>
      <c r="G50" s="32"/>
      <c r="H50" s="32"/>
    </row>
    <row r="51" spans="1:10" hidden="1" outlineLevel="1">
      <c r="A51" s="8"/>
      <c r="B51" s="1" t="s">
        <v>35</v>
      </c>
      <c r="C51" s="1"/>
      <c r="D51" s="1"/>
      <c r="E51" s="1"/>
      <c r="F51" s="2"/>
      <c r="G51" s="32"/>
      <c r="H51">
        <f>J49-H49</f>
        <v>3679830</v>
      </c>
      <c r="I51" t="s">
        <v>80</v>
      </c>
    </row>
    <row r="52" spans="1:10" hidden="1" outlineLevel="1">
      <c r="A52" s="8"/>
      <c r="B52" s="1" t="s">
        <v>36</v>
      </c>
      <c r="C52" s="1"/>
      <c r="D52" s="1"/>
      <c r="E52" s="1"/>
      <c r="F52" s="2"/>
      <c r="G52" s="32"/>
      <c r="H52">
        <f>H51*1.2</f>
        <v>4415796</v>
      </c>
      <c r="I52" t="s">
        <v>81</v>
      </c>
    </row>
    <row r="53" spans="1:10" hidden="1" outlineLevel="1">
      <c r="A53" s="8"/>
      <c r="B53" s="31" t="s">
        <v>42</v>
      </c>
      <c r="C53" s="1"/>
      <c r="D53" s="1"/>
      <c r="E53" s="1"/>
      <c r="F53" s="2"/>
      <c r="G53" s="32"/>
      <c r="H53" s="32"/>
    </row>
    <row r="54" spans="1:10" hidden="1" outlineLevel="1">
      <c r="A54" s="8"/>
      <c r="B54" s="31" t="s">
        <v>43</v>
      </c>
      <c r="C54" s="1"/>
      <c r="D54" s="1"/>
      <c r="E54" s="1"/>
      <c r="F54" s="2"/>
      <c r="G54" s="32"/>
      <c r="H54" s="32"/>
    </row>
    <row r="55" spans="1:10" hidden="1" outlineLevel="1">
      <c r="A55" s="8"/>
      <c r="B55" s="31" t="s">
        <v>44</v>
      </c>
      <c r="C55" s="1"/>
      <c r="D55" s="1"/>
      <c r="E55" s="1"/>
      <c r="F55" s="2"/>
    </row>
    <row r="56" spans="1:10" hidden="1" outlineLevel="1">
      <c r="A56" s="8"/>
      <c r="B56" s="31" t="s">
        <v>45</v>
      </c>
      <c r="C56" s="1"/>
      <c r="D56" s="1"/>
      <c r="E56" s="1"/>
      <c r="F56" s="2"/>
    </row>
    <row r="57" spans="1:10" hidden="1" outlineLevel="1">
      <c r="A57" s="8"/>
      <c r="B57" s="31" t="s">
        <v>46</v>
      </c>
      <c r="C57" s="1"/>
      <c r="D57" s="1"/>
      <c r="E57" s="1"/>
      <c r="F57" s="2"/>
    </row>
    <row r="58" spans="1:10" hidden="1" outlineLevel="1">
      <c r="A58" s="8"/>
      <c r="B58" s="31" t="s">
        <v>47</v>
      </c>
      <c r="C58" s="1"/>
      <c r="D58" s="1"/>
      <c r="E58" s="1"/>
      <c r="F58" s="2"/>
    </row>
    <row r="59" spans="1:10" hidden="1" outlineLevel="1">
      <c r="A59" s="8"/>
      <c r="B59" s="1"/>
      <c r="C59" s="1"/>
      <c r="D59" s="1"/>
      <c r="E59" s="1"/>
      <c r="F59" s="2"/>
    </row>
    <row r="60" spans="1:10" ht="15.75" hidden="1" outlineLevel="1" thickBot="1">
      <c r="A60" s="9"/>
      <c r="B60" s="3"/>
      <c r="C60" s="3"/>
      <c r="D60" s="3"/>
      <c r="E60" s="3"/>
      <c r="F60" s="4"/>
    </row>
    <row r="61" spans="1:10" ht="16.5" collapsed="1" thickTop="1" thickBot="1"/>
    <row r="62" spans="1:10" ht="15.75" thickTop="1">
      <c r="A62" s="3782" t="s">
        <v>0</v>
      </c>
      <c r="B62" s="3781" t="s">
        <v>1</v>
      </c>
      <c r="C62" s="3781" t="s">
        <v>2</v>
      </c>
      <c r="D62" s="3781" t="s">
        <v>3</v>
      </c>
      <c r="E62" s="3781" t="s">
        <v>4</v>
      </c>
      <c r="F62" s="3765" t="s">
        <v>5</v>
      </c>
      <c r="G62" t="s">
        <v>76</v>
      </c>
      <c r="H62" t="s">
        <v>77</v>
      </c>
      <c r="I62" t="s">
        <v>78</v>
      </c>
      <c r="J62" t="s">
        <v>79</v>
      </c>
    </row>
    <row r="63" spans="1:10" ht="24.75" customHeight="1" collapsed="1" thickBot="1">
      <c r="A63" s="3783"/>
      <c r="B63" s="3767"/>
      <c r="C63" s="3767"/>
      <c r="D63" s="3767"/>
      <c r="E63" s="3767"/>
      <c r="F63" s="3766"/>
    </row>
    <row r="64" spans="1:10" ht="15.75" hidden="1" outlineLevel="1" thickTop="1">
      <c r="A64" s="7" t="s">
        <v>67</v>
      </c>
      <c r="B64" s="5" t="s">
        <v>32</v>
      </c>
      <c r="C64" s="5" t="s">
        <v>68</v>
      </c>
      <c r="D64" s="5" t="s">
        <v>70</v>
      </c>
      <c r="E64" s="11">
        <v>0.15</v>
      </c>
      <c r="F64" s="6">
        <v>7096</v>
      </c>
      <c r="G64">
        <v>4890</v>
      </c>
      <c r="H64">
        <f>G64*F64</f>
        <v>34699440</v>
      </c>
      <c r="I64">
        <v>8348</v>
      </c>
      <c r="J64">
        <f>G64*I64</f>
        <v>40821720</v>
      </c>
    </row>
    <row r="65" spans="1:10" hidden="1" outlineLevel="1">
      <c r="A65" s="8"/>
      <c r="B65" s="1" t="s">
        <v>33</v>
      </c>
      <c r="C65" s="1" t="s">
        <v>69</v>
      </c>
      <c r="D65" s="5" t="s">
        <v>70</v>
      </c>
      <c r="E65" s="11">
        <v>0.15</v>
      </c>
      <c r="F65" s="6">
        <v>7096</v>
      </c>
      <c r="G65">
        <v>4890</v>
      </c>
      <c r="H65">
        <f>G65*F65</f>
        <v>34699440</v>
      </c>
      <c r="I65">
        <v>8348</v>
      </c>
      <c r="J65">
        <f>G65*I65</f>
        <v>40821720</v>
      </c>
    </row>
    <row r="66" spans="1:10" hidden="1" outlineLevel="1">
      <c r="A66" s="8"/>
      <c r="B66" s="1" t="s">
        <v>34</v>
      </c>
      <c r="C66" s="1" t="s">
        <v>51</v>
      </c>
      <c r="D66" s="5" t="s">
        <v>70</v>
      </c>
      <c r="E66" s="11">
        <v>0.15</v>
      </c>
      <c r="F66" s="6">
        <v>7096</v>
      </c>
      <c r="G66">
        <v>4890</v>
      </c>
      <c r="H66">
        <f>G66*F66</f>
        <v>34699440</v>
      </c>
      <c r="I66">
        <v>8348</v>
      </c>
      <c r="J66">
        <f>G66*I66</f>
        <v>40821720</v>
      </c>
    </row>
    <row r="67" spans="1:10" hidden="1" outlineLevel="1">
      <c r="A67" s="8"/>
      <c r="B67" s="1" t="s">
        <v>35</v>
      </c>
      <c r="C67" s="1" t="s">
        <v>52</v>
      </c>
      <c r="D67" s="5" t="s">
        <v>70</v>
      </c>
      <c r="E67" s="11">
        <v>0.15</v>
      </c>
      <c r="F67" s="6">
        <v>7096</v>
      </c>
      <c r="G67">
        <v>4890</v>
      </c>
      <c r="H67">
        <f>G67*F67</f>
        <v>34699440</v>
      </c>
      <c r="I67">
        <v>8348</v>
      </c>
      <c r="J67">
        <f>G67*I67</f>
        <v>40821720</v>
      </c>
    </row>
    <row r="68" spans="1:10" hidden="1" outlineLevel="1">
      <c r="A68" s="8"/>
      <c r="B68" s="1" t="s">
        <v>36</v>
      </c>
      <c r="C68" s="1"/>
      <c r="D68" s="5" t="s">
        <v>70</v>
      </c>
      <c r="E68" s="11">
        <v>0.15</v>
      </c>
      <c r="F68" s="6">
        <v>7096</v>
      </c>
    </row>
    <row r="69" spans="1:10" hidden="1" outlineLevel="1">
      <c r="A69" s="8"/>
      <c r="B69" s="1" t="s">
        <v>37</v>
      </c>
      <c r="C69" s="1"/>
      <c r="D69" s="5" t="s">
        <v>70</v>
      </c>
      <c r="E69" s="11">
        <v>0.15</v>
      </c>
      <c r="F69" s="6">
        <v>7096</v>
      </c>
      <c r="H69">
        <f>SUM(H64:H68)</f>
        <v>138797760</v>
      </c>
      <c r="J69">
        <f>SUM(J64:J68)</f>
        <v>163286880</v>
      </c>
    </row>
    <row r="70" spans="1:10" hidden="1" outlineLevel="1">
      <c r="A70" s="8"/>
      <c r="B70" s="1" t="s">
        <v>38</v>
      </c>
      <c r="C70" s="1"/>
      <c r="D70" s="5" t="s">
        <v>70</v>
      </c>
      <c r="E70" s="11">
        <v>0.15</v>
      </c>
      <c r="F70" s="6">
        <v>7096</v>
      </c>
    </row>
    <row r="71" spans="1:10" hidden="1" outlineLevel="1">
      <c r="A71" s="8"/>
      <c r="B71" s="1"/>
      <c r="C71" s="1"/>
      <c r="D71" s="1"/>
      <c r="E71" s="1"/>
      <c r="F71" s="2"/>
      <c r="H71">
        <f>J69-H69</f>
        <v>24489120</v>
      </c>
      <c r="I71" t="s">
        <v>80</v>
      </c>
    </row>
    <row r="72" spans="1:10" hidden="1" outlineLevel="1">
      <c r="A72" s="8"/>
      <c r="B72" s="1"/>
      <c r="C72" s="1"/>
      <c r="D72" s="1"/>
      <c r="E72" s="1"/>
      <c r="F72" s="2"/>
      <c r="H72">
        <f>H71*1.2</f>
        <v>29386944</v>
      </c>
      <c r="I72" t="s">
        <v>81</v>
      </c>
    </row>
    <row r="73" spans="1:10" hidden="1" outlineLevel="1">
      <c r="A73" s="8"/>
      <c r="B73" s="1"/>
      <c r="C73" s="1"/>
      <c r="D73" s="1"/>
      <c r="E73" s="1"/>
      <c r="F73" s="2"/>
    </row>
    <row r="74" spans="1:10" hidden="1" outlineLevel="1">
      <c r="A74" s="8"/>
      <c r="B74" s="1"/>
      <c r="C74" s="1"/>
      <c r="D74" s="1"/>
      <c r="E74" s="1"/>
      <c r="F74" s="2"/>
    </row>
    <row r="75" spans="1:10" ht="15.75" hidden="1" outlineLevel="1" thickBot="1">
      <c r="A75" s="9"/>
      <c r="B75" s="3"/>
      <c r="C75" s="3"/>
      <c r="D75" s="3"/>
      <c r="E75" s="3"/>
      <c r="F75" s="4"/>
    </row>
    <row r="76" spans="1:10" ht="16.5" collapsed="1" thickTop="1" thickBot="1"/>
    <row r="77" spans="1:10" ht="15.75" thickTop="1">
      <c r="A77" s="3782" t="s">
        <v>0</v>
      </c>
      <c r="B77" s="3781" t="s">
        <v>1</v>
      </c>
      <c r="C77" s="3781" t="s">
        <v>2</v>
      </c>
      <c r="D77" s="3781" t="s">
        <v>3</v>
      </c>
      <c r="E77" s="3781" t="s">
        <v>4</v>
      </c>
      <c r="F77" s="3765" t="s">
        <v>5</v>
      </c>
      <c r="G77" t="s">
        <v>76</v>
      </c>
      <c r="H77" t="s">
        <v>77</v>
      </c>
      <c r="I77" t="s">
        <v>78</v>
      </c>
      <c r="J77" t="s">
        <v>79</v>
      </c>
    </row>
    <row r="78" spans="1:10" ht="24.75" customHeight="1" collapsed="1" thickBot="1">
      <c r="A78" s="3783"/>
      <c r="B78" s="3767"/>
      <c r="C78" s="3767"/>
      <c r="D78" s="3767"/>
      <c r="E78" s="3767"/>
      <c r="F78" s="3766"/>
    </row>
    <row r="79" spans="1:10" ht="15.75" hidden="1" outlineLevel="1" thickTop="1">
      <c r="A79" s="7" t="s">
        <v>82</v>
      </c>
      <c r="B79" s="5" t="s">
        <v>26</v>
      </c>
      <c r="C79" s="5" t="s">
        <v>41</v>
      </c>
      <c r="D79" s="5" t="s">
        <v>30</v>
      </c>
      <c r="E79" s="11">
        <v>0.15</v>
      </c>
      <c r="F79" s="6">
        <v>3834</v>
      </c>
      <c r="G79">
        <v>4800</v>
      </c>
      <c r="H79">
        <f>G79*F79</f>
        <v>18403200</v>
      </c>
      <c r="I79">
        <v>4510</v>
      </c>
      <c r="J79">
        <f>G79*I79</f>
        <v>21648000</v>
      </c>
    </row>
    <row r="80" spans="1:10" hidden="1" outlineLevel="1">
      <c r="A80" s="8"/>
      <c r="B80" s="5" t="s">
        <v>26</v>
      </c>
      <c r="C80" s="1" t="s">
        <v>40</v>
      </c>
      <c r="D80" s="1" t="s">
        <v>30</v>
      </c>
      <c r="E80" s="1">
        <v>0.15</v>
      </c>
      <c r="F80" s="2">
        <v>3834</v>
      </c>
    </row>
    <row r="81" spans="1:10" hidden="1" outlineLevel="1">
      <c r="A81" s="8"/>
      <c r="B81" s="1"/>
      <c r="C81" s="1"/>
      <c r="D81" s="1"/>
      <c r="E81" s="1"/>
      <c r="F81" s="2"/>
      <c r="H81">
        <f>J79-H79</f>
        <v>3244800</v>
      </c>
      <c r="I81" t="s">
        <v>80</v>
      </c>
    </row>
    <row r="82" spans="1:10" hidden="1" outlineLevel="1">
      <c r="A82" s="8"/>
      <c r="B82" s="1"/>
      <c r="C82" s="1"/>
      <c r="D82" s="1"/>
      <c r="E82" s="1"/>
      <c r="F82" s="2"/>
      <c r="H82">
        <f>H81*1.2</f>
        <v>3893760</v>
      </c>
      <c r="I82" t="s">
        <v>81</v>
      </c>
    </row>
    <row r="83" spans="1:10" hidden="1" outlineLevel="1">
      <c r="A83" s="8"/>
      <c r="B83" s="1"/>
      <c r="C83" s="1"/>
      <c r="D83" s="1"/>
      <c r="E83" s="1"/>
      <c r="F83" s="2"/>
    </row>
    <row r="84" spans="1:10" hidden="1" outlineLevel="1">
      <c r="A84" s="8"/>
      <c r="B84" s="1"/>
      <c r="C84" s="1"/>
      <c r="D84" s="1"/>
      <c r="E84" s="1"/>
      <c r="F84" s="2"/>
    </row>
    <row r="85" spans="1:10" hidden="1" outlineLevel="1">
      <c r="A85" s="8"/>
      <c r="B85" s="1"/>
      <c r="C85" s="1"/>
      <c r="D85" s="1"/>
      <c r="E85" s="1"/>
      <c r="F85" s="2"/>
    </row>
    <row r="86" spans="1:10" hidden="1" outlineLevel="1">
      <c r="A86" s="8"/>
      <c r="B86" s="1"/>
      <c r="C86" s="1"/>
      <c r="D86" s="1"/>
      <c r="E86" s="1"/>
      <c r="F86" s="2"/>
    </row>
    <row r="87" spans="1:10" hidden="1" outlineLevel="1">
      <c r="A87" s="8"/>
      <c r="B87" s="1"/>
      <c r="C87" s="1"/>
      <c r="D87" s="1"/>
      <c r="E87" s="1"/>
      <c r="F87" s="2"/>
    </row>
    <row r="88" spans="1:10" hidden="1" outlineLevel="1">
      <c r="A88" s="8"/>
      <c r="B88" s="1"/>
      <c r="C88" s="1"/>
      <c r="D88" s="1"/>
      <c r="E88" s="1"/>
      <c r="F88" s="2"/>
    </row>
    <row r="89" spans="1:10" hidden="1" outlineLevel="1">
      <c r="A89" s="8"/>
      <c r="B89" s="1"/>
      <c r="C89" s="1"/>
      <c r="D89" s="1"/>
      <c r="E89" s="1"/>
      <c r="F89" s="2"/>
    </row>
    <row r="90" spans="1:10" ht="15.75" hidden="1" outlineLevel="1" thickBot="1">
      <c r="A90" s="9"/>
      <c r="B90" s="3"/>
      <c r="C90" s="3"/>
      <c r="D90" s="3"/>
      <c r="E90" s="3"/>
      <c r="F90" s="4"/>
    </row>
    <row r="91" spans="1:10" ht="16.5" collapsed="1" thickTop="1" thickBot="1"/>
    <row r="92" spans="1:10" ht="15.75" thickTop="1">
      <c r="A92" s="3782" t="s">
        <v>0</v>
      </c>
      <c r="B92" s="3781" t="s">
        <v>1</v>
      </c>
      <c r="C92" s="3781" t="s">
        <v>2</v>
      </c>
      <c r="D92" s="3781" t="s">
        <v>3</v>
      </c>
      <c r="E92" s="3781" t="s">
        <v>4</v>
      </c>
      <c r="F92" s="3765" t="s">
        <v>5</v>
      </c>
      <c r="G92" t="s">
        <v>76</v>
      </c>
      <c r="H92" t="s">
        <v>77</v>
      </c>
      <c r="I92" t="s">
        <v>78</v>
      </c>
      <c r="J92" t="s">
        <v>79</v>
      </c>
    </row>
    <row r="93" spans="1:10" ht="24.75" customHeight="1" collapsed="1" thickBot="1">
      <c r="A93" s="3783"/>
      <c r="B93" s="3767"/>
      <c r="C93" s="3767"/>
      <c r="D93" s="3767"/>
      <c r="E93" s="3767"/>
      <c r="F93" s="3766"/>
    </row>
    <row r="94" spans="1:10" ht="15.75" hidden="1" outlineLevel="1" thickTop="1">
      <c r="A94" s="7" t="s">
        <v>131</v>
      </c>
      <c r="B94" s="5" t="s">
        <v>132</v>
      </c>
      <c r="C94" s="5" t="s">
        <v>71</v>
      </c>
      <c r="D94" s="5" t="s">
        <v>70</v>
      </c>
      <c r="E94" s="11">
        <v>0.15</v>
      </c>
      <c r="F94" s="6">
        <v>98815</v>
      </c>
      <c r="G94">
        <v>396</v>
      </c>
      <c r="H94">
        <f>F94*G94</f>
        <v>39130740</v>
      </c>
      <c r="I94">
        <v>116253</v>
      </c>
      <c r="J94">
        <f>I94*G94</f>
        <v>46036188</v>
      </c>
    </row>
    <row r="95" spans="1:10" hidden="1" outlineLevel="1">
      <c r="A95" s="8"/>
      <c r="B95" s="1" t="s">
        <v>133</v>
      </c>
      <c r="C95" s="1" t="s">
        <v>74</v>
      </c>
      <c r="D95" s="1" t="s">
        <v>70</v>
      </c>
      <c r="E95" s="1">
        <v>0.15</v>
      </c>
      <c r="F95" s="6">
        <v>98815</v>
      </c>
      <c r="G95">
        <v>464</v>
      </c>
      <c r="H95">
        <f>F95*G95</f>
        <v>45850160</v>
      </c>
      <c r="I95">
        <v>116253</v>
      </c>
      <c r="J95">
        <f>I95*G95</f>
        <v>53941392</v>
      </c>
    </row>
    <row r="96" spans="1:10" hidden="1" outlineLevel="1">
      <c r="A96" s="8"/>
      <c r="B96" s="1" t="s">
        <v>134</v>
      </c>
      <c r="C96" s="1"/>
      <c r="D96" s="1"/>
      <c r="E96" s="1"/>
      <c r="F96" s="2"/>
    </row>
    <row r="97" spans="1:12" hidden="1" outlineLevel="1">
      <c r="A97" s="8"/>
      <c r="B97" s="1" t="s">
        <v>135</v>
      </c>
      <c r="C97" s="1"/>
      <c r="D97" s="1"/>
      <c r="E97" s="1"/>
      <c r="F97" s="2"/>
      <c r="H97">
        <f>SUM(H94:H96)</f>
        <v>84980900</v>
      </c>
      <c r="J97">
        <f>SUM(J94:J96)</f>
        <v>99977580</v>
      </c>
    </row>
    <row r="98" spans="1:12" hidden="1" outlineLevel="1">
      <c r="A98" s="8"/>
      <c r="B98" s="1"/>
      <c r="C98" s="1"/>
      <c r="D98" s="1"/>
      <c r="E98" s="1"/>
      <c r="F98" s="2"/>
    </row>
    <row r="99" spans="1:12" hidden="1" outlineLevel="1">
      <c r="A99" s="8"/>
      <c r="B99" s="1"/>
      <c r="C99" s="1"/>
      <c r="D99" s="1"/>
      <c r="E99" s="1"/>
      <c r="F99" s="2"/>
      <c r="H99">
        <f>J97-H97</f>
        <v>14996680</v>
      </c>
    </row>
    <row r="100" spans="1:12" hidden="1" outlineLevel="1">
      <c r="A100" s="8"/>
      <c r="B100" s="1"/>
      <c r="C100" s="1"/>
      <c r="D100" s="1"/>
      <c r="E100" s="1"/>
      <c r="F100" s="2"/>
      <c r="H100">
        <f>H99*1.1</f>
        <v>16496348.000000002</v>
      </c>
    </row>
    <row r="101" spans="1:12" hidden="1" outlineLevel="1">
      <c r="A101" s="8"/>
      <c r="B101" s="1"/>
      <c r="C101" s="1"/>
      <c r="D101" s="1"/>
      <c r="E101" s="1"/>
      <c r="F101" s="2"/>
    </row>
    <row r="102" spans="1:12" hidden="1" outlineLevel="1">
      <c r="A102" s="8"/>
      <c r="B102" s="1"/>
      <c r="C102" s="1"/>
      <c r="D102" s="1"/>
      <c r="E102" s="1"/>
      <c r="F102" s="2"/>
    </row>
    <row r="103" spans="1:12" hidden="1" outlineLevel="1">
      <c r="A103" s="8"/>
      <c r="B103" s="1"/>
      <c r="C103" s="1"/>
      <c r="D103" s="1"/>
      <c r="E103" s="1"/>
      <c r="F103" s="2"/>
    </row>
    <row r="104" spans="1:12" hidden="1" outlineLevel="1">
      <c r="A104" s="8"/>
      <c r="B104" s="1"/>
      <c r="C104" s="1"/>
      <c r="D104" s="1"/>
      <c r="E104" s="1"/>
      <c r="F104" s="2"/>
    </row>
    <row r="105" spans="1:12" ht="15.75" hidden="1" outlineLevel="1" thickBot="1">
      <c r="A105" s="9"/>
      <c r="B105" s="3"/>
      <c r="C105" s="3"/>
      <c r="D105" s="3"/>
      <c r="E105" s="3"/>
      <c r="F105" s="4"/>
    </row>
    <row r="106" spans="1:12" ht="16.5" collapsed="1" thickTop="1" thickBot="1"/>
    <row r="107" spans="1:12" ht="15.75" thickTop="1">
      <c r="A107" s="3782" t="s">
        <v>0</v>
      </c>
      <c r="B107" s="3781" t="s">
        <v>1</v>
      </c>
      <c r="C107" s="3781" t="s">
        <v>2</v>
      </c>
      <c r="D107" s="3781" t="s">
        <v>3</v>
      </c>
      <c r="E107" s="3781" t="s">
        <v>4</v>
      </c>
      <c r="F107" s="3765" t="s">
        <v>5</v>
      </c>
      <c r="G107" t="s">
        <v>76</v>
      </c>
      <c r="H107" t="s">
        <v>77</v>
      </c>
      <c r="I107" t="s">
        <v>78</v>
      </c>
      <c r="J107" t="s">
        <v>79</v>
      </c>
    </row>
    <row r="108" spans="1:12" ht="24.75" customHeight="1" collapsed="1" thickBot="1">
      <c r="A108" s="3783"/>
      <c r="B108" s="3767"/>
      <c r="C108" s="3767"/>
      <c r="D108" s="3767"/>
      <c r="E108" s="3767"/>
      <c r="F108" s="3766"/>
    </row>
    <row r="109" spans="1:12" ht="15.75" hidden="1" outlineLevel="1" thickTop="1">
      <c r="A109" s="7" t="s">
        <v>176</v>
      </c>
      <c r="B109" s="5" t="s">
        <v>132</v>
      </c>
      <c r="C109" s="5" t="s">
        <v>177</v>
      </c>
      <c r="D109" s="5" t="s">
        <v>20</v>
      </c>
      <c r="E109" s="11">
        <v>0.15</v>
      </c>
      <c r="F109" s="6">
        <v>3756</v>
      </c>
      <c r="G109">
        <v>3843</v>
      </c>
      <c r="H109">
        <f>F109*G109</f>
        <v>14434308</v>
      </c>
      <c r="I109">
        <v>4419</v>
      </c>
      <c r="J109">
        <f>G109*I109</f>
        <v>16982217</v>
      </c>
      <c r="K109">
        <f>I109*1.2</f>
        <v>5302.8</v>
      </c>
      <c r="L109">
        <f>F109*1.2</f>
        <v>4507.2</v>
      </c>
    </row>
    <row r="110" spans="1:12" hidden="1" outlineLevel="1">
      <c r="A110" s="8"/>
      <c r="B110" s="1" t="s">
        <v>133</v>
      </c>
      <c r="C110" s="1" t="s">
        <v>178</v>
      </c>
      <c r="D110" s="5" t="s">
        <v>20</v>
      </c>
      <c r="E110" s="11">
        <v>0.15</v>
      </c>
      <c r="F110" s="6">
        <v>3756</v>
      </c>
      <c r="G110">
        <v>3389</v>
      </c>
      <c r="H110">
        <f>F110*G110</f>
        <v>12729084</v>
      </c>
      <c r="I110">
        <v>4419</v>
      </c>
      <c r="J110">
        <f>G110*I110</f>
        <v>14975991</v>
      </c>
      <c r="K110">
        <f>I110*1.2</f>
        <v>5302.8</v>
      </c>
    </row>
    <row r="111" spans="1:12" hidden="1" outlineLevel="1">
      <c r="A111" s="8"/>
      <c r="B111" s="1" t="s">
        <v>179</v>
      </c>
      <c r="C111" s="1"/>
      <c r="D111" s="1"/>
      <c r="E111" s="1"/>
      <c r="F111" s="2"/>
    </row>
    <row r="112" spans="1:12" hidden="1" outlineLevel="1">
      <c r="A112" s="8"/>
      <c r="B112" s="1" t="s">
        <v>134</v>
      </c>
      <c r="C112" s="1"/>
      <c r="D112" s="1"/>
      <c r="E112" s="1"/>
      <c r="F112" s="2"/>
      <c r="H112">
        <f>SUM(H109:H111)</f>
        <v>27163392</v>
      </c>
      <c r="J112">
        <f>SUM(J109:J111)</f>
        <v>31958208</v>
      </c>
    </row>
    <row r="113" spans="1:10" hidden="1" outlineLevel="1">
      <c r="A113" s="8"/>
      <c r="B113" s="1" t="s">
        <v>180</v>
      </c>
      <c r="C113" s="1"/>
      <c r="D113" s="1"/>
      <c r="E113" s="1"/>
      <c r="F113" s="2"/>
    </row>
    <row r="114" spans="1:10" hidden="1" outlineLevel="1">
      <c r="A114" s="8"/>
      <c r="B114" s="1" t="s">
        <v>181</v>
      </c>
      <c r="C114" s="1"/>
      <c r="D114" s="1"/>
      <c r="E114" s="1"/>
      <c r="F114" s="2"/>
      <c r="H114">
        <f>J112-H112</f>
        <v>4794816</v>
      </c>
    </row>
    <row r="115" spans="1:10" hidden="1" outlineLevel="1">
      <c r="A115" s="8"/>
      <c r="B115" s="1" t="s">
        <v>135</v>
      </c>
      <c r="C115" s="1"/>
      <c r="D115" s="1"/>
      <c r="E115" s="1"/>
      <c r="F115" s="2"/>
      <c r="H115">
        <f>H114*1.2</f>
        <v>5753779.2000000002</v>
      </c>
    </row>
    <row r="116" spans="1:10" hidden="1" outlineLevel="1">
      <c r="A116" s="8"/>
      <c r="B116" s="1"/>
      <c r="C116" s="1"/>
      <c r="D116" s="1"/>
      <c r="E116" s="1"/>
      <c r="F116" s="2"/>
    </row>
    <row r="117" spans="1:10" hidden="1" outlineLevel="1">
      <c r="A117" s="8"/>
      <c r="B117" s="1"/>
      <c r="C117" s="1"/>
      <c r="D117" s="1"/>
      <c r="E117" s="1"/>
      <c r="F117" s="2"/>
    </row>
    <row r="118" spans="1:10" hidden="1" outlineLevel="1">
      <c r="A118" s="8"/>
      <c r="B118" s="1"/>
      <c r="C118" s="1"/>
      <c r="D118" s="1"/>
      <c r="E118" s="1"/>
      <c r="F118" s="2"/>
    </row>
    <row r="119" spans="1:10" hidden="1" outlineLevel="1">
      <c r="A119" s="8"/>
      <c r="B119" s="1"/>
      <c r="C119" s="1"/>
      <c r="D119" s="1"/>
      <c r="E119" s="1"/>
      <c r="F119" s="2"/>
    </row>
    <row r="120" spans="1:10" ht="15.75" hidden="1" outlineLevel="1" thickBot="1">
      <c r="A120" s="9"/>
      <c r="B120" s="3"/>
      <c r="C120" s="3"/>
      <c r="D120" s="3"/>
      <c r="E120" s="3"/>
      <c r="F120" s="4"/>
    </row>
    <row r="121" spans="1:10" ht="16.5" collapsed="1" thickTop="1" thickBot="1"/>
    <row r="122" spans="1:10" ht="15.75" thickTop="1">
      <c r="A122" s="3782" t="s">
        <v>0</v>
      </c>
      <c r="B122" s="3781" t="s">
        <v>1</v>
      </c>
      <c r="C122" s="3781" t="s">
        <v>2</v>
      </c>
      <c r="D122" s="3781" t="s">
        <v>3</v>
      </c>
      <c r="E122" s="3781" t="s">
        <v>4</v>
      </c>
      <c r="F122" s="3765" t="s">
        <v>5</v>
      </c>
      <c r="G122" t="s">
        <v>76</v>
      </c>
      <c r="H122" t="s">
        <v>77</v>
      </c>
      <c r="I122" t="s">
        <v>78</v>
      </c>
      <c r="J122" t="s">
        <v>79</v>
      </c>
    </row>
    <row r="123" spans="1:10" ht="24.75" customHeight="1" collapsed="1" thickBot="1">
      <c r="A123" s="3783"/>
      <c r="B123" s="3767"/>
      <c r="C123" s="3767"/>
      <c r="D123" s="3767"/>
      <c r="E123" s="3767"/>
      <c r="F123" s="3766"/>
    </row>
    <row r="124" spans="1:10" ht="15.75" hidden="1" outlineLevel="1" thickTop="1">
      <c r="A124" s="7" t="s">
        <v>199</v>
      </c>
      <c r="B124" s="5" t="s">
        <v>200</v>
      </c>
      <c r="C124" s="5" t="s">
        <v>113</v>
      </c>
      <c r="D124" s="5" t="s">
        <v>20</v>
      </c>
      <c r="E124" s="11">
        <v>0.1</v>
      </c>
      <c r="F124" s="6">
        <v>113728</v>
      </c>
      <c r="G124">
        <v>205</v>
      </c>
      <c r="H124">
        <f>F124*G124</f>
        <v>23314240</v>
      </c>
      <c r="I124">
        <v>126364</v>
      </c>
      <c r="J124">
        <f>I124*G124</f>
        <v>25904620</v>
      </c>
    </row>
    <row r="125" spans="1:10" hidden="1" outlineLevel="1">
      <c r="A125" s="8"/>
      <c r="B125" s="1"/>
      <c r="C125" s="1" t="s">
        <v>160</v>
      </c>
      <c r="D125" s="5" t="s">
        <v>20</v>
      </c>
      <c r="E125" s="11">
        <v>0.1</v>
      </c>
      <c r="F125" s="2">
        <v>113728</v>
      </c>
      <c r="G125">
        <v>127</v>
      </c>
      <c r="H125">
        <f>F125*G125</f>
        <v>14443456</v>
      </c>
      <c r="I125">
        <v>126364</v>
      </c>
      <c r="J125">
        <f>I125*G125</f>
        <v>16048228</v>
      </c>
    </row>
    <row r="126" spans="1:10" hidden="1" outlineLevel="1">
      <c r="A126" s="8"/>
      <c r="B126" s="1"/>
      <c r="C126" s="1" t="s">
        <v>161</v>
      </c>
      <c r="D126" s="5" t="s">
        <v>20</v>
      </c>
      <c r="E126" s="11">
        <v>0.1</v>
      </c>
      <c r="F126" s="2">
        <v>113728</v>
      </c>
      <c r="G126">
        <v>38</v>
      </c>
      <c r="H126">
        <f>F126*G126</f>
        <v>4321664</v>
      </c>
      <c r="I126">
        <v>126364</v>
      </c>
      <c r="J126">
        <f>I126*G126</f>
        <v>4801832</v>
      </c>
    </row>
    <row r="127" spans="1:10" hidden="1" outlineLevel="1">
      <c r="A127" s="8"/>
      <c r="B127" s="1"/>
      <c r="C127" s="1"/>
      <c r="D127" s="1"/>
      <c r="E127" s="1"/>
      <c r="F127" s="2"/>
    </row>
    <row r="128" spans="1:10" hidden="1" outlineLevel="1">
      <c r="A128" s="8"/>
      <c r="B128" s="1"/>
      <c r="C128" s="1"/>
      <c r="D128" s="1"/>
      <c r="E128" s="1"/>
      <c r="F128" s="2"/>
      <c r="H128">
        <f>SUM(H124:H127)</f>
        <v>42079360</v>
      </c>
      <c r="J128">
        <f>SUM(J124:J127)</f>
        <v>46754680</v>
      </c>
    </row>
    <row r="129" spans="1:10" hidden="1" outlineLevel="1">
      <c r="A129" s="8"/>
      <c r="B129" s="1"/>
      <c r="C129" s="1"/>
      <c r="D129" s="1"/>
      <c r="E129" s="1"/>
      <c r="F129" s="2"/>
    </row>
    <row r="130" spans="1:10" hidden="1" outlineLevel="1">
      <c r="A130" s="8"/>
      <c r="B130" s="1"/>
      <c r="C130" s="1"/>
      <c r="D130" s="1"/>
      <c r="E130" s="1"/>
      <c r="F130" s="2"/>
      <c r="H130">
        <f>J128-H128</f>
        <v>4675320</v>
      </c>
      <c r="I130" t="s">
        <v>80</v>
      </c>
    </row>
    <row r="131" spans="1:10" hidden="1" outlineLevel="1">
      <c r="A131" s="8"/>
      <c r="B131" s="1"/>
      <c r="C131" s="1"/>
      <c r="D131" s="1"/>
      <c r="E131" s="1"/>
      <c r="F131" s="2"/>
      <c r="H131">
        <f>H130*1.1</f>
        <v>5142852</v>
      </c>
      <c r="I131" t="s">
        <v>81</v>
      </c>
    </row>
    <row r="132" spans="1:10" hidden="1" outlineLevel="1">
      <c r="A132" s="8"/>
      <c r="B132" s="1"/>
      <c r="C132" s="1"/>
      <c r="D132" s="1"/>
      <c r="E132" s="1"/>
      <c r="F132" s="2"/>
    </row>
    <row r="133" spans="1:10" hidden="1" outlineLevel="1">
      <c r="A133" s="8"/>
      <c r="B133" s="1"/>
      <c r="C133" s="1"/>
      <c r="D133" s="1"/>
      <c r="E133" s="1"/>
      <c r="F133" s="2"/>
    </row>
    <row r="134" spans="1:10" hidden="1" outlineLevel="1">
      <c r="A134" s="8"/>
      <c r="B134" s="1"/>
      <c r="C134" s="1"/>
      <c r="D134" s="1"/>
      <c r="E134" s="1"/>
      <c r="F134" s="2"/>
    </row>
    <row r="135" spans="1:10" ht="15.75" hidden="1" outlineLevel="1" thickBot="1">
      <c r="A135" s="9"/>
      <c r="B135" s="3"/>
      <c r="C135" s="3"/>
      <c r="D135" s="3"/>
      <c r="E135" s="3"/>
      <c r="F135" s="4"/>
    </row>
    <row r="136" spans="1:10" ht="16.5" collapsed="1" thickTop="1" thickBot="1"/>
    <row r="137" spans="1:10" ht="15.75" thickTop="1">
      <c r="A137" s="3782" t="s">
        <v>0</v>
      </c>
      <c r="B137" s="3781" t="s">
        <v>1</v>
      </c>
      <c r="C137" s="3781" t="s">
        <v>2</v>
      </c>
      <c r="D137" s="3781" t="s">
        <v>3</v>
      </c>
      <c r="E137" s="3781" t="s">
        <v>4</v>
      </c>
      <c r="F137" s="3765" t="s">
        <v>5</v>
      </c>
      <c r="G137" t="s">
        <v>76</v>
      </c>
      <c r="H137" t="s">
        <v>77</v>
      </c>
      <c r="I137" t="s">
        <v>78</v>
      </c>
      <c r="J137" t="s">
        <v>79</v>
      </c>
    </row>
    <row r="138" spans="1:10" ht="24.75" customHeight="1" collapsed="1" thickBot="1">
      <c r="A138" s="3783"/>
      <c r="B138" s="3767"/>
      <c r="C138" s="3767"/>
      <c r="D138" s="3767"/>
      <c r="E138" s="3767"/>
      <c r="F138" s="3766"/>
    </row>
    <row r="139" spans="1:10" ht="15.75" hidden="1" outlineLevel="1" thickTop="1">
      <c r="A139" s="7" t="s">
        <v>201</v>
      </c>
      <c r="B139" s="5" t="s">
        <v>202</v>
      </c>
      <c r="C139" s="5" t="s">
        <v>53</v>
      </c>
      <c r="D139" s="5" t="s">
        <v>30</v>
      </c>
      <c r="E139" s="11">
        <v>0.2</v>
      </c>
      <c r="F139" s="6">
        <v>5666</v>
      </c>
      <c r="G139">
        <v>9155</v>
      </c>
      <c r="H139">
        <v>51872230</v>
      </c>
      <c r="I139">
        <v>7083</v>
      </c>
      <c r="J139">
        <f>G139*I139</f>
        <v>64844865</v>
      </c>
    </row>
    <row r="140" spans="1:10" hidden="1" outlineLevel="1">
      <c r="A140" s="8"/>
      <c r="B140" s="1"/>
      <c r="C140" s="1"/>
      <c r="D140" s="1"/>
      <c r="E140" s="1"/>
      <c r="F140" s="2"/>
    </row>
    <row r="141" spans="1:10" hidden="1" outlineLevel="1">
      <c r="A141" s="8"/>
      <c r="B141" s="1"/>
      <c r="C141" s="1"/>
      <c r="D141" s="1"/>
      <c r="E141" s="1"/>
      <c r="F141" s="2"/>
      <c r="H141" s="15">
        <f>J139-H139</f>
        <v>12972635</v>
      </c>
      <c r="I141" t="s">
        <v>80</v>
      </c>
    </row>
    <row r="142" spans="1:10" hidden="1" outlineLevel="1">
      <c r="A142" s="8"/>
      <c r="B142" s="1"/>
      <c r="C142" s="1"/>
      <c r="D142" s="1"/>
      <c r="E142" s="1"/>
      <c r="F142" s="2"/>
      <c r="H142" s="15">
        <f>H141*1.2</f>
        <v>15567162</v>
      </c>
      <c r="I142" t="s">
        <v>81</v>
      </c>
    </row>
    <row r="143" spans="1:10" hidden="1" outlineLevel="1">
      <c r="A143" s="8"/>
      <c r="B143" s="1"/>
      <c r="C143" s="1"/>
      <c r="D143" s="1"/>
      <c r="E143" s="1"/>
      <c r="F143" s="2"/>
    </row>
    <row r="144" spans="1:10" hidden="1" outlineLevel="1">
      <c r="A144" s="8"/>
      <c r="B144" s="1"/>
      <c r="C144" s="1"/>
      <c r="D144" s="1"/>
      <c r="E144" s="1"/>
      <c r="F144" s="2"/>
    </row>
    <row r="145" spans="1:10" hidden="1" outlineLevel="1">
      <c r="A145" s="8"/>
      <c r="B145" s="1"/>
      <c r="C145" s="1"/>
      <c r="D145" s="1"/>
      <c r="E145" s="1"/>
      <c r="F145" s="2"/>
    </row>
    <row r="146" spans="1:10" hidden="1" outlineLevel="1">
      <c r="A146" s="8"/>
      <c r="B146" s="1"/>
      <c r="C146" s="1"/>
      <c r="D146" s="1"/>
      <c r="E146" s="1"/>
      <c r="F146" s="2"/>
    </row>
    <row r="147" spans="1:10" hidden="1" outlineLevel="1">
      <c r="A147" s="8"/>
      <c r="B147" s="1"/>
      <c r="C147" s="1"/>
      <c r="D147" s="1"/>
      <c r="E147" s="1"/>
      <c r="F147" s="2"/>
    </row>
    <row r="148" spans="1:10" hidden="1" outlineLevel="1">
      <c r="A148" s="8"/>
      <c r="B148" s="1"/>
      <c r="C148" s="1"/>
      <c r="D148" s="1"/>
      <c r="E148" s="1"/>
      <c r="F148" s="2"/>
    </row>
    <row r="149" spans="1:10" hidden="1" outlineLevel="1">
      <c r="A149" s="8"/>
      <c r="B149" s="1"/>
      <c r="C149" s="1"/>
      <c r="D149" s="1"/>
      <c r="E149" s="1"/>
      <c r="F149" s="2"/>
    </row>
    <row r="150" spans="1:10" ht="15.75" hidden="1" outlineLevel="1" thickBot="1">
      <c r="A150" s="9"/>
      <c r="B150" s="3"/>
      <c r="C150" s="3"/>
      <c r="D150" s="3"/>
      <c r="E150" s="3"/>
      <c r="F150" s="4"/>
    </row>
    <row r="151" spans="1:10" ht="16.5" collapsed="1" thickTop="1" thickBot="1"/>
    <row r="152" spans="1:10" ht="15.75" thickTop="1">
      <c r="A152" s="3782" t="s">
        <v>0</v>
      </c>
      <c r="B152" s="3781" t="s">
        <v>1</v>
      </c>
      <c r="C152" s="3781" t="s">
        <v>2</v>
      </c>
      <c r="D152" s="3781" t="s">
        <v>3</v>
      </c>
      <c r="E152" s="3781" t="s">
        <v>4</v>
      </c>
      <c r="F152" s="3765" t="s">
        <v>5</v>
      </c>
      <c r="G152" t="s">
        <v>76</v>
      </c>
      <c r="H152" t="s">
        <v>77</v>
      </c>
      <c r="I152" t="s">
        <v>78</v>
      </c>
      <c r="J152" t="s">
        <v>79</v>
      </c>
    </row>
    <row r="153" spans="1:10" ht="24.75" customHeight="1" collapsed="1" thickBot="1">
      <c r="A153" s="3783"/>
      <c r="B153" s="3767"/>
      <c r="C153" s="3767"/>
      <c r="D153" s="3767"/>
      <c r="E153" s="3767"/>
      <c r="F153" s="3766"/>
    </row>
    <row r="154" spans="1:10" ht="15.75" hidden="1" outlineLevel="1" thickTop="1">
      <c r="A154" s="7" t="s">
        <v>229</v>
      </c>
      <c r="B154" s="5" t="s">
        <v>134</v>
      </c>
      <c r="C154" s="5" t="s">
        <v>226</v>
      </c>
      <c r="D154" s="5" t="s">
        <v>20</v>
      </c>
      <c r="E154" s="11">
        <v>0.15</v>
      </c>
      <c r="F154" s="6">
        <v>4191</v>
      </c>
      <c r="G154">
        <v>8462</v>
      </c>
      <c r="H154">
        <f>F154*G154</f>
        <v>35464242</v>
      </c>
      <c r="I154">
        <v>4930</v>
      </c>
      <c r="J154">
        <f>I154*G154</f>
        <v>41717660</v>
      </c>
    </row>
    <row r="155" spans="1:10" hidden="1" outlineLevel="1">
      <c r="A155" s="8"/>
      <c r="B155" s="1" t="s">
        <v>132</v>
      </c>
      <c r="C155" s="1" t="s">
        <v>227</v>
      </c>
      <c r="D155" s="1"/>
      <c r="E155" s="11">
        <v>0.15</v>
      </c>
      <c r="F155" s="6">
        <v>4191</v>
      </c>
    </row>
    <row r="156" spans="1:10" hidden="1" outlineLevel="1">
      <c r="A156" s="8"/>
      <c r="B156" s="1" t="s">
        <v>133</v>
      </c>
      <c r="C156" s="1" t="s">
        <v>228</v>
      </c>
      <c r="D156" s="1"/>
      <c r="E156" s="11">
        <v>0.15</v>
      </c>
      <c r="F156" s="6">
        <v>4191</v>
      </c>
      <c r="H156">
        <f>J154-H154</f>
        <v>6253418</v>
      </c>
    </row>
    <row r="157" spans="1:10" hidden="1" outlineLevel="1">
      <c r="A157" s="8"/>
      <c r="B157" s="1" t="s">
        <v>135</v>
      </c>
      <c r="C157" s="1"/>
      <c r="D157" s="1"/>
      <c r="E157" s="1"/>
      <c r="F157" s="2"/>
      <c r="H157">
        <v>7504102</v>
      </c>
    </row>
    <row r="158" spans="1:10" hidden="1" outlineLevel="1">
      <c r="A158" s="8"/>
      <c r="B158" s="1"/>
      <c r="C158" s="1"/>
      <c r="D158" s="1"/>
      <c r="E158" s="1"/>
      <c r="F158" s="2"/>
    </row>
    <row r="159" spans="1:10" hidden="1" outlineLevel="1">
      <c r="A159" s="8"/>
      <c r="B159" s="1"/>
      <c r="C159" s="1"/>
      <c r="D159" s="1"/>
      <c r="E159" s="1"/>
      <c r="F159" s="2"/>
    </row>
    <row r="160" spans="1:10" hidden="1" outlineLevel="1">
      <c r="A160" s="8"/>
      <c r="B160" s="1"/>
      <c r="C160" s="1"/>
      <c r="D160" s="1"/>
      <c r="E160" s="1"/>
      <c r="F160" s="2"/>
    </row>
    <row r="161" spans="1:10" hidden="1" outlineLevel="1">
      <c r="A161" s="8"/>
      <c r="B161" s="1"/>
      <c r="C161" s="1"/>
      <c r="D161" s="1"/>
      <c r="E161" s="1"/>
      <c r="F161" s="2"/>
    </row>
    <row r="162" spans="1:10" hidden="1" outlineLevel="1">
      <c r="A162" s="8"/>
      <c r="B162" s="1"/>
      <c r="C162" s="1"/>
      <c r="D162" s="1"/>
      <c r="E162" s="1"/>
      <c r="F162" s="2"/>
    </row>
    <row r="163" spans="1:10" hidden="1" outlineLevel="1">
      <c r="A163" s="8"/>
      <c r="B163" s="1"/>
      <c r="C163" s="1"/>
      <c r="D163" s="1"/>
      <c r="E163" s="1"/>
      <c r="F163" s="2"/>
    </row>
    <row r="164" spans="1:10" hidden="1" outlineLevel="1">
      <c r="A164" s="8"/>
      <c r="B164" s="1"/>
      <c r="C164" s="1"/>
      <c r="D164" s="1"/>
      <c r="E164" s="1"/>
      <c r="F164" s="2"/>
    </row>
    <row r="165" spans="1:10" ht="15.75" hidden="1" outlineLevel="1" thickBot="1">
      <c r="A165" s="9"/>
      <c r="B165" s="3"/>
      <c r="C165" s="3"/>
      <c r="D165" s="3"/>
      <c r="E165" s="3"/>
      <c r="F165" s="4"/>
    </row>
    <row r="166" spans="1:10" ht="16.5" collapsed="1" thickTop="1" thickBot="1"/>
    <row r="167" spans="1:10" ht="15.75" thickTop="1">
      <c r="A167" s="3782" t="s">
        <v>0</v>
      </c>
      <c r="B167" s="3781" t="s">
        <v>1</v>
      </c>
      <c r="C167" s="3781" t="s">
        <v>2</v>
      </c>
      <c r="D167" s="3781" t="s">
        <v>3</v>
      </c>
      <c r="E167" s="3781" t="s">
        <v>4</v>
      </c>
      <c r="F167" s="3765" t="s">
        <v>5</v>
      </c>
      <c r="G167" t="s">
        <v>76</v>
      </c>
      <c r="H167" t="s">
        <v>77</v>
      </c>
      <c r="I167" t="s">
        <v>78</v>
      </c>
      <c r="J167" t="s">
        <v>79</v>
      </c>
    </row>
    <row r="168" spans="1:10" ht="24.75" customHeight="1" collapsed="1" thickBot="1">
      <c r="A168" s="3783"/>
      <c r="B168" s="3767"/>
      <c r="C168" s="3767"/>
      <c r="D168" s="3767"/>
      <c r="E168" s="3767"/>
      <c r="F168" s="3766"/>
    </row>
    <row r="169" spans="1:10" ht="15.75" hidden="1" outlineLevel="1" thickTop="1">
      <c r="A169" s="7" t="s">
        <v>230</v>
      </c>
      <c r="B169" s="5" t="s">
        <v>232</v>
      </c>
      <c r="C169" s="5" t="s">
        <v>231</v>
      </c>
      <c r="D169" s="5" t="s">
        <v>54</v>
      </c>
      <c r="E169" s="11">
        <v>0.15</v>
      </c>
      <c r="F169" s="6">
        <v>6484</v>
      </c>
      <c r="G169">
        <v>5136</v>
      </c>
      <c r="H169">
        <f>G169*F169</f>
        <v>33301824</v>
      </c>
      <c r="I169">
        <v>7628</v>
      </c>
      <c r="J169">
        <f>I169*G169</f>
        <v>39177408</v>
      </c>
    </row>
    <row r="170" spans="1:10" hidden="1" outlineLevel="1">
      <c r="A170" s="8"/>
      <c r="B170" s="1"/>
      <c r="C170" s="1"/>
      <c r="D170" s="1"/>
      <c r="E170" s="1"/>
      <c r="F170" s="2"/>
    </row>
    <row r="171" spans="1:10" hidden="1" outlineLevel="1">
      <c r="A171" s="8"/>
      <c r="B171" s="1"/>
      <c r="C171" s="1"/>
      <c r="D171" s="1"/>
      <c r="E171" s="1"/>
      <c r="F171" s="2"/>
      <c r="H171">
        <f>J169-H169</f>
        <v>5875584</v>
      </c>
    </row>
    <row r="172" spans="1:10" hidden="1" outlineLevel="1">
      <c r="A172" s="8"/>
      <c r="B172" s="1"/>
      <c r="C172" s="1"/>
      <c r="D172" s="1"/>
      <c r="E172" s="1"/>
      <c r="F172" s="2"/>
      <c r="H172">
        <f>H171*1.2</f>
        <v>7050700.7999999998</v>
      </c>
    </row>
    <row r="173" spans="1:10" hidden="1" outlineLevel="1">
      <c r="A173" s="8"/>
      <c r="B173" s="1"/>
      <c r="C173" s="1"/>
      <c r="D173" s="1"/>
      <c r="E173" s="1"/>
      <c r="F173" s="2"/>
    </row>
    <row r="174" spans="1:10" hidden="1" outlineLevel="1">
      <c r="A174" s="8"/>
      <c r="B174" s="1"/>
      <c r="C174" s="1"/>
      <c r="D174" s="1"/>
      <c r="E174" s="1"/>
      <c r="F174" s="2"/>
    </row>
    <row r="175" spans="1:10" hidden="1" outlineLevel="1">
      <c r="A175" s="8"/>
      <c r="B175" s="1"/>
      <c r="C175" s="1"/>
      <c r="D175" s="1"/>
      <c r="E175" s="1"/>
      <c r="F175" s="2"/>
    </row>
    <row r="176" spans="1:10" hidden="1" outlineLevel="1">
      <c r="A176" s="8"/>
      <c r="B176" s="1"/>
      <c r="C176" s="1"/>
      <c r="D176" s="1"/>
      <c r="E176" s="1"/>
      <c r="F176" s="2"/>
    </row>
    <row r="177" spans="1:10" hidden="1" outlineLevel="1">
      <c r="A177" s="8"/>
      <c r="B177" s="1"/>
      <c r="C177" s="1"/>
      <c r="D177" s="1"/>
      <c r="E177" s="1"/>
      <c r="F177" s="2"/>
    </row>
    <row r="178" spans="1:10" hidden="1" outlineLevel="1">
      <c r="A178" s="8"/>
      <c r="B178" s="1"/>
      <c r="C178" s="1"/>
      <c r="D178" s="1"/>
      <c r="E178" s="1"/>
      <c r="F178" s="2"/>
    </row>
    <row r="179" spans="1:10" hidden="1" outlineLevel="1">
      <c r="A179" s="8"/>
      <c r="B179" s="1"/>
      <c r="C179" s="1"/>
      <c r="D179" s="1"/>
      <c r="E179" s="1"/>
      <c r="F179" s="2"/>
    </row>
    <row r="180" spans="1:10" ht="15.75" hidden="1" outlineLevel="1" thickBot="1">
      <c r="A180" s="9"/>
      <c r="B180" s="3"/>
      <c r="C180" s="3"/>
      <c r="D180" s="3"/>
      <c r="E180" s="3"/>
      <c r="F180" s="4"/>
    </row>
    <row r="181" spans="1:10" ht="16.5" collapsed="1" thickTop="1" thickBot="1"/>
    <row r="182" spans="1:10" ht="15.75" thickTop="1">
      <c r="A182" s="3782" t="s">
        <v>0</v>
      </c>
      <c r="B182" s="3781" t="s">
        <v>1</v>
      </c>
      <c r="C182" s="3781" t="s">
        <v>2</v>
      </c>
      <c r="D182" s="3781" t="s">
        <v>3</v>
      </c>
      <c r="E182" s="3781" t="s">
        <v>4</v>
      </c>
      <c r="F182" s="3765" t="s">
        <v>5</v>
      </c>
      <c r="G182" t="s">
        <v>76</v>
      </c>
      <c r="H182" t="s">
        <v>77</v>
      </c>
      <c r="I182" t="s">
        <v>78</v>
      </c>
      <c r="J182" t="s">
        <v>79</v>
      </c>
    </row>
    <row r="183" spans="1:10" ht="24.75" customHeight="1" collapsed="1" thickBot="1">
      <c r="A183" s="3783"/>
      <c r="B183" s="3767"/>
      <c r="C183" s="3767"/>
      <c r="D183" s="3767"/>
      <c r="E183" s="3767"/>
      <c r="F183" s="3766"/>
    </row>
    <row r="184" spans="1:10" ht="15.75" outlineLevel="1" thickTop="1">
      <c r="A184" s="7" t="s">
        <v>250</v>
      </c>
      <c r="B184" s="5" t="s">
        <v>200</v>
      </c>
      <c r="C184" s="5" t="s">
        <v>113</v>
      </c>
      <c r="D184" s="5" t="s">
        <v>20</v>
      </c>
      <c r="E184" s="11">
        <v>0.1</v>
      </c>
      <c r="F184" s="6">
        <v>118227</v>
      </c>
      <c r="G184">
        <v>186</v>
      </c>
      <c r="H184">
        <f>F184*G184</f>
        <v>21990222</v>
      </c>
      <c r="I184">
        <v>131363</v>
      </c>
      <c r="J184">
        <f>G184*I184</f>
        <v>24433518</v>
      </c>
    </row>
    <row r="185" spans="1:10" outlineLevel="1">
      <c r="A185" s="8"/>
      <c r="B185" s="1"/>
      <c r="C185" s="1" t="s">
        <v>160</v>
      </c>
      <c r="D185" s="5" t="s">
        <v>20</v>
      </c>
      <c r="E185" s="11">
        <v>0.1</v>
      </c>
      <c r="F185" s="6">
        <v>118227</v>
      </c>
      <c r="G185">
        <v>146</v>
      </c>
      <c r="H185">
        <f>F185*G185</f>
        <v>17261142</v>
      </c>
      <c r="I185">
        <v>131363</v>
      </c>
      <c r="J185">
        <f>G185*I185</f>
        <v>19178998</v>
      </c>
    </row>
    <row r="186" spans="1:10" outlineLevel="1">
      <c r="A186" s="8"/>
      <c r="B186" s="1"/>
      <c r="C186" s="1" t="s">
        <v>161</v>
      </c>
      <c r="D186" s="5" t="s">
        <v>20</v>
      </c>
      <c r="E186" s="11">
        <v>0.1</v>
      </c>
      <c r="F186" s="6">
        <v>118227</v>
      </c>
      <c r="G186">
        <v>59</v>
      </c>
      <c r="H186">
        <f>F186*G186</f>
        <v>6975393</v>
      </c>
      <c r="I186">
        <v>131363</v>
      </c>
      <c r="J186">
        <f>G186*I186</f>
        <v>7750417</v>
      </c>
    </row>
    <row r="187" spans="1:10" outlineLevel="1">
      <c r="A187" s="8"/>
      <c r="B187" s="1"/>
      <c r="C187" s="1"/>
      <c r="D187" s="1"/>
      <c r="E187" s="1"/>
      <c r="F187" s="2"/>
    </row>
    <row r="188" spans="1:10" outlineLevel="1">
      <c r="A188" s="8"/>
      <c r="B188" s="1"/>
      <c r="C188" s="1"/>
      <c r="D188" s="1"/>
      <c r="E188" s="1"/>
      <c r="F188" s="2"/>
      <c r="H188">
        <f>SUM(H184:H187)</f>
        <v>46226757</v>
      </c>
      <c r="J188">
        <f>SUM(J184:J187)</f>
        <v>51362933</v>
      </c>
    </row>
    <row r="189" spans="1:10" outlineLevel="1">
      <c r="A189" s="8"/>
      <c r="B189" s="1"/>
      <c r="C189" s="1"/>
      <c r="D189" s="1"/>
      <c r="E189" s="1"/>
      <c r="F189" s="2"/>
    </row>
    <row r="190" spans="1:10" outlineLevel="1">
      <c r="A190" s="8"/>
      <c r="B190" s="1"/>
      <c r="C190" s="1"/>
      <c r="D190" s="1"/>
      <c r="E190" s="1"/>
      <c r="F190" s="2"/>
      <c r="H190">
        <f>J188-H188</f>
        <v>5136176</v>
      </c>
      <c r="I190" t="s">
        <v>80</v>
      </c>
    </row>
    <row r="191" spans="1:10" outlineLevel="1">
      <c r="A191" s="8"/>
      <c r="B191" s="1"/>
      <c r="C191" s="1"/>
      <c r="D191" s="1"/>
      <c r="E191" s="1"/>
      <c r="F191" s="2"/>
      <c r="H191">
        <v>5649794</v>
      </c>
      <c r="I191" t="s">
        <v>81</v>
      </c>
    </row>
    <row r="192" spans="1:10" outlineLevel="1">
      <c r="A192" s="8"/>
      <c r="B192" s="1"/>
      <c r="C192" s="1"/>
      <c r="D192" s="1"/>
      <c r="E192" s="1"/>
      <c r="F192" s="2"/>
    </row>
    <row r="193" spans="1:10" outlineLevel="1">
      <c r="A193" s="8"/>
      <c r="B193" s="1"/>
      <c r="C193" s="1"/>
      <c r="D193" s="1"/>
      <c r="E193" s="1"/>
      <c r="F193" s="2"/>
    </row>
    <row r="194" spans="1:10" outlineLevel="1">
      <c r="A194" s="8"/>
      <c r="B194" s="1"/>
      <c r="C194" s="1"/>
      <c r="D194" s="1"/>
      <c r="E194" s="1"/>
      <c r="F194" s="2"/>
    </row>
    <row r="195" spans="1:10" ht="15.75" outlineLevel="1" thickBot="1">
      <c r="A195" s="9"/>
      <c r="B195" s="3"/>
      <c r="C195" s="3"/>
      <c r="D195" s="3"/>
      <c r="E195" s="3"/>
      <c r="F195" s="4"/>
    </row>
    <row r="196" spans="1:10" ht="16.5" thickTop="1" thickBot="1"/>
    <row r="197" spans="1:10" ht="15.75" thickTop="1">
      <c r="A197" s="3782" t="s">
        <v>0</v>
      </c>
      <c r="B197" s="3781" t="s">
        <v>1</v>
      </c>
      <c r="C197" s="3781" t="s">
        <v>2</v>
      </c>
      <c r="D197" s="3781" t="s">
        <v>3</v>
      </c>
      <c r="E197" s="3781" t="s">
        <v>4</v>
      </c>
      <c r="F197" s="3765" t="s">
        <v>5</v>
      </c>
      <c r="G197" t="s">
        <v>76</v>
      </c>
      <c r="H197" t="s">
        <v>77</v>
      </c>
      <c r="I197" t="s">
        <v>78</v>
      </c>
      <c r="J197" t="s">
        <v>79</v>
      </c>
    </row>
    <row r="198" spans="1:10" ht="24.75" customHeight="1" collapsed="1" thickBot="1">
      <c r="A198" s="3783"/>
      <c r="B198" s="3767"/>
      <c r="C198" s="3767"/>
      <c r="D198" s="3767"/>
      <c r="E198" s="3767"/>
      <c r="F198" s="3766"/>
    </row>
    <row r="199" spans="1:10" ht="15.75" outlineLevel="1" thickTop="1">
      <c r="A199" s="7" t="s">
        <v>250</v>
      </c>
      <c r="B199" s="5" t="s">
        <v>181</v>
      </c>
      <c r="C199" s="5" t="s">
        <v>189</v>
      </c>
      <c r="D199" s="5"/>
      <c r="E199" s="11">
        <v>0.2</v>
      </c>
      <c r="F199" s="6">
        <v>2438</v>
      </c>
      <c r="G199">
        <v>7000</v>
      </c>
      <c r="H199">
        <f>F199*G199</f>
        <v>17066000</v>
      </c>
      <c r="I199">
        <v>3048</v>
      </c>
      <c r="J199">
        <f>G199*I199</f>
        <v>21336000</v>
      </c>
    </row>
    <row r="200" spans="1:10" outlineLevel="1">
      <c r="A200" s="8"/>
      <c r="B200" s="1" t="s">
        <v>135</v>
      </c>
      <c r="C200" s="1"/>
      <c r="D200" s="1"/>
      <c r="E200" s="1"/>
      <c r="F200" s="6"/>
    </row>
    <row r="201" spans="1:10" outlineLevel="1">
      <c r="A201" s="8"/>
      <c r="B201" s="1" t="s">
        <v>180</v>
      </c>
      <c r="C201" s="1"/>
      <c r="D201" s="1"/>
      <c r="E201" s="1"/>
      <c r="F201" s="6"/>
      <c r="H201">
        <f>J199-H199</f>
        <v>4270000</v>
      </c>
      <c r="I201" t="s">
        <v>321</v>
      </c>
    </row>
    <row r="202" spans="1:10" outlineLevel="1">
      <c r="A202" s="8"/>
      <c r="B202" s="1"/>
      <c r="C202" s="1"/>
      <c r="D202" s="1"/>
      <c r="E202" s="1"/>
      <c r="F202" s="2"/>
      <c r="H202">
        <f>H201*1.2</f>
        <v>5124000</v>
      </c>
      <c r="I202" t="s">
        <v>81</v>
      </c>
    </row>
    <row r="203" spans="1:10" outlineLevel="1">
      <c r="A203" s="8"/>
      <c r="B203" s="1"/>
      <c r="C203" s="1"/>
      <c r="D203" s="1"/>
      <c r="E203" s="1"/>
      <c r="F203" s="2"/>
    </row>
    <row r="204" spans="1:10" outlineLevel="1">
      <c r="A204" s="8"/>
      <c r="B204" s="1"/>
      <c r="C204" s="1"/>
      <c r="D204" s="1"/>
      <c r="E204" s="1"/>
      <c r="F204" s="2"/>
    </row>
    <row r="205" spans="1:10" outlineLevel="1">
      <c r="A205" s="8"/>
      <c r="B205" s="1"/>
      <c r="C205" s="1"/>
      <c r="D205" s="1"/>
      <c r="E205" s="1"/>
      <c r="F205" s="2"/>
    </row>
    <row r="206" spans="1:10" outlineLevel="1">
      <c r="A206" s="8"/>
      <c r="B206" s="1"/>
      <c r="C206" s="1"/>
      <c r="D206" s="1"/>
      <c r="E206" s="1"/>
      <c r="F206" s="2"/>
    </row>
    <row r="207" spans="1:10" outlineLevel="1">
      <c r="A207" s="8"/>
      <c r="B207" s="1"/>
      <c r="C207" s="1"/>
      <c r="D207" s="1"/>
      <c r="E207" s="1"/>
      <c r="F207" s="2"/>
    </row>
    <row r="208" spans="1:10" outlineLevel="1">
      <c r="A208" s="8"/>
      <c r="B208" s="1"/>
      <c r="C208" s="1"/>
      <c r="D208" s="1"/>
      <c r="E208" s="1"/>
      <c r="F208" s="2"/>
    </row>
    <row r="209" spans="1:11" outlineLevel="1">
      <c r="A209" s="8"/>
      <c r="B209" s="1"/>
      <c r="C209" s="1"/>
      <c r="D209" s="1"/>
      <c r="E209" s="1"/>
      <c r="F209" s="2"/>
    </row>
    <row r="210" spans="1:11" ht="15.75" outlineLevel="1" thickBot="1">
      <c r="A210" s="9"/>
      <c r="B210" s="3"/>
      <c r="C210" s="3"/>
      <c r="D210" s="3"/>
      <c r="E210" s="3"/>
      <c r="F210" s="4"/>
    </row>
    <row r="211" spans="1:11" ht="16.5" thickTop="1" thickBot="1"/>
    <row r="212" spans="1:11" ht="15.75" thickTop="1">
      <c r="A212" s="3782" t="s">
        <v>0</v>
      </c>
      <c r="B212" s="3781" t="s">
        <v>1</v>
      </c>
      <c r="C212" s="3781" t="s">
        <v>2</v>
      </c>
      <c r="D212" s="3781" t="s">
        <v>3</v>
      </c>
      <c r="E212" s="3781" t="s">
        <v>4</v>
      </c>
      <c r="F212" s="3765" t="s">
        <v>5</v>
      </c>
    </row>
    <row r="213" spans="1:11" ht="24.75" customHeight="1" collapsed="1" thickBot="1">
      <c r="A213" s="3783"/>
      <c r="B213" s="3767"/>
      <c r="C213" s="3767"/>
      <c r="D213" s="3767"/>
      <c r="E213" s="3767"/>
      <c r="F213" s="3766"/>
      <c r="G213" t="s">
        <v>76</v>
      </c>
      <c r="H213" t="s">
        <v>77</v>
      </c>
      <c r="I213" t="s">
        <v>78</v>
      </c>
      <c r="J213" t="s">
        <v>79</v>
      </c>
    </row>
    <row r="214" spans="1:11" ht="15.75" outlineLevel="1" thickTop="1">
      <c r="A214" s="7" t="s">
        <v>301</v>
      </c>
      <c r="B214" s="5" t="s">
        <v>202</v>
      </c>
      <c r="C214" s="5" t="s">
        <v>231</v>
      </c>
      <c r="D214" s="5" t="s">
        <v>20</v>
      </c>
      <c r="E214" s="11">
        <v>0.15</v>
      </c>
      <c r="F214" s="6">
        <v>6484</v>
      </c>
      <c r="G214">
        <v>6702</v>
      </c>
      <c r="H214">
        <f>F214*G214</f>
        <v>43455768</v>
      </c>
      <c r="I214">
        <v>7628</v>
      </c>
      <c r="J214">
        <f>I214*G214</f>
        <v>51122856</v>
      </c>
      <c r="K214">
        <f>J214-H214</f>
        <v>7667088</v>
      </c>
    </row>
    <row r="215" spans="1:11" outlineLevel="1">
      <c r="A215" s="8"/>
      <c r="B215" s="1"/>
      <c r="C215" s="1" t="s">
        <v>302</v>
      </c>
      <c r="D215" s="5" t="s">
        <v>20</v>
      </c>
      <c r="E215" s="12">
        <v>0.35</v>
      </c>
      <c r="F215" s="2">
        <v>3473</v>
      </c>
      <c r="G215">
        <v>3240</v>
      </c>
      <c r="H215">
        <f>F215*G215</f>
        <v>11252520</v>
      </c>
      <c r="I215">
        <v>5215</v>
      </c>
      <c r="J215">
        <f>I215*G215</f>
        <v>16896600</v>
      </c>
      <c r="K215">
        <f>K214*1.2</f>
        <v>9200505.5999999996</v>
      </c>
    </row>
    <row r="216" spans="1:11" outlineLevel="1">
      <c r="A216" s="8"/>
      <c r="B216" s="1"/>
      <c r="C216" s="1" t="s">
        <v>303</v>
      </c>
      <c r="D216" s="5" t="s">
        <v>20</v>
      </c>
      <c r="E216" s="12">
        <v>0.35</v>
      </c>
      <c r="F216" s="2">
        <v>3473</v>
      </c>
      <c r="G216">
        <v>3324</v>
      </c>
      <c r="H216">
        <f>F216*G216</f>
        <v>11544252</v>
      </c>
      <c r="I216">
        <v>5215</v>
      </c>
      <c r="J216">
        <f>I216*G216</f>
        <v>17334660</v>
      </c>
    </row>
    <row r="217" spans="1:11" outlineLevel="1">
      <c r="A217" s="8"/>
      <c r="B217" s="1"/>
      <c r="C217" s="1"/>
      <c r="D217" s="1"/>
      <c r="E217" s="1"/>
      <c r="F217" s="2"/>
      <c r="H217">
        <f>SUM(H214:H216)</f>
        <v>66252540</v>
      </c>
      <c r="J217">
        <f>SUM(J214:J216)</f>
        <v>85354116</v>
      </c>
    </row>
    <row r="218" spans="1:11" outlineLevel="1">
      <c r="A218" s="8"/>
      <c r="B218" s="1"/>
      <c r="C218" s="1"/>
      <c r="D218" s="1"/>
      <c r="E218" s="1"/>
      <c r="F218" s="2"/>
    </row>
    <row r="219" spans="1:11" outlineLevel="1">
      <c r="A219" s="8"/>
      <c r="B219" s="1"/>
      <c r="C219" s="1"/>
      <c r="D219" s="1"/>
      <c r="E219" s="1"/>
      <c r="F219" s="2"/>
      <c r="H219">
        <f>J217-H217</f>
        <v>19101576</v>
      </c>
    </row>
    <row r="220" spans="1:11" outlineLevel="1">
      <c r="A220" s="8"/>
      <c r="B220" s="1"/>
      <c r="C220" s="1"/>
      <c r="D220" s="1"/>
      <c r="E220" s="1"/>
      <c r="F220" s="2"/>
      <c r="H220">
        <f>H219*1.2</f>
        <v>22921891.199999999</v>
      </c>
    </row>
    <row r="221" spans="1:11" outlineLevel="1">
      <c r="A221" s="8"/>
      <c r="B221" s="1"/>
      <c r="C221" s="1"/>
      <c r="D221" s="1"/>
      <c r="E221" s="1"/>
      <c r="F221" s="2"/>
    </row>
    <row r="222" spans="1:11" outlineLevel="1">
      <c r="A222" s="8"/>
      <c r="B222" s="1"/>
      <c r="C222" s="1"/>
      <c r="D222" s="1"/>
      <c r="E222" s="1"/>
      <c r="F222" s="2"/>
    </row>
    <row r="223" spans="1:11" outlineLevel="1">
      <c r="A223" s="8"/>
      <c r="B223" s="1"/>
      <c r="C223" s="1"/>
      <c r="D223" s="1"/>
      <c r="E223" s="1"/>
      <c r="F223" s="2"/>
    </row>
    <row r="224" spans="1:11" outlineLevel="1">
      <c r="A224" s="8"/>
      <c r="B224" s="1"/>
      <c r="C224" s="1"/>
      <c r="D224" s="1"/>
      <c r="E224" s="1"/>
      <c r="F224" s="2"/>
    </row>
    <row r="225" spans="1:12" ht="15.75" outlineLevel="1" thickBot="1">
      <c r="A225" s="9"/>
      <c r="B225" s="3"/>
      <c r="C225" s="3"/>
      <c r="D225" s="3"/>
      <c r="E225" s="3"/>
      <c r="F225" s="4"/>
    </row>
    <row r="226" spans="1:12" ht="16.5" thickTop="1" thickBot="1"/>
    <row r="227" spans="1:12" ht="15.75" thickTop="1">
      <c r="A227" s="3782" t="s">
        <v>0</v>
      </c>
      <c r="B227" s="3781" t="s">
        <v>1</v>
      </c>
      <c r="C227" s="3781" t="s">
        <v>2</v>
      </c>
      <c r="D227" s="3781" t="s">
        <v>3</v>
      </c>
      <c r="E227" s="3781" t="s">
        <v>4</v>
      </c>
      <c r="F227" s="3765" t="s">
        <v>5</v>
      </c>
      <c r="G227" t="s">
        <v>76</v>
      </c>
      <c r="H227" t="s">
        <v>77</v>
      </c>
      <c r="I227" t="s">
        <v>78</v>
      </c>
      <c r="J227" t="s">
        <v>79</v>
      </c>
    </row>
    <row r="228" spans="1:12" ht="24.75" customHeight="1" collapsed="1" thickBot="1">
      <c r="A228" s="3783"/>
      <c r="B228" s="3767"/>
      <c r="C228" s="3767"/>
      <c r="D228" s="3767"/>
      <c r="E228" s="3767"/>
      <c r="F228" s="3766"/>
    </row>
    <row r="229" spans="1:12" ht="15.75" outlineLevel="1" thickTop="1">
      <c r="A229" s="7" t="s">
        <v>352</v>
      </c>
      <c r="B229" s="5" t="s">
        <v>232</v>
      </c>
      <c r="C229" s="5" t="s">
        <v>273</v>
      </c>
      <c r="D229" s="5"/>
      <c r="E229" s="11">
        <v>0.15</v>
      </c>
      <c r="F229" s="6">
        <v>3756</v>
      </c>
      <c r="G229">
        <v>10655</v>
      </c>
      <c r="H229">
        <f>F229*G229</f>
        <v>40020180</v>
      </c>
      <c r="I229">
        <v>4419</v>
      </c>
      <c r="J229">
        <f>G229*I229</f>
        <v>47084445</v>
      </c>
      <c r="K229">
        <f>J229-H229</f>
        <v>7064265</v>
      </c>
      <c r="L229">
        <f>K229*1.2</f>
        <v>8477118</v>
      </c>
    </row>
    <row r="230" spans="1:12" outlineLevel="1">
      <c r="A230" s="8"/>
      <c r="B230" s="5"/>
      <c r="C230" s="1" t="s">
        <v>177</v>
      </c>
      <c r="D230" s="1"/>
      <c r="E230" s="11">
        <v>0.15</v>
      </c>
      <c r="F230" s="6">
        <v>3756</v>
      </c>
    </row>
    <row r="231" spans="1:12" outlineLevel="1">
      <c r="A231" s="8"/>
      <c r="B231" s="5"/>
      <c r="C231" s="1" t="s">
        <v>178</v>
      </c>
      <c r="D231" s="1"/>
      <c r="E231" s="11">
        <v>0.15</v>
      </c>
      <c r="F231" s="6">
        <v>3756</v>
      </c>
    </row>
    <row r="232" spans="1:12" outlineLevel="1">
      <c r="A232" s="8"/>
      <c r="B232" s="1"/>
      <c r="C232" s="1"/>
      <c r="D232" s="1"/>
      <c r="E232" s="1"/>
      <c r="F232" s="2"/>
    </row>
    <row r="233" spans="1:12" outlineLevel="1">
      <c r="A233" s="8"/>
      <c r="B233" s="1"/>
      <c r="C233" s="1"/>
      <c r="D233" s="1"/>
      <c r="E233" s="1"/>
      <c r="F233" s="2"/>
    </row>
    <row r="234" spans="1:12" outlineLevel="1">
      <c r="A234" s="8"/>
      <c r="B234" s="1"/>
      <c r="C234" s="1"/>
      <c r="D234" s="1"/>
      <c r="E234" s="1"/>
      <c r="F234" s="2"/>
    </row>
    <row r="235" spans="1:12" outlineLevel="1">
      <c r="A235" s="8"/>
      <c r="B235" s="1"/>
      <c r="C235" s="1"/>
      <c r="D235" s="1"/>
      <c r="E235" s="1"/>
      <c r="F235" s="2"/>
    </row>
    <row r="236" spans="1:12" outlineLevel="1">
      <c r="A236" s="8"/>
      <c r="B236" s="1"/>
      <c r="C236" s="1"/>
      <c r="D236" s="1"/>
      <c r="E236" s="1"/>
      <c r="F236" s="2"/>
    </row>
    <row r="237" spans="1:12" outlineLevel="1">
      <c r="A237" s="8"/>
      <c r="B237" s="1"/>
      <c r="C237" s="1"/>
      <c r="D237" s="1"/>
      <c r="E237" s="1"/>
      <c r="F237" s="2"/>
    </row>
    <row r="238" spans="1:12" outlineLevel="1">
      <c r="A238" s="8"/>
      <c r="B238" s="1"/>
      <c r="C238" s="1"/>
      <c r="D238" s="1"/>
      <c r="E238" s="1"/>
      <c r="F238" s="2"/>
    </row>
    <row r="239" spans="1:12" outlineLevel="1">
      <c r="A239" s="8"/>
      <c r="B239" s="1"/>
      <c r="C239" s="1"/>
      <c r="D239" s="1"/>
      <c r="E239" s="1"/>
      <c r="F239" s="2"/>
    </row>
    <row r="240" spans="1:12" ht="15.75" outlineLevel="1" thickBot="1">
      <c r="A240" s="9"/>
      <c r="B240" s="3"/>
      <c r="C240" s="3"/>
      <c r="D240" s="3"/>
      <c r="E240" s="3"/>
      <c r="F240" s="4"/>
    </row>
    <row r="241" spans="1:10" ht="16.5" thickTop="1" thickBot="1"/>
    <row r="242" spans="1:10" ht="15.75" thickTop="1">
      <c r="A242" s="3782" t="s">
        <v>0</v>
      </c>
      <c r="B242" s="3781" t="s">
        <v>1</v>
      </c>
      <c r="C242" s="3781" t="s">
        <v>2</v>
      </c>
      <c r="D242" s="3781" t="s">
        <v>3</v>
      </c>
      <c r="E242" s="3781" t="s">
        <v>4</v>
      </c>
      <c r="F242" s="3765" t="s">
        <v>5</v>
      </c>
      <c r="G242" t="s">
        <v>76</v>
      </c>
      <c r="H242" t="s">
        <v>77</v>
      </c>
      <c r="I242" t="s">
        <v>78</v>
      </c>
      <c r="J242" t="s">
        <v>79</v>
      </c>
    </row>
    <row r="243" spans="1:10" ht="24.75" customHeight="1" collapsed="1" thickBot="1">
      <c r="A243" s="3783"/>
      <c r="B243" s="3767"/>
      <c r="C243" s="3767"/>
      <c r="D243" s="3767"/>
      <c r="E243" s="3767"/>
      <c r="F243" s="3766"/>
    </row>
    <row r="244" spans="1:10" ht="15.75" outlineLevel="1" thickTop="1">
      <c r="A244" s="130" t="s">
        <v>359</v>
      </c>
      <c r="B244" s="5" t="s">
        <v>202</v>
      </c>
      <c r="C244" s="5" t="s">
        <v>361</v>
      </c>
      <c r="D244" s="5" t="s">
        <v>360</v>
      </c>
      <c r="E244" s="11">
        <v>0.25</v>
      </c>
      <c r="F244" s="6">
        <v>10892</v>
      </c>
      <c r="G244">
        <v>8630</v>
      </c>
      <c r="H244">
        <f>F244*G244</f>
        <v>93997960</v>
      </c>
      <c r="I244">
        <v>14523</v>
      </c>
      <c r="J244">
        <f>G244*I244</f>
        <v>125333490</v>
      </c>
    </row>
    <row r="245" spans="1:10" outlineLevel="1">
      <c r="A245" s="8"/>
      <c r="B245" s="1"/>
      <c r="C245" s="1" t="s">
        <v>362</v>
      </c>
      <c r="D245" s="5" t="s">
        <v>360</v>
      </c>
      <c r="E245" s="11">
        <v>0.25</v>
      </c>
      <c r="F245" s="2">
        <v>10892</v>
      </c>
    </row>
    <row r="246" spans="1:10" outlineLevel="1">
      <c r="A246" s="8"/>
      <c r="B246" s="1"/>
      <c r="C246" s="1" t="s">
        <v>184</v>
      </c>
      <c r="D246" s="5" t="s">
        <v>360</v>
      </c>
      <c r="E246" s="11">
        <v>0.25</v>
      </c>
      <c r="F246" s="2">
        <v>10892</v>
      </c>
    </row>
    <row r="247" spans="1:10" outlineLevel="1">
      <c r="A247" s="8"/>
      <c r="B247" s="1"/>
      <c r="C247" s="1" t="s">
        <v>185</v>
      </c>
      <c r="D247" s="5" t="s">
        <v>360</v>
      </c>
      <c r="E247" s="11">
        <v>0.25</v>
      </c>
      <c r="F247" s="2">
        <v>10892</v>
      </c>
    </row>
    <row r="248" spans="1:10" outlineLevel="1">
      <c r="A248" s="8"/>
      <c r="B248" s="1"/>
      <c r="C248" s="1" t="s">
        <v>341</v>
      </c>
      <c r="D248" s="5" t="s">
        <v>360</v>
      </c>
      <c r="E248" s="11">
        <v>0.25</v>
      </c>
      <c r="F248" s="2">
        <v>4229</v>
      </c>
      <c r="G248">
        <v>8840</v>
      </c>
      <c r="H248">
        <f>F248*G248</f>
        <v>37384360</v>
      </c>
      <c r="I248">
        <v>5638</v>
      </c>
      <c r="J248">
        <f>G248*I248</f>
        <v>49839920</v>
      </c>
    </row>
    <row r="249" spans="1:10" outlineLevel="1">
      <c r="A249" s="8"/>
      <c r="B249" s="1"/>
      <c r="C249" s="1" t="s">
        <v>53</v>
      </c>
      <c r="D249" s="5" t="s">
        <v>360</v>
      </c>
      <c r="E249" s="11">
        <v>0.25</v>
      </c>
      <c r="F249" s="2">
        <v>5576</v>
      </c>
      <c r="G249">
        <v>9555</v>
      </c>
      <c r="H249">
        <f>F249*G249</f>
        <v>53278680</v>
      </c>
      <c r="I249">
        <v>7435</v>
      </c>
      <c r="J249">
        <f>G249*I249</f>
        <v>71041425</v>
      </c>
    </row>
    <row r="250" spans="1:10" outlineLevel="1">
      <c r="A250" s="8"/>
      <c r="B250" s="1"/>
      <c r="C250" s="1"/>
      <c r="D250" s="1"/>
      <c r="E250" s="1"/>
      <c r="F250" s="2"/>
    </row>
    <row r="251" spans="1:10" outlineLevel="1">
      <c r="A251" s="8"/>
      <c r="B251" s="1"/>
      <c r="C251" s="1"/>
      <c r="D251" s="1"/>
      <c r="E251" s="1"/>
      <c r="F251" s="2"/>
    </row>
    <row r="252" spans="1:10" outlineLevel="1">
      <c r="A252" s="8"/>
      <c r="B252" s="1"/>
      <c r="C252" s="1"/>
      <c r="D252" s="1"/>
      <c r="E252" s="1"/>
      <c r="F252" s="2"/>
      <c r="H252">
        <f>SUM(H244:H251)</f>
        <v>184661000</v>
      </c>
      <c r="J252">
        <f>SUM(J244:J251)</f>
        <v>246214835</v>
      </c>
    </row>
    <row r="253" spans="1:10" outlineLevel="1">
      <c r="A253" s="8"/>
      <c r="B253" s="1"/>
      <c r="C253" s="1"/>
      <c r="D253" s="1"/>
      <c r="E253" s="1"/>
      <c r="F253" s="2"/>
      <c r="H253">
        <v>61553835</v>
      </c>
    </row>
    <row r="254" spans="1:10" outlineLevel="1">
      <c r="A254" s="8"/>
      <c r="B254" s="1"/>
      <c r="C254" s="1"/>
      <c r="D254" s="1"/>
      <c r="E254" s="1"/>
      <c r="F254" s="2"/>
      <c r="H254">
        <v>73864602</v>
      </c>
    </row>
    <row r="255" spans="1:10" ht="15.75" outlineLevel="1" thickBot="1">
      <c r="A255" s="9"/>
      <c r="B255" s="3"/>
      <c r="C255" s="3"/>
      <c r="D255" s="3"/>
      <c r="E255" s="3"/>
      <c r="F255" s="4"/>
    </row>
    <row r="256" spans="1:10" ht="16.5" thickTop="1" thickBot="1"/>
    <row r="257" spans="1:10" ht="15.75" thickTop="1">
      <c r="A257" s="3782" t="s">
        <v>0</v>
      </c>
      <c r="B257" s="3781" t="s">
        <v>1</v>
      </c>
      <c r="C257" s="3781" t="s">
        <v>2</v>
      </c>
      <c r="D257" s="3781" t="s">
        <v>3</v>
      </c>
      <c r="E257" s="3781" t="s">
        <v>4</v>
      </c>
      <c r="F257" s="3765" t="s">
        <v>5</v>
      </c>
      <c r="G257" t="s">
        <v>76</v>
      </c>
      <c r="H257" t="s">
        <v>77</v>
      </c>
      <c r="I257" t="s">
        <v>78</v>
      </c>
      <c r="J257" t="s">
        <v>79</v>
      </c>
    </row>
    <row r="258" spans="1:10" ht="24.75" customHeight="1" collapsed="1" thickBot="1">
      <c r="A258" s="3783"/>
      <c r="B258" s="3767"/>
      <c r="C258" s="3767"/>
      <c r="D258" s="3767"/>
      <c r="E258" s="3767"/>
      <c r="F258" s="3766"/>
    </row>
    <row r="259" spans="1:10" ht="15.75" outlineLevel="1" thickTop="1">
      <c r="A259" s="7" t="s">
        <v>365</v>
      </c>
      <c r="B259" s="5" t="s">
        <v>181</v>
      </c>
      <c r="C259" s="5" t="s">
        <v>68</v>
      </c>
      <c r="D259" s="5" t="s">
        <v>343</v>
      </c>
      <c r="E259" s="11">
        <v>0.3</v>
      </c>
      <c r="F259" s="6">
        <v>6426</v>
      </c>
      <c r="G259">
        <v>20210</v>
      </c>
      <c r="H259">
        <v>129869460</v>
      </c>
      <c r="I259">
        <v>9180</v>
      </c>
      <c r="J259">
        <v>185527800</v>
      </c>
    </row>
    <row r="260" spans="1:10" outlineLevel="1">
      <c r="A260" s="8"/>
      <c r="B260" s="1" t="s">
        <v>366</v>
      </c>
      <c r="C260" s="1" t="s">
        <v>69</v>
      </c>
      <c r="D260" s="5" t="s">
        <v>343</v>
      </c>
      <c r="E260" s="11">
        <v>0.3</v>
      </c>
      <c r="F260" s="6">
        <v>6426</v>
      </c>
    </row>
    <row r="261" spans="1:10" outlineLevel="1">
      <c r="A261" s="8"/>
      <c r="B261" s="1" t="s">
        <v>134</v>
      </c>
      <c r="C261" s="1" t="s">
        <v>51</v>
      </c>
      <c r="D261" s="5" t="s">
        <v>343</v>
      </c>
      <c r="E261" s="11">
        <v>0.3</v>
      </c>
      <c r="F261" s="6">
        <v>6426</v>
      </c>
      <c r="H261">
        <f>J259-H259</f>
        <v>55658340</v>
      </c>
    </row>
    <row r="262" spans="1:10" outlineLevel="1">
      <c r="A262" s="8"/>
      <c r="B262" s="1" t="s">
        <v>132</v>
      </c>
      <c r="C262" s="1" t="s">
        <v>52</v>
      </c>
      <c r="D262" s="5" t="s">
        <v>343</v>
      </c>
      <c r="E262" s="11">
        <v>0.3</v>
      </c>
      <c r="F262" s="6">
        <v>6426</v>
      </c>
      <c r="H262">
        <f>H261*1.2</f>
        <v>66790008</v>
      </c>
    </row>
    <row r="263" spans="1:10" outlineLevel="1">
      <c r="A263" s="8"/>
      <c r="B263" s="1" t="s">
        <v>133</v>
      </c>
      <c r="C263" s="1"/>
      <c r="D263" s="1"/>
      <c r="E263" s="1"/>
      <c r="F263" s="2"/>
    </row>
    <row r="264" spans="1:10" outlineLevel="1">
      <c r="A264" s="8"/>
      <c r="B264" s="1" t="s">
        <v>135</v>
      </c>
      <c r="C264" s="1"/>
      <c r="D264" s="1"/>
      <c r="E264" s="1"/>
      <c r="F264" s="2"/>
    </row>
    <row r="265" spans="1:10" outlineLevel="1">
      <c r="A265" s="8"/>
      <c r="B265" s="1" t="s">
        <v>180</v>
      </c>
      <c r="C265" s="1"/>
      <c r="D265" s="1"/>
      <c r="E265" s="1"/>
      <c r="F265" s="2"/>
    </row>
    <row r="266" spans="1:10" outlineLevel="1">
      <c r="A266" s="8"/>
      <c r="B266" s="1" t="s">
        <v>179</v>
      </c>
      <c r="C266" s="1"/>
      <c r="D266" s="1"/>
      <c r="E266" s="1"/>
      <c r="F266" s="2"/>
    </row>
    <row r="267" spans="1:10" outlineLevel="1">
      <c r="A267" s="8"/>
      <c r="B267" s="1"/>
      <c r="C267" s="1"/>
      <c r="D267" s="1"/>
      <c r="E267" s="1"/>
      <c r="F267" s="2"/>
    </row>
    <row r="268" spans="1:10" outlineLevel="1">
      <c r="A268" s="8"/>
      <c r="B268" s="1"/>
      <c r="C268" s="1"/>
      <c r="D268" s="1"/>
      <c r="E268" s="1"/>
      <c r="F268" s="2"/>
    </row>
    <row r="269" spans="1:10" outlineLevel="1">
      <c r="A269" s="8"/>
      <c r="B269" s="1"/>
      <c r="C269" s="1"/>
      <c r="D269" s="1"/>
      <c r="E269" s="1"/>
      <c r="F269" s="2"/>
    </row>
    <row r="270" spans="1:10" ht="15.75" outlineLevel="1" thickBot="1">
      <c r="A270" s="9"/>
      <c r="B270" s="3"/>
      <c r="C270" s="3"/>
      <c r="D270" s="3"/>
      <c r="E270" s="3"/>
      <c r="F270" s="4"/>
    </row>
    <row r="271" spans="1:10" ht="16.5" thickTop="1" thickBot="1"/>
    <row r="272" spans="1:10" ht="15.75" thickTop="1">
      <c r="A272" s="3782" t="s">
        <v>0</v>
      </c>
      <c r="B272" s="3781" t="s">
        <v>1</v>
      </c>
      <c r="C272" s="3781" t="s">
        <v>2</v>
      </c>
      <c r="D272" s="3781" t="s">
        <v>3</v>
      </c>
      <c r="E272" s="3781" t="s">
        <v>4</v>
      </c>
      <c r="F272" s="3765" t="s">
        <v>5</v>
      </c>
    </row>
    <row r="273" spans="1:14" ht="24.75" customHeight="1" collapsed="1" thickBot="1">
      <c r="A273" s="3783"/>
      <c r="B273" s="3767"/>
      <c r="C273" s="3767"/>
      <c r="D273" s="3767"/>
      <c r="E273" s="3767"/>
      <c r="F273" s="3766"/>
    </row>
    <row r="274" spans="1:14" ht="15.75" outlineLevel="1" thickTop="1">
      <c r="A274" s="7" t="s">
        <v>384</v>
      </c>
      <c r="B274" s="5" t="s">
        <v>232</v>
      </c>
      <c r="C274" s="5" t="s">
        <v>385</v>
      </c>
      <c r="D274" s="5"/>
      <c r="E274" s="11">
        <v>0.15</v>
      </c>
      <c r="F274" s="6">
        <v>4768</v>
      </c>
      <c r="G274">
        <v>3193</v>
      </c>
      <c r="H274">
        <v>15224224</v>
      </c>
      <c r="I274">
        <v>5609</v>
      </c>
      <c r="J274">
        <f>I274*G274</f>
        <v>17909537</v>
      </c>
      <c r="K274">
        <f>J274-H274</f>
        <v>2685313</v>
      </c>
      <c r="L274">
        <f>K274*1.2</f>
        <v>3222375.6</v>
      </c>
    </row>
    <row r="275" spans="1:14" outlineLevel="1">
      <c r="A275" s="8"/>
      <c r="B275" s="1"/>
      <c r="C275" s="1" t="s">
        <v>386</v>
      </c>
      <c r="D275" s="1"/>
      <c r="E275" s="14">
        <v>0.15</v>
      </c>
      <c r="F275" s="6">
        <v>4768</v>
      </c>
    </row>
    <row r="276" spans="1:14" outlineLevel="1">
      <c r="A276" s="8"/>
      <c r="B276" s="1"/>
      <c r="C276" s="1" t="s">
        <v>387</v>
      </c>
      <c r="D276" s="1"/>
      <c r="E276" s="14">
        <v>0.15</v>
      </c>
      <c r="F276" s="6">
        <v>4768</v>
      </c>
    </row>
    <row r="277" spans="1:14" outlineLevel="1">
      <c r="A277" s="8"/>
      <c r="B277" s="1"/>
      <c r="C277" s="1" t="s">
        <v>388</v>
      </c>
      <c r="D277" s="1"/>
      <c r="E277" s="14">
        <v>0.15</v>
      </c>
      <c r="F277" s="6">
        <v>4768</v>
      </c>
    </row>
    <row r="278" spans="1:14" outlineLevel="1">
      <c r="A278" s="8"/>
      <c r="B278" s="1"/>
      <c r="C278" s="1" t="s">
        <v>389</v>
      </c>
      <c r="D278" s="1"/>
      <c r="E278" s="12">
        <v>0.1</v>
      </c>
      <c r="F278" s="2">
        <v>28499</v>
      </c>
      <c r="G278">
        <v>854</v>
      </c>
      <c r="H278">
        <f>F278*G278</f>
        <v>24338146</v>
      </c>
      <c r="I278">
        <v>31665</v>
      </c>
      <c r="J278">
        <f>I278*G278</f>
        <v>27041910</v>
      </c>
      <c r="K278">
        <f>J278-H278</f>
        <v>2703764</v>
      </c>
      <c r="L278">
        <f>K278*1.2</f>
        <v>3244516.8</v>
      </c>
      <c r="M278">
        <f>L278/9200</f>
        <v>352.66486956521737</v>
      </c>
      <c r="N278">
        <f>L278/G278</f>
        <v>3799.2</v>
      </c>
    </row>
    <row r="279" spans="1:14" outlineLevel="1">
      <c r="A279" s="8"/>
      <c r="B279" s="1"/>
      <c r="C279" s="1" t="s">
        <v>390</v>
      </c>
      <c r="D279" s="1"/>
      <c r="E279" s="12">
        <v>0.1</v>
      </c>
      <c r="F279" s="2">
        <v>28499</v>
      </c>
    </row>
    <row r="280" spans="1:14" outlineLevel="1">
      <c r="A280" s="8"/>
      <c r="B280" s="1"/>
      <c r="C280" s="1" t="s">
        <v>23</v>
      </c>
      <c r="D280" s="1"/>
      <c r="E280" s="12">
        <v>0.2</v>
      </c>
      <c r="F280" s="2">
        <v>5337</v>
      </c>
      <c r="G280">
        <v>5900</v>
      </c>
      <c r="H280">
        <f>F280*G280</f>
        <v>31488300</v>
      </c>
      <c r="I280">
        <v>6671</v>
      </c>
      <c r="J280">
        <f>G280*I280</f>
        <v>39358900</v>
      </c>
      <c r="K280">
        <f>J280-H280</f>
        <v>7870600</v>
      </c>
      <c r="L280">
        <f>K280*1.2</f>
        <v>9444720</v>
      </c>
    </row>
    <row r="281" spans="1:14" outlineLevel="1">
      <c r="A281" s="8"/>
      <c r="B281" s="1"/>
      <c r="C281" s="1" t="s">
        <v>24</v>
      </c>
      <c r="D281" s="1"/>
      <c r="E281" s="12">
        <v>0.2</v>
      </c>
      <c r="F281" s="2">
        <v>5337</v>
      </c>
    </row>
    <row r="282" spans="1:14" outlineLevel="1">
      <c r="A282" s="8"/>
      <c r="B282" s="1"/>
      <c r="C282" s="1"/>
      <c r="D282" s="1"/>
      <c r="E282" s="1"/>
      <c r="F282" s="2"/>
    </row>
    <row r="283" spans="1:14" outlineLevel="1">
      <c r="A283" s="8"/>
      <c r="B283" s="1"/>
      <c r="C283" s="1"/>
      <c r="D283" s="1"/>
      <c r="E283" s="1"/>
      <c r="F283" s="2"/>
      <c r="H283">
        <f>I278-F278</f>
        <v>3166</v>
      </c>
    </row>
    <row r="284" spans="1:14" outlineLevel="1">
      <c r="A284" s="8"/>
      <c r="B284" s="1"/>
      <c r="C284" s="1"/>
      <c r="D284" s="1"/>
      <c r="E284" s="1"/>
      <c r="F284" s="2"/>
      <c r="H284">
        <f>H283*1.2</f>
        <v>3799.2</v>
      </c>
    </row>
    <row r="285" spans="1:14" ht="15.75" outlineLevel="1" thickBot="1">
      <c r="A285" s="9"/>
      <c r="B285" s="3"/>
      <c r="C285" s="3"/>
      <c r="D285" s="3"/>
      <c r="E285" s="3"/>
      <c r="F285" s="4"/>
    </row>
    <row r="286" spans="1:14" ht="16.5" thickTop="1" thickBot="1"/>
    <row r="287" spans="1:14" ht="15.75" thickTop="1">
      <c r="A287" s="3782" t="s">
        <v>0</v>
      </c>
      <c r="B287" s="3781" t="s">
        <v>1</v>
      </c>
      <c r="C287" s="3781" t="s">
        <v>2</v>
      </c>
      <c r="D287" s="3781" t="s">
        <v>3</v>
      </c>
      <c r="E287" s="3781" t="s">
        <v>4</v>
      </c>
      <c r="F287" s="3765" t="s">
        <v>5</v>
      </c>
    </row>
    <row r="288" spans="1:14" ht="24.75" customHeight="1" collapsed="1" thickBot="1">
      <c r="A288" s="3783"/>
      <c r="B288" s="3767"/>
      <c r="C288" s="3767"/>
      <c r="D288" s="3767"/>
      <c r="E288" s="3767"/>
      <c r="F288" s="3766"/>
    </row>
    <row r="289" spans="1:12" ht="15.75" outlineLevel="1" thickTop="1">
      <c r="A289" s="7" t="s">
        <v>427</v>
      </c>
      <c r="B289" s="5" t="s">
        <v>200</v>
      </c>
      <c r="C289" s="5" t="s">
        <v>160</v>
      </c>
      <c r="D289" s="5" t="s">
        <v>343</v>
      </c>
      <c r="E289" s="175">
        <v>0.13600000000000001</v>
      </c>
      <c r="F289" s="6">
        <v>117740</v>
      </c>
      <c r="G289">
        <v>3660</v>
      </c>
      <c r="H289">
        <f>F289*G289</f>
        <v>430928400</v>
      </c>
      <c r="I289">
        <v>136273</v>
      </c>
      <c r="J289">
        <f>I289*G289</f>
        <v>498759180</v>
      </c>
      <c r="K289">
        <f>J289-H289</f>
        <v>67830780</v>
      </c>
      <c r="L289">
        <f>K289*1.1</f>
        <v>74613858</v>
      </c>
    </row>
    <row r="290" spans="1:12" outlineLevel="1">
      <c r="A290" s="8"/>
      <c r="B290" s="1"/>
      <c r="C290" s="1" t="s">
        <v>113</v>
      </c>
      <c r="D290" s="5" t="s">
        <v>343</v>
      </c>
      <c r="E290" s="175">
        <v>0.13600000000000001</v>
      </c>
      <c r="F290" s="6">
        <v>117740</v>
      </c>
      <c r="I290">
        <f>I289-F289</f>
        <v>18533</v>
      </c>
    </row>
    <row r="291" spans="1:12" outlineLevel="1">
      <c r="A291" s="8"/>
      <c r="B291" s="1"/>
      <c r="C291" s="1" t="s">
        <v>161</v>
      </c>
      <c r="D291" s="5" t="s">
        <v>343</v>
      </c>
      <c r="E291" s="175">
        <v>0.13600000000000001</v>
      </c>
      <c r="F291" s="6">
        <v>117740</v>
      </c>
      <c r="I291">
        <f>I290*1.1</f>
        <v>20386.300000000003</v>
      </c>
    </row>
    <row r="292" spans="1:12" outlineLevel="1">
      <c r="A292" s="8"/>
      <c r="B292" s="1"/>
      <c r="C292" s="1"/>
      <c r="D292" s="1"/>
      <c r="E292" s="1"/>
      <c r="F292" s="2"/>
    </row>
    <row r="293" spans="1:12" outlineLevel="1">
      <c r="A293" s="8"/>
      <c r="B293" s="1"/>
      <c r="C293" s="1"/>
      <c r="D293" s="1"/>
      <c r="E293" s="1"/>
      <c r="F293" s="2"/>
    </row>
    <row r="294" spans="1:12" outlineLevel="1">
      <c r="A294" s="8"/>
      <c r="B294" s="1"/>
      <c r="C294" s="1"/>
      <c r="D294" s="1"/>
      <c r="E294" s="1"/>
      <c r="F294" s="2"/>
      <c r="I294">
        <f>I289*0.1</f>
        <v>13627.300000000001</v>
      </c>
    </row>
    <row r="295" spans="1:12" outlineLevel="1">
      <c r="A295" s="8"/>
      <c r="B295" s="1"/>
      <c r="C295" s="1"/>
      <c r="D295" s="1"/>
      <c r="E295" s="1"/>
      <c r="F295" s="2"/>
      <c r="I295">
        <f>I294*1.1</f>
        <v>14990.030000000002</v>
      </c>
    </row>
    <row r="296" spans="1:12" outlineLevel="1">
      <c r="A296" s="8"/>
      <c r="B296" s="1"/>
      <c r="C296" s="1"/>
      <c r="D296" s="1"/>
      <c r="E296" s="1"/>
      <c r="F296" s="2"/>
    </row>
    <row r="297" spans="1:12" outlineLevel="1">
      <c r="A297" s="8"/>
      <c r="B297" s="1"/>
      <c r="C297" s="1"/>
      <c r="D297" s="1"/>
      <c r="E297" s="1"/>
      <c r="F297" s="2"/>
    </row>
    <row r="298" spans="1:12" outlineLevel="1">
      <c r="A298" s="8"/>
      <c r="B298" s="1"/>
      <c r="C298" s="1"/>
      <c r="D298" s="1"/>
      <c r="E298" s="1"/>
      <c r="F298" s="2"/>
    </row>
    <row r="299" spans="1:12" outlineLevel="1">
      <c r="A299" s="8"/>
      <c r="B299" s="1"/>
      <c r="C299" s="1"/>
      <c r="D299" s="1"/>
      <c r="E299" s="1"/>
      <c r="F299" s="2"/>
    </row>
    <row r="300" spans="1:12" ht="15.75" outlineLevel="1" thickBot="1">
      <c r="A300" s="9"/>
      <c r="B300" s="3"/>
      <c r="C300" s="3"/>
      <c r="D300" s="3"/>
      <c r="E300" s="3"/>
      <c r="F300" s="4"/>
    </row>
    <row r="301" spans="1:12" ht="16.5" thickTop="1" thickBot="1"/>
    <row r="302" spans="1:12" ht="15.75" thickTop="1">
      <c r="A302" s="3782" t="s">
        <v>0</v>
      </c>
      <c r="B302" s="3781" t="s">
        <v>1</v>
      </c>
      <c r="C302" s="3781" t="s">
        <v>2</v>
      </c>
      <c r="D302" s="3781" t="s">
        <v>3</v>
      </c>
      <c r="E302" s="3781" t="s">
        <v>4</v>
      </c>
      <c r="F302" s="3765" t="s">
        <v>5</v>
      </c>
      <c r="G302" t="s">
        <v>76</v>
      </c>
      <c r="H302" t="s">
        <v>77</v>
      </c>
      <c r="I302" t="s">
        <v>78</v>
      </c>
      <c r="J302" t="s">
        <v>79</v>
      </c>
    </row>
    <row r="303" spans="1:12" ht="24.75" customHeight="1" collapsed="1" thickBot="1">
      <c r="A303" s="3783"/>
      <c r="B303" s="3767"/>
      <c r="C303" s="3767"/>
      <c r="D303" s="3767"/>
      <c r="E303" s="3767"/>
      <c r="F303" s="3766"/>
    </row>
    <row r="304" spans="1:12" ht="15.75" outlineLevel="1" thickTop="1">
      <c r="A304" s="7" t="s">
        <v>437</v>
      </c>
      <c r="B304" s="5" t="s">
        <v>202</v>
      </c>
      <c r="C304" s="5" t="s">
        <v>160</v>
      </c>
      <c r="D304" s="5" t="s">
        <v>343</v>
      </c>
      <c r="E304" s="11">
        <v>0.1</v>
      </c>
      <c r="F304" s="6">
        <v>122646</v>
      </c>
      <c r="G304">
        <v>190</v>
      </c>
      <c r="H304">
        <f>F304*G304</f>
        <v>23302740</v>
      </c>
      <c r="I304">
        <v>136273</v>
      </c>
      <c r="J304">
        <f>G304*I304</f>
        <v>25891870</v>
      </c>
    </row>
    <row r="305" spans="1:10" outlineLevel="1">
      <c r="A305" s="8"/>
      <c r="B305" s="1"/>
      <c r="C305" s="1" t="s">
        <v>113</v>
      </c>
      <c r="D305" s="5" t="s">
        <v>343</v>
      </c>
      <c r="E305" s="11">
        <v>0.1</v>
      </c>
      <c r="F305" s="6">
        <v>122646</v>
      </c>
    </row>
    <row r="306" spans="1:10" outlineLevel="1">
      <c r="A306" s="8"/>
      <c r="B306" s="1"/>
      <c r="C306" s="1" t="s">
        <v>161</v>
      </c>
      <c r="D306" s="5" t="s">
        <v>343</v>
      </c>
      <c r="E306" s="11">
        <v>0.1</v>
      </c>
      <c r="F306" s="6">
        <v>122646</v>
      </c>
      <c r="H306">
        <f>J304-H304</f>
        <v>2589130</v>
      </c>
    </row>
    <row r="307" spans="1:10" outlineLevel="1">
      <c r="A307" s="8"/>
      <c r="B307" s="1"/>
      <c r="C307" s="1"/>
      <c r="D307" s="1"/>
      <c r="E307" s="1"/>
      <c r="F307" s="2"/>
      <c r="H307">
        <f>H306*1.1</f>
        <v>2848043</v>
      </c>
      <c r="J307">
        <f>I304-F304</f>
        <v>13627</v>
      </c>
    </row>
    <row r="308" spans="1:10" outlineLevel="1">
      <c r="A308" s="8"/>
      <c r="B308" s="1"/>
      <c r="C308" s="1"/>
      <c r="D308" s="1"/>
      <c r="E308" s="1"/>
      <c r="F308" s="2"/>
      <c r="J308">
        <f>J307*1.1</f>
        <v>14989.7</v>
      </c>
    </row>
    <row r="309" spans="1:10" outlineLevel="1">
      <c r="A309" s="8"/>
      <c r="B309" s="1"/>
      <c r="C309" s="1"/>
      <c r="D309" s="1"/>
      <c r="E309" s="1"/>
      <c r="F309" s="2"/>
    </row>
    <row r="310" spans="1:10" outlineLevel="1">
      <c r="A310" s="8"/>
      <c r="B310" s="1"/>
      <c r="C310" s="1"/>
      <c r="D310" s="1"/>
      <c r="E310" s="1"/>
      <c r="F310" s="2"/>
    </row>
    <row r="311" spans="1:10" outlineLevel="1">
      <c r="A311" s="8"/>
      <c r="B311" s="1"/>
      <c r="C311" s="1"/>
      <c r="D311" s="1"/>
      <c r="E311" s="1"/>
      <c r="F311" s="2"/>
    </row>
    <row r="312" spans="1:10" outlineLevel="1">
      <c r="A312" s="8"/>
      <c r="B312" s="1"/>
      <c r="C312" s="1"/>
      <c r="D312" s="1"/>
      <c r="E312" s="1"/>
      <c r="F312" s="2"/>
    </row>
    <row r="313" spans="1:10" outlineLevel="1">
      <c r="A313" s="8"/>
      <c r="B313" s="1"/>
      <c r="C313" s="1"/>
      <c r="D313" s="1"/>
      <c r="E313" s="1"/>
      <c r="F313" s="2"/>
    </row>
    <row r="314" spans="1:10" outlineLevel="1">
      <c r="A314" s="8"/>
      <c r="B314" s="1"/>
      <c r="C314" s="1"/>
      <c r="D314" s="1"/>
      <c r="E314" s="1"/>
      <c r="F314" s="2"/>
    </row>
    <row r="315" spans="1:10" ht="15.75" outlineLevel="1" thickBot="1">
      <c r="A315" s="9"/>
      <c r="B315" s="3"/>
      <c r="C315" s="3"/>
      <c r="D315" s="3"/>
      <c r="E315" s="3"/>
      <c r="F315" s="4"/>
    </row>
    <row r="316" spans="1:10" ht="16.5" thickTop="1" thickBot="1"/>
    <row r="317" spans="1:10" ht="15.75" thickTop="1">
      <c r="A317" s="3782" t="s">
        <v>0</v>
      </c>
      <c r="B317" s="3781" t="s">
        <v>1</v>
      </c>
      <c r="C317" s="3781" t="s">
        <v>2</v>
      </c>
      <c r="D317" s="3781" t="s">
        <v>3</v>
      </c>
      <c r="E317" s="3781" t="s">
        <v>4</v>
      </c>
      <c r="F317" s="3765" t="s">
        <v>5</v>
      </c>
      <c r="G317" t="s">
        <v>76</v>
      </c>
      <c r="H317" t="s">
        <v>77</v>
      </c>
      <c r="I317" t="s">
        <v>78</v>
      </c>
      <c r="J317" t="s">
        <v>79</v>
      </c>
    </row>
    <row r="318" spans="1:10" ht="24.75" customHeight="1" collapsed="1" thickBot="1">
      <c r="A318" s="3783"/>
      <c r="B318" s="3767"/>
      <c r="C318" s="3767"/>
      <c r="D318" s="3767"/>
      <c r="E318" s="3767"/>
      <c r="F318" s="3766"/>
    </row>
    <row r="319" spans="1:10" ht="15.75" outlineLevel="1" thickTop="1">
      <c r="A319" s="7" t="s">
        <v>440</v>
      </c>
      <c r="B319" s="5" t="s">
        <v>180</v>
      </c>
      <c r="C319" s="5" t="s">
        <v>27</v>
      </c>
      <c r="D319" s="5" t="s">
        <v>343</v>
      </c>
      <c r="E319" s="11">
        <v>0.15</v>
      </c>
      <c r="F319" s="6">
        <v>7189</v>
      </c>
      <c r="G319">
        <v>18633</v>
      </c>
      <c r="H319">
        <v>133952637</v>
      </c>
      <c r="I319">
        <v>8458</v>
      </c>
      <c r="J319">
        <v>157597914</v>
      </c>
    </row>
    <row r="320" spans="1:10" outlineLevel="1">
      <c r="A320" s="8"/>
      <c r="B320" s="1" t="s">
        <v>135</v>
      </c>
      <c r="C320" s="1" t="s">
        <v>28</v>
      </c>
      <c r="D320" s="5" t="s">
        <v>343</v>
      </c>
      <c r="E320" s="11">
        <v>0.15</v>
      </c>
      <c r="F320" s="6">
        <v>7189</v>
      </c>
    </row>
    <row r="321" spans="1:12" outlineLevel="1">
      <c r="A321" s="8"/>
      <c r="B321" s="1" t="s">
        <v>181</v>
      </c>
      <c r="C321" s="1" t="s">
        <v>29</v>
      </c>
      <c r="D321" s="5" t="s">
        <v>343</v>
      </c>
      <c r="E321" s="11">
        <v>0.15</v>
      </c>
      <c r="F321" s="6">
        <v>7189</v>
      </c>
      <c r="H321">
        <f>J319-H319</f>
        <v>23645277</v>
      </c>
    </row>
    <row r="322" spans="1:12" outlineLevel="1">
      <c r="A322" s="8"/>
      <c r="B322" s="1" t="s">
        <v>366</v>
      </c>
      <c r="C322" s="1"/>
      <c r="D322" s="1"/>
      <c r="E322" s="1"/>
      <c r="F322" s="2"/>
      <c r="H322">
        <f>H321*1.2</f>
        <v>28374332.399999999</v>
      </c>
    </row>
    <row r="323" spans="1:12" outlineLevel="1">
      <c r="A323" s="8"/>
      <c r="B323" s="1"/>
      <c r="C323" s="1"/>
      <c r="D323" s="1"/>
      <c r="E323" s="1"/>
      <c r="F323" s="2"/>
    </row>
    <row r="324" spans="1:12" outlineLevel="1">
      <c r="A324" s="8"/>
      <c r="B324" s="1"/>
      <c r="C324" s="1"/>
      <c r="D324" s="1"/>
      <c r="E324" s="1"/>
      <c r="F324" s="2"/>
    </row>
    <row r="325" spans="1:12" outlineLevel="1">
      <c r="A325" s="8"/>
      <c r="B325" s="1"/>
      <c r="C325" s="1"/>
      <c r="D325" s="1"/>
      <c r="E325" s="1"/>
      <c r="F325" s="2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ht="15.75" outlineLevel="1" thickBot="1">
      <c r="A330" s="9"/>
      <c r="B330" s="3"/>
      <c r="C330" s="3"/>
      <c r="D330" s="3"/>
      <c r="E330" s="3"/>
      <c r="F330" s="4"/>
    </row>
    <row r="331" spans="1:12" ht="16.5" thickTop="1" thickBot="1"/>
    <row r="332" spans="1:12" ht="15.75" thickTop="1">
      <c r="A332" s="3782" t="s">
        <v>0</v>
      </c>
      <c r="B332" s="3781" t="s">
        <v>1</v>
      </c>
      <c r="C332" s="3781" t="s">
        <v>2</v>
      </c>
      <c r="D332" s="3781" t="s">
        <v>3</v>
      </c>
      <c r="E332" s="3781" t="s">
        <v>4</v>
      </c>
      <c r="F332" s="3765" t="s">
        <v>5</v>
      </c>
      <c r="G332" t="s">
        <v>76</v>
      </c>
      <c r="H332" t="s">
        <v>77</v>
      </c>
      <c r="I332" t="s">
        <v>78</v>
      </c>
      <c r="J332" t="s">
        <v>79</v>
      </c>
    </row>
    <row r="333" spans="1:12" ht="24.75" customHeight="1" collapsed="1" thickBot="1">
      <c r="A333" s="3783"/>
      <c r="B333" s="3767"/>
      <c r="C333" s="3767"/>
      <c r="D333" s="3767"/>
      <c r="E333" s="3767"/>
      <c r="F333" s="3766"/>
    </row>
    <row r="334" spans="1:12" ht="15.75" outlineLevel="1" thickTop="1">
      <c r="A334" s="7" t="s">
        <v>444</v>
      </c>
      <c r="B334" s="5" t="s">
        <v>445</v>
      </c>
      <c r="C334" s="5" t="s">
        <v>22</v>
      </c>
      <c r="D334" s="5" t="s">
        <v>343</v>
      </c>
      <c r="E334" s="11">
        <v>0.15</v>
      </c>
      <c r="F334" s="6">
        <v>9686</v>
      </c>
      <c r="G334">
        <v>60</v>
      </c>
      <c r="H334">
        <f>F334*G334</f>
        <v>581160</v>
      </c>
      <c r="I334">
        <v>11395</v>
      </c>
      <c r="J334">
        <f>G334*I334</f>
        <v>683700</v>
      </c>
      <c r="K334">
        <f>I334*1.2</f>
        <v>13674</v>
      </c>
      <c r="L334">
        <f>F334*1.2</f>
        <v>11623.199999999999</v>
      </c>
    </row>
    <row r="335" spans="1:12" outlineLevel="1">
      <c r="A335" s="8"/>
      <c r="B335" s="1"/>
      <c r="C335" s="1" t="s">
        <v>23</v>
      </c>
      <c r="D335" s="5" t="s">
        <v>343</v>
      </c>
      <c r="E335" s="11">
        <v>0.15</v>
      </c>
      <c r="F335" s="2">
        <v>5925</v>
      </c>
      <c r="G335">
        <v>50</v>
      </c>
      <c r="H335">
        <f>F335*G335</f>
        <v>296250</v>
      </c>
      <c r="I335">
        <v>6971</v>
      </c>
      <c r="J335">
        <f>G335*I335</f>
        <v>348550</v>
      </c>
      <c r="K335">
        <f>I335*1.2</f>
        <v>8365.1999999999989</v>
      </c>
      <c r="L335">
        <f>F335*1.2</f>
        <v>7110</v>
      </c>
    </row>
    <row r="336" spans="1:12" outlineLevel="1">
      <c r="A336" s="8"/>
      <c r="B336" s="1"/>
      <c r="C336" s="1" t="s">
        <v>24</v>
      </c>
      <c r="D336" s="5" t="s">
        <v>343</v>
      </c>
      <c r="E336" s="11">
        <v>0.15</v>
      </c>
      <c r="F336" s="2">
        <v>5925</v>
      </c>
    </row>
    <row r="337" spans="1:12" outlineLevel="1">
      <c r="A337" s="8"/>
      <c r="B337" s="1"/>
      <c r="C337" s="1"/>
      <c r="D337" s="1"/>
      <c r="E337" s="1"/>
      <c r="F337" s="2"/>
      <c r="I337">
        <f>J334+J335</f>
        <v>1032250</v>
      </c>
    </row>
    <row r="338" spans="1:12" outlineLevel="1">
      <c r="A338" s="8"/>
      <c r="B338" s="1"/>
      <c r="C338" s="1"/>
      <c r="D338" s="1"/>
      <c r="E338" s="1"/>
      <c r="F338" s="2"/>
      <c r="I338">
        <f>I337*1.2</f>
        <v>1238700</v>
      </c>
    </row>
    <row r="339" spans="1:12" outlineLevel="1">
      <c r="A339" s="8"/>
      <c r="B339" s="1"/>
      <c r="C339" s="1"/>
      <c r="D339" s="1"/>
      <c r="E339" s="1"/>
      <c r="F339" s="2"/>
    </row>
    <row r="340" spans="1:12" outlineLevel="1">
      <c r="A340" s="8"/>
      <c r="B340" s="1"/>
      <c r="C340" s="1"/>
      <c r="D340" s="1"/>
      <c r="E340" s="1"/>
      <c r="F340" s="6">
        <v>9686</v>
      </c>
      <c r="G340">
        <v>60</v>
      </c>
      <c r="H340">
        <f>F340*G340</f>
        <v>581160</v>
      </c>
      <c r="I340">
        <v>11395</v>
      </c>
      <c r="J340">
        <f>G340*I340</f>
        <v>683700</v>
      </c>
      <c r="K340">
        <f>J340-H340</f>
        <v>102540</v>
      </c>
      <c r="L340">
        <f>K340*1.2</f>
        <v>123048</v>
      </c>
    </row>
    <row r="341" spans="1:12" outlineLevel="1">
      <c r="A341" s="8"/>
      <c r="B341" s="1"/>
      <c r="C341" s="1"/>
      <c r="D341" s="1"/>
      <c r="E341" s="1"/>
      <c r="F341" s="2">
        <v>5925</v>
      </c>
      <c r="G341">
        <v>100</v>
      </c>
      <c r="H341">
        <f>F341*G341</f>
        <v>592500</v>
      </c>
      <c r="I341">
        <v>6971</v>
      </c>
      <c r="J341">
        <f>G341*I341</f>
        <v>697100</v>
      </c>
      <c r="K341">
        <f>J341-H341</f>
        <v>104600</v>
      </c>
      <c r="L341">
        <f>K341*1.2</f>
        <v>125520</v>
      </c>
    </row>
    <row r="342" spans="1:12" outlineLevel="1">
      <c r="A342" s="8"/>
      <c r="B342" s="1"/>
      <c r="C342" s="1"/>
      <c r="D342" s="1"/>
      <c r="E342" s="1"/>
      <c r="F342" s="2"/>
    </row>
    <row r="343" spans="1:12" outlineLevel="1">
      <c r="A343" s="8"/>
      <c r="B343" s="1"/>
      <c r="C343" s="1"/>
      <c r="D343" s="1"/>
      <c r="E343" s="1"/>
      <c r="F343" s="2"/>
    </row>
    <row r="344" spans="1:12" outlineLevel="1">
      <c r="A344" s="8"/>
      <c r="B344" s="1"/>
      <c r="C344" s="1"/>
      <c r="D344" s="1"/>
      <c r="E344" s="1"/>
      <c r="F344" s="2"/>
    </row>
    <row r="345" spans="1:12" ht="15.75" outlineLevel="1" thickBot="1">
      <c r="A345" s="9"/>
      <c r="B345" s="3"/>
      <c r="C345" s="3"/>
      <c r="D345" s="3"/>
      <c r="E345" s="3"/>
      <c r="F345" s="4"/>
    </row>
    <row r="346" spans="1:12" ht="16.5" thickTop="1" thickBot="1"/>
    <row r="347" spans="1:12" ht="15.75" thickTop="1">
      <c r="A347" s="3782" t="s">
        <v>0</v>
      </c>
      <c r="B347" s="3781" t="s">
        <v>1</v>
      </c>
      <c r="C347" s="3781" t="s">
        <v>2</v>
      </c>
      <c r="D347" s="3781" t="s">
        <v>3</v>
      </c>
      <c r="E347" s="3781" t="s">
        <v>4</v>
      </c>
      <c r="F347" s="3765" t="s">
        <v>5</v>
      </c>
    </row>
    <row r="348" spans="1:12" ht="24.75" customHeight="1" collapsed="1" thickBot="1">
      <c r="A348" s="3783"/>
      <c r="B348" s="3767"/>
      <c r="C348" s="3767"/>
      <c r="D348" s="3767"/>
      <c r="E348" s="3767"/>
      <c r="F348" s="3766"/>
    </row>
    <row r="349" spans="1:12" ht="15.75" outlineLevel="1" thickTop="1">
      <c r="A349" s="7" t="s">
        <v>468</v>
      </c>
      <c r="B349" s="5" t="s">
        <v>232</v>
      </c>
      <c r="C349" s="5" t="s">
        <v>469</v>
      </c>
      <c r="D349" s="5" t="s">
        <v>343</v>
      </c>
      <c r="E349" s="11">
        <v>0.15</v>
      </c>
      <c r="F349" s="6">
        <v>4569</v>
      </c>
      <c r="G349">
        <v>1695</v>
      </c>
      <c r="H349">
        <f>F349*G349</f>
        <v>7744455</v>
      </c>
      <c r="I349">
        <v>5375</v>
      </c>
      <c r="J349">
        <f>G349*I349</f>
        <v>9110625</v>
      </c>
    </row>
    <row r="350" spans="1:12" outlineLevel="1">
      <c r="A350" s="8"/>
      <c r="B350" s="1"/>
      <c r="C350" s="1" t="s">
        <v>470</v>
      </c>
      <c r="D350" s="5" t="s">
        <v>343</v>
      </c>
      <c r="E350" s="11">
        <v>0.15</v>
      </c>
      <c r="F350" s="6">
        <v>4569</v>
      </c>
    </row>
    <row r="351" spans="1:12" outlineLevel="1">
      <c r="A351" s="8"/>
      <c r="B351" s="1"/>
      <c r="C351" s="1" t="s">
        <v>471</v>
      </c>
      <c r="D351" s="5" t="s">
        <v>343</v>
      </c>
      <c r="E351" s="11">
        <v>0.15</v>
      </c>
      <c r="F351" s="6">
        <v>4569</v>
      </c>
      <c r="J351">
        <f>J349-H349</f>
        <v>1366170</v>
      </c>
    </row>
    <row r="352" spans="1:12" outlineLevel="1">
      <c r="A352" s="8"/>
      <c r="B352" s="1"/>
      <c r="C352" s="1" t="s">
        <v>472</v>
      </c>
      <c r="D352" s="5" t="s">
        <v>343</v>
      </c>
      <c r="E352" s="11">
        <v>0.15</v>
      </c>
      <c r="F352" s="6">
        <v>4569</v>
      </c>
      <c r="J352">
        <f>J351*1.2</f>
        <v>1639404</v>
      </c>
    </row>
    <row r="353" spans="1:12" outlineLevel="1">
      <c r="A353" s="8"/>
      <c r="B353" s="1"/>
      <c r="C353" s="1" t="s">
        <v>473</v>
      </c>
      <c r="D353" s="5" t="s">
        <v>343</v>
      </c>
      <c r="E353" s="11">
        <v>0.15</v>
      </c>
      <c r="F353" s="6">
        <v>4569</v>
      </c>
    </row>
    <row r="354" spans="1:12" outlineLevel="1">
      <c r="A354" s="8"/>
      <c r="B354" s="1"/>
      <c r="C354" s="1" t="s">
        <v>474</v>
      </c>
      <c r="D354" s="5" t="s">
        <v>343</v>
      </c>
      <c r="E354" s="11">
        <v>0.15</v>
      </c>
      <c r="F354" s="6">
        <v>4569</v>
      </c>
    </row>
    <row r="355" spans="1:12" outlineLevel="1">
      <c r="A355" s="8"/>
      <c r="B355" s="1"/>
      <c r="C355" s="1" t="s">
        <v>475</v>
      </c>
      <c r="D355" s="5" t="s">
        <v>343</v>
      </c>
      <c r="E355" s="11">
        <v>0.15</v>
      </c>
      <c r="F355" s="6">
        <v>4569</v>
      </c>
    </row>
    <row r="356" spans="1:12" outlineLevel="1">
      <c r="A356" s="8"/>
      <c r="B356" s="1"/>
      <c r="C356" s="1" t="s">
        <v>476</v>
      </c>
      <c r="D356" s="5" t="s">
        <v>343</v>
      </c>
      <c r="E356" s="11">
        <v>0.15</v>
      </c>
      <c r="F356" s="6">
        <v>4569</v>
      </c>
    </row>
    <row r="357" spans="1:12" outlineLevel="1">
      <c r="A357" s="8"/>
      <c r="B357" s="1"/>
      <c r="C357" s="1"/>
      <c r="D357" s="1"/>
      <c r="E357" s="1"/>
      <c r="F357" s="2"/>
    </row>
    <row r="358" spans="1:12" outlineLevel="1">
      <c r="A358" s="8"/>
      <c r="B358" s="1"/>
      <c r="C358" s="1"/>
      <c r="D358" s="1"/>
      <c r="E358" s="1"/>
      <c r="F358" s="2"/>
    </row>
    <row r="359" spans="1:12" outlineLevel="1">
      <c r="A359" s="8"/>
      <c r="B359" s="1"/>
      <c r="C359" s="1"/>
      <c r="D359" s="1"/>
      <c r="E359" s="1"/>
      <c r="F359" s="2"/>
    </row>
    <row r="360" spans="1:12" ht="15.75" outlineLevel="1" thickBot="1">
      <c r="A360" s="9"/>
      <c r="B360" s="3"/>
      <c r="C360" s="3"/>
      <c r="D360" s="3"/>
      <c r="E360" s="3"/>
      <c r="F360" s="4"/>
    </row>
    <row r="361" spans="1:12" ht="16.5" thickTop="1" thickBot="1"/>
    <row r="362" spans="1:12" ht="15.75" thickTop="1">
      <c r="A362" s="3782" t="s">
        <v>0</v>
      </c>
      <c r="B362" s="3781" t="s">
        <v>1</v>
      </c>
      <c r="C362" s="3781" t="s">
        <v>2</v>
      </c>
      <c r="D362" s="3781" t="s">
        <v>3</v>
      </c>
      <c r="E362" s="3781" t="s">
        <v>4</v>
      </c>
      <c r="F362" s="3765" t="s">
        <v>5</v>
      </c>
    </row>
    <row r="363" spans="1:12" ht="24.75" customHeight="1" collapsed="1" thickBot="1">
      <c r="A363" s="3783"/>
      <c r="B363" s="3767"/>
      <c r="C363" s="3767"/>
      <c r="D363" s="3767"/>
      <c r="E363" s="3767"/>
      <c r="F363" s="3766"/>
    </row>
    <row r="364" spans="1:12" ht="15.75" outlineLevel="1" thickTop="1">
      <c r="A364" s="7" t="s">
        <v>488</v>
      </c>
      <c r="B364" s="5" t="s">
        <v>202</v>
      </c>
      <c r="C364" s="5" t="s">
        <v>302</v>
      </c>
      <c r="D364" s="5" t="s">
        <v>360</v>
      </c>
      <c r="E364" s="11">
        <v>0.5</v>
      </c>
      <c r="F364" s="6">
        <v>3011</v>
      </c>
      <c r="G364">
        <v>9624</v>
      </c>
      <c r="H364">
        <f>F364*G364</f>
        <v>28977864</v>
      </c>
      <c r="I364">
        <v>6022</v>
      </c>
      <c r="J364">
        <f>G364*I364</f>
        <v>57955728</v>
      </c>
      <c r="K364">
        <f>J364-H364</f>
        <v>28977864</v>
      </c>
      <c r="L364">
        <f>K364*1.2</f>
        <v>34773436.799999997</v>
      </c>
    </row>
    <row r="365" spans="1:12" outlineLevel="1">
      <c r="A365" s="8"/>
      <c r="B365" s="1"/>
      <c r="C365" s="1" t="s">
        <v>303</v>
      </c>
      <c r="D365" s="5" t="s">
        <v>360</v>
      </c>
      <c r="E365" s="12">
        <v>0.5</v>
      </c>
      <c r="F365" s="2">
        <v>3011</v>
      </c>
    </row>
    <row r="366" spans="1:12" outlineLevel="1">
      <c r="A366" s="8"/>
      <c r="B366" s="1"/>
      <c r="C366" s="1" t="s">
        <v>53</v>
      </c>
      <c r="D366" s="5" t="s">
        <v>360</v>
      </c>
      <c r="E366" s="12">
        <v>0.15</v>
      </c>
      <c r="F366" s="2">
        <v>6637</v>
      </c>
      <c r="G366">
        <v>5765</v>
      </c>
      <c r="H366">
        <f>F366*G366</f>
        <v>38262305</v>
      </c>
      <c r="I366">
        <v>7808</v>
      </c>
      <c r="J366">
        <f>G366*I366</f>
        <v>45013120</v>
      </c>
      <c r="K366">
        <f>J366-H366</f>
        <v>6750815</v>
      </c>
    </row>
    <row r="367" spans="1:12" outlineLevel="1">
      <c r="A367" s="8"/>
      <c r="B367" s="1"/>
      <c r="C367" s="1"/>
      <c r="D367" s="1"/>
      <c r="E367" s="1"/>
      <c r="F367" s="2"/>
      <c r="K367">
        <f>K366*1.2</f>
        <v>8100978</v>
      </c>
    </row>
    <row r="368" spans="1:12" outlineLevel="1">
      <c r="A368" s="8"/>
      <c r="B368" s="1"/>
      <c r="C368" s="1"/>
      <c r="D368" s="1"/>
      <c r="E368" s="1"/>
      <c r="F368" s="2"/>
    </row>
    <row r="369" spans="1:11" outlineLevel="1">
      <c r="A369" s="8"/>
      <c r="B369" s="1"/>
      <c r="C369" s="1"/>
      <c r="D369" s="1"/>
      <c r="E369" s="1"/>
      <c r="F369" s="2"/>
    </row>
    <row r="370" spans="1:11" outlineLevel="1">
      <c r="A370" s="8"/>
      <c r="B370" s="1"/>
      <c r="C370" s="1"/>
      <c r="D370" s="1"/>
      <c r="E370" s="1"/>
      <c r="F370" s="2"/>
    </row>
    <row r="371" spans="1:11" outlineLevel="1">
      <c r="A371" s="8"/>
      <c r="B371" s="1"/>
      <c r="C371" s="1"/>
      <c r="D371" s="1"/>
      <c r="E371" s="1"/>
      <c r="F371" s="2"/>
    </row>
    <row r="372" spans="1:11" outlineLevel="1">
      <c r="A372" s="8"/>
      <c r="B372" s="1"/>
      <c r="C372" s="1"/>
      <c r="D372" s="1"/>
      <c r="E372" s="1"/>
      <c r="F372" s="2"/>
    </row>
    <row r="373" spans="1:11" outlineLevel="1">
      <c r="A373" s="8"/>
      <c r="B373" s="1"/>
      <c r="C373" s="1"/>
      <c r="D373" s="1"/>
      <c r="E373" s="1"/>
      <c r="F373" s="2"/>
    </row>
    <row r="374" spans="1:11" outlineLevel="1">
      <c r="A374" s="8"/>
      <c r="B374" s="1"/>
      <c r="C374" s="1"/>
      <c r="D374" s="1"/>
      <c r="E374" s="1"/>
      <c r="F374" s="2"/>
    </row>
    <row r="375" spans="1:11" ht="15.75" outlineLevel="1" thickBot="1">
      <c r="A375" s="9"/>
      <c r="B375" s="3"/>
      <c r="C375" s="3"/>
      <c r="D375" s="3"/>
      <c r="E375" s="3"/>
      <c r="F375" s="4"/>
    </row>
    <row r="376" spans="1:11" ht="16.5" thickTop="1" thickBot="1"/>
    <row r="377" spans="1:11" ht="15.75" thickTop="1">
      <c r="A377" s="3782" t="s">
        <v>0</v>
      </c>
      <c r="B377" s="3781" t="s">
        <v>1</v>
      </c>
      <c r="C377" s="3781" t="s">
        <v>2</v>
      </c>
      <c r="D377" s="3781" t="s">
        <v>3</v>
      </c>
      <c r="E377" s="3781" t="s">
        <v>4</v>
      </c>
      <c r="F377" s="3765" t="s">
        <v>5</v>
      </c>
    </row>
    <row r="378" spans="1:11" ht="24.75" customHeight="1" collapsed="1" thickBot="1">
      <c r="A378" s="3783"/>
      <c r="B378" s="3767"/>
      <c r="C378" s="3767"/>
      <c r="D378" s="3767"/>
      <c r="E378" s="3767"/>
      <c r="F378" s="3766"/>
    </row>
    <row r="379" spans="1:11" ht="15.75" outlineLevel="1" thickTop="1">
      <c r="A379" s="7" t="s">
        <v>489</v>
      </c>
      <c r="B379" s="5" t="s">
        <v>200</v>
      </c>
      <c r="C379" s="5" t="s">
        <v>326</v>
      </c>
      <c r="D379" s="5" t="s">
        <v>490</v>
      </c>
      <c r="E379" s="175">
        <v>0.14349999999999999</v>
      </c>
      <c r="F379" s="6">
        <v>140065</v>
      </c>
      <c r="G379">
        <v>4791</v>
      </c>
      <c r="H379">
        <f>F379*G379</f>
        <v>671051415</v>
      </c>
      <c r="I379">
        <v>163545</v>
      </c>
      <c r="J379">
        <f>G379*I379</f>
        <v>783544095</v>
      </c>
      <c r="K379">
        <f>J379-H379</f>
        <v>112492680</v>
      </c>
    </row>
    <row r="380" spans="1:11" outlineLevel="1">
      <c r="A380" s="8"/>
      <c r="B380" s="1"/>
      <c r="C380" s="1" t="s">
        <v>328</v>
      </c>
      <c r="D380" s="5" t="s">
        <v>490</v>
      </c>
      <c r="E380" s="175">
        <v>0.14349999999999999</v>
      </c>
      <c r="F380" s="2">
        <v>140065</v>
      </c>
      <c r="K380">
        <f>K379*1.1</f>
        <v>123741948.00000001</v>
      </c>
    </row>
    <row r="381" spans="1:11" outlineLevel="1">
      <c r="A381" s="8"/>
      <c r="B381" s="1"/>
      <c r="C381" s="1" t="s">
        <v>327</v>
      </c>
      <c r="D381" s="5" t="s">
        <v>490</v>
      </c>
      <c r="E381" s="175">
        <v>0.14349999999999999</v>
      </c>
      <c r="F381" s="2">
        <v>140065</v>
      </c>
      <c r="I381">
        <f>F379/0.9</f>
        <v>155627.77777777778</v>
      </c>
    </row>
    <row r="382" spans="1:11" outlineLevel="1">
      <c r="A382" s="8"/>
      <c r="B382" s="1"/>
      <c r="C382" s="1"/>
      <c r="D382" s="1"/>
      <c r="E382" s="1"/>
      <c r="F382" s="2"/>
      <c r="I382">
        <f>I381*1.1</f>
        <v>171190.55555555556</v>
      </c>
    </row>
    <row r="383" spans="1:11" outlineLevel="1">
      <c r="A383" s="8"/>
      <c r="B383" s="1"/>
      <c r="C383" s="1"/>
      <c r="D383" s="1"/>
      <c r="E383" s="1"/>
      <c r="F383" s="2"/>
    </row>
    <row r="384" spans="1:11" outlineLevel="1">
      <c r="A384" s="8"/>
      <c r="B384" s="1"/>
      <c r="C384" s="1"/>
      <c r="D384" s="1"/>
      <c r="E384" s="1"/>
      <c r="F384" s="2"/>
    </row>
    <row r="385" spans="1:12" outlineLevel="1">
      <c r="A385" s="8"/>
      <c r="B385" s="1"/>
      <c r="C385" s="1"/>
      <c r="D385" s="1"/>
      <c r="E385" s="1"/>
      <c r="F385" s="2"/>
    </row>
    <row r="386" spans="1:12" outlineLevel="1">
      <c r="A386" s="8"/>
      <c r="B386" s="1"/>
      <c r="C386" s="1"/>
      <c r="D386" s="1"/>
      <c r="E386" s="1"/>
      <c r="F386" s="2"/>
    </row>
    <row r="387" spans="1:12" outlineLevel="1">
      <c r="A387" s="8"/>
      <c r="B387" s="1"/>
      <c r="C387" s="1"/>
      <c r="D387" s="1"/>
      <c r="E387" s="1"/>
      <c r="F387" s="2"/>
    </row>
    <row r="388" spans="1:12" outlineLevel="1">
      <c r="A388" s="8"/>
      <c r="B388" s="1"/>
      <c r="C388" s="1"/>
      <c r="D388" s="1"/>
      <c r="E388" s="1"/>
      <c r="F388" s="2"/>
    </row>
    <row r="389" spans="1:12" outlineLevel="1">
      <c r="A389" s="8"/>
      <c r="B389" s="1"/>
      <c r="C389" s="1"/>
      <c r="D389" s="1"/>
      <c r="E389" s="1"/>
      <c r="F389" s="2"/>
    </row>
    <row r="390" spans="1:12" ht="15.75" outlineLevel="1" thickBot="1">
      <c r="A390" s="9"/>
      <c r="B390" s="3"/>
      <c r="C390" s="3"/>
      <c r="D390" s="3"/>
      <c r="E390" s="3"/>
      <c r="F390" s="4"/>
    </row>
    <row r="391" spans="1:12" ht="16.5" thickTop="1" thickBot="1"/>
    <row r="392" spans="1:12" ht="15.75" thickTop="1">
      <c r="A392" s="3782" t="s">
        <v>0</v>
      </c>
      <c r="B392" s="3781" t="s">
        <v>1</v>
      </c>
      <c r="C392" s="3781" t="s">
        <v>2</v>
      </c>
      <c r="D392" s="3781" t="s">
        <v>3</v>
      </c>
      <c r="E392" s="3781" t="s">
        <v>4</v>
      </c>
      <c r="F392" s="3765" t="s">
        <v>5</v>
      </c>
    </row>
    <row r="393" spans="1:12" ht="24.75" customHeight="1" collapsed="1" thickBot="1">
      <c r="A393" s="3783"/>
      <c r="B393" s="3767"/>
      <c r="C393" s="3767"/>
      <c r="D393" s="3767"/>
      <c r="E393" s="3767"/>
      <c r="F393" s="3766"/>
    </row>
    <row r="394" spans="1:12" ht="15.75" outlineLevel="1" thickTop="1">
      <c r="A394" s="7" t="s">
        <v>501</v>
      </c>
      <c r="B394" s="5" t="s">
        <v>202</v>
      </c>
      <c r="C394" s="5" t="s">
        <v>51</v>
      </c>
      <c r="D394" s="5" t="s">
        <v>360</v>
      </c>
      <c r="E394" s="11">
        <v>0.15</v>
      </c>
      <c r="F394" s="6">
        <v>7999</v>
      </c>
      <c r="G394">
        <v>7830</v>
      </c>
      <c r="H394">
        <f>F394*G394</f>
        <v>62632170</v>
      </c>
      <c r="I394">
        <v>9410</v>
      </c>
      <c r="J394">
        <f>G394*I394</f>
        <v>73680300</v>
      </c>
      <c r="K394">
        <f>J394-H394</f>
        <v>11048130</v>
      </c>
      <c r="L394">
        <f>K394*1.2</f>
        <v>13257756</v>
      </c>
    </row>
    <row r="395" spans="1:12" outlineLevel="1">
      <c r="A395" s="8"/>
      <c r="B395" s="1"/>
      <c r="C395" s="1" t="s">
        <v>52</v>
      </c>
      <c r="D395" s="5" t="s">
        <v>360</v>
      </c>
      <c r="E395" s="11">
        <v>0.15</v>
      </c>
      <c r="F395" s="6">
        <v>7999</v>
      </c>
    </row>
    <row r="396" spans="1:12" outlineLevel="1">
      <c r="A396" s="8"/>
      <c r="B396" s="1"/>
      <c r="C396" s="1" t="s">
        <v>68</v>
      </c>
      <c r="D396" s="5" t="s">
        <v>360</v>
      </c>
      <c r="E396" s="11">
        <v>0.15</v>
      </c>
      <c r="F396" s="6">
        <v>7999</v>
      </c>
    </row>
    <row r="397" spans="1:12" outlineLevel="1">
      <c r="A397" s="8"/>
      <c r="B397" s="1"/>
      <c r="C397" s="1" t="s">
        <v>69</v>
      </c>
      <c r="D397" s="5" t="s">
        <v>360</v>
      </c>
      <c r="E397" s="11">
        <v>0.15</v>
      </c>
      <c r="F397" s="6">
        <v>7999</v>
      </c>
    </row>
    <row r="398" spans="1:12" outlineLevel="1">
      <c r="A398" s="8"/>
      <c r="B398" s="31"/>
      <c r="C398" s="31" t="s">
        <v>160</v>
      </c>
      <c r="D398" s="191" t="s">
        <v>490</v>
      </c>
      <c r="E398" s="285">
        <v>0.1</v>
      </c>
      <c r="F398" s="281">
        <v>129191</v>
      </c>
      <c r="G398" s="176">
        <v>389</v>
      </c>
      <c r="H398" s="176">
        <f>F398*G398</f>
        <v>50255299</v>
      </c>
      <c r="I398" s="176">
        <v>143545</v>
      </c>
      <c r="J398" s="176">
        <f>G398*I398</f>
        <v>55839005</v>
      </c>
      <c r="K398" s="176">
        <f>J398-H398</f>
        <v>5583706</v>
      </c>
      <c r="L398" s="176">
        <f>K398*1.1</f>
        <v>6142076.6000000006</v>
      </c>
    </row>
    <row r="399" spans="1:12" outlineLevel="1">
      <c r="A399" s="8"/>
      <c r="B399" s="31"/>
      <c r="C399" s="31" t="s">
        <v>113</v>
      </c>
      <c r="D399" s="191" t="s">
        <v>490</v>
      </c>
      <c r="E399" s="285">
        <v>0.1</v>
      </c>
      <c r="F399" s="281">
        <v>129191</v>
      </c>
      <c r="G399" s="176"/>
      <c r="H399" s="176">
        <f>I398-F398</f>
        <v>14354</v>
      </c>
      <c r="I399" s="176"/>
      <c r="J399" s="176"/>
      <c r="K399" s="176"/>
      <c r="L399" s="176"/>
    </row>
    <row r="400" spans="1:12" outlineLevel="1">
      <c r="A400" s="8"/>
      <c r="B400" s="31"/>
      <c r="C400" s="31" t="s">
        <v>161</v>
      </c>
      <c r="D400" s="191" t="s">
        <v>490</v>
      </c>
      <c r="E400" s="285">
        <v>0.1</v>
      </c>
      <c r="F400" s="281">
        <v>129191</v>
      </c>
      <c r="G400" s="176"/>
      <c r="H400" s="176">
        <f>H399*1.1</f>
        <v>15789.400000000001</v>
      </c>
      <c r="I400" s="176"/>
      <c r="J400" s="176"/>
      <c r="K400" s="176"/>
      <c r="L400" s="176"/>
    </row>
    <row r="401" spans="1:12" outlineLevel="1">
      <c r="A401" s="8"/>
      <c r="B401" s="31"/>
      <c r="C401" s="31"/>
      <c r="D401" s="31"/>
      <c r="E401" s="31"/>
      <c r="F401" s="281"/>
      <c r="G401" s="176"/>
      <c r="H401" s="176"/>
      <c r="I401" s="176"/>
      <c r="J401" s="176"/>
      <c r="K401" s="176"/>
      <c r="L401" s="176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outlineLevel="1">
      <c r="A404" s="8"/>
      <c r="B404" s="1"/>
      <c r="C404" s="1"/>
      <c r="D404" s="1"/>
      <c r="E404" s="1"/>
      <c r="F404" s="2"/>
    </row>
    <row r="405" spans="1:12" ht="15.75" outlineLevel="1" thickBot="1">
      <c r="A405" s="9"/>
      <c r="B405" s="3"/>
      <c r="C405" s="3"/>
      <c r="D405" s="3"/>
      <c r="E405" s="3"/>
      <c r="F405" s="4"/>
    </row>
    <row r="406" spans="1:12" ht="16.5" thickTop="1" thickBot="1"/>
    <row r="407" spans="1:12" ht="15.75" thickTop="1">
      <c r="A407" s="3782" t="s">
        <v>0</v>
      </c>
      <c r="B407" s="3781" t="s">
        <v>1</v>
      </c>
      <c r="C407" s="3781" t="s">
        <v>2</v>
      </c>
      <c r="D407" s="3781" t="s">
        <v>3</v>
      </c>
      <c r="E407" s="3781" t="s">
        <v>4</v>
      </c>
      <c r="F407" s="3765" t="s">
        <v>5</v>
      </c>
    </row>
    <row r="408" spans="1:12" ht="24.75" customHeight="1" collapsed="1" thickBot="1">
      <c r="A408" s="3783"/>
      <c r="B408" s="3767"/>
      <c r="C408" s="3767"/>
      <c r="D408" s="3767"/>
      <c r="E408" s="3767"/>
      <c r="F408" s="3766"/>
    </row>
    <row r="409" spans="1:12" ht="15.75" outlineLevel="1" thickTop="1">
      <c r="A409" s="7" t="s">
        <v>508</v>
      </c>
      <c r="B409" s="5" t="s">
        <v>181</v>
      </c>
      <c r="C409" s="5" t="s">
        <v>226</v>
      </c>
      <c r="D409" s="5" t="s">
        <v>343</v>
      </c>
      <c r="E409" s="11">
        <v>0.15</v>
      </c>
      <c r="F409" s="6">
        <v>4474</v>
      </c>
      <c r="G409">
        <v>8148</v>
      </c>
      <c r="H409">
        <f>F409*G409</f>
        <v>36454152</v>
      </c>
      <c r="I409">
        <v>5264</v>
      </c>
      <c r="J409">
        <f>G409*I409</f>
        <v>42891072</v>
      </c>
      <c r="K409">
        <f>J409-H409</f>
        <v>6436920</v>
      </c>
      <c r="L409">
        <f>K409*1.2</f>
        <v>7724304</v>
      </c>
    </row>
    <row r="410" spans="1:12" outlineLevel="1">
      <c r="A410" s="8"/>
      <c r="B410" s="1" t="s">
        <v>366</v>
      </c>
      <c r="C410" s="1" t="s">
        <v>227</v>
      </c>
      <c r="D410" s="1" t="s">
        <v>343</v>
      </c>
      <c r="E410" s="11">
        <v>0.15</v>
      </c>
      <c r="F410" s="6">
        <v>4474</v>
      </c>
    </row>
    <row r="411" spans="1:12" outlineLevel="1">
      <c r="A411" s="8"/>
      <c r="B411" s="1" t="s">
        <v>180</v>
      </c>
      <c r="C411" s="1" t="s">
        <v>228</v>
      </c>
      <c r="D411" s="1" t="s">
        <v>343</v>
      </c>
      <c r="E411" s="11">
        <v>0.15</v>
      </c>
      <c r="F411" s="6">
        <v>4474</v>
      </c>
    </row>
    <row r="412" spans="1:12" outlineLevel="1">
      <c r="A412" s="8"/>
      <c r="B412" s="1" t="s">
        <v>135</v>
      </c>
      <c r="C412" s="1"/>
      <c r="D412" s="1"/>
      <c r="E412" s="1"/>
      <c r="F412" s="2"/>
    </row>
    <row r="413" spans="1:12" outlineLevel="1">
      <c r="A413" s="8"/>
      <c r="B413" s="1"/>
      <c r="C413" s="1"/>
      <c r="D413" s="1"/>
      <c r="E413" s="1"/>
      <c r="F413" s="2"/>
    </row>
    <row r="414" spans="1:12" outlineLevel="1">
      <c r="A414" s="8"/>
      <c r="B414" s="1"/>
      <c r="C414" s="1"/>
      <c r="D414" s="1"/>
      <c r="E414" s="1"/>
      <c r="F414" s="2"/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outlineLevel="1">
      <c r="A419" s="8"/>
      <c r="B419" s="1"/>
      <c r="C419" s="1"/>
      <c r="D419" s="1"/>
      <c r="E419" s="1"/>
      <c r="F419" s="2"/>
    </row>
    <row r="420" spans="1:12" ht="15.75" outlineLevel="1" thickBot="1">
      <c r="A420" s="9"/>
      <c r="B420" s="3"/>
      <c r="C420" s="3"/>
      <c r="D420" s="3"/>
      <c r="E420" s="3"/>
      <c r="F420" s="4"/>
    </row>
    <row r="421" spans="1:12" ht="16.5" thickTop="1" thickBot="1"/>
    <row r="422" spans="1:12" ht="15.75" thickTop="1">
      <c r="A422" s="3782" t="s">
        <v>0</v>
      </c>
      <c r="B422" s="3781" t="s">
        <v>1</v>
      </c>
      <c r="C422" s="3781" t="s">
        <v>2</v>
      </c>
      <c r="D422" s="3781" t="s">
        <v>3</v>
      </c>
      <c r="E422" s="3781" t="s">
        <v>4</v>
      </c>
      <c r="F422" s="3765" t="s">
        <v>5</v>
      </c>
    </row>
    <row r="423" spans="1:12" ht="24.75" customHeight="1" collapsed="1" thickBot="1">
      <c r="A423" s="3783"/>
      <c r="B423" s="3767"/>
      <c r="C423" s="3767"/>
      <c r="D423" s="3767"/>
      <c r="E423" s="3767"/>
      <c r="F423" s="3766"/>
    </row>
    <row r="424" spans="1:12" ht="15.75" outlineLevel="1" thickTop="1">
      <c r="A424" s="7" t="s">
        <v>555</v>
      </c>
      <c r="B424" s="5" t="s">
        <v>202</v>
      </c>
      <c r="C424" s="5" t="s">
        <v>226</v>
      </c>
      <c r="D424" s="5" t="s">
        <v>360</v>
      </c>
      <c r="E424" s="11">
        <v>0.17</v>
      </c>
      <c r="F424" s="6">
        <v>4265</v>
      </c>
      <c r="G424">
        <v>7917</v>
      </c>
      <c r="H424">
        <f>F424*G424</f>
        <v>33766005</v>
      </c>
      <c r="I424">
        <v>5139</v>
      </c>
      <c r="J424">
        <f>G424*I424</f>
        <v>40685463</v>
      </c>
      <c r="K424">
        <f>J424-H424</f>
        <v>6919458</v>
      </c>
      <c r="L424">
        <f>K424*1.2</f>
        <v>8303349.5999999996</v>
      </c>
    </row>
    <row r="425" spans="1:12" outlineLevel="1">
      <c r="A425" s="8"/>
      <c r="B425" s="1"/>
      <c r="C425" s="1" t="s">
        <v>227</v>
      </c>
      <c r="D425" s="5" t="s">
        <v>360</v>
      </c>
      <c r="E425" s="11">
        <v>0.17</v>
      </c>
      <c r="F425" s="2">
        <v>4265</v>
      </c>
    </row>
    <row r="426" spans="1:12" outlineLevel="1">
      <c r="A426" s="8"/>
      <c r="B426" s="1"/>
      <c r="C426" s="1" t="s">
        <v>228</v>
      </c>
      <c r="D426" s="5" t="s">
        <v>360</v>
      </c>
      <c r="E426" s="11">
        <v>0.17</v>
      </c>
      <c r="F426" s="2">
        <v>4265</v>
      </c>
    </row>
    <row r="427" spans="1:12" outlineLevel="1">
      <c r="A427" s="8"/>
      <c r="B427" s="1"/>
      <c r="C427" s="1" t="s">
        <v>394</v>
      </c>
      <c r="D427" s="5" t="s">
        <v>360</v>
      </c>
      <c r="E427" s="11">
        <v>0.17</v>
      </c>
      <c r="F427" s="2">
        <v>5739</v>
      </c>
      <c r="G427">
        <v>4872</v>
      </c>
      <c r="H427">
        <f>F427*G427</f>
        <v>27960408</v>
      </c>
      <c r="I427">
        <v>6915</v>
      </c>
      <c r="J427">
        <f>G427*I427</f>
        <v>33689880</v>
      </c>
      <c r="K427">
        <f>J427-H427</f>
        <v>5729472</v>
      </c>
      <c r="L427">
        <f>K427*1.2</f>
        <v>6875366.3999999994</v>
      </c>
    </row>
    <row r="428" spans="1:12" outlineLevel="1">
      <c r="A428" s="8"/>
      <c r="B428" s="1"/>
      <c r="C428" s="1" t="s">
        <v>517</v>
      </c>
      <c r="D428" s="5" t="s">
        <v>360</v>
      </c>
      <c r="E428" s="11">
        <v>0.17</v>
      </c>
      <c r="F428" s="2">
        <v>5739</v>
      </c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outlineLevel="1">
      <c r="A434" s="8"/>
      <c r="B434" s="1"/>
      <c r="C434" s="1"/>
      <c r="D434" s="1"/>
      <c r="E434" s="1"/>
      <c r="F434" s="2"/>
    </row>
    <row r="435" spans="1:12" ht="15.75" outlineLevel="1" thickBot="1">
      <c r="A435" s="9"/>
      <c r="B435" s="3"/>
      <c r="C435" s="3"/>
      <c r="D435" s="3"/>
      <c r="E435" s="3"/>
      <c r="F435" s="4"/>
    </row>
    <row r="436" spans="1:12" ht="16.5" thickTop="1" thickBot="1"/>
    <row r="437" spans="1:12" ht="15.75" thickTop="1">
      <c r="A437" s="3782" t="s">
        <v>0</v>
      </c>
      <c r="B437" s="3781" t="s">
        <v>1</v>
      </c>
      <c r="C437" s="3781" t="s">
        <v>2</v>
      </c>
      <c r="D437" s="3781" t="s">
        <v>3</v>
      </c>
      <c r="E437" s="3781" t="s">
        <v>4</v>
      </c>
      <c r="F437" s="3765" t="s">
        <v>5</v>
      </c>
    </row>
    <row r="438" spans="1:12" ht="24.75" customHeight="1" collapsed="1" thickBot="1">
      <c r="A438" s="3783"/>
      <c r="B438" s="3767"/>
      <c r="C438" s="3767"/>
      <c r="D438" s="3767"/>
      <c r="E438" s="3767"/>
      <c r="F438" s="3766"/>
    </row>
    <row r="439" spans="1:12" ht="15.75" outlineLevel="1" thickTop="1">
      <c r="A439" s="7" t="s">
        <v>571</v>
      </c>
      <c r="B439" s="5" t="s">
        <v>202</v>
      </c>
      <c r="C439" s="5" t="s">
        <v>572</v>
      </c>
      <c r="D439" s="5" t="s">
        <v>360</v>
      </c>
      <c r="E439" s="11">
        <v>0.17</v>
      </c>
      <c r="F439" s="6">
        <v>5754</v>
      </c>
      <c r="G439">
        <v>2184</v>
      </c>
      <c r="H439">
        <f>F439*G439</f>
        <v>12566736</v>
      </c>
      <c r="I439">
        <v>6932</v>
      </c>
      <c r="J439">
        <f>G439*I439</f>
        <v>15139488</v>
      </c>
      <c r="K439">
        <f>J439-H439</f>
        <v>2572752</v>
      </c>
      <c r="L439">
        <f>K439*1.2</f>
        <v>3087302.4</v>
      </c>
    </row>
    <row r="440" spans="1:12" outlineLevel="1">
      <c r="A440" s="8"/>
      <c r="B440" s="1"/>
      <c r="C440" s="1" t="s">
        <v>573</v>
      </c>
      <c r="D440" s="5" t="s">
        <v>360</v>
      </c>
      <c r="E440" s="11">
        <v>0.17</v>
      </c>
      <c r="F440" s="6">
        <v>5754</v>
      </c>
    </row>
    <row r="441" spans="1:12" outlineLevel="1">
      <c r="A441" s="8"/>
      <c r="B441" s="1"/>
      <c r="C441" s="1"/>
      <c r="D441" s="1"/>
      <c r="E441" s="1"/>
      <c r="F441" s="2"/>
    </row>
    <row r="442" spans="1:12" outlineLevel="1">
      <c r="A442" s="8"/>
      <c r="B442" s="1"/>
      <c r="C442" s="1"/>
      <c r="D442" s="1"/>
      <c r="E442" s="1"/>
      <c r="F442" s="2"/>
    </row>
    <row r="443" spans="1:12" outlineLevel="1">
      <c r="A443" s="8"/>
      <c r="B443" s="1"/>
      <c r="C443" s="1"/>
      <c r="D443" s="1"/>
      <c r="E443" s="1"/>
      <c r="F443" s="2"/>
    </row>
    <row r="444" spans="1:12" outlineLevel="1">
      <c r="A444" s="8"/>
      <c r="B444" s="1"/>
      <c r="C444" s="1"/>
      <c r="D444" s="1"/>
      <c r="E444" s="1"/>
      <c r="F444" s="2"/>
    </row>
    <row r="445" spans="1:12" outlineLevel="1">
      <c r="A445" s="8"/>
      <c r="B445" s="1"/>
      <c r="C445" s="1"/>
      <c r="D445" s="1"/>
      <c r="E445" s="1"/>
      <c r="F445" s="2"/>
    </row>
    <row r="446" spans="1:12" outlineLevel="1">
      <c r="A446" s="8"/>
      <c r="B446" s="1"/>
      <c r="C446" s="1"/>
      <c r="D446" s="1"/>
      <c r="E446" s="1"/>
      <c r="F446" s="2"/>
    </row>
    <row r="447" spans="1:12" outlineLevel="1">
      <c r="A447" s="8"/>
      <c r="B447" s="1"/>
      <c r="C447" s="1"/>
      <c r="D447" s="1"/>
      <c r="E447" s="1"/>
      <c r="F447" s="2"/>
    </row>
    <row r="448" spans="1:12" outlineLevel="1">
      <c r="A448" s="8"/>
      <c r="B448" s="1"/>
      <c r="C448" s="1"/>
      <c r="D448" s="1"/>
      <c r="E448" s="1"/>
      <c r="F448" s="2"/>
    </row>
    <row r="449" spans="1:10" outlineLevel="1">
      <c r="A449" s="8"/>
      <c r="B449" s="1"/>
      <c r="C449" s="1"/>
      <c r="D449" s="1"/>
      <c r="E449" s="1"/>
      <c r="F449" s="2"/>
    </row>
    <row r="450" spans="1:10" ht="15.75" outlineLevel="1" thickBot="1">
      <c r="A450" s="9"/>
      <c r="B450" s="3"/>
      <c r="C450" s="3"/>
      <c r="D450" s="3"/>
      <c r="E450" s="3"/>
      <c r="F450" s="4"/>
    </row>
    <row r="451" spans="1:10" ht="16.5" thickTop="1" thickBot="1"/>
    <row r="452" spans="1:10" ht="15.75" thickTop="1">
      <c r="A452" s="3782" t="s">
        <v>0</v>
      </c>
      <c r="B452" s="3781" t="s">
        <v>1</v>
      </c>
      <c r="C452" s="3781" t="s">
        <v>2</v>
      </c>
      <c r="D452" s="3781" t="s">
        <v>3</v>
      </c>
      <c r="E452" s="3781" t="s">
        <v>4</v>
      </c>
      <c r="F452" s="3765" t="s">
        <v>5</v>
      </c>
      <c r="G452" s="176"/>
      <c r="H452" s="176"/>
      <c r="I452" s="176"/>
      <c r="J452" s="176"/>
    </row>
    <row r="453" spans="1:10" ht="24.75" customHeight="1" collapsed="1" thickBot="1">
      <c r="A453" s="3783"/>
      <c r="B453" s="3767"/>
      <c r="C453" s="3767"/>
      <c r="D453" s="3767"/>
      <c r="E453" s="3767"/>
      <c r="F453" s="3766"/>
      <c r="G453" s="176"/>
      <c r="H453" s="176"/>
      <c r="I453" s="176"/>
      <c r="J453" s="176"/>
    </row>
    <row r="454" spans="1:10" ht="15.75" outlineLevel="1" thickTop="1">
      <c r="A454" s="7" t="s">
        <v>574</v>
      </c>
      <c r="B454" s="5" t="s">
        <v>200</v>
      </c>
      <c r="C454" s="5" t="s">
        <v>160</v>
      </c>
      <c r="D454" s="5" t="s">
        <v>490</v>
      </c>
      <c r="E454" s="11">
        <v>0.1</v>
      </c>
      <c r="F454" s="6">
        <v>125315</v>
      </c>
      <c r="G454" s="176">
        <f>3952+966</f>
        <v>4918</v>
      </c>
      <c r="H454" s="176">
        <f>F454*G454</f>
        <v>616299170</v>
      </c>
      <c r="I454" s="176">
        <v>143545</v>
      </c>
      <c r="J454" s="176">
        <f>G454*I454</f>
        <v>705954310</v>
      </c>
    </row>
    <row r="455" spans="1:10" outlineLevel="1">
      <c r="A455" s="8"/>
      <c r="B455" s="1"/>
      <c r="C455" s="1" t="s">
        <v>113</v>
      </c>
      <c r="D455" s="5" t="s">
        <v>490</v>
      </c>
      <c r="E455" s="11">
        <v>0.1</v>
      </c>
      <c r="F455" s="6">
        <v>125315</v>
      </c>
      <c r="G455" s="176"/>
      <c r="H455" s="176"/>
      <c r="I455" s="176"/>
      <c r="J455" s="176">
        <f>J454-H454</f>
        <v>89655140</v>
      </c>
    </row>
    <row r="456" spans="1:10" outlineLevel="1">
      <c r="A456" s="8"/>
      <c r="B456" s="1"/>
      <c r="C456" s="1" t="s">
        <v>161</v>
      </c>
      <c r="D456" s="5" t="s">
        <v>490</v>
      </c>
      <c r="E456" s="11">
        <v>0.1</v>
      </c>
      <c r="F456" s="6">
        <v>125315</v>
      </c>
      <c r="G456" s="176"/>
      <c r="H456" s="176"/>
      <c r="I456" s="176"/>
      <c r="J456" s="176">
        <f>J455*1.1</f>
        <v>98620654.000000015</v>
      </c>
    </row>
    <row r="457" spans="1:10" outlineLevel="1">
      <c r="A457" s="8"/>
      <c r="B457" s="1"/>
      <c r="C457" s="1"/>
      <c r="D457" s="1"/>
      <c r="E457" s="1"/>
      <c r="F457" s="2"/>
      <c r="G457" s="176"/>
      <c r="H457" s="176"/>
      <c r="I457" s="176"/>
      <c r="J457" s="176"/>
    </row>
    <row r="458" spans="1:10" outlineLevel="1">
      <c r="A458" s="8"/>
      <c r="B458" s="1"/>
      <c r="C458" s="1"/>
      <c r="D458" s="1"/>
      <c r="E458" s="1"/>
      <c r="F458" s="2"/>
      <c r="G458" s="176"/>
      <c r="H458" s="176"/>
      <c r="I458" s="176"/>
      <c r="J458" s="176"/>
    </row>
    <row r="459" spans="1:10" outlineLevel="1">
      <c r="A459" s="8"/>
      <c r="B459" s="1"/>
      <c r="C459" s="1"/>
      <c r="D459" s="1"/>
      <c r="E459" s="1"/>
      <c r="F459" s="2"/>
      <c r="G459" s="176"/>
      <c r="H459" s="176"/>
      <c r="I459" s="176"/>
      <c r="J459" s="176"/>
    </row>
    <row r="460" spans="1:10" outlineLevel="1">
      <c r="A460" s="8"/>
      <c r="B460" s="1"/>
      <c r="C460" s="1"/>
      <c r="D460" s="1"/>
      <c r="E460" s="1"/>
      <c r="F460" s="2"/>
      <c r="G460" s="176"/>
      <c r="H460" s="176"/>
      <c r="I460" s="176"/>
      <c r="J460" s="176"/>
    </row>
    <row r="461" spans="1:10" outlineLevel="1">
      <c r="A461" s="8"/>
      <c r="B461" s="1"/>
      <c r="C461" s="1"/>
      <c r="D461" s="1"/>
      <c r="E461" s="1"/>
      <c r="F461" s="2"/>
    </row>
    <row r="462" spans="1:10" outlineLevel="1">
      <c r="A462" s="8"/>
      <c r="B462" s="1"/>
      <c r="C462" s="1"/>
      <c r="D462" s="1"/>
      <c r="E462" s="1"/>
      <c r="F462" s="2"/>
    </row>
    <row r="463" spans="1:10" outlineLevel="1">
      <c r="A463" s="8"/>
      <c r="B463" s="1"/>
      <c r="C463" s="1"/>
      <c r="D463" s="1"/>
      <c r="E463" s="1"/>
      <c r="F463" s="2"/>
    </row>
    <row r="464" spans="1:10" outlineLevel="1">
      <c r="A464" s="8"/>
      <c r="B464" s="1"/>
      <c r="C464" s="1"/>
      <c r="D464" s="1"/>
      <c r="E464" s="1"/>
      <c r="F464" s="2"/>
    </row>
    <row r="465" spans="1:14" ht="15.75" outlineLevel="1" thickBot="1">
      <c r="A465" s="9"/>
      <c r="B465" s="3"/>
      <c r="C465" s="3"/>
      <c r="D465" s="3"/>
      <c r="E465" s="3"/>
      <c r="F465" s="4"/>
    </row>
    <row r="466" spans="1:14" ht="16.5" thickTop="1" thickBot="1"/>
    <row r="467" spans="1:14" ht="15.75" thickTop="1">
      <c r="A467" s="3782" t="s">
        <v>0</v>
      </c>
      <c r="B467" s="3781" t="s">
        <v>1</v>
      </c>
      <c r="C467" s="3781" t="s">
        <v>2</v>
      </c>
      <c r="D467" s="3781" t="s">
        <v>3</v>
      </c>
      <c r="E467" s="3781" t="s">
        <v>4</v>
      </c>
      <c r="F467" s="3765" t="s">
        <v>5</v>
      </c>
    </row>
    <row r="468" spans="1:14" ht="24.75" customHeight="1" collapsed="1" thickBot="1">
      <c r="A468" s="3783"/>
      <c r="B468" s="3767"/>
      <c r="C468" s="3767"/>
      <c r="D468" s="3767"/>
      <c r="E468" s="3767"/>
      <c r="F468" s="3766"/>
    </row>
    <row r="469" spans="1:14" ht="15.75" outlineLevel="1" thickTop="1">
      <c r="A469" s="7" t="s">
        <v>576</v>
      </c>
      <c r="B469" s="5" t="s">
        <v>232</v>
      </c>
      <c r="C469" s="5" t="s">
        <v>263</v>
      </c>
      <c r="D469" s="5" t="s">
        <v>343</v>
      </c>
      <c r="E469" s="11">
        <v>0.15</v>
      </c>
      <c r="F469" s="6">
        <v>6375</v>
      </c>
      <c r="G469">
        <v>4980</v>
      </c>
      <c r="H469">
        <f>F469*G469</f>
        <v>31747500</v>
      </c>
      <c r="I469">
        <v>7500</v>
      </c>
      <c r="J469">
        <f>G469*I469</f>
        <v>37350000</v>
      </c>
      <c r="K469">
        <f>J469-H469</f>
        <v>5602500</v>
      </c>
      <c r="L469">
        <f>K469*1.2</f>
        <v>6723000</v>
      </c>
      <c r="M469">
        <f>F469*1.2</f>
        <v>7650</v>
      </c>
      <c r="N469">
        <f>I469*1.2</f>
        <v>9000</v>
      </c>
    </row>
    <row r="470" spans="1:14" outlineLevel="1">
      <c r="A470" s="8"/>
      <c r="B470" s="1"/>
      <c r="C470" s="1" t="s">
        <v>485</v>
      </c>
      <c r="D470" s="5" t="s">
        <v>343</v>
      </c>
      <c r="E470" s="11">
        <v>0.15</v>
      </c>
      <c r="F470" s="6">
        <v>3647</v>
      </c>
      <c r="G470">
        <v>8420</v>
      </c>
      <c r="H470">
        <f>F470*G470</f>
        <v>30707740</v>
      </c>
      <c r="I470">
        <v>4290</v>
      </c>
      <c r="J470">
        <f>G470*I470</f>
        <v>36121800</v>
      </c>
      <c r="K470">
        <f>J470-H470</f>
        <v>5414060</v>
      </c>
      <c r="L470">
        <f>K470*1.2</f>
        <v>6496872</v>
      </c>
      <c r="M470">
        <f>F470*1.2</f>
        <v>4376.3999999999996</v>
      </c>
      <c r="N470">
        <f>I470*1.2</f>
        <v>5148</v>
      </c>
    </row>
    <row r="471" spans="1:14" outlineLevel="1">
      <c r="A471" s="8"/>
      <c r="B471" s="1"/>
      <c r="C471" s="1" t="s">
        <v>486</v>
      </c>
      <c r="D471" s="5" t="s">
        <v>343</v>
      </c>
      <c r="E471" s="11">
        <v>0.15</v>
      </c>
      <c r="F471" s="6">
        <v>3647</v>
      </c>
      <c r="L471">
        <f>L469+L470</f>
        <v>13219872</v>
      </c>
    </row>
    <row r="472" spans="1:14" outlineLevel="1">
      <c r="A472" s="8"/>
      <c r="B472" s="1"/>
      <c r="C472" s="1"/>
      <c r="D472" s="1"/>
      <c r="E472" s="1"/>
      <c r="F472" s="2"/>
    </row>
    <row r="473" spans="1:14" outlineLevel="1">
      <c r="A473" s="8"/>
      <c r="B473" s="1"/>
      <c r="C473" s="1"/>
      <c r="D473" s="1"/>
      <c r="E473" s="1"/>
      <c r="F473" s="2"/>
    </row>
    <row r="474" spans="1:14" outlineLevel="1">
      <c r="A474" s="8"/>
      <c r="B474" s="1"/>
      <c r="C474" s="1"/>
      <c r="D474" s="1"/>
      <c r="E474" s="1"/>
      <c r="F474" s="2"/>
    </row>
    <row r="475" spans="1:14" outlineLevel="1">
      <c r="A475" s="8"/>
      <c r="B475" s="1"/>
      <c r="C475" s="1"/>
      <c r="D475" s="1"/>
      <c r="E475" s="1"/>
      <c r="F475" s="2"/>
    </row>
    <row r="476" spans="1:14" outlineLevel="1">
      <c r="A476" s="8"/>
      <c r="B476" s="1"/>
      <c r="C476" s="1"/>
      <c r="D476" s="1"/>
      <c r="E476" s="1"/>
      <c r="F476" s="2"/>
    </row>
    <row r="477" spans="1:14" outlineLevel="1">
      <c r="A477" s="8"/>
      <c r="B477" s="1"/>
      <c r="C477" s="1"/>
      <c r="D477" s="1"/>
      <c r="E477" s="1"/>
      <c r="F477" s="2"/>
    </row>
    <row r="478" spans="1:14" outlineLevel="1">
      <c r="A478" s="8"/>
      <c r="B478" s="1"/>
      <c r="C478" s="1"/>
      <c r="D478" s="1"/>
      <c r="E478" s="1"/>
      <c r="F478" s="2"/>
    </row>
    <row r="479" spans="1:14" outlineLevel="1">
      <c r="A479" s="8"/>
      <c r="B479" s="1"/>
      <c r="C479" s="1"/>
      <c r="D479" s="1"/>
      <c r="E479" s="1"/>
      <c r="F479" s="2"/>
    </row>
    <row r="480" spans="1:14" ht="15.75" outlineLevel="1" thickBot="1">
      <c r="A480" s="9"/>
      <c r="B480" s="3"/>
      <c r="C480" s="3"/>
      <c r="D480" s="3"/>
      <c r="E480" s="3"/>
      <c r="F480" s="4"/>
    </row>
    <row r="481" spans="1:12" ht="16.5" thickTop="1" thickBot="1"/>
    <row r="482" spans="1:12" ht="15.75" thickTop="1">
      <c r="A482" s="3782" t="s">
        <v>0</v>
      </c>
      <c r="B482" s="3781" t="s">
        <v>1</v>
      </c>
      <c r="C482" s="3781" t="s">
        <v>2</v>
      </c>
      <c r="D482" s="3781" t="s">
        <v>3</v>
      </c>
      <c r="E482" s="3781" t="s">
        <v>4</v>
      </c>
      <c r="F482" s="3765" t="s">
        <v>5</v>
      </c>
    </row>
    <row r="483" spans="1:12" ht="24.75" customHeight="1" collapsed="1" thickBot="1">
      <c r="A483" s="3783"/>
      <c r="B483" s="3767"/>
      <c r="C483" s="3767"/>
      <c r="D483" s="3767"/>
      <c r="E483" s="3767"/>
      <c r="F483" s="3766"/>
    </row>
    <row r="484" spans="1:12" ht="15.75" outlineLevel="1" thickTop="1">
      <c r="A484" s="7" t="s">
        <v>585</v>
      </c>
      <c r="B484" s="5" t="s">
        <v>181</v>
      </c>
      <c r="C484" s="5" t="s">
        <v>68</v>
      </c>
      <c r="D484" s="1" t="s">
        <v>343</v>
      </c>
      <c r="E484" s="11">
        <v>0.18</v>
      </c>
      <c r="F484" s="6">
        <v>7904</v>
      </c>
      <c r="G484">
        <v>10230</v>
      </c>
      <c r="H484">
        <f>F484*G484</f>
        <v>80857920</v>
      </c>
      <c r="I484">
        <v>9639</v>
      </c>
      <c r="J484">
        <f>I484*G484</f>
        <v>98606970</v>
      </c>
      <c r="K484">
        <f>J484-H484</f>
        <v>17749050</v>
      </c>
      <c r="L484">
        <f>K484*1.2</f>
        <v>21298860</v>
      </c>
    </row>
    <row r="485" spans="1:12" outlineLevel="1">
      <c r="A485" s="8"/>
      <c r="B485" s="1" t="s">
        <v>366</v>
      </c>
      <c r="C485" s="1" t="s">
        <v>69</v>
      </c>
      <c r="D485" s="1" t="s">
        <v>343</v>
      </c>
      <c r="E485" s="11">
        <v>0.18</v>
      </c>
      <c r="F485" s="6">
        <v>7904</v>
      </c>
    </row>
    <row r="486" spans="1:12" outlineLevel="1">
      <c r="A486" s="8"/>
      <c r="B486" s="1" t="s">
        <v>180</v>
      </c>
      <c r="C486" s="1"/>
      <c r="D486" s="5"/>
      <c r="E486" s="11"/>
      <c r="F486" s="6"/>
    </row>
    <row r="487" spans="1:12" outlineLevel="1">
      <c r="A487" s="8"/>
      <c r="B487" s="1" t="s">
        <v>135</v>
      </c>
      <c r="C487" s="1"/>
      <c r="D487" s="1"/>
      <c r="E487" s="1"/>
      <c r="F487" s="2"/>
    </row>
    <row r="488" spans="1:12" outlineLevel="1">
      <c r="A488" s="8"/>
      <c r="B488" s="1"/>
      <c r="C488" s="1"/>
      <c r="D488" s="1"/>
      <c r="E488" s="1"/>
      <c r="F488" s="2"/>
    </row>
    <row r="489" spans="1:12" outlineLevel="1">
      <c r="A489" s="8"/>
      <c r="B489" s="1"/>
      <c r="C489" s="1"/>
      <c r="D489" s="1"/>
      <c r="E489" s="1"/>
      <c r="F489" s="2"/>
    </row>
    <row r="490" spans="1:12" outlineLevel="1">
      <c r="A490" s="8"/>
      <c r="B490" s="1"/>
      <c r="C490" s="1"/>
      <c r="D490" s="1"/>
      <c r="E490" s="1"/>
      <c r="F490" s="2"/>
    </row>
    <row r="491" spans="1:12" outlineLevel="1">
      <c r="A491" s="8"/>
      <c r="B491" s="1"/>
      <c r="C491" s="1"/>
      <c r="D491" s="1"/>
      <c r="E491" s="1"/>
      <c r="F491" s="2"/>
    </row>
    <row r="492" spans="1:12" outlineLevel="1">
      <c r="A492" s="8"/>
      <c r="B492" s="1"/>
      <c r="C492" s="1"/>
      <c r="D492" s="1"/>
      <c r="E492" s="1"/>
      <c r="F492" s="2"/>
    </row>
    <row r="493" spans="1:12" outlineLevel="1">
      <c r="A493" s="8"/>
      <c r="B493" s="1"/>
      <c r="C493" s="1"/>
      <c r="D493" s="1"/>
      <c r="E493" s="1"/>
      <c r="F493" s="2"/>
    </row>
    <row r="494" spans="1:12" outlineLevel="1">
      <c r="A494" s="8"/>
      <c r="B494" s="1"/>
      <c r="C494" s="1"/>
      <c r="D494" s="1"/>
      <c r="E494" s="1"/>
      <c r="F494" s="2"/>
    </row>
    <row r="495" spans="1:12" ht="15.75" outlineLevel="1" thickBot="1">
      <c r="A495" s="9"/>
      <c r="B495" s="3"/>
      <c r="C495" s="3"/>
      <c r="D495" s="3"/>
      <c r="E495" s="3"/>
      <c r="F495" s="4"/>
    </row>
    <row r="496" spans="1:12" ht="16.5" thickTop="1" thickBot="1"/>
    <row r="497" spans="1:12" ht="15.75" thickTop="1">
      <c r="A497" s="3782" t="s">
        <v>0</v>
      </c>
      <c r="B497" s="3781" t="s">
        <v>1</v>
      </c>
      <c r="C497" s="3781" t="s">
        <v>2</v>
      </c>
      <c r="D497" s="3781" t="s">
        <v>3</v>
      </c>
      <c r="E497" s="3781" t="s">
        <v>4</v>
      </c>
      <c r="F497" s="3765" t="s">
        <v>5</v>
      </c>
    </row>
    <row r="498" spans="1:12" ht="24.75" customHeight="1" collapsed="1" thickBot="1">
      <c r="A498" s="3783"/>
      <c r="B498" s="3767"/>
      <c r="C498" s="3767"/>
      <c r="D498" s="3767"/>
      <c r="E498" s="3767"/>
      <c r="F498" s="3766"/>
    </row>
    <row r="499" spans="1:12" ht="15.75" outlineLevel="1" thickTop="1">
      <c r="A499" s="7" t="s">
        <v>622</v>
      </c>
      <c r="B499" s="5" t="s">
        <v>200</v>
      </c>
      <c r="C499" s="5" t="s">
        <v>623</v>
      </c>
      <c r="D499" s="5" t="s">
        <v>343</v>
      </c>
      <c r="E499" s="313">
        <v>0.17073170731707321</v>
      </c>
      <c r="F499" s="6">
        <v>12240</v>
      </c>
      <c r="G499">
        <v>12297</v>
      </c>
      <c r="H499">
        <f>F499*G499</f>
        <v>150515280</v>
      </c>
      <c r="I499">
        <v>14760</v>
      </c>
      <c r="J499">
        <f>I499*G499</f>
        <v>181503720</v>
      </c>
      <c r="K499">
        <f>J499-H499</f>
        <v>30988440</v>
      </c>
      <c r="L499">
        <f>K499*1.2</f>
        <v>37186128</v>
      </c>
    </row>
    <row r="500" spans="1:12" outlineLevel="1">
      <c r="A500" s="8"/>
      <c r="B500" s="1"/>
      <c r="C500" s="1" t="s">
        <v>624</v>
      </c>
      <c r="D500" s="5" t="s">
        <v>343</v>
      </c>
      <c r="E500" s="313">
        <v>0.17090216010165182</v>
      </c>
      <c r="F500" s="6">
        <v>1305</v>
      </c>
      <c r="G500">
        <v>25338</v>
      </c>
      <c r="H500">
        <f>F500*G500</f>
        <v>33066090</v>
      </c>
      <c r="I500">
        <v>1574</v>
      </c>
      <c r="J500">
        <f>I500*G500</f>
        <v>39882012</v>
      </c>
      <c r="K500">
        <f>J500-H500</f>
        <v>6815922</v>
      </c>
      <c r="L500">
        <f>K500*1.2</f>
        <v>8179106.3999999994</v>
      </c>
    </row>
    <row r="501" spans="1:12" outlineLevel="1">
      <c r="A501" s="8"/>
      <c r="B501" s="1"/>
      <c r="C501" s="1"/>
      <c r="D501" s="5"/>
      <c r="E501" s="11"/>
      <c r="F501" s="6"/>
      <c r="I501">
        <f>I499*1.2</f>
        <v>17712</v>
      </c>
    </row>
    <row r="502" spans="1:12" outlineLevel="1">
      <c r="A502" s="8"/>
      <c r="B502" s="1"/>
      <c r="C502" s="1"/>
      <c r="D502" s="1"/>
      <c r="E502" s="1"/>
      <c r="F502" s="2"/>
      <c r="G502">
        <f>F499*1.2</f>
        <v>14688</v>
      </c>
      <c r="I502">
        <f>I500*1.2</f>
        <v>1888.8</v>
      </c>
    </row>
    <row r="503" spans="1:12" outlineLevel="1">
      <c r="A503" s="8"/>
      <c r="B503" s="1"/>
      <c r="C503" s="1"/>
      <c r="D503" s="1"/>
      <c r="E503" s="1"/>
      <c r="F503" s="2"/>
      <c r="G503">
        <f>F500*1.2</f>
        <v>1566</v>
      </c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outlineLevel="1">
      <c r="A509" s="8"/>
      <c r="B509" s="1"/>
      <c r="C509" s="1"/>
      <c r="D509" s="1"/>
      <c r="E509" s="1"/>
      <c r="F509" s="2"/>
    </row>
    <row r="510" spans="1:12" ht="15.75" outlineLevel="1" thickBot="1">
      <c r="A510" s="9"/>
      <c r="B510" s="3"/>
      <c r="C510" s="3"/>
      <c r="D510" s="3"/>
      <c r="E510" s="3"/>
      <c r="F510" s="4"/>
    </row>
    <row r="511" spans="1:12" ht="16.5" thickTop="1" thickBot="1"/>
    <row r="512" spans="1:12" ht="15.75" thickTop="1">
      <c r="A512" s="3782" t="s">
        <v>0</v>
      </c>
      <c r="B512" s="3781" t="s">
        <v>1</v>
      </c>
      <c r="C512" s="3781" t="s">
        <v>2</v>
      </c>
      <c r="D512" s="3781" t="s">
        <v>3</v>
      </c>
      <c r="E512" s="3781" t="s">
        <v>4</v>
      </c>
      <c r="F512" s="3765" t="s">
        <v>5</v>
      </c>
    </row>
    <row r="513" spans="1:12" ht="24.75" customHeight="1" collapsed="1" thickBot="1">
      <c r="A513" s="3783"/>
      <c r="B513" s="3767"/>
      <c r="C513" s="3767"/>
      <c r="D513" s="3767"/>
      <c r="E513" s="3767"/>
      <c r="F513" s="3766"/>
    </row>
    <row r="514" spans="1:12" ht="15.75" outlineLevel="1" thickTop="1">
      <c r="A514" s="7" t="s">
        <v>674</v>
      </c>
      <c r="B514" s="5" t="s">
        <v>200</v>
      </c>
      <c r="C514" s="5" t="s">
        <v>675</v>
      </c>
      <c r="D514" s="5" t="s">
        <v>343</v>
      </c>
      <c r="E514" s="11">
        <v>0.18</v>
      </c>
      <c r="F514" s="6">
        <v>7872</v>
      </c>
      <c r="G514">
        <v>7505</v>
      </c>
      <c r="H514">
        <f>F514*G514</f>
        <v>59079360</v>
      </c>
      <c r="I514">
        <v>9600</v>
      </c>
      <c r="J514">
        <f>G514*I514</f>
        <v>72048000</v>
      </c>
      <c r="K514">
        <f>J514-H514</f>
        <v>12968640</v>
      </c>
      <c r="L514">
        <f>K514*1.2</f>
        <v>15562368</v>
      </c>
    </row>
    <row r="515" spans="1:12" outlineLevel="1">
      <c r="A515" s="8"/>
      <c r="B515" s="1"/>
      <c r="C515" s="1"/>
      <c r="D515" s="5"/>
      <c r="E515" s="11"/>
      <c r="F515" s="6"/>
    </row>
    <row r="516" spans="1:12" outlineLevel="1">
      <c r="A516" s="8"/>
      <c r="B516" s="1"/>
      <c r="C516" s="1"/>
      <c r="D516" s="5"/>
      <c r="E516" s="11"/>
      <c r="F516" s="6"/>
    </row>
    <row r="517" spans="1:12" outlineLevel="1">
      <c r="A517" s="8"/>
      <c r="B517" s="1"/>
      <c r="C517" s="1"/>
      <c r="D517" s="1"/>
      <c r="E517" s="1"/>
      <c r="F517" s="2"/>
    </row>
    <row r="518" spans="1:12" outlineLevel="1">
      <c r="A518" s="8"/>
      <c r="B518" s="1"/>
      <c r="C518" s="1"/>
      <c r="D518" s="1"/>
      <c r="E518" s="1"/>
      <c r="F518" s="2"/>
    </row>
    <row r="519" spans="1:12" outlineLevel="1">
      <c r="A519" s="8"/>
      <c r="B519" s="1"/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outlineLevel="1">
      <c r="A524" s="8"/>
      <c r="B524" s="1"/>
      <c r="C524" s="1"/>
      <c r="D524" s="1"/>
      <c r="E524" s="1"/>
      <c r="F524" s="2"/>
    </row>
    <row r="525" spans="1:12" ht="15.75" outlineLevel="1" thickBot="1">
      <c r="A525" s="9"/>
      <c r="B525" s="3"/>
      <c r="C525" s="3"/>
      <c r="D525" s="3"/>
      <c r="E525" s="3"/>
      <c r="F525" s="4"/>
    </row>
    <row r="526" spans="1:12" ht="16.5" thickTop="1" thickBot="1"/>
    <row r="527" spans="1:12" ht="15.75" thickTop="1">
      <c r="A527" s="3782" t="s">
        <v>0</v>
      </c>
      <c r="B527" s="3781" t="s">
        <v>1</v>
      </c>
      <c r="C527" s="3781" t="s">
        <v>2</v>
      </c>
      <c r="D527" s="3781" t="s">
        <v>3</v>
      </c>
      <c r="E527" s="3781" t="s">
        <v>4</v>
      </c>
      <c r="F527" s="3765" t="s">
        <v>5</v>
      </c>
    </row>
    <row r="528" spans="1:12" ht="24.75" customHeight="1" collapsed="1" thickBot="1">
      <c r="A528" s="3783"/>
      <c r="B528" s="3767"/>
      <c r="C528" s="3767"/>
      <c r="D528" s="3767"/>
      <c r="E528" s="3767"/>
      <c r="F528" s="3766"/>
    </row>
    <row r="529" spans="1:12" ht="15.75" outlineLevel="1" thickTop="1">
      <c r="A529" s="7" t="s">
        <v>712</v>
      </c>
      <c r="B529" s="5" t="s">
        <v>181</v>
      </c>
      <c r="C529" s="5" t="s">
        <v>27</v>
      </c>
      <c r="D529" s="5" t="s">
        <v>343</v>
      </c>
      <c r="E529" s="11">
        <v>0.2</v>
      </c>
      <c r="F529" s="6">
        <v>7443</v>
      </c>
      <c r="G529">
        <v>11645</v>
      </c>
      <c r="H529">
        <f>F529*G529</f>
        <v>86673735</v>
      </c>
      <c r="I529">
        <v>9304</v>
      </c>
      <c r="J529">
        <f>G529*I529</f>
        <v>108345080</v>
      </c>
      <c r="K529">
        <f>J529-H529</f>
        <v>21671345</v>
      </c>
      <c r="L529">
        <f>K529*1.2</f>
        <v>26005614</v>
      </c>
    </row>
    <row r="530" spans="1:12" outlineLevel="1">
      <c r="A530" s="8"/>
      <c r="B530" s="1" t="s">
        <v>366</v>
      </c>
      <c r="C530" s="1" t="s">
        <v>29</v>
      </c>
      <c r="D530" s="5" t="s">
        <v>343</v>
      </c>
      <c r="E530" s="11">
        <v>0.2</v>
      </c>
      <c r="F530" s="6">
        <v>7443</v>
      </c>
    </row>
    <row r="531" spans="1:12" outlineLevel="1">
      <c r="A531" s="8"/>
      <c r="B531" s="1" t="s">
        <v>180</v>
      </c>
      <c r="C531" s="1"/>
      <c r="D531" s="5"/>
      <c r="E531" s="11"/>
      <c r="F531" s="6"/>
    </row>
    <row r="532" spans="1:12" outlineLevel="1">
      <c r="A532" s="8"/>
      <c r="B532" s="1" t="s">
        <v>135</v>
      </c>
      <c r="C532" s="1"/>
      <c r="D532" s="1"/>
      <c r="E532" s="1"/>
      <c r="F532" s="2"/>
    </row>
    <row r="533" spans="1:12" outlineLevel="1">
      <c r="A533" s="8"/>
      <c r="B533" s="1"/>
      <c r="C533" s="1"/>
      <c r="D533" s="1"/>
      <c r="E533" s="1"/>
      <c r="F533" s="2"/>
    </row>
    <row r="534" spans="1:12" outlineLevel="1">
      <c r="A534" s="8"/>
      <c r="B534" s="1"/>
      <c r="C534" s="1"/>
      <c r="D534" s="1"/>
      <c r="E534" s="1"/>
      <c r="F534" s="2"/>
    </row>
    <row r="535" spans="1:12" outlineLevel="1">
      <c r="A535" s="8"/>
      <c r="B535" s="1"/>
      <c r="C535" s="1"/>
      <c r="D535" s="1"/>
      <c r="E535" s="1"/>
      <c r="F535" s="2"/>
    </row>
    <row r="536" spans="1:12" outlineLevel="1">
      <c r="A536" s="8"/>
      <c r="B536" s="1"/>
      <c r="C536" s="1"/>
      <c r="D536" s="1"/>
      <c r="E536" s="1"/>
      <c r="F536" s="2"/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outlineLevel="1">
      <c r="A539" s="8"/>
      <c r="B539" s="1"/>
      <c r="C539" s="1"/>
      <c r="D539" s="1"/>
      <c r="E539" s="1"/>
      <c r="F539" s="2"/>
    </row>
    <row r="540" spans="1:12" ht="15.75" outlineLevel="1" thickBot="1">
      <c r="A540" s="9"/>
      <c r="B540" s="3"/>
      <c r="C540" s="3"/>
      <c r="D540" s="3"/>
      <c r="E540" s="3"/>
      <c r="F540" s="4"/>
    </row>
    <row r="541" spans="1:12" ht="16.5" thickTop="1" thickBot="1"/>
    <row r="542" spans="1:12" ht="15.75" thickTop="1">
      <c r="A542" s="3782" t="s">
        <v>0</v>
      </c>
      <c r="B542" s="3781" t="s">
        <v>1</v>
      </c>
      <c r="C542" s="3781" t="s">
        <v>2</v>
      </c>
      <c r="D542" s="3781" t="s">
        <v>3</v>
      </c>
      <c r="E542" s="3781" t="s">
        <v>4</v>
      </c>
      <c r="F542" s="3765" t="s">
        <v>5</v>
      </c>
    </row>
    <row r="543" spans="1:12" ht="24.75" customHeight="1" collapsed="1" thickBot="1">
      <c r="A543" s="3783"/>
      <c r="B543" s="3767"/>
      <c r="C543" s="3767"/>
      <c r="D543" s="3767"/>
      <c r="E543" s="3767"/>
      <c r="F543" s="3766"/>
    </row>
    <row r="544" spans="1:12" ht="15.75" outlineLevel="1" thickTop="1">
      <c r="A544" s="7" t="s">
        <v>714</v>
      </c>
      <c r="B544" s="5" t="s">
        <v>715</v>
      </c>
      <c r="C544" s="5" t="s">
        <v>436</v>
      </c>
      <c r="D544" s="5" t="s">
        <v>325</v>
      </c>
      <c r="E544" s="11">
        <v>0.2</v>
      </c>
      <c r="F544" s="6">
        <v>6428</v>
      </c>
      <c r="G544">
        <v>120</v>
      </c>
      <c r="H544">
        <f>F544*G544</f>
        <v>771360</v>
      </c>
      <c r="I544">
        <v>8035</v>
      </c>
      <c r="J544">
        <f>G544*I544</f>
        <v>964200</v>
      </c>
      <c r="K544">
        <f>J544-H544</f>
        <v>192840</v>
      </c>
      <c r="L544">
        <f>K544*1.2</f>
        <v>231408</v>
      </c>
    </row>
    <row r="545" spans="1:12" outlineLevel="1">
      <c r="A545" s="8"/>
      <c r="B545" s="1"/>
      <c r="C545" s="1"/>
      <c r="D545" s="5"/>
      <c r="E545" s="11"/>
      <c r="F545" s="6"/>
      <c r="G545">
        <f>F544*1.2</f>
        <v>7713.5999999999995</v>
      </c>
      <c r="I545">
        <f>I544*1.2</f>
        <v>9642</v>
      </c>
    </row>
    <row r="546" spans="1:12" outlineLevel="1">
      <c r="A546" s="8"/>
      <c r="B546" s="1"/>
      <c r="C546" s="1"/>
      <c r="D546" s="5"/>
      <c r="E546" s="11"/>
      <c r="F546" s="6"/>
    </row>
    <row r="547" spans="1:12" outlineLevel="1">
      <c r="A547" s="8"/>
      <c r="B547" s="1"/>
      <c r="C547" s="1"/>
      <c r="D547" s="1"/>
      <c r="E547" s="1"/>
      <c r="F547" s="2"/>
    </row>
    <row r="548" spans="1:12" outlineLevel="1">
      <c r="A548" s="8"/>
      <c r="B548" s="1"/>
      <c r="C548" s="1"/>
      <c r="D548" s="1"/>
      <c r="E548" s="1"/>
      <c r="F548" s="2"/>
    </row>
    <row r="549" spans="1:12" outlineLevel="1">
      <c r="A549" s="8"/>
      <c r="B549" s="1"/>
      <c r="C549" s="1"/>
      <c r="D549" s="1"/>
      <c r="E549" s="1"/>
      <c r="F549" s="2"/>
    </row>
    <row r="550" spans="1:12" outlineLevel="1">
      <c r="A550" s="8"/>
      <c r="B550" s="1"/>
      <c r="C550" s="1"/>
      <c r="D550" s="1"/>
      <c r="E550" s="1"/>
      <c r="F550" s="2"/>
    </row>
    <row r="551" spans="1:12" outlineLevel="1">
      <c r="A551" s="8"/>
      <c r="B551" s="1"/>
      <c r="C551" s="1"/>
      <c r="D551" s="1"/>
      <c r="E551" s="1"/>
      <c r="F551" s="2"/>
    </row>
    <row r="552" spans="1:12" outlineLevel="1">
      <c r="A552" s="8"/>
      <c r="B552" s="1"/>
      <c r="C552" s="1"/>
      <c r="D552" s="1"/>
      <c r="E552" s="1"/>
      <c r="F552" s="2"/>
    </row>
    <row r="553" spans="1:12" outlineLevel="1">
      <c r="A553" s="8"/>
      <c r="B553" s="1"/>
      <c r="C553" s="1"/>
      <c r="D553" s="1"/>
      <c r="E553" s="1"/>
      <c r="F553" s="2"/>
    </row>
    <row r="554" spans="1:12" outlineLevel="1">
      <c r="A554" s="8"/>
      <c r="B554" s="1"/>
      <c r="C554" s="1"/>
      <c r="D554" s="1"/>
      <c r="E554" s="1"/>
      <c r="F554" s="2"/>
    </row>
    <row r="555" spans="1:12" ht="15.75" outlineLevel="1" thickBot="1">
      <c r="A555" s="9"/>
      <c r="B555" s="3"/>
      <c r="C555" s="3"/>
      <c r="D555" s="3"/>
      <c r="E555" s="3"/>
      <c r="F555" s="4"/>
    </row>
    <row r="556" spans="1:12" ht="16.5" thickTop="1" thickBot="1"/>
    <row r="557" spans="1:12" ht="15.75" thickTop="1">
      <c r="A557" s="3808" t="s">
        <v>0</v>
      </c>
      <c r="B557" s="3804" t="s">
        <v>1</v>
      </c>
      <c r="C557" s="3804" t="s">
        <v>2</v>
      </c>
      <c r="D557" s="3804" t="s">
        <v>3</v>
      </c>
      <c r="E557" s="3804" t="s">
        <v>4</v>
      </c>
      <c r="F557" s="3806" t="s">
        <v>5</v>
      </c>
      <c r="G557" s="176"/>
      <c r="H557" s="176"/>
      <c r="I557" s="176"/>
      <c r="J557" s="176"/>
      <c r="K557" s="176"/>
      <c r="L557" s="176"/>
    </row>
    <row r="558" spans="1:12" ht="24.75" customHeight="1" collapsed="1" thickBot="1">
      <c r="A558" s="3809"/>
      <c r="B558" s="3805"/>
      <c r="C558" s="3805"/>
      <c r="D558" s="3805"/>
      <c r="E558" s="3805"/>
      <c r="F558" s="3807"/>
      <c r="G558" s="176"/>
      <c r="H558" s="176"/>
      <c r="I558" s="176"/>
      <c r="J558" s="176"/>
      <c r="K558" s="176"/>
      <c r="L558" s="176"/>
    </row>
    <row r="559" spans="1:12" ht="15.75" outlineLevel="1" thickTop="1">
      <c r="A559" s="277" t="s">
        <v>728</v>
      </c>
      <c r="B559" s="191" t="s">
        <v>200</v>
      </c>
      <c r="C559" s="191" t="s">
        <v>328</v>
      </c>
      <c r="D559" s="191" t="s">
        <v>490</v>
      </c>
      <c r="E559" s="278">
        <v>0.1</v>
      </c>
      <c r="F559" s="279">
        <v>149830</v>
      </c>
      <c r="G559" s="176">
        <v>5350</v>
      </c>
      <c r="H559" s="176">
        <f>F559*G559</f>
        <v>801590500</v>
      </c>
      <c r="I559" s="176">
        <v>166478</v>
      </c>
      <c r="J559" s="176">
        <f>G559*I559</f>
        <v>890657300</v>
      </c>
      <c r="K559" s="176">
        <f>J559-H559</f>
        <v>89066800</v>
      </c>
      <c r="L559" s="176">
        <f>K559*1.1</f>
        <v>97973480.000000015</v>
      </c>
    </row>
    <row r="560" spans="1:12" outlineLevel="1">
      <c r="A560" s="280"/>
      <c r="B560" s="31"/>
      <c r="C560" s="31" t="s">
        <v>326</v>
      </c>
      <c r="D560" s="191" t="s">
        <v>490</v>
      </c>
      <c r="E560" s="278">
        <v>0.1</v>
      </c>
      <c r="F560" s="279">
        <v>149830</v>
      </c>
      <c r="G560" s="176"/>
      <c r="H560" s="176"/>
      <c r="I560" s="176"/>
      <c r="J560" s="176"/>
      <c r="K560" s="176"/>
      <c r="L560" s="176"/>
    </row>
    <row r="561" spans="1:12" outlineLevel="1">
      <c r="A561" s="280"/>
      <c r="B561" s="31"/>
      <c r="C561" s="31" t="s">
        <v>327</v>
      </c>
      <c r="D561" s="191" t="s">
        <v>490</v>
      </c>
      <c r="E561" s="278">
        <v>0.1</v>
      </c>
      <c r="F561" s="279">
        <v>149830</v>
      </c>
      <c r="G561" s="176"/>
      <c r="H561" s="176">
        <f>H559*1.1</f>
        <v>881749550.00000012</v>
      </c>
      <c r="I561" s="176"/>
      <c r="J561" s="176">
        <f>J559*1.1</f>
        <v>979723030.00000012</v>
      </c>
      <c r="K561" s="176"/>
      <c r="L561" s="176"/>
    </row>
    <row r="562" spans="1:12" outlineLevel="1">
      <c r="A562" s="280"/>
      <c r="B562" s="31"/>
      <c r="C562" s="31"/>
      <c r="D562" s="31"/>
      <c r="E562" s="31"/>
      <c r="F562" s="281"/>
      <c r="G562" s="176"/>
      <c r="H562" s="176"/>
      <c r="I562" s="176"/>
      <c r="J562" s="176">
        <f>J561-H561</f>
        <v>97973480</v>
      </c>
      <c r="K562" s="176"/>
      <c r="L562" s="176"/>
    </row>
    <row r="563" spans="1:12" outlineLevel="1">
      <c r="A563" s="280"/>
      <c r="B563" s="31"/>
      <c r="C563" s="31"/>
      <c r="D563" s="31"/>
      <c r="E563" s="31"/>
      <c r="F563" s="281"/>
      <c r="G563" s="176"/>
      <c r="H563" s="176"/>
      <c r="I563" s="176"/>
      <c r="J563" s="176"/>
      <c r="K563" s="176"/>
      <c r="L563" s="176"/>
    </row>
    <row r="564" spans="1:12" outlineLevel="1">
      <c r="A564" s="280"/>
      <c r="B564" s="31"/>
      <c r="C564" s="31"/>
      <c r="D564" s="31"/>
      <c r="E564" s="31"/>
      <c r="F564" s="281"/>
      <c r="G564" s="176"/>
      <c r="H564" s="176"/>
      <c r="I564" s="176"/>
      <c r="J564" s="176"/>
      <c r="K564" s="176"/>
      <c r="L564" s="176"/>
    </row>
    <row r="565" spans="1:12" outlineLevel="1">
      <c r="A565" s="280"/>
      <c r="B565" s="31"/>
      <c r="C565" s="31"/>
      <c r="D565" s="31"/>
      <c r="E565" s="31"/>
      <c r="F565" s="281"/>
      <c r="G565" s="176"/>
      <c r="H565" s="176"/>
      <c r="I565" s="176"/>
      <c r="J565" s="176"/>
      <c r="K565" s="176"/>
      <c r="L565" s="176"/>
    </row>
    <row r="566" spans="1:12" outlineLevel="1">
      <c r="A566" s="280"/>
      <c r="B566" s="31"/>
      <c r="C566" s="31"/>
      <c r="D566" s="31"/>
      <c r="E566" s="31"/>
      <c r="F566" s="281"/>
      <c r="G566" s="176"/>
      <c r="H566" s="176"/>
      <c r="I566" s="176"/>
      <c r="J566" s="176"/>
      <c r="K566" s="176"/>
      <c r="L566" s="176"/>
    </row>
    <row r="567" spans="1:12" outlineLevel="1">
      <c r="A567" s="280"/>
      <c r="B567" s="31"/>
      <c r="C567" s="31"/>
      <c r="D567" s="31"/>
      <c r="E567" s="31"/>
      <c r="F567" s="281"/>
      <c r="G567" s="176"/>
      <c r="H567" s="176"/>
      <c r="I567" s="176"/>
      <c r="J567" s="176"/>
      <c r="K567" s="176"/>
      <c r="L567" s="176"/>
    </row>
    <row r="568" spans="1:12" outlineLevel="1">
      <c r="A568" s="280"/>
      <c r="B568" s="31"/>
      <c r="C568" s="31"/>
      <c r="D568" s="31"/>
      <c r="E568" s="31"/>
      <c r="F568" s="281"/>
      <c r="G568" s="176"/>
      <c r="H568" s="176"/>
      <c r="I568" s="176"/>
      <c r="J568" s="176"/>
      <c r="K568" s="176"/>
      <c r="L568" s="176"/>
    </row>
    <row r="569" spans="1:12" outlineLevel="1">
      <c r="A569" s="280"/>
      <c r="B569" s="31"/>
      <c r="C569" s="31"/>
      <c r="D569" s="31"/>
      <c r="E569" s="31"/>
      <c r="F569" s="281"/>
      <c r="G569" s="176"/>
      <c r="H569" s="176"/>
      <c r="I569" s="176"/>
      <c r="J569" s="176"/>
      <c r="K569" s="176"/>
      <c r="L569" s="176"/>
    </row>
    <row r="570" spans="1:12" ht="15.75" outlineLevel="1" thickBot="1">
      <c r="A570" s="282"/>
      <c r="B570" s="283"/>
      <c r="C570" s="283"/>
      <c r="D570" s="283"/>
      <c r="E570" s="283"/>
      <c r="F570" s="284"/>
      <c r="G570" s="176"/>
      <c r="H570" s="176"/>
      <c r="I570" s="176"/>
      <c r="J570" s="176"/>
      <c r="K570" s="176"/>
      <c r="L570" s="176"/>
    </row>
    <row r="571" spans="1:12" ht="16.5" thickTop="1" thickBot="1"/>
    <row r="572" spans="1:12" ht="15.75" thickTop="1">
      <c r="A572" s="3782" t="s">
        <v>0</v>
      </c>
      <c r="B572" s="3781" t="s">
        <v>1</v>
      </c>
      <c r="C572" s="3781" t="s">
        <v>2</v>
      </c>
      <c r="D572" s="3781" t="s">
        <v>3</v>
      </c>
      <c r="E572" s="3781" t="s">
        <v>4</v>
      </c>
      <c r="F572" s="3765" t="s">
        <v>5</v>
      </c>
    </row>
    <row r="573" spans="1:12" ht="24.75" customHeight="1" collapsed="1" thickBot="1">
      <c r="A573" s="3783"/>
      <c r="B573" s="3767"/>
      <c r="C573" s="3767"/>
      <c r="D573" s="3767"/>
      <c r="E573" s="3767"/>
      <c r="F573" s="3766"/>
    </row>
    <row r="574" spans="1:12" ht="15.75" outlineLevel="1" thickTop="1">
      <c r="A574" s="7" t="s">
        <v>749</v>
      </c>
      <c r="B574" s="5" t="s">
        <v>181</v>
      </c>
      <c r="C574" s="5" t="s">
        <v>226</v>
      </c>
      <c r="D574" s="5" t="s">
        <v>343</v>
      </c>
      <c r="E574" s="11">
        <v>0.2</v>
      </c>
      <c r="F574" s="6">
        <v>4633</v>
      </c>
    </row>
    <row r="575" spans="1:12" outlineLevel="1">
      <c r="A575" s="8"/>
      <c r="B575" s="1" t="s">
        <v>366</v>
      </c>
      <c r="C575" s="1"/>
      <c r="D575" s="5"/>
      <c r="E575" s="11"/>
      <c r="F575" s="6"/>
    </row>
    <row r="576" spans="1:12" outlineLevel="1">
      <c r="A576" s="8"/>
      <c r="B576" s="1" t="s">
        <v>180</v>
      </c>
      <c r="C576" s="1"/>
      <c r="D576" s="5"/>
      <c r="E576" s="11"/>
      <c r="F576" s="6"/>
    </row>
    <row r="577" spans="1:6" outlineLevel="1">
      <c r="A577" s="8"/>
      <c r="B577" s="1" t="s">
        <v>135</v>
      </c>
      <c r="C577" s="1"/>
      <c r="D577" s="1"/>
      <c r="E577" s="1"/>
      <c r="F577" s="2"/>
    </row>
    <row r="578" spans="1:6" outlineLevel="1">
      <c r="A578" s="8"/>
      <c r="B578" s="1"/>
      <c r="C578" s="1"/>
      <c r="D578" s="1"/>
      <c r="E578" s="1"/>
      <c r="F578" s="2"/>
    </row>
    <row r="579" spans="1:6" outlineLevel="1">
      <c r="A579" s="8"/>
      <c r="B579" s="1"/>
      <c r="C579" s="1"/>
      <c r="D579" s="1"/>
      <c r="E579" s="1"/>
      <c r="F579" s="2"/>
    </row>
    <row r="580" spans="1:6" outlineLevel="1">
      <c r="A580" s="8"/>
      <c r="B580" s="1"/>
      <c r="C580" s="1"/>
      <c r="D580" s="1"/>
      <c r="E580" s="1"/>
      <c r="F580" s="2"/>
    </row>
    <row r="581" spans="1:6" outlineLevel="1">
      <c r="A581" s="8"/>
      <c r="B581" s="1"/>
      <c r="C581" s="1"/>
      <c r="D581" s="1"/>
      <c r="E581" s="1"/>
      <c r="F581" s="2"/>
    </row>
    <row r="582" spans="1:6" outlineLevel="1">
      <c r="A582" s="8"/>
      <c r="B582" s="1"/>
      <c r="C582" s="1"/>
      <c r="D582" s="1"/>
      <c r="E582" s="1"/>
      <c r="F582" s="2"/>
    </row>
    <row r="583" spans="1:6" outlineLevel="1">
      <c r="A583" s="8"/>
      <c r="B583" s="1"/>
      <c r="C583" s="1"/>
      <c r="D583" s="1"/>
      <c r="E583" s="1"/>
      <c r="F583" s="2"/>
    </row>
    <row r="584" spans="1:6" outlineLevel="1">
      <c r="A584" s="8"/>
      <c r="B584" s="1"/>
      <c r="C584" s="1"/>
      <c r="D584" s="1"/>
      <c r="E584" s="1"/>
      <c r="F584" s="2"/>
    </row>
    <row r="585" spans="1:6" ht="15.75" outlineLevel="1" thickBot="1">
      <c r="A585" s="9"/>
      <c r="B585" s="3"/>
      <c r="C585" s="3"/>
      <c r="D585" s="3"/>
      <c r="E585" s="3"/>
      <c r="F585" s="4"/>
    </row>
    <row r="586" spans="1:6" ht="16.5" thickTop="1" thickBot="1"/>
    <row r="587" spans="1:6" ht="15.75" thickTop="1">
      <c r="A587" s="3782" t="s">
        <v>0</v>
      </c>
      <c r="B587" s="3781" t="s">
        <v>1</v>
      </c>
      <c r="C587" s="3781" t="s">
        <v>2</v>
      </c>
      <c r="D587" s="3781" t="s">
        <v>3</v>
      </c>
      <c r="E587" s="3781" t="s">
        <v>4</v>
      </c>
      <c r="F587" s="3765" t="s">
        <v>5</v>
      </c>
    </row>
    <row r="588" spans="1:6" ht="24.75" customHeight="1" collapsed="1" thickBot="1">
      <c r="A588" s="3783"/>
      <c r="B588" s="3767"/>
      <c r="C588" s="3767"/>
      <c r="D588" s="3767"/>
      <c r="E588" s="3767"/>
      <c r="F588" s="3766"/>
    </row>
    <row r="589" spans="1:6" ht="15.75" outlineLevel="1" thickTop="1">
      <c r="A589" s="7" t="s">
        <v>804</v>
      </c>
      <c r="B589" s="5" t="s">
        <v>181</v>
      </c>
      <c r="C589" s="5" t="s">
        <v>68</v>
      </c>
      <c r="D589" s="1" t="s">
        <v>343</v>
      </c>
      <c r="E589" s="11">
        <v>0.2</v>
      </c>
      <c r="F589" s="6">
        <v>8482</v>
      </c>
    </row>
    <row r="590" spans="1:6" outlineLevel="1">
      <c r="A590" s="8"/>
      <c r="B590" s="1" t="s">
        <v>366</v>
      </c>
      <c r="C590" s="1" t="s">
        <v>69</v>
      </c>
      <c r="D590" s="1" t="s">
        <v>343</v>
      </c>
      <c r="E590" s="11">
        <v>0.2</v>
      </c>
      <c r="F590" s="6">
        <v>8482</v>
      </c>
    </row>
    <row r="591" spans="1:6" outlineLevel="1">
      <c r="A591" s="8"/>
      <c r="B591" s="1" t="s">
        <v>180</v>
      </c>
      <c r="C591" s="1"/>
      <c r="D591" s="5"/>
      <c r="E591" s="11"/>
      <c r="F591" s="6"/>
    </row>
    <row r="592" spans="1:6" outlineLevel="1">
      <c r="A592" s="8"/>
      <c r="B592" s="1" t="s">
        <v>135</v>
      </c>
      <c r="C592" s="1"/>
      <c r="D592" s="1"/>
      <c r="E592" s="1"/>
      <c r="F592" s="2"/>
    </row>
    <row r="593" spans="1:12" outlineLevel="1">
      <c r="A593" s="8"/>
      <c r="B593" s="1" t="s">
        <v>805</v>
      </c>
      <c r="C593" s="1"/>
      <c r="D593" s="1"/>
      <c r="E593" s="1"/>
      <c r="F593" s="2"/>
    </row>
    <row r="594" spans="1:12" outlineLevel="1">
      <c r="A594" s="8"/>
      <c r="B594" s="1"/>
      <c r="C594" s="1"/>
      <c r="D594" s="1"/>
      <c r="E594" s="1"/>
      <c r="F594" s="2"/>
    </row>
    <row r="595" spans="1:12" outlineLevel="1">
      <c r="A595" s="8"/>
      <c r="B595" s="1"/>
      <c r="C595" s="1"/>
      <c r="D595" s="1"/>
      <c r="E595" s="1"/>
      <c r="F595" s="2"/>
    </row>
    <row r="596" spans="1:12" outlineLevel="1">
      <c r="A596" s="8"/>
      <c r="B596" s="1"/>
      <c r="C596" s="1"/>
      <c r="D596" s="1"/>
      <c r="E596" s="1"/>
      <c r="F596" s="2"/>
    </row>
    <row r="597" spans="1:12" outlineLevel="1">
      <c r="A597" s="8"/>
      <c r="B597" s="1"/>
      <c r="C597" s="1"/>
      <c r="D597" s="1"/>
      <c r="E597" s="1"/>
      <c r="F597" s="2"/>
    </row>
    <row r="598" spans="1:12" outlineLevel="1">
      <c r="A598" s="8"/>
      <c r="B598" s="1"/>
      <c r="C598" s="1"/>
      <c r="D598" s="1"/>
      <c r="E598" s="1"/>
      <c r="F598" s="2"/>
    </row>
    <row r="599" spans="1:12" outlineLevel="1">
      <c r="A599" s="8"/>
      <c r="B599" s="1"/>
      <c r="C599" s="1"/>
      <c r="D599" s="1"/>
      <c r="E599" s="1"/>
      <c r="F599" s="2"/>
    </row>
    <row r="600" spans="1:12" ht="15.75" outlineLevel="1" thickBot="1">
      <c r="A600" s="9"/>
      <c r="B600" s="3"/>
      <c r="C600" s="3"/>
      <c r="D600" s="3"/>
      <c r="E600" s="3"/>
      <c r="F600" s="4"/>
    </row>
    <row r="601" spans="1:12" ht="16.5" thickTop="1" thickBot="1"/>
    <row r="602" spans="1:12" ht="15.75" thickTop="1">
      <c r="A602" s="3782" t="s">
        <v>0</v>
      </c>
      <c r="B602" s="3781" t="s">
        <v>1</v>
      </c>
      <c r="C602" s="3781" t="s">
        <v>2</v>
      </c>
      <c r="D602" s="3781" t="s">
        <v>3</v>
      </c>
      <c r="E602" s="3781" t="s">
        <v>4</v>
      </c>
      <c r="F602" s="3765" t="s">
        <v>5</v>
      </c>
    </row>
    <row r="603" spans="1:12" ht="24.75" customHeight="1" collapsed="1" thickBot="1">
      <c r="A603" s="3783"/>
      <c r="B603" s="3767"/>
      <c r="C603" s="3767"/>
      <c r="D603" s="3767"/>
      <c r="E603" s="3767"/>
      <c r="F603" s="3766"/>
    </row>
    <row r="604" spans="1:12" ht="15.75" outlineLevel="1" thickTop="1">
      <c r="A604" s="7" t="s">
        <v>808</v>
      </c>
      <c r="B604" s="5" t="s">
        <v>232</v>
      </c>
      <c r="C604" s="5" t="s">
        <v>149</v>
      </c>
      <c r="D604" s="5" t="s">
        <v>343</v>
      </c>
      <c r="E604" s="11">
        <v>0.2</v>
      </c>
      <c r="F604" s="6">
        <v>3186</v>
      </c>
      <c r="G604">
        <v>5600</v>
      </c>
      <c r="H604">
        <f>F604*G604</f>
        <v>17841600</v>
      </c>
      <c r="I604">
        <v>3982</v>
      </c>
      <c r="J604">
        <f>G604*I604</f>
        <v>22299200</v>
      </c>
      <c r="L604">
        <f>F604*1.2</f>
        <v>3823.2</v>
      </c>
    </row>
    <row r="605" spans="1:12" outlineLevel="1">
      <c r="A605" s="8"/>
      <c r="B605" s="1"/>
      <c r="C605" s="1" t="s">
        <v>150</v>
      </c>
      <c r="D605" s="5" t="s">
        <v>343</v>
      </c>
      <c r="E605" s="11">
        <v>0.2</v>
      </c>
      <c r="F605" s="6">
        <v>3421</v>
      </c>
      <c r="G605">
        <v>5030</v>
      </c>
      <c r="H605">
        <f>F605*G605</f>
        <v>17207630</v>
      </c>
      <c r="I605">
        <v>4276</v>
      </c>
      <c r="J605">
        <f>G605*I605</f>
        <v>21508280</v>
      </c>
      <c r="L605">
        <f>F605*1.2</f>
        <v>4105.2</v>
      </c>
    </row>
    <row r="606" spans="1:12" outlineLevel="1">
      <c r="A606" s="8"/>
      <c r="B606" s="1"/>
      <c r="C606" s="1" t="s">
        <v>485</v>
      </c>
      <c r="D606" s="5" t="s">
        <v>343</v>
      </c>
      <c r="E606" s="11">
        <v>0.2</v>
      </c>
      <c r="F606" s="6">
        <v>3775</v>
      </c>
      <c r="G606">
        <v>8990</v>
      </c>
      <c r="H606">
        <f>F606*G606</f>
        <v>33937250</v>
      </c>
      <c r="I606">
        <v>4719</v>
      </c>
      <c r="J606">
        <f>G606*I606</f>
        <v>42423810</v>
      </c>
      <c r="L606">
        <f>F606*1.2</f>
        <v>4530</v>
      </c>
    </row>
    <row r="607" spans="1:12" outlineLevel="1">
      <c r="A607" s="8"/>
      <c r="B607" s="1"/>
      <c r="C607" s="1" t="s">
        <v>486</v>
      </c>
      <c r="D607" s="5" t="s">
        <v>343</v>
      </c>
      <c r="E607" s="11">
        <v>0.2</v>
      </c>
      <c r="F607" s="2">
        <v>3775</v>
      </c>
    </row>
    <row r="608" spans="1:12" outlineLevel="1">
      <c r="A608" s="8"/>
      <c r="B608" s="1"/>
      <c r="C608" s="1"/>
      <c r="D608" s="1"/>
      <c r="E608" s="1"/>
      <c r="F608" s="2"/>
      <c r="H608">
        <f>SUM(H604:H607)</f>
        <v>68986480</v>
      </c>
      <c r="J608">
        <f>SUM(J604:J607)</f>
        <v>86231290</v>
      </c>
    </row>
    <row r="609" spans="1:10" outlineLevel="1">
      <c r="A609" s="8"/>
      <c r="B609" s="1"/>
      <c r="C609" s="1"/>
      <c r="D609" s="1"/>
      <c r="E609" s="1"/>
      <c r="F609" s="2"/>
      <c r="J609">
        <f>J608-H608</f>
        <v>17244810</v>
      </c>
    </row>
    <row r="610" spans="1:10" outlineLevel="1">
      <c r="A610" s="8"/>
      <c r="B610" s="1"/>
      <c r="C610" s="1"/>
      <c r="D610" s="1"/>
      <c r="E610" s="1"/>
      <c r="F610" s="2"/>
      <c r="J610">
        <f>J609*1.2</f>
        <v>20693772</v>
      </c>
    </row>
    <row r="611" spans="1:10" outlineLevel="1">
      <c r="A611" s="8"/>
      <c r="B611" s="1"/>
      <c r="C611" s="1"/>
      <c r="D611" s="1"/>
      <c r="E611" s="1"/>
      <c r="F611" s="2"/>
    </row>
    <row r="612" spans="1:10" outlineLevel="1">
      <c r="A612" s="8"/>
      <c r="B612" s="1"/>
      <c r="C612" s="1"/>
      <c r="D612" s="1"/>
      <c r="E612" s="1"/>
      <c r="F612" s="2"/>
    </row>
    <row r="613" spans="1:10" outlineLevel="1">
      <c r="A613" s="8"/>
      <c r="B613" s="1"/>
      <c r="C613" s="1"/>
      <c r="D613" s="1"/>
      <c r="E613" s="1"/>
      <c r="F613" s="2"/>
    </row>
    <row r="614" spans="1:10" outlineLevel="1">
      <c r="A614" s="8"/>
      <c r="B614" s="1"/>
      <c r="C614" s="1"/>
      <c r="D614" s="1"/>
      <c r="E614" s="1"/>
      <c r="F614" s="2"/>
    </row>
    <row r="615" spans="1:10" ht="15.75" outlineLevel="1" thickBot="1">
      <c r="A615" s="9"/>
      <c r="B615" s="3"/>
      <c r="C615" s="3"/>
      <c r="D615" s="3"/>
      <c r="E615" s="3"/>
      <c r="F615" s="4"/>
    </row>
    <row r="616" spans="1:10" ht="16.5" thickTop="1" thickBot="1"/>
    <row r="617" spans="1:10" ht="15.75" thickTop="1">
      <c r="A617" s="3782" t="s">
        <v>0</v>
      </c>
      <c r="B617" s="3781" t="s">
        <v>1</v>
      </c>
      <c r="C617" s="3781" t="s">
        <v>2</v>
      </c>
      <c r="D617" s="3781" t="s">
        <v>3</v>
      </c>
      <c r="E617" s="3781" t="s">
        <v>4</v>
      </c>
      <c r="F617" s="3765" t="s">
        <v>5</v>
      </c>
    </row>
    <row r="618" spans="1:10" ht="24.75" customHeight="1" collapsed="1" thickBot="1">
      <c r="A618" s="3783"/>
      <c r="B618" s="3767"/>
      <c r="C618" s="3767"/>
      <c r="D618" s="3767"/>
      <c r="E618" s="3767"/>
      <c r="F618" s="3766"/>
    </row>
    <row r="619" spans="1:10" ht="15.75" outlineLevel="1" thickTop="1">
      <c r="A619" s="7" t="s">
        <v>833</v>
      </c>
      <c r="B619" s="5" t="s">
        <v>181</v>
      </c>
      <c r="C619" s="5" t="s">
        <v>583</v>
      </c>
      <c r="D619" s="1" t="s">
        <v>343</v>
      </c>
      <c r="E619" s="11">
        <v>0.2</v>
      </c>
      <c r="F619" s="6">
        <v>11503</v>
      </c>
    </row>
    <row r="620" spans="1:10" outlineLevel="1">
      <c r="A620" s="8"/>
      <c r="B620" s="1" t="s">
        <v>366</v>
      </c>
      <c r="C620" s="1"/>
      <c r="D620" s="1"/>
      <c r="E620" s="11"/>
      <c r="F620" s="6"/>
    </row>
    <row r="621" spans="1:10" outlineLevel="1">
      <c r="A621" s="8"/>
      <c r="B621" s="1" t="s">
        <v>180</v>
      </c>
      <c r="C621" s="1"/>
      <c r="D621" s="5"/>
      <c r="E621" s="11"/>
      <c r="F621" s="6"/>
    </row>
    <row r="622" spans="1:10" outlineLevel="1">
      <c r="A622" s="8"/>
      <c r="B622" s="1" t="s">
        <v>135</v>
      </c>
      <c r="C622" s="1"/>
      <c r="D622" s="1"/>
      <c r="E622" s="1"/>
      <c r="F622" s="2"/>
    </row>
    <row r="623" spans="1:10" outlineLevel="1">
      <c r="A623" s="8"/>
      <c r="B623" s="1" t="s">
        <v>805</v>
      </c>
      <c r="C623" s="1"/>
      <c r="D623" s="1"/>
      <c r="E623" s="1"/>
      <c r="F623" s="2"/>
    </row>
    <row r="624" spans="1:10" outlineLevel="1">
      <c r="A624" s="8"/>
      <c r="B624" s="1"/>
      <c r="C624" s="1"/>
      <c r="D624" s="1"/>
      <c r="E624" s="1"/>
      <c r="F624" s="2"/>
    </row>
    <row r="625" spans="1:6" outlineLevel="1">
      <c r="A625" s="8"/>
      <c r="B625" s="1"/>
      <c r="C625" s="1"/>
      <c r="D625" s="1"/>
      <c r="E625" s="1"/>
      <c r="F625" s="2"/>
    </row>
    <row r="626" spans="1:6" outlineLevel="1">
      <c r="A626" s="8"/>
      <c r="B626" s="1"/>
      <c r="C626" s="1"/>
      <c r="D626" s="1"/>
      <c r="E626" s="1"/>
      <c r="F626" s="2"/>
    </row>
    <row r="627" spans="1:6" outlineLevel="1">
      <c r="A627" s="8"/>
      <c r="B627" s="1"/>
      <c r="C627" s="1"/>
      <c r="D627" s="1"/>
      <c r="E627" s="1"/>
      <c r="F627" s="2"/>
    </row>
    <row r="628" spans="1:6" outlineLevel="1">
      <c r="A628" s="8"/>
      <c r="B628" s="1"/>
      <c r="C628" s="1"/>
      <c r="D628" s="1"/>
      <c r="E628" s="1"/>
      <c r="F628" s="2"/>
    </row>
    <row r="629" spans="1:6" outlineLevel="1">
      <c r="A629" s="8"/>
      <c r="B629" s="1"/>
      <c r="C629" s="1"/>
      <c r="D629" s="1"/>
      <c r="E629" s="1"/>
      <c r="F629" s="2"/>
    </row>
    <row r="630" spans="1:6" ht="15.75" outlineLevel="1" thickBot="1">
      <c r="A630" s="9"/>
      <c r="B630" s="3"/>
      <c r="C630" s="3"/>
      <c r="D630" s="3"/>
      <c r="E630" s="3"/>
      <c r="F630" s="4"/>
    </row>
    <row r="631" spans="1:6" ht="16.5" thickTop="1" thickBot="1"/>
    <row r="632" spans="1:6" ht="15.75" thickTop="1">
      <c r="A632" s="3782" t="s">
        <v>0</v>
      </c>
      <c r="B632" s="3781" t="s">
        <v>1</v>
      </c>
      <c r="C632" s="3781" t="s">
        <v>2</v>
      </c>
      <c r="D632" s="3781" t="s">
        <v>3</v>
      </c>
      <c r="E632" s="3781" t="s">
        <v>4</v>
      </c>
      <c r="F632" s="3765" t="s">
        <v>5</v>
      </c>
    </row>
    <row r="633" spans="1:6" ht="24.75" customHeight="1" collapsed="1" thickBot="1">
      <c r="A633" s="3783"/>
      <c r="B633" s="3767"/>
      <c r="C633" s="3767"/>
      <c r="D633" s="3767"/>
      <c r="E633" s="3767"/>
      <c r="F633" s="3766"/>
    </row>
    <row r="634" spans="1:6" ht="15.75" outlineLevel="1" thickTop="1">
      <c r="A634" s="7" t="s">
        <v>859</v>
      </c>
      <c r="B634" s="5" t="s">
        <v>200</v>
      </c>
      <c r="C634" s="5" t="s">
        <v>860</v>
      </c>
      <c r="D634" s="5" t="s">
        <v>490</v>
      </c>
      <c r="E634" s="11">
        <v>0.17</v>
      </c>
      <c r="F634" s="6">
        <v>7729</v>
      </c>
    </row>
    <row r="635" spans="1:6" outlineLevel="1">
      <c r="A635" s="8"/>
      <c r="B635" s="1"/>
      <c r="C635" s="1"/>
      <c r="D635" s="5"/>
      <c r="E635" s="11"/>
      <c r="F635" s="6"/>
    </row>
    <row r="636" spans="1:6" outlineLevel="1">
      <c r="A636" s="8"/>
      <c r="B636" s="1"/>
      <c r="C636" s="1"/>
      <c r="D636" s="5"/>
      <c r="E636" s="11"/>
      <c r="F636" s="6"/>
    </row>
    <row r="637" spans="1:6" outlineLevel="1">
      <c r="A637" s="8"/>
      <c r="B637" s="1"/>
      <c r="C637" s="1"/>
      <c r="D637" s="1"/>
      <c r="E637" s="1"/>
      <c r="F637" s="2"/>
    </row>
    <row r="638" spans="1:6" outlineLevel="1">
      <c r="A638" s="8"/>
      <c r="B638" s="1"/>
      <c r="C638" s="1"/>
      <c r="D638" s="1"/>
      <c r="E638" s="1"/>
      <c r="F638" s="2"/>
    </row>
    <row r="639" spans="1:6" outlineLevel="1">
      <c r="A639" s="8"/>
      <c r="B639" s="1"/>
      <c r="C639" s="1"/>
      <c r="D639" s="1"/>
      <c r="E639" s="1"/>
      <c r="F639" s="2"/>
    </row>
    <row r="640" spans="1:6" outlineLevel="1">
      <c r="A640" s="8"/>
      <c r="B640" s="1"/>
      <c r="C640" s="1"/>
      <c r="D640" s="1"/>
      <c r="E640" s="1"/>
      <c r="F640" s="2"/>
    </row>
    <row r="641" spans="1:7" outlineLevel="1">
      <c r="A641" s="8"/>
      <c r="B641" s="1"/>
      <c r="C641" s="1"/>
      <c r="D641" s="1"/>
      <c r="E641" s="1"/>
      <c r="F641" s="2"/>
    </row>
    <row r="642" spans="1:7" outlineLevel="1">
      <c r="A642" s="8"/>
      <c r="B642" s="1"/>
      <c r="C642" s="1"/>
      <c r="D642" s="1"/>
      <c r="E642" s="1"/>
      <c r="F642" s="2"/>
    </row>
    <row r="643" spans="1:7" outlineLevel="1">
      <c r="A643" s="8"/>
      <c r="B643" s="1"/>
      <c r="C643" s="1"/>
      <c r="D643" s="1"/>
      <c r="E643" s="1"/>
      <c r="F643" s="2"/>
    </row>
    <row r="644" spans="1:7" outlineLevel="1">
      <c r="A644" s="8"/>
      <c r="B644" s="1"/>
      <c r="C644" s="1"/>
      <c r="D644" s="1"/>
      <c r="E644" s="1"/>
      <c r="F644" s="2"/>
    </row>
    <row r="645" spans="1:7" ht="15.75" outlineLevel="1" thickBot="1">
      <c r="A645" s="9"/>
      <c r="B645" s="3"/>
      <c r="C645" s="3"/>
      <c r="D645" s="3"/>
      <c r="E645" s="3"/>
      <c r="F645" s="4"/>
    </row>
    <row r="646" spans="1:7" ht="16.5" thickTop="1" thickBot="1"/>
    <row r="647" spans="1:7" ht="15.75" thickTop="1">
      <c r="A647" s="3782" t="s">
        <v>0</v>
      </c>
      <c r="B647" s="3781" t="s">
        <v>1</v>
      </c>
      <c r="C647" s="3781" t="s">
        <v>2</v>
      </c>
      <c r="D647" s="3781" t="s">
        <v>3</v>
      </c>
      <c r="E647" s="3781" t="s">
        <v>4</v>
      </c>
      <c r="F647" s="3765" t="s">
        <v>5</v>
      </c>
    </row>
    <row r="648" spans="1:7" ht="24.75" customHeight="1" collapsed="1" thickBot="1">
      <c r="A648" s="3783"/>
      <c r="B648" s="3767"/>
      <c r="C648" s="3767"/>
      <c r="D648" s="3767"/>
      <c r="E648" s="3767"/>
      <c r="F648" s="3766"/>
    </row>
    <row r="649" spans="1:7" ht="15.75" outlineLevel="1" thickTop="1">
      <c r="A649" s="7" t="s">
        <v>866</v>
      </c>
      <c r="B649" s="5" t="s">
        <v>200</v>
      </c>
      <c r="C649" s="5" t="s">
        <v>623</v>
      </c>
      <c r="D649" s="5" t="s">
        <v>343</v>
      </c>
      <c r="E649" s="313">
        <v>0.17073170731707321</v>
      </c>
      <c r="F649" s="6">
        <v>12852</v>
      </c>
      <c r="G649">
        <f>F649*1.2</f>
        <v>15422.4</v>
      </c>
    </row>
    <row r="650" spans="1:7" outlineLevel="1">
      <c r="A650" s="8"/>
      <c r="B650" s="1"/>
      <c r="C650" s="1" t="s">
        <v>624</v>
      </c>
      <c r="D650" s="5" t="s">
        <v>343</v>
      </c>
      <c r="E650" s="313">
        <v>0.17090216010165182</v>
      </c>
      <c r="F650" s="6">
        <v>1370</v>
      </c>
    </row>
    <row r="651" spans="1:7" outlineLevel="1">
      <c r="A651" s="8"/>
      <c r="B651" s="1"/>
      <c r="C651" s="1"/>
      <c r="D651" s="5"/>
      <c r="E651" s="11"/>
      <c r="F651" s="6"/>
    </row>
    <row r="652" spans="1:7" outlineLevel="1">
      <c r="A652" s="8"/>
      <c r="B652" s="1"/>
      <c r="C652" s="1"/>
      <c r="D652" s="1"/>
      <c r="E652" s="1"/>
      <c r="F652" s="2"/>
    </row>
    <row r="653" spans="1:7" outlineLevel="1">
      <c r="A653" s="8"/>
      <c r="B653" s="1"/>
      <c r="C653" s="1"/>
      <c r="D653" s="1"/>
      <c r="E653" s="1"/>
      <c r="F653" s="2"/>
    </row>
    <row r="654" spans="1:7" outlineLevel="1">
      <c r="A654" s="8"/>
      <c r="B654" s="1"/>
      <c r="C654" s="1"/>
      <c r="D654" s="1"/>
      <c r="E654" s="1"/>
      <c r="F654" s="2"/>
    </row>
    <row r="655" spans="1:7" outlineLevel="1">
      <c r="A655" s="8"/>
      <c r="B655" s="1"/>
      <c r="C655" s="1"/>
      <c r="D655" s="1"/>
      <c r="E655" s="1"/>
      <c r="F655" s="2"/>
    </row>
    <row r="656" spans="1:7" outlineLevel="1">
      <c r="A656" s="8"/>
      <c r="B656" s="1"/>
      <c r="C656" s="1"/>
      <c r="D656" s="1"/>
      <c r="E656" s="1"/>
      <c r="F656" s="2"/>
    </row>
    <row r="657" spans="1:7" outlineLevel="1">
      <c r="A657" s="8"/>
      <c r="B657" s="1"/>
      <c r="C657" s="1"/>
      <c r="D657" s="1"/>
      <c r="E657" s="1"/>
      <c r="F657" s="2"/>
    </row>
    <row r="658" spans="1:7" outlineLevel="1">
      <c r="A658" s="8"/>
      <c r="B658" s="1"/>
      <c r="C658" s="1"/>
      <c r="D658" s="1"/>
      <c r="E658" s="1"/>
      <c r="F658" s="2"/>
    </row>
    <row r="659" spans="1:7" outlineLevel="1">
      <c r="A659" s="8"/>
      <c r="B659" s="1"/>
      <c r="C659" s="1"/>
      <c r="D659" s="1"/>
      <c r="E659" s="1"/>
      <c r="F659" s="2"/>
    </row>
    <row r="660" spans="1:7" ht="15.75" outlineLevel="1" thickBot="1">
      <c r="A660" s="9"/>
      <c r="B660" s="3"/>
      <c r="C660" s="3"/>
      <c r="D660" s="3"/>
      <c r="E660" s="3"/>
      <c r="F660" s="4"/>
    </row>
    <row r="661" spans="1:7" ht="16.5" thickTop="1" thickBot="1"/>
    <row r="662" spans="1:7" ht="15.75" thickTop="1">
      <c r="A662" s="3782" t="s">
        <v>0</v>
      </c>
      <c r="B662" s="3781" t="s">
        <v>1</v>
      </c>
      <c r="C662" s="3781" t="s">
        <v>2</v>
      </c>
      <c r="D662" s="3781" t="s">
        <v>3</v>
      </c>
      <c r="E662" s="3781" t="s">
        <v>4</v>
      </c>
      <c r="F662" s="3765" t="s">
        <v>5</v>
      </c>
    </row>
    <row r="663" spans="1:7" ht="24.75" customHeight="1" collapsed="1" thickBot="1">
      <c r="A663" s="3783"/>
      <c r="B663" s="3767"/>
      <c r="C663" s="3767"/>
      <c r="D663" s="3767"/>
      <c r="E663" s="3767"/>
      <c r="F663" s="3766"/>
    </row>
    <row r="664" spans="1:7" ht="15.75" outlineLevel="1" thickTop="1">
      <c r="A664" s="7" t="s">
        <v>896</v>
      </c>
      <c r="B664" s="5" t="s">
        <v>181</v>
      </c>
      <c r="C664" s="5" t="s">
        <v>27</v>
      </c>
      <c r="D664" s="5" t="s">
        <v>343</v>
      </c>
      <c r="E664" s="11">
        <v>0.2</v>
      </c>
      <c r="F664" s="6">
        <v>7443</v>
      </c>
      <c r="G664">
        <f>F664/0.8</f>
        <v>9303.75</v>
      </c>
    </row>
    <row r="665" spans="1:7" outlineLevel="1">
      <c r="A665" s="8"/>
      <c r="B665" s="1" t="s">
        <v>366</v>
      </c>
      <c r="C665" s="1" t="s">
        <v>28</v>
      </c>
      <c r="D665" s="5" t="s">
        <v>343</v>
      </c>
      <c r="E665" s="11">
        <v>0.2</v>
      </c>
      <c r="F665" s="6">
        <v>7443</v>
      </c>
    </row>
    <row r="666" spans="1:7" outlineLevel="1">
      <c r="A666" s="8"/>
      <c r="B666" s="1" t="s">
        <v>180</v>
      </c>
      <c r="C666" s="1" t="s">
        <v>29</v>
      </c>
      <c r="D666" s="5" t="s">
        <v>343</v>
      </c>
      <c r="E666" s="11">
        <v>0.2</v>
      </c>
      <c r="F666" s="6">
        <v>7443</v>
      </c>
    </row>
    <row r="667" spans="1:7" outlineLevel="1">
      <c r="A667" s="8"/>
      <c r="B667" s="1" t="s">
        <v>135</v>
      </c>
      <c r="C667" s="1" t="s">
        <v>897</v>
      </c>
      <c r="D667" s="5" t="s">
        <v>343</v>
      </c>
      <c r="E667" s="11">
        <v>0.2</v>
      </c>
      <c r="F667" s="6">
        <v>7443</v>
      </c>
    </row>
    <row r="668" spans="1:7" outlineLevel="1">
      <c r="A668" s="8"/>
      <c r="B668" s="1" t="s">
        <v>805</v>
      </c>
      <c r="C668" s="1" t="s">
        <v>898</v>
      </c>
      <c r="D668" s="5" t="s">
        <v>343</v>
      </c>
      <c r="E668" s="11">
        <v>0.2</v>
      </c>
      <c r="F668" s="6">
        <v>7443</v>
      </c>
    </row>
    <row r="669" spans="1:7" outlineLevel="1">
      <c r="A669" s="8"/>
      <c r="B669" s="1"/>
      <c r="C669" s="1" t="s">
        <v>899</v>
      </c>
      <c r="D669" s="5" t="s">
        <v>343</v>
      </c>
      <c r="E669" s="11">
        <v>0.2</v>
      </c>
      <c r="F669" s="6">
        <v>7443</v>
      </c>
    </row>
    <row r="670" spans="1:7" outlineLevel="1">
      <c r="A670" s="8"/>
      <c r="B670" s="1"/>
      <c r="C670" s="1"/>
      <c r="D670" s="1"/>
      <c r="E670" s="1"/>
      <c r="F670" s="2"/>
    </row>
    <row r="671" spans="1:7" outlineLevel="1">
      <c r="A671" s="8"/>
      <c r="B671" s="1"/>
      <c r="C671" s="1"/>
      <c r="D671" s="1"/>
      <c r="E671" s="1"/>
      <c r="F671" s="2"/>
    </row>
    <row r="672" spans="1:7" outlineLevel="1">
      <c r="A672" s="8"/>
      <c r="B672" s="1"/>
      <c r="C672" s="1"/>
      <c r="D672" s="1"/>
      <c r="E672" s="1"/>
      <c r="F672" s="2"/>
    </row>
    <row r="673" spans="1:11" outlineLevel="1">
      <c r="A673" s="8"/>
      <c r="B673" s="1"/>
      <c r="C673" s="1"/>
      <c r="D673" s="1"/>
      <c r="E673" s="1"/>
      <c r="F673" s="2"/>
    </row>
    <row r="674" spans="1:11" outlineLevel="1">
      <c r="A674" s="8"/>
      <c r="B674" s="1"/>
      <c r="C674" s="1"/>
      <c r="D674" s="1"/>
      <c r="E674" s="1"/>
      <c r="F674" s="2"/>
    </row>
    <row r="675" spans="1:11" ht="15.75" outlineLevel="1" thickBot="1">
      <c r="A675" s="9"/>
      <c r="B675" s="3"/>
      <c r="C675" s="3"/>
      <c r="D675" s="3"/>
      <c r="E675" s="3"/>
      <c r="F675" s="4"/>
    </row>
    <row r="676" spans="1:11" ht="16.5" thickTop="1" thickBot="1"/>
    <row r="677" spans="1:11" ht="15.75" thickTop="1">
      <c r="A677" s="3782" t="s">
        <v>0</v>
      </c>
      <c r="B677" s="3781" t="s">
        <v>1</v>
      </c>
      <c r="C677" s="3781" t="s">
        <v>2</v>
      </c>
      <c r="D677" s="3781" t="s">
        <v>3</v>
      </c>
      <c r="E677" s="3781" t="s">
        <v>4</v>
      </c>
      <c r="F677" s="3765" t="s">
        <v>5</v>
      </c>
    </row>
    <row r="678" spans="1:11" ht="24.75" customHeight="1" collapsed="1" thickBot="1">
      <c r="A678" s="3783"/>
      <c r="B678" s="3767"/>
      <c r="C678" s="3767"/>
      <c r="D678" s="3767"/>
      <c r="E678" s="3767"/>
      <c r="F678" s="3766"/>
    </row>
    <row r="679" spans="1:11" ht="15.75" outlineLevel="1" thickTop="1">
      <c r="A679" s="7" t="s">
        <v>907</v>
      </c>
      <c r="B679" s="5" t="s">
        <v>200</v>
      </c>
      <c r="C679" s="5" t="s">
        <v>623</v>
      </c>
      <c r="D679" s="5" t="s">
        <v>343</v>
      </c>
      <c r="E679" s="313">
        <v>0.17073170731707321</v>
      </c>
      <c r="F679" s="6">
        <v>13325</v>
      </c>
      <c r="G679">
        <v>19994</v>
      </c>
      <c r="H679">
        <f>F679*G679</f>
        <v>266420050</v>
      </c>
      <c r="I679">
        <v>15941</v>
      </c>
      <c r="J679">
        <f>G679*I679</f>
        <v>318724354</v>
      </c>
      <c r="K679">
        <f>J679-H679</f>
        <v>52304304</v>
      </c>
    </row>
    <row r="680" spans="1:11" outlineLevel="1">
      <c r="A680" s="8"/>
      <c r="B680" s="1"/>
      <c r="C680" s="1"/>
      <c r="D680" s="5"/>
      <c r="E680" s="11"/>
      <c r="F680" s="6"/>
      <c r="G680">
        <f>F679*1.2</f>
        <v>15990</v>
      </c>
      <c r="I680">
        <f>I679*1.2</f>
        <v>19129.2</v>
      </c>
      <c r="K680">
        <f>K679*1.2</f>
        <v>62765164.799999997</v>
      </c>
    </row>
    <row r="681" spans="1:11" outlineLevel="1">
      <c r="A681" s="8"/>
      <c r="B681" s="1"/>
      <c r="C681" s="1"/>
      <c r="D681" s="5"/>
      <c r="E681" s="11"/>
      <c r="F681" s="6"/>
    </row>
    <row r="682" spans="1:11" outlineLevel="1">
      <c r="A682" s="8"/>
      <c r="B682" s="1"/>
      <c r="C682" s="1"/>
      <c r="D682" s="1"/>
      <c r="E682" s="1"/>
      <c r="F682" s="2"/>
    </row>
    <row r="683" spans="1:11" outlineLevel="1">
      <c r="A683" s="8"/>
      <c r="B683" s="1"/>
      <c r="C683" s="1"/>
      <c r="D683" s="1"/>
      <c r="E683" s="1"/>
      <c r="F683" s="2"/>
    </row>
    <row r="684" spans="1:11" outlineLevel="1">
      <c r="A684" s="8"/>
      <c r="B684" s="1"/>
      <c r="C684" s="1"/>
      <c r="D684" s="1"/>
      <c r="E684" s="1"/>
      <c r="F684" s="2"/>
    </row>
    <row r="685" spans="1:11" outlineLevel="1">
      <c r="A685" s="8"/>
      <c r="B685" s="1"/>
      <c r="C685" s="1"/>
      <c r="D685" s="1"/>
      <c r="E685" s="1"/>
      <c r="F685" s="2"/>
    </row>
    <row r="686" spans="1:11" outlineLevel="1">
      <c r="A686" s="8"/>
      <c r="B686" s="1"/>
      <c r="C686" s="1"/>
      <c r="D686" s="1"/>
      <c r="E686" s="1"/>
      <c r="F686" s="2"/>
    </row>
    <row r="687" spans="1:11" outlineLevel="1">
      <c r="A687" s="8"/>
      <c r="B687" s="1"/>
      <c r="C687" s="1"/>
      <c r="D687" s="1"/>
      <c r="E687" s="1"/>
      <c r="F687" s="2"/>
    </row>
    <row r="688" spans="1:11" outlineLevel="1">
      <c r="A688" s="8"/>
      <c r="B688" s="1"/>
      <c r="C688" s="1"/>
      <c r="D688" s="1"/>
      <c r="E688" s="1"/>
      <c r="F688" s="2"/>
    </row>
    <row r="689" spans="1:6" outlineLevel="1">
      <c r="A689" s="8"/>
      <c r="B689" s="1"/>
      <c r="C689" s="1"/>
      <c r="D689" s="1"/>
      <c r="E689" s="1"/>
      <c r="F689" s="2"/>
    </row>
    <row r="690" spans="1:6" ht="15.75" outlineLevel="1" thickBot="1">
      <c r="A690" s="9"/>
      <c r="B690" s="3"/>
      <c r="C690" s="3"/>
      <c r="D690" s="3"/>
      <c r="E690" s="3"/>
      <c r="F690" s="4"/>
    </row>
    <row r="691" spans="1:6" ht="16.5" thickTop="1" thickBot="1"/>
    <row r="692" spans="1:6" ht="15.75" thickTop="1">
      <c r="A692" s="3782" t="s">
        <v>0</v>
      </c>
      <c r="B692" s="3781" t="s">
        <v>1</v>
      </c>
      <c r="C692" s="3781" t="s">
        <v>2</v>
      </c>
      <c r="D692" s="3781" t="s">
        <v>3</v>
      </c>
      <c r="E692" s="3781" t="s">
        <v>4</v>
      </c>
      <c r="F692" s="3765" t="s">
        <v>5</v>
      </c>
    </row>
    <row r="693" spans="1:6" ht="24.75" customHeight="1" collapsed="1" thickBot="1">
      <c r="A693" s="3783"/>
      <c r="B693" s="3767"/>
      <c r="C693" s="3767"/>
      <c r="D693" s="3767"/>
      <c r="E693" s="3767"/>
      <c r="F693" s="3766"/>
    </row>
    <row r="694" spans="1:6" ht="15.75" outlineLevel="1" thickTop="1">
      <c r="A694" s="7" t="s">
        <v>999</v>
      </c>
      <c r="B694" s="5" t="s">
        <v>181</v>
      </c>
      <c r="C694" s="5" t="s">
        <v>226</v>
      </c>
      <c r="D694" s="5" t="s">
        <v>343</v>
      </c>
      <c r="E694" s="11">
        <v>0.2</v>
      </c>
      <c r="F694" s="6">
        <v>4633</v>
      </c>
    </row>
    <row r="695" spans="1:6" outlineLevel="1">
      <c r="A695" s="8"/>
      <c r="B695" s="1" t="s">
        <v>366</v>
      </c>
      <c r="C695" s="1" t="s">
        <v>227</v>
      </c>
      <c r="D695" s="5" t="s">
        <v>343</v>
      </c>
      <c r="E695" s="11">
        <v>0.2</v>
      </c>
      <c r="F695" s="6">
        <v>4633</v>
      </c>
    </row>
    <row r="696" spans="1:6" outlineLevel="1">
      <c r="A696" s="8"/>
      <c r="B696" s="1" t="s">
        <v>180</v>
      </c>
      <c r="C696" s="1" t="s">
        <v>228</v>
      </c>
      <c r="D696" s="5" t="s">
        <v>343</v>
      </c>
      <c r="E696" s="11">
        <v>0.2</v>
      </c>
      <c r="F696" s="6">
        <v>4633</v>
      </c>
    </row>
    <row r="697" spans="1:6" outlineLevel="1">
      <c r="A697" s="8"/>
      <c r="B697" s="1" t="s">
        <v>135</v>
      </c>
      <c r="C697" s="1"/>
      <c r="D697" s="1"/>
      <c r="E697" s="1"/>
      <c r="F697" s="2"/>
    </row>
    <row r="698" spans="1:6" outlineLevel="1">
      <c r="A698" s="8"/>
      <c r="B698" s="1" t="s">
        <v>805</v>
      </c>
      <c r="C698" s="1"/>
      <c r="D698" s="1"/>
      <c r="E698" s="1"/>
      <c r="F698" s="2"/>
    </row>
    <row r="699" spans="1:6" outlineLevel="1">
      <c r="A699" s="8"/>
      <c r="B699" s="1"/>
      <c r="C699" s="1"/>
      <c r="D699" s="1"/>
      <c r="E699" s="1"/>
      <c r="F699" s="2"/>
    </row>
    <row r="700" spans="1:6" outlineLevel="1">
      <c r="A700" s="8"/>
      <c r="B700" s="1"/>
      <c r="C700" s="1"/>
      <c r="D700" s="1"/>
      <c r="E700" s="1"/>
      <c r="F700" s="2"/>
    </row>
    <row r="701" spans="1:6" outlineLevel="1">
      <c r="A701" s="8"/>
      <c r="B701" s="1"/>
      <c r="C701" s="1"/>
      <c r="D701" s="1"/>
      <c r="E701" s="1"/>
      <c r="F701" s="2"/>
    </row>
    <row r="702" spans="1:6" outlineLevel="1">
      <c r="A702" s="8"/>
      <c r="B702" s="1"/>
      <c r="C702" s="1"/>
      <c r="D702" s="1"/>
      <c r="E702" s="1"/>
      <c r="F702" s="2"/>
    </row>
    <row r="703" spans="1:6" outlineLevel="1">
      <c r="A703" s="8"/>
      <c r="B703" s="1"/>
      <c r="C703" s="1"/>
      <c r="D703" s="1"/>
      <c r="E703" s="1"/>
      <c r="F703" s="2"/>
    </row>
    <row r="704" spans="1:6" outlineLevel="1">
      <c r="A704" s="8"/>
      <c r="B704" s="1"/>
      <c r="C704" s="1"/>
      <c r="D704" s="1"/>
      <c r="E704" s="1"/>
      <c r="F704" s="2"/>
    </row>
    <row r="705" spans="1:6" ht="15.75" outlineLevel="1" thickBot="1">
      <c r="A705" s="9"/>
      <c r="B705" s="3"/>
      <c r="C705" s="3"/>
      <c r="D705" s="3"/>
      <c r="E705" s="3"/>
      <c r="F705" s="4"/>
    </row>
    <row r="706" spans="1:6" ht="16.5" thickTop="1" thickBot="1"/>
    <row r="707" spans="1:6" ht="15.75" thickTop="1">
      <c r="A707" s="3782" t="s">
        <v>0</v>
      </c>
      <c r="B707" s="3781" t="s">
        <v>1</v>
      </c>
      <c r="C707" s="3781" t="s">
        <v>2</v>
      </c>
      <c r="D707" s="3781" t="s">
        <v>3</v>
      </c>
      <c r="E707" s="3781" t="s">
        <v>4</v>
      </c>
      <c r="F707" s="3765" t="s">
        <v>5</v>
      </c>
    </row>
    <row r="708" spans="1:6" ht="24.75" customHeight="1" collapsed="1" thickBot="1">
      <c r="A708" s="3783"/>
      <c r="B708" s="3767"/>
      <c r="C708" s="3767"/>
      <c r="D708" s="3767"/>
      <c r="E708" s="3767"/>
      <c r="F708" s="3766"/>
    </row>
    <row r="709" spans="1:6" ht="15.75" outlineLevel="1" thickTop="1">
      <c r="A709" s="7" t="s">
        <v>928</v>
      </c>
      <c r="B709" s="5" t="s">
        <v>232</v>
      </c>
      <c r="C709" s="5" t="s">
        <v>927</v>
      </c>
      <c r="D709" s="1" t="s">
        <v>343</v>
      </c>
      <c r="E709" s="11">
        <v>0.1</v>
      </c>
      <c r="F709" s="6">
        <v>10780</v>
      </c>
    </row>
    <row r="710" spans="1:6" outlineLevel="1">
      <c r="A710" s="8"/>
      <c r="B710" s="1"/>
      <c r="C710" s="1"/>
      <c r="D710" s="5"/>
      <c r="E710" s="11"/>
      <c r="F710" s="6"/>
    </row>
    <row r="711" spans="1:6" outlineLevel="1">
      <c r="A711" s="8"/>
      <c r="B711" s="1"/>
      <c r="C711" s="1"/>
      <c r="D711" s="5"/>
      <c r="E711" s="11"/>
      <c r="F711" s="6"/>
    </row>
    <row r="712" spans="1:6" outlineLevel="1">
      <c r="A712" s="8"/>
      <c r="B712" s="1"/>
      <c r="C712" s="1"/>
      <c r="D712" s="1"/>
      <c r="E712" s="1"/>
      <c r="F712" s="2"/>
    </row>
    <row r="713" spans="1:6" outlineLevel="1">
      <c r="A713" s="8"/>
      <c r="B713" s="1"/>
      <c r="C713" s="1"/>
      <c r="D713" s="1"/>
      <c r="E713" s="1"/>
      <c r="F713" s="2"/>
    </row>
    <row r="714" spans="1:6" outlineLevel="1">
      <c r="A714" s="8"/>
      <c r="B714" s="1"/>
      <c r="C714" s="1"/>
      <c r="D714" s="1"/>
      <c r="E714" s="1"/>
      <c r="F714" s="2"/>
    </row>
    <row r="715" spans="1:6" outlineLevel="1">
      <c r="A715" s="8"/>
      <c r="B715" s="1"/>
      <c r="C715" s="1"/>
      <c r="D715" s="1"/>
      <c r="E715" s="1"/>
      <c r="F715" s="2"/>
    </row>
    <row r="716" spans="1:6" outlineLevel="1">
      <c r="A716" s="8"/>
      <c r="B716" s="1"/>
      <c r="C716" s="1"/>
      <c r="D716" s="1"/>
      <c r="E716" s="1"/>
      <c r="F716" s="2"/>
    </row>
    <row r="717" spans="1:6" outlineLevel="1">
      <c r="A717" s="8"/>
      <c r="B717" s="1"/>
      <c r="C717" s="1"/>
      <c r="D717" s="1"/>
      <c r="E717" s="1"/>
      <c r="F717" s="2"/>
    </row>
    <row r="718" spans="1:6" outlineLevel="1">
      <c r="A718" s="8"/>
      <c r="B718" s="1"/>
      <c r="C718" s="1"/>
      <c r="D718" s="1"/>
      <c r="E718" s="1"/>
      <c r="F718" s="2"/>
    </row>
    <row r="719" spans="1:6" outlineLevel="1">
      <c r="A719" s="8"/>
      <c r="B719" s="1"/>
      <c r="C719" s="1"/>
      <c r="D719" s="1"/>
      <c r="E719" s="1"/>
      <c r="F719" s="2"/>
    </row>
    <row r="720" spans="1:6" ht="15.75" outlineLevel="1" thickBot="1">
      <c r="A720" s="9"/>
      <c r="B720" s="3"/>
      <c r="C720" s="3"/>
      <c r="D720" s="3"/>
      <c r="E720" s="3"/>
      <c r="F720" s="4"/>
    </row>
    <row r="721" spans="1:6" ht="16.5" thickTop="1" thickBot="1"/>
    <row r="722" spans="1:6" ht="15.75" thickTop="1">
      <c r="A722" s="3782" t="s">
        <v>0</v>
      </c>
      <c r="B722" s="3781" t="s">
        <v>1</v>
      </c>
      <c r="C722" s="3781" t="s">
        <v>2</v>
      </c>
      <c r="D722" s="3781" t="s">
        <v>3</v>
      </c>
      <c r="E722" s="3781" t="s">
        <v>4</v>
      </c>
      <c r="F722" s="3765" t="s">
        <v>5</v>
      </c>
    </row>
    <row r="723" spans="1:6" ht="24.75" customHeight="1" collapsed="1" thickBot="1">
      <c r="A723" s="3783"/>
      <c r="B723" s="3767"/>
      <c r="C723" s="3767"/>
      <c r="D723" s="3767"/>
      <c r="E723" s="3767"/>
      <c r="F723" s="3766"/>
    </row>
    <row r="724" spans="1:6" ht="15.75" outlineLevel="1" thickTop="1">
      <c r="A724" s="7" t="s">
        <v>969</v>
      </c>
      <c r="B724" s="5" t="s">
        <v>181</v>
      </c>
      <c r="C724" s="5" t="s">
        <v>51</v>
      </c>
      <c r="D724" s="5" t="s">
        <v>343</v>
      </c>
      <c r="E724" s="11">
        <v>0.2</v>
      </c>
      <c r="F724" s="6">
        <v>8736</v>
      </c>
    </row>
    <row r="725" spans="1:6" outlineLevel="1">
      <c r="A725" s="8"/>
      <c r="B725" s="1" t="s">
        <v>366</v>
      </c>
      <c r="C725" s="1" t="s">
        <v>52</v>
      </c>
      <c r="D725" s="5" t="s">
        <v>343</v>
      </c>
      <c r="E725" s="11">
        <v>0.2</v>
      </c>
      <c r="F725" s="6">
        <v>8736</v>
      </c>
    </row>
    <row r="726" spans="1:6" outlineLevel="1">
      <c r="A726" s="8"/>
      <c r="B726" s="1" t="s">
        <v>180</v>
      </c>
      <c r="C726" s="1"/>
      <c r="D726" s="5"/>
      <c r="E726" s="11"/>
      <c r="F726" s="6"/>
    </row>
    <row r="727" spans="1:6" outlineLevel="1">
      <c r="A727" s="8"/>
      <c r="B727" s="1" t="s">
        <v>135</v>
      </c>
      <c r="C727" s="1"/>
      <c r="D727" s="1"/>
      <c r="E727" s="1"/>
      <c r="F727" s="2"/>
    </row>
    <row r="728" spans="1:6" outlineLevel="1">
      <c r="A728" s="8"/>
      <c r="B728" s="1" t="s">
        <v>805</v>
      </c>
      <c r="C728" s="1"/>
      <c r="D728" s="1"/>
      <c r="E728" s="1"/>
      <c r="F728" s="2"/>
    </row>
    <row r="729" spans="1:6" outlineLevel="1">
      <c r="A729" s="8"/>
      <c r="B729" s="1"/>
      <c r="C729" s="1"/>
      <c r="D729" s="1"/>
      <c r="E729" s="1"/>
      <c r="F729" s="2"/>
    </row>
    <row r="730" spans="1:6" outlineLevel="1">
      <c r="A730" s="8"/>
      <c r="B730" s="1"/>
      <c r="C730" s="1"/>
      <c r="D730" s="1"/>
      <c r="E730" s="1"/>
      <c r="F730" s="2"/>
    </row>
    <row r="731" spans="1:6" outlineLevel="1">
      <c r="A731" s="8"/>
      <c r="B731" s="1"/>
      <c r="C731" s="1"/>
      <c r="D731" s="1"/>
      <c r="E731" s="1"/>
      <c r="F731" s="2"/>
    </row>
    <row r="732" spans="1:6" outlineLevel="1">
      <c r="A732" s="8"/>
      <c r="B732" s="1"/>
      <c r="C732" s="1"/>
      <c r="D732" s="1"/>
      <c r="E732" s="1"/>
      <c r="F732" s="2"/>
    </row>
    <row r="733" spans="1:6" outlineLevel="1">
      <c r="A733" s="8"/>
      <c r="B733" s="1"/>
      <c r="C733" s="1"/>
      <c r="D733" s="1"/>
      <c r="E733" s="1"/>
      <c r="F733" s="2"/>
    </row>
    <row r="734" spans="1:6" outlineLevel="1">
      <c r="A734" s="8"/>
      <c r="B734" s="1"/>
      <c r="C734" s="1"/>
      <c r="D734" s="1"/>
      <c r="E734" s="1"/>
      <c r="F734" s="2"/>
    </row>
    <row r="735" spans="1:6" ht="15.75" outlineLevel="1" thickBot="1">
      <c r="A735" s="9"/>
      <c r="B735" s="3"/>
      <c r="C735" s="3"/>
      <c r="D735" s="3"/>
      <c r="E735" s="3"/>
      <c r="F735" s="4"/>
    </row>
    <row r="736" spans="1:6" ht="16.5" thickTop="1" thickBot="1"/>
    <row r="737" spans="1:7" ht="15.75" thickTop="1">
      <c r="A737" s="3782" t="s">
        <v>0</v>
      </c>
      <c r="B737" s="3781" t="s">
        <v>1</v>
      </c>
      <c r="C737" s="3781" t="s">
        <v>2</v>
      </c>
      <c r="D737" s="3781" t="s">
        <v>3</v>
      </c>
      <c r="E737" s="3781" t="s">
        <v>4</v>
      </c>
      <c r="F737" s="3765" t="s">
        <v>5</v>
      </c>
    </row>
    <row r="738" spans="1:7" ht="24.75" customHeight="1" collapsed="1" thickBot="1">
      <c r="A738" s="3783"/>
      <c r="B738" s="3767"/>
      <c r="C738" s="3767"/>
      <c r="D738" s="3767"/>
      <c r="E738" s="3767"/>
      <c r="F738" s="3766"/>
    </row>
    <row r="739" spans="1:7" ht="15.75" outlineLevel="1" thickTop="1">
      <c r="A739" s="7" t="s">
        <v>970</v>
      </c>
      <c r="B739" s="5" t="s">
        <v>200</v>
      </c>
      <c r="C739" s="5" t="s">
        <v>399</v>
      </c>
      <c r="D739" s="5" t="s">
        <v>343</v>
      </c>
      <c r="E739" s="313">
        <v>0.25</v>
      </c>
      <c r="F739" s="6">
        <v>130268</v>
      </c>
      <c r="G739">
        <f>F739/0.75</f>
        <v>173690.66666666666</v>
      </c>
    </row>
    <row r="740" spans="1:7" outlineLevel="1">
      <c r="A740" s="8"/>
      <c r="B740" s="1"/>
      <c r="C740" s="1" t="s">
        <v>400</v>
      </c>
      <c r="D740" s="5" t="s">
        <v>343</v>
      </c>
      <c r="E740" s="11">
        <v>0.25</v>
      </c>
      <c r="F740" s="6">
        <v>130268</v>
      </c>
    </row>
    <row r="741" spans="1:7" outlineLevel="1">
      <c r="A741" s="8"/>
      <c r="B741" s="1"/>
      <c r="C741" s="1"/>
      <c r="D741" s="5"/>
      <c r="E741" s="11"/>
      <c r="F741" s="6"/>
    </row>
    <row r="742" spans="1:7" outlineLevel="1">
      <c r="A742" s="8"/>
      <c r="B742" s="1"/>
      <c r="C742" s="1"/>
      <c r="D742" s="1"/>
      <c r="E742" s="1"/>
      <c r="F742" s="2"/>
    </row>
    <row r="743" spans="1:7" outlineLevel="1">
      <c r="A743" s="8"/>
      <c r="B743" s="1"/>
      <c r="C743" s="1"/>
      <c r="D743" s="1"/>
      <c r="E743" s="1"/>
      <c r="F743" s="2"/>
    </row>
    <row r="744" spans="1:7" outlineLevel="1">
      <c r="A744" s="8"/>
      <c r="B744" s="1"/>
      <c r="C744" s="1"/>
      <c r="D744" s="1"/>
      <c r="E744" s="1"/>
      <c r="F744" s="2"/>
    </row>
    <row r="745" spans="1:7" outlineLevel="1">
      <c r="A745" s="8"/>
      <c r="B745" s="1"/>
      <c r="C745" s="1"/>
      <c r="D745" s="1"/>
      <c r="E745" s="1"/>
      <c r="F745" s="2"/>
    </row>
    <row r="746" spans="1:7" outlineLevel="1">
      <c r="A746" s="8"/>
      <c r="B746" s="1"/>
      <c r="C746" s="1"/>
      <c r="D746" s="1"/>
      <c r="E746" s="1"/>
      <c r="F746" s="2"/>
    </row>
    <row r="747" spans="1:7" outlineLevel="1">
      <c r="A747" s="8"/>
      <c r="B747" s="1"/>
      <c r="C747" s="1"/>
      <c r="D747" s="1"/>
      <c r="E747" s="1"/>
      <c r="F747" s="2"/>
    </row>
    <row r="748" spans="1:7" outlineLevel="1">
      <c r="A748" s="8"/>
      <c r="B748" s="1"/>
      <c r="C748" s="1"/>
      <c r="D748" s="1"/>
      <c r="E748" s="1"/>
      <c r="F748" s="2"/>
    </row>
    <row r="749" spans="1:7" outlineLevel="1">
      <c r="A749" s="8"/>
      <c r="B749" s="1"/>
      <c r="C749" s="1"/>
      <c r="D749" s="1"/>
      <c r="E749" s="1"/>
      <c r="F749" s="2"/>
    </row>
    <row r="750" spans="1:7" ht="15.75" outlineLevel="1" thickBot="1">
      <c r="A750" s="9"/>
      <c r="B750" s="3"/>
      <c r="C750" s="3"/>
      <c r="D750" s="3"/>
      <c r="E750" s="3"/>
      <c r="F750" s="4"/>
    </row>
    <row r="751" spans="1:7" ht="15.75" thickTop="1"/>
    <row r="752" spans="1:7" ht="15.75" thickBot="1"/>
    <row r="753" spans="1:7" ht="15.75" thickTop="1">
      <c r="A753" s="3782" t="s">
        <v>0</v>
      </c>
      <c r="B753" s="3781" t="s">
        <v>1</v>
      </c>
      <c r="C753" s="3781" t="s">
        <v>2</v>
      </c>
      <c r="D753" s="3781" t="s">
        <v>3</v>
      </c>
      <c r="E753" s="3781" t="s">
        <v>4</v>
      </c>
      <c r="F753" s="3765" t="s">
        <v>5</v>
      </c>
    </row>
    <row r="754" spans="1:7" ht="15.75" thickBot="1">
      <c r="A754" s="3783"/>
      <c r="B754" s="3767"/>
      <c r="C754" s="3767"/>
      <c r="D754" s="3767"/>
      <c r="E754" s="3767"/>
      <c r="F754" s="3766"/>
    </row>
    <row r="755" spans="1:7" ht="15.75" thickTop="1">
      <c r="A755" s="7" t="s">
        <v>1000</v>
      </c>
      <c r="B755" s="5" t="s">
        <v>181</v>
      </c>
      <c r="C755" s="288" t="s">
        <v>897</v>
      </c>
      <c r="D755" s="5" t="s">
        <v>343</v>
      </c>
      <c r="E755" s="290">
        <v>0.2</v>
      </c>
      <c r="F755" s="291">
        <v>7666</v>
      </c>
      <c r="G755">
        <f>F755/0.8</f>
        <v>9582.5</v>
      </c>
    </row>
    <row r="756" spans="1:7">
      <c r="A756" s="8"/>
      <c r="B756" s="1" t="s">
        <v>366</v>
      </c>
      <c r="C756" s="81" t="s">
        <v>898</v>
      </c>
      <c r="D756" s="5" t="s">
        <v>343</v>
      </c>
      <c r="E756" s="290">
        <v>0.2</v>
      </c>
      <c r="F756" s="291">
        <v>7666</v>
      </c>
    </row>
    <row r="757" spans="1:7">
      <c r="A757" s="8"/>
      <c r="B757" s="1" t="s">
        <v>180</v>
      </c>
      <c r="C757" s="81" t="s">
        <v>899</v>
      </c>
      <c r="D757" s="5" t="s">
        <v>343</v>
      </c>
      <c r="E757" s="290">
        <v>0.2</v>
      </c>
      <c r="F757" s="291">
        <v>7666</v>
      </c>
    </row>
    <row r="758" spans="1:7">
      <c r="A758" s="8"/>
      <c r="B758" s="1" t="s">
        <v>135</v>
      </c>
      <c r="C758" s="81"/>
      <c r="D758" s="288"/>
      <c r="E758" s="290"/>
      <c r="F758" s="291"/>
    </row>
    <row r="759" spans="1:7">
      <c r="A759" s="8"/>
      <c r="B759" s="1" t="s">
        <v>805</v>
      </c>
      <c r="C759" s="81"/>
      <c r="D759" s="288"/>
      <c r="E759" s="343"/>
      <c r="F759" s="293"/>
    </row>
    <row r="760" spans="1:7">
      <c r="A760" s="8"/>
      <c r="B760" s="81"/>
      <c r="C760" s="81"/>
      <c r="D760" s="288"/>
      <c r="E760" s="343"/>
      <c r="F760" s="293"/>
    </row>
    <row r="761" spans="1:7">
      <c r="A761" s="8"/>
      <c r="B761" s="81"/>
      <c r="C761" s="81"/>
      <c r="D761" s="288"/>
      <c r="E761" s="343"/>
      <c r="F761" s="293"/>
    </row>
    <row r="762" spans="1:7">
      <c r="A762" s="8"/>
      <c r="B762" s="81"/>
      <c r="C762" s="81"/>
      <c r="D762" s="288"/>
      <c r="E762" s="343"/>
      <c r="F762" s="293"/>
    </row>
    <row r="763" spans="1:7">
      <c r="A763" s="8"/>
      <c r="B763" s="81"/>
      <c r="C763" s="81"/>
      <c r="D763" s="288"/>
      <c r="E763" s="343"/>
      <c r="F763" s="293"/>
    </row>
    <row r="764" spans="1:7">
      <c r="A764" s="8"/>
      <c r="B764" s="1"/>
      <c r="C764" s="1"/>
      <c r="D764" s="1"/>
      <c r="E764" s="1"/>
      <c r="F764" s="2"/>
    </row>
    <row r="765" spans="1:7">
      <c r="A765" s="8"/>
      <c r="B765" s="1"/>
      <c r="C765" s="1"/>
      <c r="D765" s="1"/>
      <c r="E765" s="1"/>
      <c r="F765" s="2"/>
    </row>
    <row r="766" spans="1:7" ht="15.75" thickBot="1">
      <c r="A766" s="9"/>
      <c r="B766" s="3"/>
      <c r="C766" s="3"/>
      <c r="D766" s="3"/>
      <c r="E766" s="3"/>
      <c r="F766" s="4"/>
    </row>
    <row r="767" spans="1:7" ht="16.5" thickTop="1" thickBot="1"/>
    <row r="768" spans="1:7" ht="15.75" thickTop="1">
      <c r="A768" s="3782" t="s">
        <v>0</v>
      </c>
      <c r="B768" s="3781" t="s">
        <v>1</v>
      </c>
      <c r="C768" s="3781" t="s">
        <v>2</v>
      </c>
      <c r="D768" s="3781" t="s">
        <v>3</v>
      </c>
      <c r="E768" s="3781" t="s">
        <v>4</v>
      </c>
      <c r="F768" s="3765" t="s">
        <v>5</v>
      </c>
    </row>
    <row r="769" spans="1:6" ht="15.75" thickBot="1">
      <c r="A769" s="3783"/>
      <c r="B769" s="3767"/>
      <c r="C769" s="3767"/>
      <c r="D769" s="3767"/>
      <c r="E769" s="3767"/>
      <c r="F769" s="3766"/>
    </row>
    <row r="770" spans="1:6" ht="15.75" thickTop="1">
      <c r="A770" s="7" t="s">
        <v>1007</v>
      </c>
      <c r="B770" s="5" t="s">
        <v>200</v>
      </c>
      <c r="C770" s="5" t="s">
        <v>860</v>
      </c>
      <c r="D770" s="288" t="s">
        <v>1008</v>
      </c>
      <c r="E770" s="290">
        <v>0.2</v>
      </c>
      <c r="F770" s="291">
        <v>7822</v>
      </c>
    </row>
    <row r="771" spans="1:6">
      <c r="A771" s="8"/>
      <c r="B771" s="81"/>
      <c r="C771" s="81" t="s">
        <v>675</v>
      </c>
      <c r="D771" s="288" t="s">
        <v>1008</v>
      </c>
      <c r="E771" s="290">
        <v>0.2</v>
      </c>
      <c r="F771" s="291">
        <v>7822</v>
      </c>
    </row>
    <row r="772" spans="1:6">
      <c r="A772" s="8"/>
      <c r="B772" s="81"/>
      <c r="C772" s="81"/>
      <c r="D772" s="288"/>
      <c r="E772" s="290"/>
      <c r="F772" s="291"/>
    </row>
    <row r="773" spans="1:6">
      <c r="A773" s="8"/>
      <c r="B773" s="81"/>
      <c r="C773" s="81"/>
      <c r="D773" s="288"/>
      <c r="E773" s="290"/>
      <c r="F773" s="291"/>
    </row>
    <row r="774" spans="1:6">
      <c r="A774" s="8"/>
      <c r="B774" s="81"/>
      <c r="C774" s="81"/>
      <c r="D774" s="288"/>
      <c r="E774" s="343"/>
      <c r="F774" s="293"/>
    </row>
    <row r="775" spans="1:6">
      <c r="A775" s="8"/>
      <c r="B775" s="81"/>
      <c r="C775" s="81"/>
      <c r="D775" s="288"/>
      <c r="E775" s="343"/>
      <c r="F775" s="293"/>
    </row>
    <row r="776" spans="1:6">
      <c r="A776" s="8"/>
      <c r="B776" s="81"/>
      <c r="C776" s="81"/>
      <c r="D776" s="288"/>
      <c r="E776" s="343"/>
      <c r="F776" s="293"/>
    </row>
    <row r="777" spans="1:6">
      <c r="A777" s="8"/>
      <c r="B777" s="81"/>
      <c r="C777" s="81"/>
      <c r="D777" s="288"/>
      <c r="E777" s="343"/>
      <c r="F777" s="293"/>
    </row>
    <row r="778" spans="1:6">
      <c r="A778" s="8"/>
      <c r="B778" s="81"/>
      <c r="C778" s="81"/>
      <c r="D778" s="288"/>
      <c r="E778" s="343"/>
      <c r="F778" s="293"/>
    </row>
    <row r="779" spans="1:6">
      <c r="A779" s="8"/>
      <c r="B779" s="1"/>
      <c r="C779" s="1"/>
      <c r="D779" s="1"/>
      <c r="E779" s="1"/>
      <c r="F779" s="2"/>
    </row>
    <row r="780" spans="1:6">
      <c r="A780" s="8"/>
      <c r="B780" s="1"/>
      <c r="C780" s="1"/>
      <c r="D780" s="1"/>
      <c r="E780" s="1"/>
      <c r="F780" s="2"/>
    </row>
    <row r="781" spans="1:6" ht="15.75" thickBot="1">
      <c r="A781" s="9"/>
      <c r="B781" s="3"/>
      <c r="C781" s="3"/>
      <c r="D781" s="3"/>
      <c r="E781" s="3"/>
      <c r="F781" s="4"/>
    </row>
    <row r="782" spans="1:6" ht="16.5" thickTop="1" thickBot="1"/>
    <row r="783" spans="1:6" ht="15.75" thickTop="1">
      <c r="A783" s="3782" t="s">
        <v>0</v>
      </c>
      <c r="B783" s="3781" t="s">
        <v>1</v>
      </c>
      <c r="C783" s="3781" t="s">
        <v>2</v>
      </c>
      <c r="D783" s="3781" t="s">
        <v>3</v>
      </c>
      <c r="E783" s="3781" t="s">
        <v>4</v>
      </c>
      <c r="F783" s="3765" t="s">
        <v>5</v>
      </c>
    </row>
    <row r="784" spans="1:6" ht="15.75" thickBot="1">
      <c r="A784" s="3783"/>
      <c r="B784" s="3767"/>
      <c r="C784" s="3767"/>
      <c r="D784" s="3767"/>
      <c r="E784" s="3767"/>
      <c r="F784" s="3766"/>
    </row>
    <row r="785" spans="1:7" ht="15.75" thickTop="1">
      <c r="A785" s="7" t="s">
        <v>1024</v>
      </c>
      <c r="B785" s="288" t="s">
        <v>445</v>
      </c>
      <c r="C785" s="288" t="s">
        <v>153</v>
      </c>
      <c r="D785" s="288" t="s">
        <v>343</v>
      </c>
      <c r="E785" s="290">
        <v>0.12</v>
      </c>
      <c r="F785" s="291">
        <v>5359</v>
      </c>
    </row>
    <row r="786" spans="1:7">
      <c r="A786" s="8"/>
      <c r="B786" s="81"/>
      <c r="C786" s="81"/>
      <c r="D786" s="288"/>
      <c r="E786" s="290"/>
      <c r="F786" s="291"/>
    </row>
    <row r="787" spans="1:7">
      <c r="A787" s="8"/>
      <c r="B787" s="81"/>
      <c r="C787" s="81"/>
      <c r="D787" s="288"/>
      <c r="E787" s="290"/>
      <c r="F787" s="291"/>
    </row>
    <row r="788" spans="1:7">
      <c r="A788" s="8"/>
      <c r="B788" s="81"/>
      <c r="C788" s="81"/>
      <c r="D788" s="288"/>
      <c r="E788" s="290"/>
      <c r="F788" s="291"/>
    </row>
    <row r="789" spans="1:7">
      <c r="A789" s="8"/>
      <c r="B789" s="81"/>
      <c r="C789" s="81"/>
      <c r="D789" s="288"/>
      <c r="E789" s="343"/>
      <c r="F789" s="293"/>
    </row>
    <row r="790" spans="1:7">
      <c r="A790" s="8"/>
      <c r="B790" s="81"/>
      <c r="C790" s="81"/>
      <c r="D790" s="288"/>
      <c r="E790" s="343"/>
      <c r="F790" s="293"/>
    </row>
    <row r="791" spans="1:7">
      <c r="A791" s="8"/>
      <c r="B791" s="81"/>
      <c r="C791" s="81"/>
      <c r="D791" s="288"/>
      <c r="E791" s="343"/>
      <c r="F791" s="293"/>
    </row>
    <row r="792" spans="1:7">
      <c r="A792" s="8"/>
      <c r="B792" s="81"/>
      <c r="C792" s="81"/>
      <c r="D792" s="288"/>
      <c r="E792" s="343"/>
      <c r="F792" s="293"/>
    </row>
    <row r="793" spans="1:7">
      <c r="A793" s="8"/>
      <c r="B793" s="81"/>
      <c r="C793" s="81"/>
      <c r="D793" s="288"/>
      <c r="E793" s="343"/>
      <c r="F793" s="293"/>
    </row>
    <row r="794" spans="1:7">
      <c r="A794" s="8"/>
      <c r="B794" s="1"/>
      <c r="C794" s="1"/>
      <c r="D794" s="1"/>
      <c r="E794" s="1"/>
      <c r="F794" s="2"/>
    </row>
    <row r="795" spans="1:7">
      <c r="A795" s="8"/>
      <c r="B795" s="1"/>
      <c r="C795" s="1"/>
      <c r="D795" s="1"/>
      <c r="E795" s="1"/>
      <c r="F795" s="2"/>
    </row>
    <row r="796" spans="1:7" ht="15.75" thickBot="1">
      <c r="A796" s="9"/>
      <c r="B796" s="3"/>
      <c r="C796" s="3"/>
      <c r="D796" s="3"/>
      <c r="E796" s="3"/>
      <c r="F796" s="4"/>
    </row>
    <row r="797" spans="1:7" ht="16.5" thickTop="1" thickBot="1"/>
    <row r="798" spans="1:7" ht="15.75" thickTop="1">
      <c r="A798" s="3782" t="s">
        <v>0</v>
      </c>
      <c r="B798" s="3781" t="s">
        <v>1</v>
      </c>
      <c r="C798" s="3781" t="s">
        <v>2</v>
      </c>
      <c r="D798" s="3781" t="s">
        <v>3</v>
      </c>
      <c r="E798" s="3781" t="s">
        <v>4</v>
      </c>
      <c r="F798" s="3765" t="s">
        <v>5</v>
      </c>
    </row>
    <row r="799" spans="1:7" ht="15.75" thickBot="1">
      <c r="A799" s="3783"/>
      <c r="B799" s="3767"/>
      <c r="C799" s="3767"/>
      <c r="D799" s="3767"/>
      <c r="E799" s="3767"/>
      <c r="F799" s="3766"/>
    </row>
    <row r="800" spans="1:7" ht="15.75" thickTop="1">
      <c r="A800" s="7" t="s">
        <v>1136</v>
      </c>
      <c r="B800" s="5" t="s">
        <v>200</v>
      </c>
      <c r="C800" s="5" t="s">
        <v>675</v>
      </c>
      <c r="D800" s="288" t="s">
        <v>1008</v>
      </c>
      <c r="E800" s="290">
        <v>0.15</v>
      </c>
      <c r="F800" s="291">
        <v>9278</v>
      </c>
      <c r="G800">
        <f>F800/0.85</f>
        <v>10915.294117647059</v>
      </c>
    </row>
    <row r="801" spans="1:7">
      <c r="A801" s="8"/>
      <c r="B801" s="81"/>
      <c r="C801" s="81" t="s">
        <v>703</v>
      </c>
      <c r="D801" s="288" t="s">
        <v>1008</v>
      </c>
      <c r="E801" s="290">
        <v>0.15</v>
      </c>
      <c r="F801" s="291">
        <v>9278</v>
      </c>
    </row>
    <row r="802" spans="1:7">
      <c r="A802" s="8"/>
      <c r="B802" s="81"/>
      <c r="C802" s="81"/>
      <c r="D802" s="288"/>
      <c r="E802" s="290"/>
      <c r="F802" s="291"/>
    </row>
    <row r="803" spans="1:7">
      <c r="A803" s="8"/>
      <c r="B803" s="81"/>
      <c r="C803" s="81"/>
      <c r="D803" s="288"/>
      <c r="E803" s="290"/>
      <c r="F803" s="291"/>
    </row>
    <row r="804" spans="1:7">
      <c r="A804" s="8"/>
      <c r="B804" s="81"/>
      <c r="C804" s="81"/>
      <c r="D804" s="288"/>
      <c r="E804" s="343"/>
      <c r="F804" s="293"/>
    </row>
    <row r="805" spans="1:7">
      <c r="A805" s="8"/>
      <c r="B805" s="81"/>
      <c r="C805" s="81"/>
      <c r="D805" s="288"/>
      <c r="E805" s="343"/>
      <c r="F805" s="293"/>
    </row>
    <row r="806" spans="1:7">
      <c r="A806" s="8"/>
      <c r="B806" s="81"/>
      <c r="C806" s="81"/>
      <c r="D806" s="288"/>
      <c r="E806" s="343"/>
      <c r="F806" s="293"/>
    </row>
    <row r="807" spans="1:7">
      <c r="A807" s="8"/>
      <c r="B807" s="81"/>
      <c r="C807" s="81"/>
      <c r="D807" s="288"/>
      <c r="E807" s="343"/>
      <c r="F807" s="293"/>
    </row>
    <row r="808" spans="1:7">
      <c r="A808" s="8"/>
      <c r="B808" s="81"/>
      <c r="C808" s="81"/>
      <c r="D808" s="288"/>
      <c r="E808" s="343"/>
      <c r="F808" s="293"/>
    </row>
    <row r="809" spans="1:7">
      <c r="A809" s="8"/>
      <c r="B809" s="1"/>
      <c r="C809" s="1"/>
      <c r="D809" s="1"/>
      <c r="E809" s="1"/>
      <c r="F809" s="2"/>
    </row>
    <row r="810" spans="1:7">
      <c r="A810" s="8"/>
      <c r="B810" s="1"/>
      <c r="C810" s="1"/>
      <c r="D810" s="1"/>
      <c r="E810" s="1"/>
      <c r="F810" s="2"/>
    </row>
    <row r="811" spans="1:7" ht="15.75" thickBot="1">
      <c r="A811" s="9"/>
      <c r="B811" s="3"/>
      <c r="C811" s="3"/>
      <c r="D811" s="3"/>
      <c r="E811" s="3"/>
      <c r="F811" s="4"/>
    </row>
    <row r="812" spans="1:7" ht="16.5" thickTop="1" thickBot="1"/>
    <row r="813" spans="1:7" ht="15.75" thickTop="1">
      <c r="A813" s="3782" t="s">
        <v>0</v>
      </c>
      <c r="B813" s="3781" t="s">
        <v>1</v>
      </c>
      <c r="C813" s="3781" t="s">
        <v>2</v>
      </c>
      <c r="D813" s="3781" t="s">
        <v>3</v>
      </c>
      <c r="E813" s="3781" t="s">
        <v>4</v>
      </c>
      <c r="F813" s="3765" t="s">
        <v>5</v>
      </c>
    </row>
    <row r="814" spans="1:7" ht="15.75" thickBot="1">
      <c r="A814" s="3783"/>
      <c r="B814" s="3767"/>
      <c r="C814" s="3767"/>
      <c r="D814" s="3767"/>
      <c r="E814" s="3767"/>
      <c r="F814" s="3766"/>
    </row>
    <row r="815" spans="1:7" ht="15.75" thickTop="1">
      <c r="A815" s="7" t="s">
        <v>1144</v>
      </c>
      <c r="B815" s="5" t="s">
        <v>232</v>
      </c>
      <c r="C815" s="5" t="s">
        <v>149</v>
      </c>
      <c r="D815" s="1" t="s">
        <v>343</v>
      </c>
      <c r="E815" s="290">
        <v>0.15</v>
      </c>
      <c r="F815" s="291">
        <v>4570</v>
      </c>
      <c r="G815">
        <f>F815/0.85</f>
        <v>5376.4705882352946</v>
      </c>
    </row>
    <row r="816" spans="1:7">
      <c r="A816" s="8"/>
      <c r="B816" s="81"/>
      <c r="C816" s="81" t="s">
        <v>485</v>
      </c>
      <c r="D816" s="1" t="s">
        <v>343</v>
      </c>
      <c r="E816" s="290">
        <v>0.15</v>
      </c>
      <c r="F816" s="291">
        <v>5416</v>
      </c>
      <c r="G816">
        <f>F816/0.85</f>
        <v>6371.7647058823532</v>
      </c>
    </row>
    <row r="817" spans="1:7">
      <c r="A817" s="8"/>
      <c r="B817" s="81"/>
      <c r="C817" s="81" t="s">
        <v>486</v>
      </c>
      <c r="D817" s="1" t="s">
        <v>343</v>
      </c>
      <c r="E817" s="290">
        <v>0.15</v>
      </c>
      <c r="F817" s="291">
        <v>5416</v>
      </c>
      <c r="G817">
        <f>F817/0.85</f>
        <v>6371.7647058823532</v>
      </c>
    </row>
    <row r="818" spans="1:7">
      <c r="A818" s="8"/>
      <c r="B818" s="81"/>
      <c r="C818" s="81"/>
      <c r="D818" s="288"/>
      <c r="E818" s="290"/>
      <c r="F818" s="291"/>
    </row>
    <row r="819" spans="1:7">
      <c r="A819" s="8"/>
      <c r="B819" s="81"/>
      <c r="C819" s="81"/>
      <c r="D819" s="288"/>
      <c r="E819" s="343"/>
      <c r="F819" s="293"/>
    </row>
    <row r="820" spans="1:7">
      <c r="A820" s="8"/>
      <c r="B820" s="81"/>
      <c r="C820" s="81"/>
      <c r="D820" s="288"/>
      <c r="E820" s="343"/>
      <c r="F820" s="293"/>
    </row>
    <row r="821" spans="1:7">
      <c r="A821" s="8"/>
      <c r="B821" s="81"/>
      <c r="C821" s="81"/>
      <c r="D821" s="288"/>
      <c r="E821" s="343"/>
      <c r="F821" s="293"/>
    </row>
    <row r="822" spans="1:7">
      <c r="A822" s="8"/>
      <c r="B822" s="81"/>
      <c r="C822" s="81"/>
      <c r="D822" s="288"/>
      <c r="E822" s="343"/>
      <c r="F822" s="293"/>
    </row>
    <row r="823" spans="1:7">
      <c r="A823" s="8"/>
      <c r="B823" s="81"/>
      <c r="C823" s="81"/>
      <c r="D823" s="288"/>
      <c r="E823" s="343"/>
      <c r="F823" s="293"/>
    </row>
    <row r="824" spans="1:7">
      <c r="A824" s="8"/>
      <c r="B824" s="1"/>
      <c r="C824" s="1"/>
      <c r="D824" s="1"/>
      <c r="E824" s="1"/>
      <c r="F824" s="2"/>
    </row>
    <row r="825" spans="1:7">
      <c r="A825" s="8"/>
      <c r="B825" s="1"/>
      <c r="C825" s="1"/>
      <c r="D825" s="1"/>
      <c r="E825" s="1"/>
      <c r="F825" s="2"/>
    </row>
    <row r="826" spans="1:7" ht="15.75" thickBot="1">
      <c r="A826" s="9"/>
      <c r="B826" s="3"/>
      <c r="C826" s="3"/>
      <c r="D826" s="3"/>
      <c r="E826" s="3"/>
      <c r="F826" s="4"/>
    </row>
    <row r="827" spans="1:7" ht="16.5" thickTop="1" thickBot="1"/>
    <row r="828" spans="1:7" ht="15.75" thickTop="1">
      <c r="A828" s="3782" t="s">
        <v>0</v>
      </c>
      <c r="B828" s="3781" t="s">
        <v>1</v>
      </c>
      <c r="C828" s="3781" t="s">
        <v>2</v>
      </c>
      <c r="D828" s="3781" t="s">
        <v>3</v>
      </c>
      <c r="E828" s="3781" t="s">
        <v>4</v>
      </c>
      <c r="F828" s="3765" t="s">
        <v>5</v>
      </c>
    </row>
    <row r="829" spans="1:7" ht="15.75" thickBot="1">
      <c r="A829" s="3783"/>
      <c r="B829" s="3767"/>
      <c r="C829" s="3767"/>
      <c r="D829" s="3767"/>
      <c r="E829" s="3767"/>
      <c r="F829" s="3766"/>
    </row>
    <row r="830" spans="1:7" ht="15.75" thickTop="1">
      <c r="A830" s="7" t="s">
        <v>1146</v>
      </c>
      <c r="B830" s="288" t="s">
        <v>265</v>
      </c>
      <c r="C830" s="5" t="s">
        <v>623</v>
      </c>
      <c r="D830" s="5" t="s">
        <v>262</v>
      </c>
      <c r="E830" s="11">
        <v>0.1</v>
      </c>
      <c r="F830" s="6">
        <v>18310</v>
      </c>
      <c r="G830">
        <f>F830/0.9</f>
        <v>20344.444444444445</v>
      </c>
    </row>
    <row r="831" spans="1:7">
      <c r="A831" s="8"/>
      <c r="B831" s="81" t="s">
        <v>395</v>
      </c>
      <c r="C831" s="1"/>
      <c r="D831" s="5"/>
      <c r="E831" s="11"/>
      <c r="F831" s="2"/>
    </row>
    <row r="832" spans="1:7">
      <c r="A832" s="8"/>
      <c r="B832" s="81" t="s">
        <v>264</v>
      </c>
      <c r="C832" s="1"/>
      <c r="D832" s="5"/>
      <c r="E832" s="11"/>
      <c r="F832" s="2"/>
    </row>
    <row r="833" spans="1:8">
      <c r="A833" s="8"/>
      <c r="B833" s="81" t="s">
        <v>266</v>
      </c>
      <c r="C833" s="1"/>
      <c r="D833" s="1"/>
      <c r="E833" s="1"/>
      <c r="F833" s="2"/>
    </row>
    <row r="834" spans="1:8">
      <c r="A834" s="8"/>
      <c r="B834" s="31" t="s">
        <v>269</v>
      </c>
      <c r="C834" s="1"/>
      <c r="D834" s="1"/>
      <c r="E834" s="1"/>
      <c r="F834" s="2"/>
    </row>
    <row r="835" spans="1:8">
      <c r="A835" s="8"/>
      <c r="B835" s="81" t="s">
        <v>267</v>
      </c>
      <c r="C835" s="1"/>
      <c r="D835" s="1"/>
      <c r="E835" s="1"/>
      <c r="F835" s="2"/>
    </row>
    <row r="836" spans="1:8">
      <c r="A836" s="8"/>
      <c r="B836" s="81" t="s">
        <v>268</v>
      </c>
      <c r="C836" s="1"/>
      <c r="D836" s="1"/>
      <c r="E836" s="1"/>
      <c r="F836" s="2"/>
    </row>
    <row r="837" spans="1:8">
      <c r="A837" s="8"/>
      <c r="B837" s="81" t="s">
        <v>743</v>
      </c>
      <c r="C837" s="1"/>
      <c r="D837" s="1"/>
      <c r="E837" s="1"/>
      <c r="F837" s="2"/>
    </row>
    <row r="838" spans="1:8">
      <c r="A838" s="8"/>
      <c r="B838" s="81"/>
      <c r="C838" s="81"/>
      <c r="D838" s="288"/>
      <c r="E838" s="343"/>
      <c r="F838" s="293"/>
    </row>
    <row r="839" spans="1:8">
      <c r="A839" s="8"/>
      <c r="B839" s="1"/>
      <c r="C839" s="1"/>
      <c r="D839" s="1"/>
      <c r="E839" s="1"/>
      <c r="F839" s="2"/>
    </row>
    <row r="840" spans="1:8">
      <c r="A840" s="8"/>
      <c r="B840" s="1"/>
      <c r="C840" s="1"/>
      <c r="D840" s="1"/>
      <c r="E840" s="1"/>
      <c r="F840" s="2"/>
    </row>
    <row r="841" spans="1:8" ht="15.75" thickBot="1">
      <c r="A841" s="9"/>
      <c r="B841" s="3"/>
      <c r="C841" s="3"/>
      <c r="D841" s="3"/>
      <c r="E841" s="3"/>
      <c r="F841" s="4"/>
    </row>
    <row r="842" spans="1:8" ht="16.5" thickTop="1" thickBot="1"/>
    <row r="843" spans="1:8" ht="15.75" thickTop="1">
      <c r="A843" s="3782" t="s">
        <v>0</v>
      </c>
      <c r="B843" s="3781" t="s">
        <v>1</v>
      </c>
      <c r="C843" s="3781" t="s">
        <v>2</v>
      </c>
      <c r="D843" s="3781" t="s">
        <v>3</v>
      </c>
      <c r="E843" s="3781" t="s">
        <v>4</v>
      </c>
      <c r="F843" s="3765" t="s">
        <v>5</v>
      </c>
    </row>
    <row r="844" spans="1:8" ht="15.75" thickBot="1">
      <c r="A844" s="3783"/>
      <c r="B844" s="3767"/>
      <c r="C844" s="3767"/>
      <c r="D844" s="3767"/>
      <c r="E844" s="3767"/>
      <c r="F844" s="3766"/>
    </row>
    <row r="845" spans="1:8" ht="15.75" thickTop="1">
      <c r="A845" s="7" t="s">
        <v>1163</v>
      </c>
      <c r="B845" s="288" t="s">
        <v>445</v>
      </c>
      <c r="C845" s="288" t="s">
        <v>149</v>
      </c>
      <c r="D845" s="288" t="s">
        <v>343</v>
      </c>
      <c r="E845" s="290">
        <v>0.15</v>
      </c>
      <c r="F845" s="291">
        <v>4797</v>
      </c>
      <c r="G845">
        <v>5644</v>
      </c>
      <c r="H845">
        <f>F845/0.85</f>
        <v>5643.5294117647063</v>
      </c>
    </row>
    <row r="846" spans="1:8">
      <c r="A846" s="8"/>
      <c r="B846" s="81"/>
      <c r="C846" s="81"/>
      <c r="D846" s="288"/>
      <c r="E846" s="290"/>
      <c r="F846" s="291"/>
    </row>
    <row r="847" spans="1:8">
      <c r="A847" s="8"/>
      <c r="B847" s="81"/>
      <c r="C847" s="81"/>
      <c r="D847" s="288"/>
      <c r="E847" s="290"/>
      <c r="F847" s="291"/>
    </row>
    <row r="848" spans="1:8">
      <c r="A848" s="8"/>
      <c r="B848" s="81"/>
      <c r="C848" s="81"/>
      <c r="D848" s="288"/>
      <c r="E848" s="290"/>
      <c r="F848" s="291"/>
    </row>
    <row r="849" spans="1:7">
      <c r="A849" s="8"/>
      <c r="B849" s="81"/>
      <c r="C849" s="81"/>
      <c r="D849" s="288"/>
      <c r="E849" s="343"/>
      <c r="F849" s="293"/>
    </row>
    <row r="850" spans="1:7">
      <c r="A850" s="8"/>
      <c r="B850" s="81"/>
      <c r="C850" s="81"/>
      <c r="D850" s="288"/>
      <c r="E850" s="343"/>
      <c r="F850" s="293"/>
    </row>
    <row r="851" spans="1:7">
      <c r="A851" s="8"/>
      <c r="B851" s="81"/>
      <c r="C851" s="81"/>
      <c r="D851" s="288"/>
      <c r="E851" s="343"/>
      <c r="F851" s="293"/>
    </row>
    <row r="852" spans="1:7">
      <c r="A852" s="8"/>
      <c r="B852" s="81"/>
      <c r="C852" s="81"/>
      <c r="D852" s="288"/>
      <c r="E852" s="343"/>
      <c r="F852" s="293"/>
    </row>
    <row r="853" spans="1:7">
      <c r="A853" s="8"/>
      <c r="B853" s="81"/>
      <c r="C853" s="81"/>
      <c r="D853" s="288"/>
      <c r="E853" s="343"/>
      <c r="F853" s="293"/>
    </row>
    <row r="854" spans="1:7">
      <c r="A854" s="8"/>
      <c r="B854" s="1"/>
      <c r="C854" s="1"/>
      <c r="D854" s="1"/>
      <c r="E854" s="1"/>
      <c r="F854" s="2"/>
    </row>
    <row r="855" spans="1:7">
      <c r="A855" s="8"/>
      <c r="B855" s="1"/>
      <c r="C855" s="1"/>
      <c r="D855" s="1"/>
      <c r="E855" s="1"/>
      <c r="F855" s="2"/>
    </row>
    <row r="856" spans="1:7" ht="15.75" thickBot="1">
      <c r="A856" s="9"/>
      <c r="B856" s="3"/>
      <c r="C856" s="3"/>
      <c r="D856" s="3"/>
      <c r="E856" s="3"/>
      <c r="F856" s="4"/>
    </row>
    <row r="857" spans="1:7" ht="16.5" thickTop="1" thickBot="1"/>
    <row r="858" spans="1:7" ht="15.75" thickTop="1">
      <c r="A858" s="3782" t="s">
        <v>0</v>
      </c>
      <c r="B858" s="3781" t="s">
        <v>1</v>
      </c>
      <c r="C858" s="3781" t="s">
        <v>2</v>
      </c>
      <c r="D858" s="3781" t="s">
        <v>3</v>
      </c>
      <c r="E858" s="3781" t="s">
        <v>4</v>
      </c>
      <c r="F858" s="3765" t="s">
        <v>5</v>
      </c>
    </row>
    <row r="859" spans="1:7" ht="15.75" thickBot="1">
      <c r="A859" s="3783"/>
      <c r="B859" s="3767"/>
      <c r="C859" s="3767"/>
      <c r="D859" s="3767"/>
      <c r="E859" s="3767"/>
      <c r="F859" s="3766"/>
    </row>
    <row r="860" spans="1:7" ht="15.75" thickTop="1">
      <c r="A860" s="7" t="s">
        <v>1169</v>
      </c>
      <c r="B860" s="5" t="s">
        <v>200</v>
      </c>
      <c r="C860" s="288" t="s">
        <v>623</v>
      </c>
      <c r="D860" s="288" t="s">
        <v>325</v>
      </c>
      <c r="E860" s="290">
        <v>0.05</v>
      </c>
      <c r="F860" s="291">
        <v>20105</v>
      </c>
      <c r="G860">
        <f>F860/0.95</f>
        <v>21163.157894736843</v>
      </c>
    </row>
    <row r="861" spans="1:7">
      <c r="A861" s="8"/>
      <c r="B861" s="81"/>
      <c r="C861" s="81"/>
      <c r="D861" s="288"/>
      <c r="E861" s="290"/>
      <c r="F861" s="291"/>
    </row>
    <row r="862" spans="1:7">
      <c r="A862" s="8"/>
      <c r="B862" s="81"/>
      <c r="C862" s="81"/>
      <c r="D862" s="288"/>
      <c r="E862" s="290"/>
      <c r="F862" s="291"/>
    </row>
    <row r="863" spans="1:7">
      <c r="A863" s="8"/>
      <c r="B863" s="81"/>
      <c r="C863" s="81"/>
      <c r="D863" s="288"/>
      <c r="E863" s="290"/>
      <c r="F863" s="291"/>
    </row>
    <row r="864" spans="1:7">
      <c r="A864" s="8"/>
      <c r="B864" s="81"/>
      <c r="C864" s="81"/>
      <c r="D864" s="288"/>
      <c r="E864" s="343"/>
      <c r="F864" s="293"/>
    </row>
    <row r="865" spans="1:6">
      <c r="A865" s="8"/>
      <c r="B865" s="81"/>
      <c r="C865" s="81"/>
      <c r="D865" s="288"/>
      <c r="E865" s="343"/>
      <c r="F865" s="293"/>
    </row>
    <row r="866" spans="1:6">
      <c r="A866" s="8"/>
      <c r="B866" s="81"/>
      <c r="C866" s="81"/>
      <c r="D866" s="288"/>
      <c r="E866" s="343"/>
      <c r="F866" s="293"/>
    </row>
    <row r="867" spans="1:6">
      <c r="A867" s="8"/>
      <c r="B867" s="81"/>
      <c r="C867" s="81"/>
      <c r="D867" s="288"/>
      <c r="E867" s="343"/>
      <c r="F867" s="293"/>
    </row>
    <row r="868" spans="1:6">
      <c r="A868" s="8"/>
      <c r="B868" s="81"/>
      <c r="C868" s="81"/>
      <c r="D868" s="288"/>
      <c r="E868" s="343"/>
      <c r="F868" s="293"/>
    </row>
    <row r="869" spans="1:6">
      <c r="A869" s="8"/>
      <c r="B869" s="1"/>
      <c r="C869" s="1"/>
      <c r="D869" s="1"/>
      <c r="E869" s="1"/>
      <c r="F869" s="2"/>
    </row>
    <row r="870" spans="1:6">
      <c r="A870" s="8"/>
      <c r="B870" s="1"/>
      <c r="C870" s="1"/>
      <c r="D870" s="1"/>
      <c r="E870" s="1"/>
      <c r="F870" s="2"/>
    </row>
    <row r="871" spans="1:6" ht="15.75" thickBot="1">
      <c r="A871" s="9"/>
      <c r="B871" s="3"/>
      <c r="C871" s="3"/>
      <c r="D871" s="3"/>
      <c r="E871" s="3"/>
      <c r="F871" s="4"/>
    </row>
    <row r="872" spans="1:6" ht="16.5" thickTop="1" thickBot="1"/>
    <row r="873" spans="1:6" ht="15.75" thickTop="1">
      <c r="A873" s="3782" t="s">
        <v>0</v>
      </c>
      <c r="B873" s="3781" t="s">
        <v>1</v>
      </c>
      <c r="C873" s="3781" t="s">
        <v>2</v>
      </c>
      <c r="D873" s="3781" t="s">
        <v>3</v>
      </c>
      <c r="E873" s="3781" t="s">
        <v>4</v>
      </c>
      <c r="F873" s="3765" t="s">
        <v>5</v>
      </c>
    </row>
    <row r="874" spans="1:6" ht="15.75" thickBot="1">
      <c r="A874" s="3783"/>
      <c r="B874" s="3767"/>
      <c r="C874" s="3767"/>
      <c r="D874" s="3767"/>
      <c r="E874" s="3767"/>
      <c r="F874" s="3766"/>
    </row>
    <row r="875" spans="1:6" ht="15.75" thickTop="1">
      <c r="A875" s="7" t="s">
        <v>1219</v>
      </c>
      <c r="B875" s="5" t="s">
        <v>200</v>
      </c>
      <c r="C875" s="288" t="s">
        <v>328</v>
      </c>
      <c r="D875" s="288" t="s">
        <v>325</v>
      </c>
      <c r="E875" s="290">
        <v>0.1</v>
      </c>
      <c r="F875" s="291">
        <v>207941</v>
      </c>
    </row>
    <row r="876" spans="1:6">
      <c r="A876" s="8"/>
      <c r="B876" s="81"/>
      <c r="C876" s="81" t="s">
        <v>326</v>
      </c>
      <c r="D876" s="288" t="s">
        <v>325</v>
      </c>
      <c r="E876" s="290">
        <v>0.1</v>
      </c>
      <c r="F876" s="291">
        <v>207941</v>
      </c>
    </row>
    <row r="877" spans="1:6">
      <c r="A877" s="8"/>
      <c r="B877" s="81"/>
      <c r="C877" s="81" t="s">
        <v>327</v>
      </c>
      <c r="D877" s="288" t="s">
        <v>325</v>
      </c>
      <c r="E877" s="290">
        <v>0.1</v>
      </c>
      <c r="F877" s="291">
        <v>207941</v>
      </c>
    </row>
    <row r="878" spans="1:6">
      <c r="A878" s="8"/>
      <c r="B878" s="81"/>
      <c r="C878" s="81"/>
      <c r="D878" s="288"/>
      <c r="E878" s="290"/>
      <c r="F878" s="291"/>
    </row>
    <row r="879" spans="1:6">
      <c r="A879" s="8"/>
      <c r="B879" s="81"/>
      <c r="C879" s="81"/>
      <c r="D879" s="288"/>
      <c r="E879" s="343"/>
      <c r="F879" s="293"/>
    </row>
    <row r="880" spans="1:6">
      <c r="A880" s="8"/>
      <c r="B880" s="81"/>
      <c r="C880" s="81"/>
      <c r="D880" s="288"/>
      <c r="E880" s="343"/>
      <c r="F880" s="293"/>
    </row>
    <row r="881" spans="1:6">
      <c r="A881" s="8"/>
      <c r="B881" s="81"/>
      <c r="C881" s="81"/>
      <c r="D881" s="288"/>
      <c r="E881" s="343"/>
      <c r="F881" s="293"/>
    </row>
    <row r="882" spans="1:6">
      <c r="A882" s="8"/>
      <c r="B882" s="81"/>
      <c r="C882" s="81"/>
      <c r="D882" s="288"/>
      <c r="E882" s="343"/>
      <c r="F882" s="293"/>
    </row>
    <row r="883" spans="1:6">
      <c r="A883" s="8"/>
      <c r="B883" s="81"/>
      <c r="C883" s="81"/>
      <c r="D883" s="288"/>
      <c r="E883" s="343"/>
      <c r="F883" s="293"/>
    </row>
    <row r="884" spans="1:6">
      <c r="A884" s="8"/>
      <c r="B884" s="1"/>
      <c r="C884" s="1"/>
      <c r="D884" s="1"/>
      <c r="E884" s="1"/>
      <c r="F884" s="2"/>
    </row>
    <row r="885" spans="1:6">
      <c r="A885" s="8"/>
      <c r="B885" s="1"/>
      <c r="C885" s="1"/>
      <c r="D885" s="1"/>
      <c r="E885" s="1"/>
      <c r="F885" s="2"/>
    </row>
    <row r="886" spans="1:6" ht="15.75" thickBot="1">
      <c r="A886" s="9"/>
      <c r="B886" s="3"/>
      <c r="C886" s="3"/>
      <c r="D886" s="3"/>
      <c r="E886" s="3"/>
      <c r="F886" s="4"/>
    </row>
    <row r="887" spans="1:6" ht="16.5" thickTop="1" thickBot="1"/>
    <row r="888" spans="1:6" ht="15.75" thickTop="1">
      <c r="A888" s="3782" t="s">
        <v>0</v>
      </c>
      <c r="B888" s="3781" t="s">
        <v>1</v>
      </c>
      <c r="C888" s="3781" t="s">
        <v>2</v>
      </c>
      <c r="D888" s="3781" t="s">
        <v>3</v>
      </c>
      <c r="E888" s="3781" t="s">
        <v>4</v>
      </c>
      <c r="F888" s="3765" t="s">
        <v>5</v>
      </c>
    </row>
    <row r="889" spans="1:6" ht="15.75" thickBot="1">
      <c r="A889" s="3783"/>
      <c r="B889" s="3767"/>
      <c r="C889" s="3767"/>
      <c r="D889" s="3767"/>
      <c r="E889" s="3767"/>
      <c r="F889" s="3766"/>
    </row>
    <row r="890" spans="1:6" ht="15.75" thickTop="1">
      <c r="A890" s="7" t="s">
        <v>1226</v>
      </c>
      <c r="B890" s="288" t="s">
        <v>152</v>
      </c>
      <c r="C890" s="5" t="s">
        <v>273</v>
      </c>
      <c r="D890" s="5" t="s">
        <v>343</v>
      </c>
      <c r="E890" s="12">
        <v>0.2</v>
      </c>
      <c r="F890" s="6">
        <v>6571</v>
      </c>
    </row>
    <row r="891" spans="1:6">
      <c r="A891" s="8"/>
      <c r="B891" s="81"/>
      <c r="C891" s="1" t="s">
        <v>908</v>
      </c>
      <c r="D891" s="5" t="s">
        <v>343</v>
      </c>
      <c r="E891" s="12">
        <v>0.2</v>
      </c>
      <c r="F891" s="6">
        <v>6571</v>
      </c>
    </row>
    <row r="892" spans="1:6">
      <c r="A892" s="8"/>
      <c r="B892" s="81"/>
      <c r="C892" s="1" t="s">
        <v>177</v>
      </c>
      <c r="D892" s="5" t="s">
        <v>343</v>
      </c>
      <c r="E892" s="12">
        <v>0.2</v>
      </c>
      <c r="F892" s="6">
        <v>6571</v>
      </c>
    </row>
    <row r="893" spans="1:6">
      <c r="A893" s="8"/>
      <c r="B893" s="81"/>
      <c r="C893" s="1" t="s">
        <v>909</v>
      </c>
      <c r="D893" s="5" t="s">
        <v>343</v>
      </c>
      <c r="E893" s="12">
        <v>0.2</v>
      </c>
      <c r="F893" s="6">
        <v>6571</v>
      </c>
    </row>
    <row r="894" spans="1:6">
      <c r="A894" s="8"/>
      <c r="B894" s="81"/>
      <c r="C894" s="81"/>
      <c r="D894" s="288"/>
      <c r="E894" s="343"/>
      <c r="F894" s="293"/>
    </row>
    <row r="895" spans="1:6">
      <c r="A895" s="8"/>
      <c r="B895" s="81"/>
      <c r="C895" s="81"/>
      <c r="D895" s="288"/>
      <c r="E895" s="343"/>
      <c r="F895" s="293"/>
    </row>
    <row r="896" spans="1:6">
      <c r="A896" s="8"/>
      <c r="B896" s="81"/>
      <c r="C896" s="81"/>
      <c r="D896" s="288"/>
      <c r="E896" s="343"/>
      <c r="F896" s="293"/>
    </row>
    <row r="897" spans="1:8">
      <c r="A897" s="8"/>
      <c r="B897" s="81"/>
      <c r="C897" s="81"/>
      <c r="D897" s="288"/>
      <c r="E897" s="343"/>
      <c r="F897" s="293"/>
    </row>
    <row r="898" spans="1:8">
      <c r="A898" s="8"/>
      <c r="B898" s="81"/>
      <c r="C898" s="81"/>
      <c r="D898" s="288"/>
      <c r="E898" s="343"/>
      <c r="F898" s="293"/>
    </row>
    <row r="899" spans="1:8">
      <c r="A899" s="8"/>
      <c r="B899" s="1"/>
      <c r="C899" s="1"/>
      <c r="D899" s="1"/>
      <c r="E899" s="1"/>
      <c r="F899" s="2"/>
    </row>
    <row r="900" spans="1:8">
      <c r="A900" s="8"/>
      <c r="B900" s="1"/>
      <c r="C900" s="1"/>
      <c r="D900" s="1"/>
      <c r="E900" s="1"/>
      <c r="F900" s="2"/>
    </row>
    <row r="901" spans="1:8" ht="15.75" thickBot="1">
      <c r="A901" s="9"/>
      <c r="B901" s="3"/>
      <c r="C901" s="3"/>
      <c r="D901" s="3"/>
      <c r="E901" s="3"/>
      <c r="F901" s="4"/>
    </row>
    <row r="902" spans="1:8" ht="16.5" thickTop="1" thickBot="1"/>
    <row r="903" spans="1:8" ht="15.75" customHeight="1" thickTop="1">
      <c r="A903" s="3782" t="s">
        <v>0</v>
      </c>
      <c r="B903" s="3781" t="s">
        <v>1</v>
      </c>
      <c r="C903" s="3781" t="s">
        <v>2</v>
      </c>
      <c r="D903" s="3781" t="s">
        <v>3</v>
      </c>
      <c r="E903" s="3781" t="s">
        <v>4</v>
      </c>
      <c r="F903" s="3765" t="s">
        <v>5</v>
      </c>
    </row>
    <row r="904" spans="1:8" ht="15.75" customHeight="1" thickBot="1">
      <c r="A904" s="3783"/>
      <c r="B904" s="3767"/>
      <c r="C904" s="3767"/>
      <c r="D904" s="3767"/>
      <c r="E904" s="3767"/>
      <c r="F904" s="3766"/>
    </row>
    <row r="905" spans="1:8" ht="15.75" customHeight="1" thickTop="1">
      <c r="A905" s="7" t="s">
        <v>1245</v>
      </c>
      <c r="B905" s="288" t="s">
        <v>265</v>
      </c>
      <c r="C905" s="5" t="s">
        <v>238</v>
      </c>
      <c r="D905" s="5" t="s">
        <v>262</v>
      </c>
      <c r="E905" s="11">
        <v>0.15</v>
      </c>
      <c r="F905" s="6">
        <v>58978</v>
      </c>
      <c r="G905">
        <f>F905/0.85</f>
        <v>69385.882352941175</v>
      </c>
      <c r="H905">
        <v>77095</v>
      </c>
    </row>
    <row r="906" spans="1:8" ht="15.75" customHeight="1">
      <c r="A906" s="8"/>
      <c r="B906" s="81" t="s">
        <v>395</v>
      </c>
      <c r="C906" s="1" t="s">
        <v>868</v>
      </c>
      <c r="D906" s="5" t="s">
        <v>262</v>
      </c>
      <c r="E906" s="11">
        <v>0.15</v>
      </c>
      <c r="F906" s="6">
        <v>58978</v>
      </c>
      <c r="G906">
        <f>F906/0.85</f>
        <v>69385.882352941175</v>
      </c>
    </row>
    <row r="907" spans="1:8">
      <c r="A907" s="8"/>
      <c r="B907" s="81" t="s">
        <v>264</v>
      </c>
      <c r="C907" s="1" t="s">
        <v>239</v>
      </c>
      <c r="D907" s="5" t="s">
        <v>262</v>
      </c>
      <c r="E907" s="11">
        <v>0.15</v>
      </c>
      <c r="F907" s="6">
        <v>58978</v>
      </c>
      <c r="G907">
        <f>F907/0.85</f>
        <v>69385.882352941175</v>
      </c>
    </row>
    <row r="908" spans="1:8">
      <c r="A908" s="8"/>
      <c r="B908" s="81" t="s">
        <v>266</v>
      </c>
      <c r="C908" s="1" t="s">
        <v>623</v>
      </c>
      <c r="D908" s="5" t="s">
        <v>262</v>
      </c>
      <c r="E908" s="11">
        <v>0.15</v>
      </c>
      <c r="F908" s="2">
        <v>16275</v>
      </c>
      <c r="G908">
        <f>F908/0.85</f>
        <v>19147.058823529413</v>
      </c>
    </row>
    <row r="909" spans="1:8">
      <c r="A909" s="8"/>
      <c r="B909" s="31" t="s">
        <v>269</v>
      </c>
      <c r="C909" s="1"/>
      <c r="D909" s="5"/>
      <c r="E909" s="1"/>
      <c r="F909" s="2"/>
    </row>
    <row r="910" spans="1:8">
      <c r="A910" s="8"/>
      <c r="B910" s="81" t="s">
        <v>267</v>
      </c>
      <c r="C910" s="1"/>
      <c r="D910" s="5"/>
      <c r="E910" s="1"/>
      <c r="F910" s="2"/>
    </row>
    <row r="911" spans="1:8">
      <c r="A911" s="8"/>
      <c r="B911" s="81" t="s">
        <v>268</v>
      </c>
      <c r="C911" s="1"/>
      <c r="D911" s="5"/>
      <c r="E911" s="1"/>
      <c r="F911" s="2"/>
    </row>
    <row r="912" spans="1:8">
      <c r="A912" s="8"/>
      <c r="B912" s="81" t="s">
        <v>743</v>
      </c>
      <c r="C912" s="1"/>
      <c r="D912" s="5"/>
      <c r="E912" s="1"/>
      <c r="F912" s="2"/>
    </row>
    <row r="913" spans="1:7">
      <c r="A913" s="8"/>
      <c r="B913" s="81" t="s">
        <v>1246</v>
      </c>
      <c r="C913" s="81"/>
      <c r="D913" s="288"/>
      <c r="E913" s="343"/>
      <c r="F913" s="293"/>
    </row>
    <row r="914" spans="1:7">
      <c r="A914" s="8"/>
      <c r="B914" s="1"/>
      <c r="C914" s="1"/>
      <c r="D914" s="1"/>
      <c r="E914" s="1"/>
      <c r="F914" s="2"/>
    </row>
    <row r="915" spans="1:7">
      <c r="A915" s="8"/>
      <c r="B915" s="1"/>
      <c r="C915" s="1"/>
      <c r="D915" s="1"/>
      <c r="E915" s="1"/>
      <c r="F915" s="2"/>
    </row>
    <row r="916" spans="1:7" ht="15.75" thickBot="1">
      <c r="A916" s="9"/>
      <c r="B916" s="3"/>
      <c r="C916" s="3"/>
      <c r="D916" s="3"/>
      <c r="E916" s="3"/>
      <c r="F916" s="4"/>
    </row>
    <row r="917" spans="1:7" ht="16.5" thickTop="1" thickBot="1"/>
    <row r="918" spans="1:7" ht="15.75" thickTop="1">
      <c r="A918" s="3782" t="s">
        <v>0</v>
      </c>
      <c r="B918" s="3781" t="s">
        <v>1</v>
      </c>
      <c r="C918" s="3781" t="s">
        <v>2</v>
      </c>
      <c r="D918" s="3781" t="s">
        <v>3</v>
      </c>
      <c r="E918" s="3781" t="s">
        <v>4</v>
      </c>
      <c r="F918" s="3765" t="s">
        <v>5</v>
      </c>
    </row>
    <row r="919" spans="1:7" ht="15.75" thickBot="1">
      <c r="A919" s="3783"/>
      <c r="B919" s="3767"/>
      <c r="C919" s="3767"/>
      <c r="D919" s="3767"/>
      <c r="E919" s="3767"/>
      <c r="F919" s="3766"/>
    </row>
    <row r="920" spans="1:7" ht="15.75" thickTop="1">
      <c r="A920" s="7" t="s">
        <v>1247</v>
      </c>
      <c r="B920" s="5" t="s">
        <v>200</v>
      </c>
      <c r="C920" s="288" t="s">
        <v>113</v>
      </c>
      <c r="D920" s="288" t="s">
        <v>325</v>
      </c>
      <c r="E920" s="290">
        <v>0.15</v>
      </c>
      <c r="F920" s="291">
        <v>159793</v>
      </c>
      <c r="G920">
        <f>F920/0.85</f>
        <v>187991.76470588235</v>
      </c>
    </row>
    <row r="921" spans="1:7">
      <c r="A921" s="8"/>
      <c r="B921" s="81"/>
      <c r="C921" s="81" t="s">
        <v>160</v>
      </c>
      <c r="D921" s="288" t="s">
        <v>325</v>
      </c>
      <c r="E921" s="290">
        <v>0.15</v>
      </c>
      <c r="F921" s="291">
        <v>159793</v>
      </c>
    </row>
    <row r="922" spans="1:7">
      <c r="A922" s="8"/>
      <c r="B922" s="81"/>
      <c r="C922" s="81" t="s">
        <v>161</v>
      </c>
      <c r="D922" s="288" t="s">
        <v>325</v>
      </c>
      <c r="E922" s="290">
        <v>0.15</v>
      </c>
      <c r="F922" s="291">
        <v>159793</v>
      </c>
    </row>
    <row r="923" spans="1:7">
      <c r="A923" s="8"/>
      <c r="B923" s="81"/>
      <c r="C923" s="81"/>
      <c r="D923" s="288"/>
      <c r="E923" s="290"/>
      <c r="F923" s="291"/>
    </row>
    <row r="924" spans="1:7">
      <c r="A924" s="8"/>
      <c r="B924" s="81"/>
      <c r="C924" s="81"/>
      <c r="D924" s="288"/>
      <c r="E924" s="343"/>
      <c r="F924" s="293"/>
    </row>
    <row r="925" spans="1:7">
      <c r="A925" s="8"/>
      <c r="B925" s="81"/>
      <c r="C925" s="81"/>
      <c r="D925" s="288"/>
      <c r="E925" s="343"/>
      <c r="F925" s="293"/>
    </row>
    <row r="926" spans="1:7">
      <c r="A926" s="8"/>
      <c r="B926" s="81"/>
      <c r="C926" s="81"/>
      <c r="D926" s="288"/>
      <c r="E926" s="343"/>
      <c r="F926" s="293"/>
    </row>
    <row r="927" spans="1:7">
      <c r="A927" s="8"/>
      <c r="B927" s="81"/>
      <c r="C927" s="81"/>
      <c r="D927" s="288"/>
      <c r="E927" s="343"/>
      <c r="F927" s="293"/>
    </row>
    <row r="928" spans="1:7">
      <c r="A928" s="8"/>
      <c r="B928" s="81"/>
      <c r="C928" s="81"/>
      <c r="D928" s="288"/>
      <c r="E928" s="343"/>
      <c r="F928" s="293"/>
    </row>
    <row r="929" spans="1:7">
      <c r="A929" s="8"/>
      <c r="B929" s="1"/>
      <c r="C929" s="1"/>
      <c r="D929" s="1"/>
      <c r="E929" s="1"/>
      <c r="F929" s="2"/>
    </row>
    <row r="930" spans="1:7">
      <c r="A930" s="8"/>
      <c r="B930" s="1"/>
      <c r="C930" s="1"/>
      <c r="D930" s="1"/>
      <c r="E930" s="1"/>
      <c r="F930" s="2"/>
    </row>
    <row r="931" spans="1:7" ht="15.75" thickBot="1">
      <c r="A931" s="9"/>
      <c r="B931" s="3"/>
      <c r="C931" s="3"/>
      <c r="D931" s="3"/>
      <c r="E931" s="3"/>
      <c r="F931" s="4"/>
    </row>
    <row r="932" spans="1:7" ht="16.5" thickTop="1" thickBot="1"/>
    <row r="933" spans="1:7" ht="15.75" thickTop="1">
      <c r="A933" s="3782" t="s">
        <v>0</v>
      </c>
      <c r="B933" s="3781" t="s">
        <v>1</v>
      </c>
      <c r="C933" s="3781" t="s">
        <v>2</v>
      </c>
      <c r="D933" s="3781" t="s">
        <v>3</v>
      </c>
      <c r="E933" s="3781" t="s">
        <v>4</v>
      </c>
      <c r="F933" s="3765" t="s">
        <v>5</v>
      </c>
    </row>
    <row r="934" spans="1:7" ht="15.75" thickBot="1">
      <c r="A934" s="3783"/>
      <c r="B934" s="3767"/>
      <c r="C934" s="3767"/>
      <c r="D934" s="3767"/>
      <c r="E934" s="3767"/>
      <c r="F934" s="3766"/>
    </row>
    <row r="935" spans="1:7" ht="15.75" thickTop="1">
      <c r="A935" s="7" t="s">
        <v>1297</v>
      </c>
      <c r="B935" s="5" t="s">
        <v>200</v>
      </c>
      <c r="C935" s="288" t="s">
        <v>623</v>
      </c>
      <c r="D935" s="288" t="s">
        <v>54</v>
      </c>
      <c r="E935" s="290">
        <v>0.1</v>
      </c>
      <c r="F935" s="291">
        <v>16069</v>
      </c>
      <c r="G935">
        <v>17854</v>
      </c>
    </row>
    <row r="936" spans="1:7">
      <c r="A936" s="8"/>
      <c r="B936" s="81"/>
      <c r="C936" s="81"/>
      <c r="D936" s="288"/>
      <c r="E936" s="290"/>
      <c r="F936" s="291"/>
    </row>
    <row r="937" spans="1:7">
      <c r="A937" s="8"/>
      <c r="B937" s="81"/>
      <c r="C937" s="81"/>
      <c r="D937" s="288"/>
      <c r="E937" s="290"/>
      <c r="F937" s="291"/>
    </row>
    <row r="938" spans="1:7">
      <c r="A938" s="8"/>
      <c r="B938" s="81"/>
      <c r="C938" s="81"/>
      <c r="D938" s="288"/>
      <c r="E938" s="290"/>
      <c r="F938" s="291"/>
    </row>
    <row r="939" spans="1:7">
      <c r="A939" s="8"/>
      <c r="B939" s="81"/>
      <c r="C939" s="81"/>
      <c r="D939" s="288"/>
      <c r="E939" s="343"/>
      <c r="F939" s="293"/>
    </row>
    <row r="940" spans="1:7">
      <c r="A940" s="8"/>
      <c r="B940" s="81"/>
      <c r="C940" s="81"/>
      <c r="D940" s="288"/>
      <c r="E940" s="343"/>
      <c r="F940" s="293"/>
    </row>
    <row r="941" spans="1:7">
      <c r="A941" s="8"/>
      <c r="B941" s="81"/>
      <c r="C941" s="81"/>
      <c r="D941" s="288"/>
      <c r="E941" s="343"/>
      <c r="F941" s="293"/>
    </row>
    <row r="942" spans="1:7">
      <c r="A942" s="8"/>
      <c r="B942" s="81"/>
      <c r="C942" s="81"/>
      <c r="D942" s="288"/>
      <c r="E942" s="343"/>
      <c r="F942" s="293"/>
    </row>
    <row r="943" spans="1:7">
      <c r="A943" s="8"/>
      <c r="B943" s="81"/>
      <c r="C943" s="81"/>
      <c r="D943" s="288"/>
      <c r="E943" s="343"/>
      <c r="F943" s="293"/>
    </row>
    <row r="944" spans="1:7">
      <c r="A944" s="8"/>
      <c r="B944" s="1"/>
      <c r="C944" s="1"/>
      <c r="D944" s="1"/>
      <c r="E944" s="1"/>
      <c r="F944" s="2"/>
    </row>
    <row r="945" spans="1:7">
      <c r="A945" s="8"/>
      <c r="B945" s="1"/>
      <c r="C945" s="1"/>
      <c r="D945" s="1"/>
      <c r="E945" s="1"/>
      <c r="F945" s="2"/>
    </row>
    <row r="946" spans="1:7" ht="15.75" thickBot="1">
      <c r="A946" s="9"/>
      <c r="B946" s="3"/>
      <c r="C946" s="3"/>
      <c r="D946" s="3"/>
      <c r="E946" s="3"/>
      <c r="F946" s="4"/>
    </row>
    <row r="947" spans="1:7" ht="16.5" thickTop="1" thickBot="1"/>
    <row r="948" spans="1:7" ht="15.75" thickTop="1">
      <c r="A948" s="3782" t="s">
        <v>0</v>
      </c>
      <c r="B948" s="3781" t="s">
        <v>1</v>
      </c>
      <c r="C948" s="3781" t="s">
        <v>2</v>
      </c>
      <c r="D948" s="3781" t="s">
        <v>3</v>
      </c>
      <c r="E948" s="3781" t="s">
        <v>4</v>
      </c>
      <c r="F948" s="3765" t="s">
        <v>5</v>
      </c>
    </row>
    <row r="949" spans="1:7" ht="15.75" thickBot="1">
      <c r="A949" s="3783"/>
      <c r="B949" s="3767"/>
      <c r="C949" s="3767"/>
      <c r="D949" s="3767"/>
      <c r="E949" s="3767"/>
      <c r="F949" s="3766"/>
    </row>
    <row r="950" spans="1:7" ht="15.75" thickTop="1">
      <c r="A950" s="7" t="s">
        <v>1302</v>
      </c>
      <c r="B950" s="5" t="s">
        <v>232</v>
      </c>
      <c r="C950" s="1" t="s">
        <v>231</v>
      </c>
      <c r="D950" s="288" t="s">
        <v>343</v>
      </c>
      <c r="E950" s="290">
        <v>0.15</v>
      </c>
      <c r="F950" s="291">
        <v>9483</v>
      </c>
      <c r="G950">
        <v>11157</v>
      </c>
    </row>
    <row r="951" spans="1:7">
      <c r="A951" s="8"/>
      <c r="B951" s="81"/>
      <c r="C951" s="81"/>
      <c r="D951" s="288"/>
      <c r="E951" s="290"/>
      <c r="F951" s="291"/>
    </row>
    <row r="952" spans="1:7">
      <c r="A952" s="8"/>
      <c r="B952" s="81"/>
      <c r="C952" s="81"/>
      <c r="D952" s="288"/>
      <c r="E952" s="290"/>
      <c r="F952" s="291"/>
    </row>
    <row r="953" spans="1:7">
      <c r="A953" s="8"/>
      <c r="B953" s="81"/>
      <c r="C953" s="81"/>
      <c r="D953" s="288"/>
      <c r="E953" s="290"/>
      <c r="F953" s="291"/>
    </row>
    <row r="954" spans="1:7">
      <c r="A954" s="8"/>
      <c r="B954" s="81"/>
      <c r="C954" s="81"/>
      <c r="D954" s="288"/>
      <c r="E954" s="343"/>
      <c r="F954" s="293"/>
    </row>
    <row r="955" spans="1:7">
      <c r="A955" s="8"/>
      <c r="B955" s="81"/>
      <c r="C955" s="81"/>
      <c r="D955" s="288"/>
      <c r="E955" s="343"/>
      <c r="F955" s="293"/>
    </row>
    <row r="956" spans="1:7">
      <c r="A956" s="8"/>
      <c r="B956" s="81"/>
      <c r="C956" s="81"/>
      <c r="D956" s="288"/>
      <c r="E956" s="343"/>
      <c r="F956" s="293"/>
    </row>
    <row r="957" spans="1:7">
      <c r="A957" s="8"/>
      <c r="B957" s="81"/>
      <c r="C957" s="81"/>
      <c r="D957" s="288"/>
      <c r="E957" s="343"/>
      <c r="F957" s="293"/>
    </row>
    <row r="958" spans="1:7">
      <c r="A958" s="8"/>
      <c r="B958" s="81"/>
      <c r="C958" s="81"/>
      <c r="D958" s="288"/>
      <c r="E958" s="343"/>
      <c r="F958" s="293"/>
    </row>
    <row r="959" spans="1:7">
      <c r="A959" s="8"/>
      <c r="B959" s="1"/>
      <c r="C959" s="1"/>
      <c r="D959" s="1"/>
      <c r="E959" s="1"/>
      <c r="F959" s="2"/>
    </row>
    <row r="960" spans="1:7">
      <c r="A960" s="8"/>
      <c r="B960" s="1"/>
      <c r="C960" s="1"/>
      <c r="D960" s="1"/>
      <c r="E960" s="1"/>
      <c r="F960" s="2"/>
    </row>
    <row r="961" spans="1:7" ht="15.75" thickBot="1">
      <c r="A961" s="9"/>
      <c r="B961" s="3"/>
      <c r="C961" s="3"/>
      <c r="D961" s="3"/>
      <c r="E961" s="3"/>
      <c r="F961" s="4"/>
    </row>
    <row r="962" spans="1:7" ht="16.5" thickTop="1" thickBot="1"/>
    <row r="963" spans="1:7" ht="15.75" thickTop="1">
      <c r="A963" s="3782" t="s">
        <v>0</v>
      </c>
      <c r="B963" s="3781" t="s">
        <v>1</v>
      </c>
      <c r="C963" s="3781" t="s">
        <v>2</v>
      </c>
      <c r="D963" s="3781" t="s">
        <v>3</v>
      </c>
      <c r="E963" s="3781" t="s">
        <v>4</v>
      </c>
      <c r="F963" s="3765" t="s">
        <v>5</v>
      </c>
    </row>
    <row r="964" spans="1:7" ht="15.75" thickBot="1">
      <c r="A964" s="3783"/>
      <c r="B964" s="3767"/>
      <c r="C964" s="3767"/>
      <c r="D964" s="3767"/>
      <c r="E964" s="3767"/>
      <c r="F964" s="3766"/>
    </row>
    <row r="965" spans="1:7" ht="15.75" thickTop="1">
      <c r="A965" s="7" t="s">
        <v>1393</v>
      </c>
      <c r="B965" s="5" t="s">
        <v>200</v>
      </c>
      <c r="C965" s="288" t="s">
        <v>400</v>
      </c>
      <c r="D965" s="288" t="s">
        <v>54</v>
      </c>
      <c r="E965" s="290">
        <v>0.15</v>
      </c>
      <c r="F965" s="291">
        <v>159793</v>
      </c>
      <c r="G965">
        <v>187992</v>
      </c>
    </row>
    <row r="966" spans="1:7">
      <c r="A966" s="8"/>
      <c r="B966" s="81"/>
      <c r="C966" s="81" t="s">
        <v>399</v>
      </c>
      <c r="D966" s="288" t="s">
        <v>54</v>
      </c>
      <c r="E966" s="290">
        <v>0.15</v>
      </c>
      <c r="F966" s="291">
        <v>159793</v>
      </c>
    </row>
    <row r="967" spans="1:7">
      <c r="A967" s="8"/>
      <c r="B967" s="81"/>
      <c r="C967" s="81"/>
      <c r="D967" s="288"/>
      <c r="E967" s="290"/>
      <c r="F967" s="291"/>
    </row>
    <row r="968" spans="1:7">
      <c r="A968" s="8"/>
      <c r="B968" s="81"/>
      <c r="C968" s="81"/>
      <c r="D968" s="288"/>
      <c r="E968" s="290"/>
      <c r="F968" s="291"/>
    </row>
    <row r="969" spans="1:7">
      <c r="A969" s="8"/>
      <c r="B969" s="81"/>
      <c r="C969" s="81"/>
      <c r="D969" s="288"/>
      <c r="E969" s="343"/>
      <c r="F969" s="293"/>
    </row>
    <row r="970" spans="1:7">
      <c r="A970" s="8"/>
      <c r="B970" s="81"/>
      <c r="C970" s="81"/>
      <c r="D970" s="288"/>
      <c r="E970" s="343"/>
      <c r="F970" s="293"/>
    </row>
    <row r="971" spans="1:7">
      <c r="A971" s="8"/>
      <c r="B971" s="81"/>
      <c r="C971" s="81"/>
      <c r="D971" s="288"/>
      <c r="E971" s="343"/>
      <c r="F971" s="293"/>
    </row>
    <row r="972" spans="1:7">
      <c r="A972" s="8"/>
      <c r="B972" s="81"/>
      <c r="C972" s="81"/>
      <c r="D972" s="288"/>
      <c r="E972" s="343"/>
      <c r="F972" s="293"/>
    </row>
    <row r="973" spans="1:7">
      <c r="A973" s="8"/>
      <c r="B973" s="81"/>
      <c r="C973" s="81"/>
      <c r="D973" s="288"/>
      <c r="E973" s="343"/>
      <c r="F973" s="293"/>
    </row>
    <row r="974" spans="1:7">
      <c r="A974" s="8"/>
      <c r="B974" s="1"/>
      <c r="C974" s="1"/>
      <c r="D974" s="1"/>
      <c r="E974" s="1"/>
      <c r="F974" s="2"/>
    </row>
    <row r="975" spans="1:7">
      <c r="A975" s="8"/>
      <c r="B975" s="1"/>
      <c r="C975" s="1"/>
      <c r="D975" s="1"/>
      <c r="E975" s="1"/>
      <c r="F975" s="2"/>
    </row>
    <row r="976" spans="1:7" ht="15.75" thickBot="1">
      <c r="A976" s="9"/>
      <c r="B976" s="3"/>
      <c r="C976" s="3"/>
      <c r="D976" s="3"/>
      <c r="E976" s="3"/>
      <c r="F976" s="4"/>
    </row>
    <row r="977" spans="1:6" ht="16.5" thickTop="1" thickBot="1"/>
    <row r="978" spans="1:6" ht="15.75" thickTop="1">
      <c r="A978" s="3782" t="s">
        <v>0</v>
      </c>
      <c r="B978" s="3781" t="s">
        <v>1</v>
      </c>
      <c r="C978" s="3781" t="s">
        <v>2</v>
      </c>
      <c r="D978" s="3781" t="s">
        <v>3</v>
      </c>
      <c r="E978" s="3781" t="s">
        <v>4</v>
      </c>
      <c r="F978" s="3765" t="s">
        <v>5</v>
      </c>
    </row>
    <row r="979" spans="1:6" ht="15.75" thickBot="1">
      <c r="A979" s="3783"/>
      <c r="B979" s="3767"/>
      <c r="C979" s="3767"/>
      <c r="D979" s="3767"/>
      <c r="E979" s="3767"/>
      <c r="F979" s="3766"/>
    </row>
    <row r="980" spans="1:6" ht="15.75" thickTop="1">
      <c r="A980" s="7" t="s">
        <v>1393</v>
      </c>
      <c r="B980" s="5" t="s">
        <v>200</v>
      </c>
      <c r="C980" s="288" t="s">
        <v>400</v>
      </c>
      <c r="D980" s="288" t="s">
        <v>54</v>
      </c>
      <c r="E980" s="290">
        <v>0.15</v>
      </c>
      <c r="F980" s="291">
        <v>167783</v>
      </c>
    </row>
    <row r="981" spans="1:6">
      <c r="A981" s="8"/>
      <c r="B981" s="81"/>
      <c r="C981" s="81" t="s">
        <v>399</v>
      </c>
      <c r="D981" s="288" t="s">
        <v>54</v>
      </c>
      <c r="E981" s="290">
        <v>0.15</v>
      </c>
      <c r="F981" s="291">
        <v>167783</v>
      </c>
    </row>
    <row r="982" spans="1:6">
      <c r="A982" s="8"/>
      <c r="B982" s="81"/>
      <c r="C982" s="81"/>
      <c r="D982" s="288"/>
      <c r="E982" s="290"/>
      <c r="F982" s="291"/>
    </row>
    <row r="983" spans="1:6">
      <c r="A983" s="8"/>
      <c r="B983" s="81"/>
      <c r="C983" s="81"/>
      <c r="D983" s="288"/>
      <c r="E983" s="290"/>
      <c r="F983" s="291"/>
    </row>
    <row r="984" spans="1:6">
      <c r="A984" s="8"/>
      <c r="B984" s="81"/>
      <c r="C984" s="81"/>
      <c r="D984" s="288"/>
      <c r="E984" s="343"/>
      <c r="F984" s="293"/>
    </row>
    <row r="985" spans="1:6">
      <c r="A985" s="8"/>
      <c r="B985" s="81"/>
      <c r="C985" s="81"/>
      <c r="D985" s="288"/>
      <c r="E985" s="343"/>
      <c r="F985" s="293"/>
    </row>
    <row r="986" spans="1:6">
      <c r="A986" s="8"/>
      <c r="B986" s="81"/>
      <c r="C986" s="81"/>
      <c r="D986" s="288"/>
      <c r="E986" s="343"/>
      <c r="F986" s="293"/>
    </row>
    <row r="987" spans="1:6">
      <c r="A987" s="8"/>
      <c r="B987" s="81"/>
      <c r="C987" s="81"/>
      <c r="D987" s="288"/>
      <c r="E987" s="343"/>
      <c r="F987" s="293"/>
    </row>
    <row r="988" spans="1:6">
      <c r="A988" s="8"/>
      <c r="B988" s="81"/>
      <c r="C988" s="81"/>
      <c r="D988" s="288"/>
      <c r="E988" s="343"/>
      <c r="F988" s="293"/>
    </row>
    <row r="989" spans="1:6">
      <c r="A989" s="8"/>
      <c r="B989" s="1"/>
      <c r="C989" s="1"/>
      <c r="D989" s="1"/>
      <c r="E989" s="1"/>
      <c r="F989" s="2"/>
    </row>
    <row r="990" spans="1:6">
      <c r="A990" s="8"/>
      <c r="B990" s="1"/>
      <c r="C990" s="1"/>
      <c r="D990" s="1"/>
      <c r="E990" s="1"/>
      <c r="F990" s="2"/>
    </row>
    <row r="991" spans="1:6" ht="15.75" thickBot="1">
      <c r="A991" s="9"/>
      <c r="B991" s="3"/>
      <c r="C991" s="3"/>
      <c r="D991" s="3"/>
      <c r="E991" s="3"/>
      <c r="F991" s="4"/>
    </row>
    <row r="992" spans="1:6" ht="16.5" thickTop="1" thickBot="1"/>
    <row r="993" spans="1:8" ht="15.75" thickTop="1">
      <c r="A993" s="3782" t="s">
        <v>0</v>
      </c>
      <c r="B993" s="3781" t="s">
        <v>1</v>
      </c>
      <c r="C993" s="3781" t="s">
        <v>2</v>
      </c>
      <c r="D993" s="3781" t="s">
        <v>3</v>
      </c>
      <c r="E993" s="3781" t="s">
        <v>4</v>
      </c>
      <c r="F993" s="3765" t="s">
        <v>5</v>
      </c>
    </row>
    <row r="994" spans="1:8" ht="15.75" thickBot="1">
      <c r="A994" s="3783"/>
      <c r="B994" s="3767"/>
      <c r="C994" s="3767"/>
      <c r="D994" s="3767"/>
      <c r="E994" s="3767"/>
      <c r="F994" s="3766"/>
    </row>
    <row r="995" spans="1:8" ht="15.75" thickTop="1">
      <c r="A995" s="7" t="s">
        <v>1513</v>
      </c>
      <c r="B995" s="288" t="s">
        <v>265</v>
      </c>
      <c r="C995" s="5" t="s">
        <v>238</v>
      </c>
      <c r="D995" s="288" t="s">
        <v>237</v>
      </c>
      <c r="E995" s="290">
        <v>0.15</v>
      </c>
      <c r="F995" s="291">
        <v>74607</v>
      </c>
      <c r="G995">
        <v>79794</v>
      </c>
      <c r="H995">
        <f>F995/G995</f>
        <v>0.9349951124144672</v>
      </c>
    </row>
    <row r="996" spans="1:8">
      <c r="A996" s="8"/>
      <c r="B996" s="81" t="s">
        <v>395</v>
      </c>
      <c r="C996" s="1" t="s">
        <v>868</v>
      </c>
      <c r="D996" s="288" t="s">
        <v>237</v>
      </c>
      <c r="E996" s="290">
        <v>0.15</v>
      </c>
      <c r="F996" s="291">
        <v>74607</v>
      </c>
    </row>
    <row r="997" spans="1:8">
      <c r="A997" s="8"/>
      <c r="B997" s="81" t="s">
        <v>264</v>
      </c>
      <c r="C997" s="1" t="s">
        <v>239</v>
      </c>
      <c r="D997" s="288" t="s">
        <v>237</v>
      </c>
      <c r="E997" s="290">
        <v>0.15</v>
      </c>
      <c r="F997" s="291">
        <v>74607</v>
      </c>
    </row>
    <row r="998" spans="1:8">
      <c r="A998" s="8"/>
      <c r="B998" s="81" t="s">
        <v>266</v>
      </c>
      <c r="C998" s="81"/>
      <c r="D998" s="288"/>
      <c r="E998" s="290"/>
      <c r="F998" s="291"/>
    </row>
    <row r="999" spans="1:8">
      <c r="A999" s="8"/>
      <c r="B999" s="31" t="s">
        <v>269</v>
      </c>
      <c r="C999" s="81"/>
      <c r="D999" s="288"/>
      <c r="E999" s="343"/>
      <c r="F999" s="293"/>
    </row>
    <row r="1000" spans="1:8">
      <c r="A1000" s="8"/>
      <c r="B1000" s="81" t="s">
        <v>267</v>
      </c>
      <c r="C1000" s="81"/>
      <c r="D1000" s="288"/>
      <c r="E1000" s="343"/>
      <c r="F1000" s="293"/>
    </row>
    <row r="1001" spans="1:8">
      <c r="A1001" s="8"/>
      <c r="B1001" s="81" t="s">
        <v>268</v>
      </c>
      <c r="C1001" s="81"/>
      <c r="D1001" s="288"/>
      <c r="E1001" s="343"/>
      <c r="F1001" s="293"/>
    </row>
    <row r="1002" spans="1:8">
      <c r="A1002" s="8"/>
      <c r="B1002" s="81" t="s">
        <v>743</v>
      </c>
      <c r="C1002" s="81"/>
      <c r="D1002" s="288"/>
      <c r="E1002" s="343"/>
      <c r="F1002" s="293"/>
    </row>
    <row r="1003" spans="1:8">
      <c r="A1003" s="8"/>
      <c r="B1003" s="81" t="s">
        <v>1246</v>
      </c>
      <c r="C1003" s="81"/>
      <c r="D1003" s="288"/>
      <c r="E1003" s="343"/>
      <c r="F1003" s="293"/>
    </row>
    <row r="1004" spans="1:8">
      <c r="A1004" s="8"/>
      <c r="B1004" s="1" t="s">
        <v>1512</v>
      </c>
      <c r="C1004" s="1"/>
      <c r="D1004" s="1"/>
      <c r="E1004" s="1"/>
      <c r="F1004" s="2"/>
    </row>
    <row r="1005" spans="1:8">
      <c r="A1005" s="8"/>
      <c r="B1005" s="1"/>
      <c r="C1005" s="1"/>
      <c r="D1005" s="1"/>
      <c r="E1005" s="1"/>
      <c r="F1005" s="2"/>
    </row>
    <row r="1006" spans="1:8" ht="15.75" thickBot="1">
      <c r="A1006" s="9"/>
      <c r="B1006" s="3"/>
      <c r="C1006" s="3"/>
      <c r="D1006" s="3"/>
      <c r="E1006" s="3"/>
      <c r="F1006" s="4"/>
    </row>
    <row r="1007" spans="1:8" ht="16.5" thickTop="1" thickBot="1"/>
    <row r="1008" spans="1:8" ht="15.75" thickTop="1">
      <c r="A1008" s="3782" t="s">
        <v>0</v>
      </c>
      <c r="B1008" s="3781" t="s">
        <v>1</v>
      </c>
      <c r="C1008" s="3781" t="s">
        <v>2</v>
      </c>
      <c r="D1008" s="3781" t="s">
        <v>3</v>
      </c>
      <c r="E1008" s="3781" t="s">
        <v>4</v>
      </c>
      <c r="F1008" s="3765" t="s">
        <v>5</v>
      </c>
    </row>
    <row r="1009" spans="1:7" ht="15.75" thickBot="1">
      <c r="A1009" s="3783"/>
      <c r="B1009" s="3767"/>
      <c r="C1009" s="3767"/>
      <c r="D1009" s="3767"/>
      <c r="E1009" s="3767"/>
      <c r="F1009" s="3766"/>
    </row>
    <row r="1010" spans="1:7" ht="15.75" thickTop="1">
      <c r="A1010" s="7" t="s">
        <v>1525</v>
      </c>
      <c r="B1010" s="288" t="s">
        <v>152</v>
      </c>
      <c r="C1010" s="288" t="s">
        <v>1526</v>
      </c>
      <c r="D1010" s="288" t="s">
        <v>343</v>
      </c>
      <c r="E1010" s="290">
        <v>0.15</v>
      </c>
      <c r="F1010" s="291">
        <v>11378</v>
      </c>
      <c r="G1010">
        <v>13386</v>
      </c>
    </row>
    <row r="1011" spans="1:7">
      <c r="A1011" s="8"/>
      <c r="B1011" s="81"/>
      <c r="C1011" s="81" t="s">
        <v>149</v>
      </c>
      <c r="D1011" s="288" t="s">
        <v>343</v>
      </c>
      <c r="E1011" s="290">
        <v>0.15</v>
      </c>
      <c r="F1011" s="291">
        <v>5597</v>
      </c>
      <c r="G1011">
        <v>6585</v>
      </c>
    </row>
    <row r="1012" spans="1:7">
      <c r="A1012" s="8"/>
      <c r="B1012" s="81"/>
      <c r="C1012" s="81" t="s">
        <v>906</v>
      </c>
      <c r="D1012" s="288" t="s">
        <v>343</v>
      </c>
      <c r="E1012" s="290">
        <v>0.15</v>
      </c>
      <c r="F1012" s="291">
        <v>8906</v>
      </c>
      <c r="G1012">
        <v>10478</v>
      </c>
    </row>
    <row r="1013" spans="1:7">
      <c r="A1013" s="8"/>
      <c r="B1013" s="81"/>
      <c r="C1013" s="81"/>
      <c r="D1013" s="288"/>
      <c r="E1013" s="290"/>
      <c r="F1013" s="291"/>
    </row>
    <row r="1014" spans="1:7">
      <c r="A1014" s="8"/>
      <c r="B1014" s="81"/>
      <c r="C1014" s="81"/>
      <c r="D1014" s="288"/>
      <c r="E1014" s="343"/>
      <c r="F1014" s="293"/>
    </row>
    <row r="1015" spans="1:7">
      <c r="A1015" s="8"/>
      <c r="B1015" s="81"/>
      <c r="C1015" s="81"/>
      <c r="D1015" s="288"/>
      <c r="E1015" s="343"/>
      <c r="F1015" s="293"/>
    </row>
    <row r="1016" spans="1:7">
      <c r="A1016" s="8"/>
      <c r="B1016" s="81"/>
      <c r="C1016" s="81"/>
      <c r="D1016" s="288"/>
      <c r="E1016" s="343"/>
      <c r="F1016" s="293"/>
    </row>
    <row r="1017" spans="1:7">
      <c r="A1017" s="8"/>
      <c r="B1017" s="81"/>
      <c r="C1017" s="81"/>
      <c r="D1017" s="288"/>
      <c r="E1017" s="343"/>
      <c r="F1017" s="293"/>
    </row>
    <row r="1018" spans="1:7">
      <c r="A1018" s="8"/>
      <c r="B1018" s="81"/>
      <c r="C1018" s="81"/>
      <c r="D1018" s="288"/>
      <c r="E1018" s="343"/>
      <c r="F1018" s="293"/>
    </row>
    <row r="1019" spans="1:7">
      <c r="A1019" s="8"/>
      <c r="B1019" s="1"/>
      <c r="C1019" s="1"/>
      <c r="D1019" s="1"/>
      <c r="E1019" s="1"/>
      <c r="F1019" s="2"/>
    </row>
    <row r="1020" spans="1:7">
      <c r="A1020" s="8"/>
      <c r="B1020" s="1"/>
      <c r="C1020" s="1"/>
      <c r="D1020" s="1"/>
      <c r="E1020" s="1"/>
      <c r="F1020" s="2"/>
    </row>
    <row r="1021" spans="1:7" ht="15.75" thickBot="1">
      <c r="A1021" s="9"/>
      <c r="B1021" s="3"/>
      <c r="C1021" s="3"/>
      <c r="D1021" s="3"/>
      <c r="E1021" s="3"/>
      <c r="F1021" s="4"/>
    </row>
    <row r="1022" spans="1:7" ht="16.5" thickTop="1" thickBot="1"/>
    <row r="1023" spans="1:7" ht="15.75" thickTop="1">
      <c r="A1023" s="3782" t="s">
        <v>0</v>
      </c>
      <c r="B1023" s="3781" t="s">
        <v>1</v>
      </c>
      <c r="C1023" s="3781" t="s">
        <v>2</v>
      </c>
      <c r="D1023" s="3781" t="s">
        <v>3</v>
      </c>
      <c r="E1023" s="3781" t="s">
        <v>4</v>
      </c>
      <c r="F1023" s="3765" t="s">
        <v>5</v>
      </c>
    </row>
    <row r="1024" spans="1:7" ht="15.75" thickBot="1">
      <c r="A1024" s="3783"/>
      <c r="B1024" s="3767"/>
      <c r="C1024" s="3767"/>
      <c r="D1024" s="3767"/>
      <c r="E1024" s="3767"/>
      <c r="F1024" s="3766"/>
    </row>
    <row r="1025" spans="1:7" ht="15.75" thickTop="1">
      <c r="A1025" s="7" t="s">
        <v>1582</v>
      </c>
      <c r="B1025" s="288" t="s">
        <v>265</v>
      </c>
      <c r="C1025" s="1" t="s">
        <v>1315</v>
      </c>
      <c r="D1025" s="288" t="s">
        <v>237</v>
      </c>
      <c r="E1025" s="290">
        <v>0.2</v>
      </c>
      <c r="F1025" s="291">
        <v>11921</v>
      </c>
    </row>
    <row r="1026" spans="1:7">
      <c r="A1026" s="8"/>
      <c r="B1026" s="81" t="s">
        <v>395</v>
      </c>
      <c r="C1026" s="1" t="s">
        <v>1316</v>
      </c>
      <c r="D1026" s="288" t="s">
        <v>237</v>
      </c>
      <c r="E1026" s="290">
        <v>0.2</v>
      </c>
      <c r="F1026" s="291">
        <v>11921</v>
      </c>
    </row>
    <row r="1027" spans="1:7">
      <c r="A1027" s="8"/>
      <c r="B1027" s="81" t="s">
        <v>264</v>
      </c>
      <c r="C1027" s="1" t="s">
        <v>1317</v>
      </c>
      <c r="D1027" s="288" t="s">
        <v>237</v>
      </c>
      <c r="E1027" s="290">
        <v>0.2</v>
      </c>
      <c r="F1027" s="291">
        <v>11921</v>
      </c>
    </row>
    <row r="1028" spans="1:7">
      <c r="A1028" s="8"/>
      <c r="B1028" s="81" t="s">
        <v>266</v>
      </c>
      <c r="C1028" s="81"/>
      <c r="D1028" s="288"/>
      <c r="E1028" s="290"/>
      <c r="F1028" s="291"/>
    </row>
    <row r="1029" spans="1:7">
      <c r="A1029" s="8"/>
      <c r="B1029" s="31" t="s">
        <v>269</v>
      </c>
      <c r="C1029" s="81"/>
      <c r="D1029" s="288"/>
      <c r="E1029" s="343"/>
      <c r="F1029" s="293"/>
    </row>
    <row r="1030" spans="1:7">
      <c r="A1030" s="8"/>
      <c r="B1030" s="81" t="s">
        <v>267</v>
      </c>
      <c r="C1030" s="81"/>
      <c r="D1030" s="288"/>
      <c r="E1030" s="343"/>
      <c r="F1030" s="293"/>
    </row>
    <row r="1031" spans="1:7">
      <c r="A1031" s="8"/>
      <c r="B1031" s="81" t="s">
        <v>268</v>
      </c>
      <c r="C1031" s="81"/>
      <c r="D1031" s="288"/>
      <c r="E1031" s="343"/>
      <c r="F1031" s="293"/>
    </row>
    <row r="1032" spans="1:7">
      <c r="A1032" s="8"/>
      <c r="B1032" s="81" t="s">
        <v>743</v>
      </c>
      <c r="C1032" s="81"/>
      <c r="D1032" s="288"/>
      <c r="E1032" s="343"/>
      <c r="F1032" s="293"/>
    </row>
    <row r="1033" spans="1:7">
      <c r="A1033" s="8"/>
      <c r="B1033" s="81" t="s">
        <v>1246</v>
      </c>
      <c r="C1033" s="81"/>
      <c r="D1033" s="288"/>
      <c r="E1033" s="343"/>
      <c r="F1033" s="293"/>
    </row>
    <row r="1034" spans="1:7">
      <c r="A1034" s="8"/>
      <c r="B1034" s="1" t="s">
        <v>1512</v>
      </c>
      <c r="C1034" s="1"/>
      <c r="D1034" s="1"/>
      <c r="E1034" s="1"/>
      <c r="F1034" s="2"/>
    </row>
    <row r="1035" spans="1:7">
      <c r="A1035" s="8"/>
      <c r="B1035" s="1"/>
      <c r="C1035" s="1"/>
      <c r="D1035" s="1"/>
      <c r="E1035" s="1"/>
      <c r="F1035" s="2"/>
    </row>
    <row r="1036" spans="1:7" ht="15.75" thickBot="1">
      <c r="A1036" s="9"/>
      <c r="B1036" s="3"/>
      <c r="C1036" s="3"/>
      <c r="D1036" s="3"/>
      <c r="E1036" s="3"/>
      <c r="F1036" s="4"/>
    </row>
    <row r="1037" spans="1:7" ht="16.5" thickTop="1" thickBot="1"/>
    <row r="1038" spans="1:7" ht="15.75" customHeight="1" thickTop="1">
      <c r="A1038" s="3782" t="s">
        <v>0</v>
      </c>
      <c r="B1038" s="3781" t="s">
        <v>1</v>
      </c>
      <c r="C1038" s="3781" t="s">
        <v>2</v>
      </c>
      <c r="D1038" s="3781" t="s">
        <v>3</v>
      </c>
      <c r="E1038" s="3781" t="s">
        <v>4</v>
      </c>
      <c r="F1038" s="3765" t="s">
        <v>5</v>
      </c>
    </row>
    <row r="1039" spans="1:7" ht="15.75" customHeight="1" thickBot="1">
      <c r="A1039" s="3783"/>
      <c r="B1039" s="3767"/>
      <c r="C1039" s="3767"/>
      <c r="D1039" s="3767"/>
      <c r="E1039" s="3767"/>
      <c r="F1039" s="3766"/>
    </row>
    <row r="1040" spans="1:7" ht="15.75" customHeight="1" thickTop="1">
      <c r="A1040" s="7" t="s">
        <v>1550</v>
      </c>
      <c r="B1040" s="288" t="s">
        <v>152</v>
      </c>
      <c r="C1040" s="288" t="s">
        <v>1526</v>
      </c>
      <c r="D1040" s="288" t="s">
        <v>343</v>
      </c>
      <c r="E1040" s="290">
        <v>0.15</v>
      </c>
      <c r="F1040" s="291">
        <v>11378</v>
      </c>
      <c r="G1040">
        <v>13386</v>
      </c>
    </row>
    <row r="1041" spans="1:7" ht="15.75" customHeight="1">
      <c r="A1041" s="8"/>
      <c r="B1041" s="81"/>
      <c r="C1041" s="81" t="s">
        <v>149</v>
      </c>
      <c r="D1041" s="288" t="s">
        <v>343</v>
      </c>
      <c r="E1041" s="290">
        <v>0.15</v>
      </c>
      <c r="F1041" s="291">
        <v>5597</v>
      </c>
      <c r="G1041">
        <v>6585</v>
      </c>
    </row>
    <row r="1042" spans="1:7">
      <c r="A1042" s="8"/>
      <c r="B1042" s="81"/>
      <c r="C1042" s="81" t="s">
        <v>906</v>
      </c>
      <c r="D1042" s="288" t="s">
        <v>343</v>
      </c>
      <c r="E1042" s="290">
        <v>0.15</v>
      </c>
      <c r="F1042" s="291">
        <v>8906</v>
      </c>
      <c r="G1042">
        <v>10478</v>
      </c>
    </row>
    <row r="1043" spans="1:7">
      <c r="A1043" s="8"/>
      <c r="B1043" s="81"/>
      <c r="C1043" s="81"/>
      <c r="D1043" s="288"/>
      <c r="E1043" s="290"/>
      <c r="F1043" s="291"/>
    </row>
    <row r="1044" spans="1:7">
      <c r="A1044" s="8"/>
      <c r="B1044" s="81"/>
      <c r="C1044" s="81"/>
      <c r="D1044" s="288"/>
      <c r="E1044" s="343"/>
      <c r="F1044" s="293"/>
    </row>
    <row r="1045" spans="1:7">
      <c r="A1045" s="8"/>
      <c r="B1045" s="81"/>
      <c r="C1045" s="81"/>
      <c r="D1045" s="288"/>
      <c r="E1045" s="343"/>
      <c r="F1045" s="293"/>
    </row>
    <row r="1046" spans="1:7">
      <c r="A1046" s="8"/>
      <c r="B1046" s="81"/>
      <c r="C1046" s="81"/>
      <c r="D1046" s="288"/>
      <c r="E1046" s="343"/>
      <c r="F1046" s="293"/>
    </row>
    <row r="1047" spans="1:7">
      <c r="A1047" s="8"/>
      <c r="B1047" s="81"/>
      <c r="C1047" s="81"/>
      <c r="D1047" s="288"/>
      <c r="E1047" s="343"/>
      <c r="F1047" s="293"/>
    </row>
    <row r="1048" spans="1:7">
      <c r="A1048" s="8"/>
      <c r="B1048" s="81"/>
      <c r="C1048" s="81"/>
      <c r="D1048" s="288"/>
      <c r="E1048" s="343"/>
      <c r="F1048" s="293"/>
    </row>
    <row r="1049" spans="1:7">
      <c r="A1049" s="8"/>
      <c r="B1049" s="1"/>
      <c r="C1049" s="1"/>
      <c r="D1049" s="1"/>
      <c r="E1049" s="1"/>
      <c r="F1049" s="2"/>
    </row>
    <row r="1050" spans="1:7">
      <c r="A1050" s="8"/>
      <c r="B1050" s="1"/>
      <c r="C1050" s="1"/>
      <c r="D1050" s="1"/>
      <c r="E1050" s="1"/>
      <c r="F1050" s="2"/>
    </row>
    <row r="1051" spans="1:7" ht="15.75" thickBot="1">
      <c r="A1051" s="9"/>
      <c r="B1051" s="3"/>
      <c r="C1051" s="3"/>
      <c r="D1051" s="3"/>
      <c r="E1051" s="3"/>
      <c r="F1051" s="4"/>
    </row>
    <row r="1052" spans="1:7" ht="16.5" thickTop="1" thickBot="1"/>
    <row r="1053" spans="1:7" ht="15.75" thickTop="1">
      <c r="A1053" s="3782" t="s">
        <v>0</v>
      </c>
      <c r="B1053" s="3781" t="s">
        <v>1</v>
      </c>
      <c r="C1053" s="3781" t="s">
        <v>2</v>
      </c>
      <c r="D1053" s="3781" t="s">
        <v>3</v>
      </c>
      <c r="E1053" s="3781" t="s">
        <v>4</v>
      </c>
      <c r="F1053" s="3765" t="s">
        <v>5</v>
      </c>
    </row>
    <row r="1054" spans="1:7" ht="15.75" thickBot="1">
      <c r="A1054" s="3783"/>
      <c r="B1054" s="3767"/>
      <c r="C1054" s="3767"/>
      <c r="D1054" s="3767"/>
      <c r="E1054" s="3767"/>
      <c r="F1054" s="3766"/>
    </row>
    <row r="1055" spans="1:7" ht="15.75" thickTop="1">
      <c r="A1055" s="7" t="s">
        <v>1554</v>
      </c>
      <c r="B1055" s="5" t="s">
        <v>200</v>
      </c>
      <c r="C1055" s="288" t="s">
        <v>1555</v>
      </c>
      <c r="D1055" s="288" t="s">
        <v>325</v>
      </c>
      <c r="E1055" s="290">
        <v>0.21</v>
      </c>
      <c r="F1055" s="291">
        <v>171908</v>
      </c>
    </row>
    <row r="1056" spans="1:7">
      <c r="A1056" s="8"/>
      <c r="B1056" s="81"/>
      <c r="C1056" s="81" t="s">
        <v>1556</v>
      </c>
      <c r="D1056" s="288" t="s">
        <v>325</v>
      </c>
      <c r="E1056" s="290">
        <v>0.21</v>
      </c>
      <c r="F1056" s="291">
        <v>171908</v>
      </c>
    </row>
    <row r="1057" spans="1:7">
      <c r="A1057" s="8"/>
      <c r="B1057" s="81"/>
      <c r="C1057" s="81" t="s">
        <v>1557</v>
      </c>
      <c r="D1057" s="288" t="s">
        <v>325</v>
      </c>
      <c r="E1057" s="290">
        <v>0.21</v>
      </c>
      <c r="F1057" s="291">
        <v>171908</v>
      </c>
    </row>
    <row r="1058" spans="1:7">
      <c r="A1058" s="8"/>
      <c r="B1058" s="81"/>
      <c r="C1058" s="81"/>
      <c r="D1058" s="288"/>
      <c r="E1058" s="290"/>
      <c r="F1058" s="291"/>
    </row>
    <row r="1059" spans="1:7">
      <c r="A1059" s="8"/>
      <c r="B1059" s="81"/>
      <c r="C1059" s="81"/>
      <c r="D1059" s="288"/>
      <c r="E1059" s="343"/>
      <c r="F1059" s="293"/>
    </row>
    <row r="1060" spans="1:7">
      <c r="A1060" s="8"/>
      <c r="B1060" s="81"/>
      <c r="C1060" s="81"/>
      <c r="D1060" s="288"/>
      <c r="E1060" s="343"/>
      <c r="F1060" s="293"/>
    </row>
    <row r="1061" spans="1:7">
      <c r="A1061" s="8"/>
      <c r="B1061" s="81"/>
      <c r="C1061" s="81"/>
      <c r="D1061" s="288"/>
      <c r="E1061" s="343"/>
      <c r="F1061" s="293"/>
    </row>
    <row r="1062" spans="1:7">
      <c r="A1062" s="8"/>
      <c r="B1062" s="81"/>
      <c r="C1062" s="81"/>
      <c r="D1062" s="288"/>
      <c r="E1062" s="343"/>
      <c r="F1062" s="293"/>
    </row>
    <row r="1063" spans="1:7">
      <c r="A1063" s="8"/>
      <c r="B1063" s="81"/>
      <c r="C1063" s="81"/>
      <c r="D1063" s="288"/>
      <c r="E1063" s="343"/>
      <c r="F1063" s="293"/>
    </row>
    <row r="1064" spans="1:7">
      <c r="A1064" s="8"/>
      <c r="B1064" s="1"/>
      <c r="C1064" s="1"/>
      <c r="D1064" s="1"/>
      <c r="E1064" s="1"/>
      <c r="F1064" s="2"/>
    </row>
    <row r="1065" spans="1:7">
      <c r="A1065" s="8"/>
      <c r="B1065" s="1"/>
      <c r="C1065" s="1"/>
      <c r="D1065" s="1"/>
      <c r="E1065" s="1"/>
      <c r="F1065" s="2"/>
    </row>
    <row r="1066" spans="1:7" ht="15.75" thickBot="1">
      <c r="A1066" s="9"/>
      <c r="B1066" s="3"/>
      <c r="C1066" s="3"/>
      <c r="D1066" s="3"/>
      <c r="E1066" s="3"/>
      <c r="F1066" s="4"/>
    </row>
    <row r="1067" spans="1:7" ht="15.75" thickTop="1"/>
    <row r="1068" spans="1:7" ht="15.75" thickBot="1"/>
    <row r="1069" spans="1:7" ht="15.75" thickTop="1">
      <c r="A1069" s="3782" t="s">
        <v>0</v>
      </c>
      <c r="B1069" s="3781" t="s">
        <v>1</v>
      </c>
      <c r="C1069" s="3781" t="s">
        <v>2</v>
      </c>
      <c r="D1069" s="3781" t="s">
        <v>3</v>
      </c>
      <c r="E1069" s="3781" t="s">
        <v>4</v>
      </c>
      <c r="F1069" s="3765" t="s">
        <v>5</v>
      </c>
    </row>
    <row r="1070" spans="1:7" ht="15.75" thickBot="1">
      <c r="A1070" s="3783"/>
      <c r="B1070" s="3767"/>
      <c r="C1070" s="3767"/>
      <c r="D1070" s="3767"/>
      <c r="E1070" s="3767"/>
      <c r="F1070" s="3766"/>
    </row>
    <row r="1071" spans="1:7" ht="15.75" thickTop="1">
      <c r="A1071" s="7" t="s">
        <v>1569</v>
      </c>
      <c r="B1071" s="288" t="s">
        <v>265</v>
      </c>
      <c r="C1071" s="1" t="s">
        <v>730</v>
      </c>
      <c r="D1071" s="288" t="s">
        <v>237</v>
      </c>
      <c r="E1071" s="290">
        <v>0.17</v>
      </c>
      <c r="F1071" s="291">
        <v>6625</v>
      </c>
      <c r="G1071">
        <v>8077</v>
      </c>
    </row>
    <row r="1072" spans="1:7">
      <c r="A1072" s="8"/>
      <c r="B1072" s="81" t="s">
        <v>395</v>
      </c>
      <c r="C1072" s="1" t="s">
        <v>636</v>
      </c>
      <c r="D1072" s="288" t="s">
        <v>237</v>
      </c>
      <c r="E1072" s="290">
        <v>0.17</v>
      </c>
      <c r="F1072" s="291">
        <v>8063</v>
      </c>
      <c r="G1072">
        <v>9830</v>
      </c>
    </row>
    <row r="1073" spans="1:7">
      <c r="A1073" s="8"/>
      <c r="B1073" s="81" t="s">
        <v>264</v>
      </c>
      <c r="C1073" s="1" t="s">
        <v>1058</v>
      </c>
      <c r="D1073" s="288" t="s">
        <v>237</v>
      </c>
      <c r="E1073" s="290">
        <v>0.2</v>
      </c>
      <c r="F1073" s="291">
        <v>15789</v>
      </c>
      <c r="G1073">
        <v>19972</v>
      </c>
    </row>
    <row r="1074" spans="1:7">
      <c r="A1074" s="8"/>
      <c r="B1074" s="81" t="s">
        <v>266</v>
      </c>
      <c r="C1074" s="81"/>
      <c r="D1074" s="288"/>
      <c r="E1074" s="290"/>
      <c r="F1074" s="291"/>
    </row>
    <row r="1075" spans="1:7">
      <c r="A1075" s="8"/>
      <c r="B1075" s="31" t="s">
        <v>269</v>
      </c>
      <c r="C1075" s="81"/>
      <c r="D1075" s="288"/>
      <c r="E1075" s="343"/>
      <c r="F1075" s="293"/>
    </row>
    <row r="1076" spans="1:7">
      <c r="A1076" s="8"/>
      <c r="B1076" s="81" t="s">
        <v>267</v>
      </c>
      <c r="C1076" s="81"/>
      <c r="D1076" s="288"/>
      <c r="E1076" s="343"/>
      <c r="F1076" s="293"/>
    </row>
    <row r="1077" spans="1:7">
      <c r="A1077" s="8"/>
      <c r="B1077" s="81" t="s">
        <v>268</v>
      </c>
      <c r="C1077" s="81"/>
      <c r="D1077" s="288"/>
      <c r="E1077" s="343"/>
      <c r="F1077" s="293"/>
    </row>
    <row r="1078" spans="1:7">
      <c r="A1078" s="8"/>
      <c r="B1078" s="81" t="s">
        <v>743</v>
      </c>
      <c r="C1078" s="81"/>
      <c r="D1078" s="288"/>
      <c r="E1078" s="343"/>
      <c r="F1078" s="293"/>
    </row>
    <row r="1079" spans="1:7">
      <c r="A1079" s="8"/>
      <c r="B1079" s="81" t="s">
        <v>1246</v>
      </c>
      <c r="C1079" s="81"/>
      <c r="D1079" s="288"/>
      <c r="E1079" s="343"/>
      <c r="F1079" s="293"/>
    </row>
    <row r="1080" spans="1:7">
      <c r="A1080" s="8"/>
      <c r="B1080" s="1" t="s">
        <v>1512</v>
      </c>
      <c r="C1080" s="1"/>
      <c r="D1080" s="1"/>
      <c r="E1080" s="1"/>
      <c r="F1080" s="2"/>
    </row>
    <row r="1081" spans="1:7">
      <c r="A1081" s="8"/>
      <c r="B1081" s="1"/>
      <c r="C1081" s="1"/>
      <c r="D1081" s="1"/>
      <c r="E1081" s="1"/>
      <c r="F1081" s="2"/>
    </row>
    <row r="1082" spans="1:7" ht="15.75" thickBot="1">
      <c r="A1082" s="9"/>
      <c r="B1082" s="3"/>
      <c r="C1082" s="3"/>
      <c r="D1082" s="3"/>
      <c r="E1082" s="3"/>
      <c r="F1082" s="4"/>
    </row>
    <row r="1083" spans="1:7" ht="16.5" thickTop="1" thickBot="1"/>
    <row r="1084" spans="1:7" ht="15.75" customHeight="1" thickTop="1">
      <c r="A1084" s="3782" t="s">
        <v>0</v>
      </c>
      <c r="B1084" s="3781" t="s">
        <v>1</v>
      </c>
      <c r="C1084" s="3781" t="s">
        <v>2</v>
      </c>
      <c r="D1084" s="3781" t="s">
        <v>3</v>
      </c>
      <c r="E1084" s="3781" t="s">
        <v>4</v>
      </c>
      <c r="F1084" s="3765" t="s">
        <v>5</v>
      </c>
    </row>
    <row r="1085" spans="1:7" ht="15.75" customHeight="1" thickBot="1">
      <c r="A1085" s="3783"/>
      <c r="B1085" s="3767"/>
      <c r="C1085" s="3767"/>
      <c r="D1085" s="3767"/>
      <c r="E1085" s="3767"/>
      <c r="F1085" s="3766"/>
    </row>
    <row r="1086" spans="1:7" ht="15.75" customHeight="1" thickTop="1">
      <c r="A1086" s="7" t="s">
        <v>1587</v>
      </c>
      <c r="B1086" s="288" t="s">
        <v>152</v>
      </c>
      <c r="C1086" s="288" t="s">
        <v>485</v>
      </c>
      <c r="D1086" s="288"/>
      <c r="E1086" s="290">
        <v>0.1</v>
      </c>
      <c r="F1086" s="291">
        <v>9072</v>
      </c>
      <c r="G1086">
        <v>10080</v>
      </c>
    </row>
    <row r="1087" spans="1:7" ht="15.75" customHeight="1">
      <c r="A1087" s="8"/>
      <c r="B1087" s="81"/>
      <c r="C1087" s="81" t="s">
        <v>486</v>
      </c>
      <c r="D1087" s="288"/>
      <c r="E1087" s="290">
        <v>0.1</v>
      </c>
      <c r="F1087" s="291">
        <v>9072</v>
      </c>
      <c r="G1087">
        <v>10080</v>
      </c>
    </row>
    <row r="1088" spans="1:7">
      <c r="A1088" s="8"/>
      <c r="B1088" s="81"/>
      <c r="C1088" s="81" t="s">
        <v>150</v>
      </c>
      <c r="D1088" s="288"/>
      <c r="E1088" s="290">
        <v>0.1</v>
      </c>
      <c r="F1088" s="291">
        <v>6987</v>
      </c>
      <c r="G1088">
        <v>7763</v>
      </c>
    </row>
    <row r="1089" spans="1:7">
      <c r="A1089" s="8"/>
      <c r="B1089" s="81"/>
      <c r="C1089" s="81" t="s">
        <v>1300</v>
      </c>
      <c r="D1089" s="288"/>
      <c r="E1089" s="290">
        <v>0.1</v>
      </c>
      <c r="F1089" s="291">
        <v>9396</v>
      </c>
      <c r="G1089">
        <v>10440</v>
      </c>
    </row>
    <row r="1090" spans="1:7">
      <c r="A1090" s="8"/>
      <c r="B1090" s="81"/>
      <c r="C1090" s="81"/>
      <c r="D1090" s="288"/>
      <c r="E1090" s="290"/>
      <c r="F1090" s="293"/>
    </row>
    <row r="1091" spans="1:7">
      <c r="A1091" s="8"/>
      <c r="B1091" s="81"/>
      <c r="C1091" s="81"/>
      <c r="D1091" s="288"/>
      <c r="E1091" s="343"/>
      <c r="F1091" s="293"/>
    </row>
    <row r="1092" spans="1:7">
      <c r="A1092" s="8"/>
      <c r="B1092" s="81"/>
      <c r="C1092" s="81"/>
      <c r="D1092" s="288"/>
      <c r="E1092" s="343"/>
      <c r="F1092" s="293"/>
    </row>
    <row r="1093" spans="1:7">
      <c r="A1093" s="8"/>
      <c r="B1093" s="81"/>
      <c r="C1093" s="81"/>
      <c r="D1093" s="288"/>
      <c r="E1093" s="343"/>
      <c r="F1093" s="293"/>
    </row>
    <row r="1094" spans="1:7">
      <c r="A1094" s="8"/>
      <c r="B1094" s="81"/>
      <c r="C1094" s="81"/>
      <c r="D1094" s="288"/>
      <c r="E1094" s="343"/>
      <c r="F1094" s="293"/>
    </row>
    <row r="1095" spans="1:7">
      <c r="A1095" s="8"/>
      <c r="B1095" s="1"/>
      <c r="C1095" s="1"/>
      <c r="D1095" s="1"/>
      <c r="E1095" s="1"/>
      <c r="F1095" s="2"/>
    </row>
    <row r="1096" spans="1:7">
      <c r="A1096" s="8"/>
      <c r="B1096" s="1"/>
      <c r="C1096" s="1"/>
      <c r="D1096" s="1"/>
      <c r="E1096" s="1"/>
      <c r="F1096" s="2"/>
    </row>
    <row r="1097" spans="1:7" ht="15.75" thickBot="1">
      <c r="A1097" s="9"/>
      <c r="B1097" s="3"/>
      <c r="C1097" s="3"/>
      <c r="D1097" s="3"/>
      <c r="E1097" s="3"/>
      <c r="F1097" s="4"/>
    </row>
    <row r="1098" spans="1:7" ht="16.5" thickTop="1" thickBot="1"/>
    <row r="1099" spans="1:7" ht="15.75" thickTop="1">
      <c r="A1099" s="3782" t="s">
        <v>0</v>
      </c>
      <c r="B1099" s="3781" t="s">
        <v>1</v>
      </c>
      <c r="C1099" s="3781" t="s">
        <v>2</v>
      </c>
      <c r="D1099" s="3781" t="s">
        <v>3</v>
      </c>
      <c r="E1099" s="3781" t="s">
        <v>4</v>
      </c>
      <c r="F1099" s="3765" t="s">
        <v>5</v>
      </c>
    </row>
    <row r="1100" spans="1:7" ht="15.75" thickBot="1">
      <c r="A1100" s="3783"/>
      <c r="B1100" s="3767"/>
      <c r="C1100" s="3767"/>
      <c r="D1100" s="3767"/>
      <c r="E1100" s="3767"/>
      <c r="F1100" s="3766"/>
    </row>
    <row r="1101" spans="1:7" ht="15.75" thickTop="1">
      <c r="A1101" s="7" t="s">
        <v>1619</v>
      </c>
      <c r="B1101" s="288" t="s">
        <v>265</v>
      </c>
      <c r="C1101" s="1" t="s">
        <v>554</v>
      </c>
      <c r="D1101" s="288"/>
      <c r="E1101" s="290">
        <v>0.15</v>
      </c>
      <c r="F1101" s="291">
        <v>9818</v>
      </c>
      <c r="G1101">
        <v>11550</v>
      </c>
    </row>
    <row r="1102" spans="1:7">
      <c r="A1102" s="8"/>
      <c r="B1102" s="81" t="s">
        <v>395</v>
      </c>
      <c r="C1102" s="1" t="s">
        <v>623</v>
      </c>
      <c r="D1102" s="288"/>
      <c r="E1102" s="290">
        <v>0.12</v>
      </c>
      <c r="F1102" s="291">
        <v>23382</v>
      </c>
      <c r="G1102">
        <v>26571</v>
      </c>
    </row>
    <row r="1103" spans="1:7">
      <c r="A1103" s="8"/>
      <c r="B1103" s="81" t="s">
        <v>264</v>
      </c>
      <c r="C1103" s="1" t="s">
        <v>1267</v>
      </c>
      <c r="D1103" s="288"/>
      <c r="E1103" s="290">
        <v>0.15</v>
      </c>
      <c r="F1103" s="291">
        <v>6241</v>
      </c>
      <c r="G1103">
        <v>7343</v>
      </c>
    </row>
    <row r="1104" spans="1:7">
      <c r="A1104" s="8"/>
      <c r="B1104" s="81" t="s">
        <v>266</v>
      </c>
      <c r="C1104" s="81"/>
      <c r="D1104" s="288"/>
      <c r="E1104" s="290"/>
      <c r="F1104" s="291"/>
    </row>
    <row r="1105" spans="1:7">
      <c r="A1105" s="8"/>
      <c r="B1105" s="31" t="s">
        <v>269</v>
      </c>
      <c r="C1105" s="81"/>
      <c r="D1105" s="288"/>
      <c r="E1105" s="343"/>
      <c r="F1105" s="293"/>
    </row>
    <row r="1106" spans="1:7">
      <c r="A1106" s="8"/>
      <c r="B1106" s="81" t="s">
        <v>267</v>
      </c>
      <c r="C1106" s="81"/>
      <c r="D1106" s="288"/>
      <c r="E1106" s="343"/>
      <c r="F1106" s="293"/>
    </row>
    <row r="1107" spans="1:7">
      <c r="A1107" s="8"/>
      <c r="B1107" s="81" t="s">
        <v>268</v>
      </c>
      <c r="C1107" s="81"/>
      <c r="D1107" s="288"/>
      <c r="E1107" s="343"/>
      <c r="F1107" s="293"/>
    </row>
    <row r="1108" spans="1:7">
      <c r="A1108" s="8"/>
      <c r="B1108" s="81" t="s">
        <v>743</v>
      </c>
      <c r="C1108" s="81"/>
      <c r="D1108" s="288"/>
      <c r="E1108" s="343"/>
      <c r="F1108" s="293"/>
    </row>
    <row r="1109" spans="1:7">
      <c r="A1109" s="8"/>
      <c r="B1109" s="81" t="s">
        <v>1246</v>
      </c>
      <c r="C1109" s="81"/>
      <c r="D1109" s="288"/>
      <c r="E1109" s="343"/>
      <c r="F1109" s="293"/>
    </row>
    <row r="1110" spans="1:7">
      <c r="A1110" s="8"/>
      <c r="B1110" s="1" t="s">
        <v>1512</v>
      </c>
      <c r="C1110" s="1"/>
      <c r="D1110" s="1"/>
      <c r="E1110" s="1"/>
      <c r="F1110" s="2"/>
    </row>
    <row r="1111" spans="1:7">
      <c r="A1111" s="8"/>
      <c r="B1111" s="1"/>
      <c r="C1111" s="1"/>
      <c r="D1111" s="1"/>
      <c r="E1111" s="1"/>
      <c r="F1111" s="2"/>
    </row>
    <row r="1112" spans="1:7" ht="15.75" thickBot="1">
      <c r="A1112" s="9"/>
      <c r="B1112" s="3"/>
      <c r="C1112" s="3"/>
      <c r="D1112" s="3"/>
      <c r="E1112" s="3"/>
      <c r="F1112" s="4"/>
    </row>
    <row r="1113" spans="1:7" ht="16.5" thickTop="1" thickBot="1"/>
    <row r="1114" spans="1:7" ht="15.75" thickTop="1">
      <c r="A1114" s="3782" t="s">
        <v>0</v>
      </c>
      <c r="B1114" s="3781" t="s">
        <v>1</v>
      </c>
      <c r="C1114" s="3781" t="s">
        <v>2</v>
      </c>
      <c r="D1114" s="3781" t="s">
        <v>3</v>
      </c>
      <c r="E1114" s="3781" t="s">
        <v>4</v>
      </c>
      <c r="F1114" s="3765" t="s">
        <v>5</v>
      </c>
    </row>
    <row r="1115" spans="1:7" ht="15.75" thickBot="1">
      <c r="A1115" s="3783"/>
      <c r="B1115" s="3767"/>
      <c r="C1115" s="3767"/>
      <c r="D1115" s="3767"/>
      <c r="E1115" s="3767"/>
      <c r="F1115" s="3766"/>
    </row>
    <row r="1116" spans="1:7" ht="15.75" thickTop="1">
      <c r="A1116" s="7" t="s">
        <v>1657</v>
      </c>
      <c r="B1116" s="288" t="s">
        <v>152</v>
      </c>
      <c r="C1116" s="1" t="s">
        <v>23</v>
      </c>
      <c r="D1116" s="288"/>
      <c r="E1116" s="290">
        <v>0.15</v>
      </c>
      <c r="F1116" s="291">
        <v>13227</v>
      </c>
      <c r="G1116">
        <v>15561</v>
      </c>
    </row>
    <row r="1117" spans="1:7">
      <c r="A1117" s="8"/>
      <c r="B1117" s="81"/>
      <c r="C1117" s="1" t="s">
        <v>24</v>
      </c>
      <c r="D1117" s="288"/>
      <c r="E1117" s="290">
        <v>0.15</v>
      </c>
      <c r="F1117" s="291">
        <v>13227</v>
      </c>
    </row>
    <row r="1118" spans="1:7">
      <c r="A1118" s="8"/>
      <c r="B1118" s="81"/>
      <c r="C1118" s="1" t="s">
        <v>906</v>
      </c>
      <c r="D1118" s="288"/>
      <c r="E1118" s="290">
        <v>0.15</v>
      </c>
      <c r="F1118" s="291">
        <v>10352</v>
      </c>
      <c r="G1118">
        <v>12179</v>
      </c>
    </row>
    <row r="1119" spans="1:7">
      <c r="A1119" s="8"/>
      <c r="B1119" s="81"/>
      <c r="C1119" s="81" t="s">
        <v>487</v>
      </c>
      <c r="D1119" s="288"/>
      <c r="E1119" s="290">
        <v>0.15</v>
      </c>
      <c r="F1119" s="291">
        <v>4619</v>
      </c>
      <c r="G1119">
        <v>5434</v>
      </c>
    </row>
    <row r="1120" spans="1:7">
      <c r="A1120" s="8"/>
      <c r="B1120" s="31"/>
      <c r="C1120" s="81"/>
      <c r="D1120" s="288"/>
      <c r="E1120" s="343"/>
      <c r="F1120" s="293"/>
    </row>
    <row r="1121" spans="1:9">
      <c r="A1121" s="8"/>
      <c r="B1121" s="81"/>
      <c r="C1121" s="81"/>
      <c r="D1121" s="288"/>
      <c r="E1121" s="343"/>
      <c r="F1121" s="293"/>
    </row>
    <row r="1122" spans="1:9">
      <c r="A1122" s="8"/>
      <c r="B1122" s="81"/>
      <c r="C1122" s="81"/>
      <c r="D1122" s="288"/>
      <c r="E1122" s="343"/>
      <c r="F1122" s="293"/>
    </row>
    <row r="1123" spans="1:9">
      <c r="A1123" s="8"/>
      <c r="B1123" s="81"/>
      <c r="C1123" s="81"/>
      <c r="D1123" s="288"/>
      <c r="E1123" s="343"/>
      <c r="F1123" s="293"/>
    </row>
    <row r="1124" spans="1:9">
      <c r="A1124" s="8"/>
      <c r="B1124" s="81"/>
      <c r="C1124" s="81"/>
      <c r="D1124" s="288"/>
      <c r="E1124" s="343"/>
      <c r="F1124" s="293"/>
    </row>
    <row r="1125" spans="1:9">
      <c r="A1125" s="8"/>
      <c r="B1125" s="1"/>
      <c r="C1125" s="1"/>
      <c r="D1125" s="1"/>
      <c r="E1125" s="1"/>
      <c r="F1125" s="2"/>
    </row>
    <row r="1126" spans="1:9">
      <c r="A1126" s="8"/>
      <c r="B1126" s="1"/>
      <c r="C1126" s="1"/>
      <c r="D1126" s="1"/>
      <c r="E1126" s="1"/>
      <c r="F1126" s="2"/>
    </row>
    <row r="1127" spans="1:9" ht="15.75" thickBot="1">
      <c r="A1127" s="9"/>
      <c r="B1127" s="3"/>
      <c r="C1127" s="3"/>
      <c r="D1127" s="3"/>
      <c r="E1127" s="3"/>
      <c r="F1127" s="4"/>
    </row>
    <row r="1128" spans="1:9" ht="16.5" thickTop="1" thickBot="1"/>
    <row r="1129" spans="1:9" ht="15.75" thickTop="1">
      <c r="A1129" s="3782" t="s">
        <v>0</v>
      </c>
      <c r="B1129" s="3781" t="s">
        <v>1</v>
      </c>
      <c r="C1129" s="3781" t="s">
        <v>2</v>
      </c>
      <c r="D1129" s="3781" t="s">
        <v>3</v>
      </c>
      <c r="E1129" s="3781" t="s">
        <v>4</v>
      </c>
      <c r="F1129" s="3765" t="s">
        <v>5</v>
      </c>
    </row>
    <row r="1130" spans="1:9" ht="15.75" thickBot="1">
      <c r="A1130" s="3783"/>
      <c r="B1130" s="3767"/>
      <c r="C1130" s="3767"/>
      <c r="D1130" s="3767"/>
      <c r="E1130" s="3767"/>
      <c r="F1130" s="3766"/>
    </row>
    <row r="1131" spans="1:9" ht="15.75" thickTop="1">
      <c r="A1131" s="7" t="s">
        <v>1649</v>
      </c>
      <c r="B1131" s="288" t="s">
        <v>265</v>
      </c>
      <c r="C1131" s="1" t="s">
        <v>1650</v>
      </c>
      <c r="D1131" s="288"/>
      <c r="E1131" s="290"/>
      <c r="F1131" s="291">
        <v>67591</v>
      </c>
      <c r="G1131">
        <v>50880</v>
      </c>
      <c r="H1131">
        <f>G1131*1.05</f>
        <v>53424</v>
      </c>
      <c r="I1131">
        <f>F1131/H1131</f>
        <v>1.265180443246481</v>
      </c>
    </row>
    <row r="1132" spans="1:9">
      <c r="A1132" s="8"/>
      <c r="B1132" s="81" t="s">
        <v>395</v>
      </c>
      <c r="C1132" s="1" t="s">
        <v>1651</v>
      </c>
      <c r="D1132" s="288"/>
      <c r="E1132" s="290"/>
      <c r="F1132" s="291">
        <v>67591</v>
      </c>
    </row>
    <row r="1133" spans="1:9">
      <c r="A1133" s="8"/>
      <c r="B1133" s="81" t="s">
        <v>264</v>
      </c>
      <c r="C1133" s="1" t="s">
        <v>1652</v>
      </c>
      <c r="D1133" s="288"/>
      <c r="E1133" s="290"/>
      <c r="F1133" s="291">
        <v>67591</v>
      </c>
    </row>
    <row r="1134" spans="1:9">
      <c r="A1134" s="8"/>
      <c r="B1134" s="81" t="s">
        <v>266</v>
      </c>
      <c r="C1134" s="81"/>
      <c r="D1134" s="288"/>
      <c r="E1134" s="290"/>
      <c r="F1134" s="291"/>
    </row>
    <row r="1135" spans="1:9">
      <c r="A1135" s="8"/>
      <c r="B1135" s="31" t="s">
        <v>269</v>
      </c>
      <c r="C1135" s="81"/>
      <c r="D1135" s="288"/>
      <c r="E1135" s="343"/>
      <c r="F1135" s="293"/>
    </row>
    <row r="1136" spans="1:9">
      <c r="A1136" s="8"/>
      <c r="B1136" s="81" t="s">
        <v>267</v>
      </c>
      <c r="C1136" s="81"/>
      <c r="D1136" s="288"/>
      <c r="E1136" s="343"/>
      <c r="F1136" s="293"/>
    </row>
    <row r="1137" spans="1:7">
      <c r="A1137" s="8"/>
      <c r="B1137" s="81" t="s">
        <v>268</v>
      </c>
      <c r="C1137" s="81"/>
      <c r="D1137" s="288"/>
      <c r="E1137" s="343"/>
      <c r="F1137" s="293"/>
    </row>
    <row r="1138" spans="1:7">
      <c r="A1138" s="8"/>
      <c r="B1138" s="81" t="s">
        <v>743</v>
      </c>
      <c r="C1138" s="81"/>
      <c r="D1138" s="288"/>
      <c r="E1138" s="343"/>
      <c r="F1138" s="293"/>
    </row>
    <row r="1139" spans="1:7">
      <c r="A1139" s="8"/>
      <c r="B1139" s="81" t="s">
        <v>1246</v>
      </c>
      <c r="C1139" s="81"/>
      <c r="D1139" s="288"/>
      <c r="E1139" s="343"/>
      <c r="F1139" s="293"/>
    </row>
    <row r="1140" spans="1:7">
      <c r="A1140" s="8"/>
      <c r="B1140" s="1" t="s">
        <v>1512</v>
      </c>
      <c r="C1140" s="1"/>
      <c r="D1140" s="1"/>
      <c r="E1140" s="1"/>
      <c r="F1140" s="2"/>
    </row>
    <row r="1141" spans="1:7">
      <c r="A1141" s="8"/>
      <c r="B1141" s="1"/>
      <c r="C1141" s="1"/>
      <c r="D1141" s="1"/>
      <c r="E1141" s="1"/>
      <c r="F1141" s="2"/>
    </row>
    <row r="1142" spans="1:7" ht="15.75" thickBot="1">
      <c r="A1142" s="9"/>
      <c r="B1142" s="3"/>
      <c r="C1142" s="3"/>
      <c r="D1142" s="3"/>
      <c r="E1142" s="3"/>
      <c r="F1142" s="4"/>
    </row>
    <row r="1143" spans="1:7" ht="15.75" thickTop="1"/>
    <row r="1144" spans="1:7" ht="15.75" thickBot="1"/>
    <row r="1145" spans="1:7" ht="15.75" thickTop="1">
      <c r="A1145" s="3782" t="s">
        <v>0</v>
      </c>
      <c r="B1145" s="3781" t="s">
        <v>1</v>
      </c>
      <c r="C1145" s="3781" t="s">
        <v>2</v>
      </c>
      <c r="D1145" s="3781" t="s">
        <v>3</v>
      </c>
      <c r="E1145" s="3781" t="s">
        <v>4</v>
      </c>
      <c r="F1145" s="3765" t="s">
        <v>5</v>
      </c>
    </row>
    <row r="1146" spans="1:7" ht="15.75" thickBot="1">
      <c r="A1146" s="3783"/>
      <c r="B1146" s="3767"/>
      <c r="C1146" s="3767"/>
      <c r="D1146" s="3767"/>
      <c r="E1146" s="3767"/>
      <c r="F1146" s="3766"/>
    </row>
    <row r="1147" spans="1:7" ht="15.75" thickTop="1">
      <c r="A1147" s="7" t="s">
        <v>1675</v>
      </c>
      <c r="B1147" s="288" t="s">
        <v>265</v>
      </c>
      <c r="C1147" s="1" t="s">
        <v>554</v>
      </c>
      <c r="D1147" s="288"/>
      <c r="E1147" s="290">
        <v>0.15</v>
      </c>
      <c r="F1147" s="291">
        <v>9818</v>
      </c>
      <c r="G1147">
        <v>11550</v>
      </c>
    </row>
    <row r="1148" spans="1:7">
      <c r="A1148" s="8"/>
      <c r="B1148" s="81" t="s">
        <v>395</v>
      </c>
      <c r="C1148" s="1" t="s">
        <v>1058</v>
      </c>
      <c r="D1148" s="288"/>
      <c r="E1148" s="290">
        <v>0.15</v>
      </c>
      <c r="F1148" s="291">
        <v>16976</v>
      </c>
      <c r="G1148">
        <v>19972</v>
      </c>
    </row>
    <row r="1149" spans="1:7">
      <c r="A1149" s="8"/>
      <c r="B1149" s="81" t="s">
        <v>264</v>
      </c>
      <c r="C1149" s="1"/>
      <c r="D1149" s="288"/>
      <c r="E1149" s="290"/>
      <c r="F1149" s="291"/>
    </row>
    <row r="1150" spans="1:7">
      <c r="A1150" s="8"/>
      <c r="B1150" s="81" t="s">
        <v>266</v>
      </c>
      <c r="C1150" s="81"/>
      <c r="D1150" s="288"/>
      <c r="E1150" s="290"/>
      <c r="F1150" s="291"/>
    </row>
    <row r="1151" spans="1:7">
      <c r="A1151" s="8"/>
      <c r="B1151" s="31" t="s">
        <v>269</v>
      </c>
      <c r="C1151" s="81"/>
      <c r="D1151" s="288"/>
      <c r="E1151" s="343"/>
      <c r="F1151" s="293"/>
    </row>
    <row r="1152" spans="1:7">
      <c r="A1152" s="8"/>
      <c r="B1152" s="81" t="s">
        <v>267</v>
      </c>
      <c r="C1152" s="81"/>
      <c r="D1152" s="288"/>
      <c r="E1152" s="343"/>
      <c r="F1152" s="293"/>
    </row>
    <row r="1153" spans="1:6">
      <c r="A1153" s="8"/>
      <c r="B1153" s="81" t="s">
        <v>268</v>
      </c>
      <c r="C1153" s="81"/>
      <c r="D1153" s="288"/>
      <c r="E1153" s="343"/>
      <c r="F1153" s="293"/>
    </row>
    <row r="1154" spans="1:6">
      <c r="A1154" s="8"/>
      <c r="B1154" s="81" t="s">
        <v>743</v>
      </c>
      <c r="C1154" s="81"/>
      <c r="D1154" s="288"/>
      <c r="E1154" s="343"/>
      <c r="F1154" s="293"/>
    </row>
    <row r="1155" spans="1:6">
      <c r="A1155" s="8"/>
      <c r="B1155" s="81" t="s">
        <v>1246</v>
      </c>
      <c r="C1155" s="81"/>
      <c r="D1155" s="288"/>
      <c r="E1155" s="343"/>
      <c r="F1155" s="293"/>
    </row>
    <row r="1156" spans="1:6">
      <c r="A1156" s="8"/>
      <c r="B1156" s="1" t="s">
        <v>1512</v>
      </c>
      <c r="C1156" s="1"/>
      <c r="D1156" s="1"/>
      <c r="E1156" s="1"/>
      <c r="F1156" s="2"/>
    </row>
    <row r="1157" spans="1:6">
      <c r="A1157" s="8"/>
      <c r="B1157" s="1"/>
      <c r="C1157" s="1"/>
      <c r="D1157" s="1"/>
      <c r="E1157" s="1"/>
      <c r="F1157" s="2"/>
    </row>
    <row r="1158" spans="1:6" ht="15.75" thickBot="1">
      <c r="A1158" s="9"/>
      <c r="B1158" s="3"/>
      <c r="C1158" s="3"/>
      <c r="D1158" s="3"/>
      <c r="E1158" s="3"/>
      <c r="F1158" s="4"/>
    </row>
    <row r="1159" spans="1:6" ht="16.5" thickTop="1" thickBot="1"/>
    <row r="1160" spans="1:6" ht="15.75" thickTop="1">
      <c r="A1160" s="3782" t="s">
        <v>0</v>
      </c>
      <c r="B1160" s="3781" t="s">
        <v>1</v>
      </c>
      <c r="C1160" s="3781" t="s">
        <v>2</v>
      </c>
      <c r="D1160" s="3781" t="s">
        <v>3</v>
      </c>
      <c r="E1160" s="3781" t="s">
        <v>4</v>
      </c>
      <c r="F1160" s="3765" t="s">
        <v>5</v>
      </c>
    </row>
    <row r="1161" spans="1:6" ht="15.75" thickBot="1">
      <c r="A1161" s="3783"/>
      <c r="B1161" s="3767"/>
      <c r="C1161" s="3767"/>
      <c r="D1161" s="3767"/>
      <c r="E1161" s="3767"/>
      <c r="F1161" s="3766"/>
    </row>
    <row r="1162" spans="1:6" ht="15.75" thickTop="1">
      <c r="A1162" s="7" t="s">
        <v>1678</v>
      </c>
      <c r="B1162" s="288" t="s">
        <v>200</v>
      </c>
      <c r="C1162" s="288" t="s">
        <v>1679</v>
      </c>
      <c r="D1162" s="288"/>
      <c r="E1162" s="290"/>
      <c r="F1162" s="291">
        <v>370331</v>
      </c>
    </row>
    <row r="1163" spans="1:6">
      <c r="A1163" s="8"/>
      <c r="B1163" s="81"/>
      <c r="C1163" s="81" t="s">
        <v>1680</v>
      </c>
      <c r="D1163" s="288"/>
      <c r="E1163" s="290"/>
      <c r="F1163" s="291">
        <v>370331</v>
      </c>
    </row>
    <row r="1164" spans="1:6">
      <c r="A1164" s="8"/>
      <c r="B1164" s="81"/>
      <c r="C1164" s="81" t="s">
        <v>1681</v>
      </c>
      <c r="D1164" s="288"/>
      <c r="E1164" s="290"/>
      <c r="F1164" s="291">
        <v>370331</v>
      </c>
    </row>
    <row r="1165" spans="1:6">
      <c r="A1165" s="8"/>
      <c r="B1165" s="81"/>
      <c r="C1165" s="81"/>
      <c r="D1165" s="288"/>
      <c r="E1165" s="290"/>
      <c r="F1165" s="291"/>
    </row>
    <row r="1166" spans="1:6">
      <c r="A1166" s="8"/>
      <c r="B1166" s="31"/>
      <c r="C1166" s="81"/>
      <c r="D1166" s="288"/>
      <c r="E1166" s="343"/>
      <c r="F1166" s="293"/>
    </row>
    <row r="1167" spans="1:6">
      <c r="A1167" s="8"/>
      <c r="B1167" s="81"/>
      <c r="C1167" s="81"/>
      <c r="D1167" s="288"/>
      <c r="E1167" s="343"/>
      <c r="F1167" s="293"/>
    </row>
    <row r="1168" spans="1:6">
      <c r="A1168" s="8"/>
      <c r="B1168" s="81"/>
      <c r="C1168" s="81"/>
      <c r="D1168" s="288"/>
      <c r="E1168" s="343"/>
      <c r="F1168" s="293"/>
    </row>
    <row r="1169" spans="1:7">
      <c r="A1169" s="8"/>
      <c r="B1169" s="81"/>
      <c r="C1169" s="81"/>
      <c r="D1169" s="288"/>
      <c r="E1169" s="343"/>
      <c r="F1169" s="293"/>
    </row>
    <row r="1170" spans="1:7">
      <c r="A1170" s="8"/>
      <c r="B1170" s="81"/>
      <c r="C1170" s="81"/>
      <c r="D1170" s="288"/>
      <c r="E1170" s="343"/>
      <c r="F1170" s="293"/>
    </row>
    <row r="1171" spans="1:7">
      <c r="A1171" s="8"/>
      <c r="B1171" s="1"/>
      <c r="C1171" s="1"/>
      <c r="D1171" s="1"/>
      <c r="E1171" s="1"/>
      <c r="F1171" s="2"/>
    </row>
    <row r="1172" spans="1:7">
      <c r="A1172" s="8"/>
      <c r="B1172" s="1"/>
      <c r="C1172" s="1"/>
      <c r="D1172" s="1"/>
      <c r="E1172" s="1"/>
      <c r="F1172" s="2"/>
    </row>
    <row r="1173" spans="1:7" ht="15.75" thickBot="1">
      <c r="A1173" s="9"/>
      <c r="B1173" s="3"/>
      <c r="C1173" s="3"/>
      <c r="D1173" s="3"/>
      <c r="E1173" s="3"/>
      <c r="F1173" s="4"/>
    </row>
    <row r="1174" spans="1:7" ht="16.5" thickTop="1" thickBot="1"/>
    <row r="1175" spans="1:7" ht="15.75" thickTop="1">
      <c r="A1175" s="3782" t="s">
        <v>0</v>
      </c>
      <c r="B1175" s="3781" t="s">
        <v>1</v>
      </c>
      <c r="C1175" s="3781" t="s">
        <v>2</v>
      </c>
      <c r="D1175" s="3781" t="s">
        <v>3</v>
      </c>
      <c r="E1175" s="3781" t="s">
        <v>4</v>
      </c>
      <c r="F1175" s="3765" t="s">
        <v>5</v>
      </c>
    </row>
    <row r="1176" spans="1:7" ht="15.75" thickBot="1">
      <c r="A1176" s="3783"/>
      <c r="B1176" s="3767"/>
      <c r="C1176" s="3767"/>
      <c r="D1176" s="3767"/>
      <c r="E1176" s="3767"/>
      <c r="F1176" s="3766"/>
    </row>
    <row r="1177" spans="1:7" ht="15.75" thickTop="1">
      <c r="A1177" s="7" t="s">
        <v>1683</v>
      </c>
      <c r="B1177" s="288" t="s">
        <v>232</v>
      </c>
      <c r="C1177" s="288" t="s">
        <v>231</v>
      </c>
      <c r="D1177" s="288"/>
      <c r="E1177" s="290">
        <v>0.17</v>
      </c>
      <c r="F1177" s="291">
        <v>13127</v>
      </c>
      <c r="G1177">
        <v>15816</v>
      </c>
    </row>
    <row r="1178" spans="1:7">
      <c r="A1178" s="8"/>
      <c r="B1178" s="81"/>
      <c r="C1178" s="81" t="s">
        <v>485</v>
      </c>
      <c r="D1178" s="288"/>
      <c r="E1178" s="290">
        <v>0.15</v>
      </c>
      <c r="F1178" s="291">
        <v>8359</v>
      </c>
      <c r="G1178">
        <v>9834</v>
      </c>
    </row>
    <row r="1179" spans="1:7">
      <c r="A1179" s="8"/>
      <c r="B1179" s="81"/>
      <c r="C1179" s="81" t="s">
        <v>486</v>
      </c>
      <c r="D1179" s="288"/>
      <c r="E1179" s="290">
        <v>0.15</v>
      </c>
      <c r="F1179" s="291">
        <v>8359</v>
      </c>
      <c r="G1179">
        <v>9834</v>
      </c>
    </row>
    <row r="1180" spans="1:7">
      <c r="A1180" s="8"/>
      <c r="B1180" s="81"/>
      <c r="C1180" s="81"/>
      <c r="D1180" s="288"/>
      <c r="E1180" s="290"/>
      <c r="F1180" s="291"/>
    </row>
    <row r="1181" spans="1:7">
      <c r="A1181" s="8"/>
      <c r="B1181" s="31"/>
      <c r="C1181" s="81"/>
      <c r="D1181" s="288"/>
      <c r="E1181" s="343"/>
      <c r="F1181" s="293"/>
    </row>
    <row r="1182" spans="1:7">
      <c r="A1182" s="8"/>
      <c r="B1182" s="81"/>
      <c r="C1182" s="81"/>
      <c r="D1182" s="288"/>
      <c r="E1182" s="343"/>
      <c r="F1182" s="293"/>
    </row>
    <row r="1183" spans="1:7">
      <c r="A1183" s="8"/>
      <c r="B1183" s="81"/>
      <c r="C1183" s="81"/>
      <c r="D1183" s="288"/>
      <c r="E1183" s="343"/>
      <c r="F1183" s="293"/>
    </row>
    <row r="1184" spans="1:7">
      <c r="A1184" s="8"/>
      <c r="B1184" s="81"/>
      <c r="C1184" s="81"/>
      <c r="D1184" s="288"/>
      <c r="E1184" s="343"/>
      <c r="F1184" s="293"/>
    </row>
    <row r="1185" spans="1:8">
      <c r="A1185" s="8"/>
      <c r="B1185" s="81"/>
      <c r="C1185" s="81"/>
      <c r="D1185" s="288"/>
      <c r="E1185" s="343"/>
      <c r="F1185" s="293"/>
    </row>
    <row r="1186" spans="1:8">
      <c r="A1186" s="8"/>
      <c r="B1186" s="1"/>
      <c r="C1186" s="1"/>
      <c r="D1186" s="1"/>
      <c r="E1186" s="1"/>
      <c r="F1186" s="2"/>
    </row>
    <row r="1187" spans="1:8">
      <c r="A1187" s="8"/>
      <c r="B1187" s="1"/>
      <c r="C1187" s="1"/>
      <c r="D1187" s="1"/>
      <c r="E1187" s="1"/>
      <c r="F1187" s="2"/>
    </row>
    <row r="1188" spans="1:8" ht="15.75" thickBot="1">
      <c r="A1188" s="9"/>
      <c r="B1188" s="3"/>
      <c r="C1188" s="3"/>
      <c r="D1188" s="3"/>
      <c r="E1188" s="3"/>
      <c r="F1188" s="4"/>
    </row>
    <row r="1189" spans="1:8" ht="15.75" thickTop="1"/>
    <row r="1190" spans="1:8" ht="15.75" thickBot="1"/>
    <row r="1191" spans="1:8" ht="15.75" thickTop="1">
      <c r="A1191" s="3782" t="s">
        <v>0</v>
      </c>
      <c r="B1191" s="3781" t="s">
        <v>1</v>
      </c>
      <c r="C1191" s="3781" t="s">
        <v>2</v>
      </c>
      <c r="D1191" s="3781" t="s">
        <v>3</v>
      </c>
      <c r="E1191" s="3781" t="s">
        <v>4</v>
      </c>
      <c r="F1191" s="3765" t="s">
        <v>5</v>
      </c>
    </row>
    <row r="1192" spans="1:8" ht="15.75" thickBot="1">
      <c r="A1192" s="3783"/>
      <c r="B1192" s="3767"/>
      <c r="C1192" s="3767"/>
      <c r="D1192" s="3767"/>
      <c r="E1192" s="3767"/>
      <c r="F1192" s="3766"/>
    </row>
    <row r="1193" spans="1:8" ht="15.75" thickTop="1">
      <c r="A1193" s="7" t="s">
        <v>1752</v>
      </c>
      <c r="B1193" s="288" t="s">
        <v>265</v>
      </c>
      <c r="C1193" s="1" t="s">
        <v>238</v>
      </c>
      <c r="D1193" s="288"/>
      <c r="E1193" s="290"/>
      <c r="F1193" s="291">
        <v>8.0299999999999994</v>
      </c>
      <c r="G1193">
        <v>9.4499999999999993</v>
      </c>
      <c r="H1193">
        <v>6.76</v>
      </c>
    </row>
    <row r="1194" spans="1:8">
      <c r="A1194" s="8"/>
      <c r="B1194" s="81" t="s">
        <v>395</v>
      </c>
      <c r="C1194" s="1" t="s">
        <v>239</v>
      </c>
      <c r="D1194" s="288"/>
      <c r="E1194" s="290"/>
      <c r="F1194" s="291">
        <v>8.0299999999999994</v>
      </c>
    </row>
    <row r="1195" spans="1:8">
      <c r="A1195" s="8"/>
      <c r="B1195" s="81" t="s">
        <v>264</v>
      </c>
      <c r="C1195" s="1" t="s">
        <v>868</v>
      </c>
      <c r="D1195" s="288"/>
      <c r="E1195" s="290"/>
      <c r="F1195" s="291">
        <v>8.0299999999999994</v>
      </c>
    </row>
    <row r="1196" spans="1:8">
      <c r="A1196" s="8"/>
      <c r="B1196" s="81" t="s">
        <v>266</v>
      </c>
      <c r="C1196" s="81"/>
      <c r="D1196" s="288"/>
      <c r="E1196" s="290"/>
      <c r="F1196" s="291"/>
    </row>
    <row r="1197" spans="1:8">
      <c r="A1197" s="8"/>
      <c r="B1197" s="31" t="s">
        <v>269</v>
      </c>
      <c r="C1197" s="81"/>
      <c r="D1197" s="288"/>
      <c r="E1197" s="343"/>
      <c r="F1197" s="293"/>
    </row>
    <row r="1198" spans="1:8">
      <c r="A1198" s="8"/>
      <c r="B1198" s="81" t="s">
        <v>267</v>
      </c>
      <c r="C1198" s="81"/>
      <c r="D1198" s="288"/>
      <c r="E1198" s="343"/>
      <c r="F1198" s="293"/>
    </row>
    <row r="1199" spans="1:8">
      <c r="A1199" s="8"/>
      <c r="B1199" s="81" t="s">
        <v>268</v>
      </c>
      <c r="C1199" s="81"/>
      <c r="D1199" s="288"/>
      <c r="E1199" s="343"/>
      <c r="F1199" s="293"/>
    </row>
    <row r="1200" spans="1:8">
      <c r="A1200" s="8"/>
      <c r="B1200" s="81" t="s">
        <v>743</v>
      </c>
      <c r="C1200" s="81"/>
      <c r="D1200" s="288"/>
      <c r="E1200" s="343"/>
      <c r="F1200" s="293"/>
    </row>
    <row r="1201" spans="1:7">
      <c r="A1201" s="8"/>
      <c r="B1201" s="81" t="s">
        <v>1246</v>
      </c>
      <c r="C1201" s="81"/>
      <c r="D1201" s="288"/>
      <c r="E1201" s="343"/>
      <c r="F1201" s="293"/>
    </row>
    <row r="1202" spans="1:7">
      <c r="A1202" s="8"/>
      <c r="B1202" s="1" t="s">
        <v>1512</v>
      </c>
      <c r="C1202" s="1"/>
      <c r="D1202" s="1"/>
      <c r="E1202" s="1"/>
      <c r="F1202" s="2"/>
    </row>
    <row r="1203" spans="1:7">
      <c r="A1203" s="8"/>
      <c r="B1203" s="1"/>
      <c r="C1203" s="1"/>
      <c r="D1203" s="1"/>
      <c r="E1203" s="1"/>
      <c r="F1203" s="2"/>
    </row>
    <row r="1204" spans="1:7" ht="15.75" thickBot="1">
      <c r="A1204" s="9"/>
      <c r="B1204" s="3"/>
      <c r="C1204" s="3"/>
      <c r="D1204" s="3"/>
      <c r="E1204" s="3"/>
      <c r="F1204" s="4"/>
    </row>
    <row r="1205" spans="1:7" ht="16.5" thickTop="1" thickBot="1"/>
    <row r="1206" spans="1:7" ht="15.75" thickTop="1">
      <c r="A1206" s="3782" t="s">
        <v>0</v>
      </c>
      <c r="B1206" s="3781" t="s">
        <v>1</v>
      </c>
      <c r="C1206" s="3781" t="s">
        <v>2</v>
      </c>
      <c r="D1206" s="3781" t="s">
        <v>3</v>
      </c>
      <c r="E1206" s="3781" t="s">
        <v>4</v>
      </c>
      <c r="F1206" s="3765" t="s">
        <v>5</v>
      </c>
    </row>
    <row r="1207" spans="1:7" ht="15.75" thickBot="1">
      <c r="A1207" s="3783"/>
      <c r="B1207" s="3767"/>
      <c r="C1207" s="3767"/>
      <c r="D1207" s="3767"/>
      <c r="E1207" s="3767"/>
      <c r="F1207" s="3766"/>
    </row>
    <row r="1208" spans="1:7" ht="15.75" thickTop="1">
      <c r="A1208" s="7" t="s">
        <v>1751</v>
      </c>
      <c r="B1208" s="288" t="s">
        <v>265</v>
      </c>
      <c r="C1208" s="1" t="s">
        <v>554</v>
      </c>
      <c r="D1208" s="288"/>
      <c r="E1208" s="290">
        <v>0.15</v>
      </c>
      <c r="F1208" s="291">
        <v>0.99</v>
      </c>
      <c r="G1208">
        <v>1.1599999999999999</v>
      </c>
    </row>
    <row r="1209" spans="1:7">
      <c r="A1209" s="8"/>
      <c r="B1209" s="81" t="s">
        <v>395</v>
      </c>
      <c r="C1209" s="1" t="s">
        <v>730</v>
      </c>
      <c r="D1209" s="288"/>
      <c r="E1209" s="290">
        <v>0.15</v>
      </c>
      <c r="F1209" s="291">
        <v>0.69</v>
      </c>
      <c r="G1209">
        <v>0.81</v>
      </c>
    </row>
    <row r="1210" spans="1:7">
      <c r="A1210" s="8"/>
      <c r="B1210" s="81" t="s">
        <v>264</v>
      </c>
      <c r="C1210" s="1"/>
      <c r="D1210" s="288"/>
      <c r="E1210" s="290"/>
      <c r="F1210" s="291"/>
    </row>
    <row r="1211" spans="1:7">
      <c r="A1211" s="8"/>
      <c r="B1211" s="81" t="s">
        <v>266</v>
      </c>
      <c r="C1211" s="81"/>
      <c r="D1211" s="288"/>
      <c r="E1211" s="290"/>
      <c r="F1211" s="291"/>
    </row>
    <row r="1212" spans="1:7">
      <c r="A1212" s="8"/>
      <c r="B1212" s="31" t="s">
        <v>269</v>
      </c>
      <c r="C1212" s="81"/>
      <c r="D1212" s="288"/>
      <c r="E1212" s="343"/>
      <c r="F1212" s="293"/>
    </row>
    <row r="1213" spans="1:7">
      <c r="A1213" s="8"/>
      <c r="B1213" s="81" t="s">
        <v>267</v>
      </c>
      <c r="C1213" s="81"/>
      <c r="D1213" s="288"/>
      <c r="E1213" s="343"/>
      <c r="F1213" s="293"/>
    </row>
    <row r="1214" spans="1:7">
      <c r="A1214" s="8"/>
      <c r="B1214" s="81" t="s">
        <v>268</v>
      </c>
      <c r="C1214" s="81"/>
      <c r="D1214" s="288"/>
      <c r="E1214" s="343"/>
      <c r="F1214" s="293"/>
    </row>
    <row r="1215" spans="1:7">
      <c r="A1215" s="8"/>
      <c r="B1215" s="81" t="s">
        <v>743</v>
      </c>
      <c r="C1215" s="81"/>
      <c r="D1215" s="288"/>
      <c r="E1215" s="343"/>
      <c r="F1215" s="293"/>
    </row>
    <row r="1216" spans="1:7">
      <c r="A1216" s="8"/>
      <c r="B1216" s="81" t="s">
        <v>1246</v>
      </c>
      <c r="C1216" s="81"/>
      <c r="D1216" s="288"/>
      <c r="E1216" s="343"/>
      <c r="F1216" s="293"/>
    </row>
    <row r="1217" spans="1:10">
      <c r="A1217" s="8"/>
      <c r="B1217" s="1" t="s">
        <v>1512</v>
      </c>
      <c r="C1217" s="1"/>
      <c r="D1217" s="1"/>
      <c r="E1217" s="1"/>
      <c r="F1217" s="2"/>
    </row>
    <row r="1218" spans="1:10">
      <c r="A1218" s="8"/>
      <c r="B1218" s="1"/>
      <c r="C1218" s="1"/>
      <c r="D1218" s="1"/>
      <c r="E1218" s="1"/>
      <c r="F1218" s="2"/>
    </row>
    <row r="1219" spans="1:10" ht="15.75" thickBot="1">
      <c r="A1219" s="9"/>
      <c r="B1219" s="3"/>
      <c r="C1219" s="3"/>
      <c r="D1219" s="3"/>
      <c r="E1219" s="3"/>
      <c r="F1219" s="4"/>
    </row>
    <row r="1220" spans="1:10" ht="16.5" thickTop="1" thickBot="1"/>
    <row r="1221" spans="1:10" ht="15.75" thickTop="1">
      <c r="A1221" s="3782" t="s">
        <v>0</v>
      </c>
      <c r="B1221" s="3781" t="s">
        <v>1</v>
      </c>
      <c r="C1221" s="3781" t="s">
        <v>2</v>
      </c>
      <c r="D1221" s="3781" t="s">
        <v>3</v>
      </c>
      <c r="E1221" s="3781" t="s">
        <v>4</v>
      </c>
      <c r="F1221" s="3765" t="s">
        <v>5</v>
      </c>
    </row>
    <row r="1222" spans="1:10" ht="15.75" thickBot="1">
      <c r="A1222" s="3783"/>
      <c r="B1222" s="3767"/>
      <c r="C1222" s="3767"/>
      <c r="D1222" s="3767"/>
      <c r="E1222" s="3767"/>
      <c r="F1222" s="3766"/>
    </row>
    <row r="1223" spans="1:10" ht="15.75" thickTop="1">
      <c r="A1223" s="7" t="s">
        <v>1762</v>
      </c>
      <c r="B1223" s="288" t="s">
        <v>200</v>
      </c>
      <c r="C1223" s="288" t="s">
        <v>1556</v>
      </c>
      <c r="D1223" s="288"/>
      <c r="E1223" s="290">
        <v>0.1</v>
      </c>
      <c r="F1223" s="291">
        <v>18.87</v>
      </c>
      <c r="G1223">
        <v>20.97</v>
      </c>
      <c r="H1223">
        <f>F1223/1.1891</f>
        <v>15.869144731309394</v>
      </c>
      <c r="I1223">
        <f>H1223*1.1979</f>
        <v>19.009648473635522</v>
      </c>
      <c r="J1223">
        <v>5420</v>
      </c>
    </row>
    <row r="1224" spans="1:10">
      <c r="A1224" s="8"/>
      <c r="B1224" s="81"/>
      <c r="C1224" s="81" t="s">
        <v>1557</v>
      </c>
      <c r="D1224" s="288"/>
      <c r="E1224" s="290">
        <v>0.1</v>
      </c>
      <c r="F1224" s="291">
        <v>18.87</v>
      </c>
      <c r="I1224">
        <v>0.14000000000000001</v>
      </c>
      <c r="J1224">
        <f>J1223*I1224</f>
        <v>758.80000000000007</v>
      </c>
    </row>
    <row r="1225" spans="1:10">
      <c r="A1225" s="8"/>
      <c r="B1225" s="81"/>
      <c r="C1225" s="81" t="s">
        <v>1763</v>
      </c>
      <c r="D1225" s="288"/>
      <c r="E1225" s="290">
        <v>0.1</v>
      </c>
      <c r="F1225" s="291">
        <v>18.87</v>
      </c>
    </row>
    <row r="1226" spans="1:10">
      <c r="A1226" s="8"/>
      <c r="B1226" s="81"/>
      <c r="C1226" s="81"/>
      <c r="D1226" s="288"/>
      <c r="E1226" s="290"/>
      <c r="F1226" s="291"/>
    </row>
    <row r="1227" spans="1:10">
      <c r="A1227" s="8"/>
      <c r="B1227" s="31"/>
      <c r="C1227" s="81"/>
      <c r="D1227" s="288"/>
      <c r="E1227" s="343"/>
      <c r="F1227" s="293"/>
    </row>
    <row r="1228" spans="1:10">
      <c r="A1228" s="8"/>
      <c r="B1228" s="81"/>
      <c r="C1228" s="81"/>
      <c r="D1228" s="288"/>
      <c r="E1228" s="343"/>
      <c r="F1228" s="293"/>
    </row>
    <row r="1229" spans="1:10">
      <c r="A1229" s="8"/>
      <c r="B1229" s="81"/>
      <c r="C1229" s="81"/>
      <c r="D1229" s="288"/>
      <c r="E1229" s="343"/>
      <c r="F1229" s="293"/>
    </row>
    <row r="1230" spans="1:10">
      <c r="A1230" s="8"/>
      <c r="B1230" s="81"/>
      <c r="C1230" s="81"/>
      <c r="D1230" s="288"/>
      <c r="E1230" s="343"/>
      <c r="F1230" s="293"/>
    </row>
    <row r="1231" spans="1:10">
      <c r="A1231" s="8"/>
      <c r="B1231" s="81"/>
      <c r="C1231" s="81"/>
      <c r="D1231" s="288"/>
      <c r="E1231" s="343"/>
      <c r="F1231" s="293"/>
    </row>
    <row r="1232" spans="1:10">
      <c r="A1232" s="8"/>
      <c r="B1232" s="1"/>
      <c r="C1232" s="1"/>
      <c r="D1232" s="1"/>
      <c r="E1232" s="1"/>
      <c r="F1232" s="2"/>
    </row>
    <row r="1233" spans="1:7">
      <c r="A1233" s="8"/>
      <c r="B1233" s="1"/>
      <c r="C1233" s="1"/>
      <c r="D1233" s="1"/>
      <c r="E1233" s="1"/>
      <c r="F1233" s="2"/>
    </row>
    <row r="1234" spans="1:7" ht="15.75" thickBot="1">
      <c r="A1234" s="9"/>
      <c r="B1234" s="3"/>
      <c r="C1234" s="3"/>
      <c r="D1234" s="3"/>
      <c r="E1234" s="3"/>
      <c r="F1234" s="4"/>
    </row>
    <row r="1235" spans="1:7" ht="15.75" thickTop="1"/>
    <row r="1236" spans="1:7" ht="15.75" thickBot="1"/>
    <row r="1237" spans="1:7" s="32" customFormat="1" ht="15.75" customHeight="1" thickTop="1">
      <c r="A1237" s="3802" t="s">
        <v>0</v>
      </c>
      <c r="B1237" s="3799" t="s">
        <v>1</v>
      </c>
      <c r="C1237" s="3799" t="s">
        <v>2</v>
      </c>
      <c r="D1237" s="3799" t="s">
        <v>3</v>
      </c>
      <c r="E1237" s="3799" t="s">
        <v>4</v>
      </c>
      <c r="F1237" s="3800" t="s">
        <v>5</v>
      </c>
    </row>
    <row r="1238" spans="1:7" s="32" customFormat="1" ht="15.75" customHeight="1" thickBot="1">
      <c r="A1238" s="3803"/>
      <c r="B1238" s="3780"/>
      <c r="C1238" s="3780"/>
      <c r="D1238" s="3780"/>
      <c r="E1238" s="3780"/>
      <c r="F1238" s="3801"/>
    </row>
    <row r="1239" spans="1:7" s="32" customFormat="1" ht="15.75" customHeight="1" thickTop="1">
      <c r="A1239" s="289" t="s">
        <v>1802</v>
      </c>
      <c r="B1239" s="288" t="s">
        <v>265</v>
      </c>
      <c r="C1239" s="81" t="s">
        <v>623</v>
      </c>
      <c r="D1239" s="288"/>
      <c r="E1239" s="290">
        <f>(G1239-F1239)/G1239</f>
        <v>0.15023474178403748</v>
      </c>
      <c r="F1239" s="291">
        <v>1.81</v>
      </c>
      <c r="G1239" s="32">
        <v>2.13</v>
      </c>
    </row>
    <row r="1240" spans="1:7" s="32" customFormat="1" ht="15.75" customHeight="1">
      <c r="A1240" s="292"/>
      <c r="B1240" s="81" t="s">
        <v>395</v>
      </c>
      <c r="C1240" s="81"/>
      <c r="D1240" s="288"/>
      <c r="E1240" s="290"/>
      <c r="F1240" s="291"/>
    </row>
    <row r="1241" spans="1:7" s="32" customFormat="1" ht="15.75" customHeight="1">
      <c r="A1241" s="292"/>
      <c r="B1241" s="81" t="s">
        <v>264</v>
      </c>
      <c r="C1241" s="81"/>
      <c r="D1241" s="288"/>
      <c r="E1241" s="290"/>
      <c r="F1241" s="291"/>
    </row>
    <row r="1242" spans="1:7" s="32" customFormat="1" ht="15.75" customHeight="1">
      <c r="A1242" s="292"/>
      <c r="B1242" s="81" t="s">
        <v>266</v>
      </c>
      <c r="C1242" s="81"/>
      <c r="D1242" s="288"/>
      <c r="E1242" s="290"/>
      <c r="F1242" s="291"/>
    </row>
    <row r="1243" spans="1:7" s="32" customFormat="1" ht="15.75" customHeight="1">
      <c r="A1243" s="292"/>
      <c r="B1243" s="81" t="s">
        <v>269</v>
      </c>
      <c r="C1243" s="81"/>
      <c r="D1243" s="288"/>
      <c r="E1243" s="343"/>
      <c r="F1243" s="293"/>
    </row>
    <row r="1244" spans="1:7" s="32" customFormat="1" ht="15.75" customHeight="1">
      <c r="A1244" s="292"/>
      <c r="B1244" s="81" t="s">
        <v>267</v>
      </c>
      <c r="C1244" s="81"/>
      <c r="D1244" s="288"/>
      <c r="E1244" s="343"/>
      <c r="F1244" s="293"/>
    </row>
    <row r="1245" spans="1:7" s="32" customFormat="1" ht="15.75" customHeight="1">
      <c r="A1245" s="292"/>
      <c r="B1245" s="81" t="s">
        <v>268</v>
      </c>
      <c r="C1245" s="81"/>
      <c r="D1245" s="288"/>
      <c r="E1245" s="343"/>
      <c r="F1245" s="293"/>
    </row>
    <row r="1246" spans="1:7" s="32" customFormat="1" ht="15.75" customHeight="1">
      <c r="A1246" s="292"/>
      <c r="B1246" s="81" t="s">
        <v>743</v>
      </c>
      <c r="C1246" s="81"/>
      <c r="D1246" s="288"/>
      <c r="E1246" s="343"/>
      <c r="F1246" s="293"/>
    </row>
    <row r="1247" spans="1:7" s="32" customFormat="1" ht="15.75" customHeight="1">
      <c r="A1247" s="292"/>
      <c r="B1247" s="81" t="s">
        <v>1246</v>
      </c>
      <c r="C1247" s="81"/>
      <c r="D1247" s="288"/>
      <c r="E1247" s="343"/>
      <c r="F1247" s="293"/>
    </row>
    <row r="1248" spans="1:7" s="32" customFormat="1" ht="15.75" customHeight="1">
      <c r="A1248" s="292"/>
      <c r="B1248" s="81" t="s">
        <v>1512</v>
      </c>
      <c r="C1248" s="81"/>
      <c r="D1248" s="81"/>
      <c r="E1248" s="81"/>
      <c r="F1248" s="293"/>
    </row>
    <row r="1249" spans="1:8" s="32" customFormat="1" ht="15.75" customHeight="1">
      <c r="A1249" s="292"/>
      <c r="B1249" s="81"/>
      <c r="C1249" s="81"/>
      <c r="D1249" s="81"/>
      <c r="E1249" s="81"/>
      <c r="F1249" s="293"/>
    </row>
    <row r="1250" spans="1:8" s="32" customFormat="1" ht="15.75" customHeight="1" thickBot="1">
      <c r="A1250" s="382"/>
      <c r="B1250" s="383"/>
      <c r="C1250" s="383"/>
      <c r="D1250" s="383"/>
      <c r="E1250" s="383"/>
      <c r="F1250" s="384"/>
    </row>
    <row r="1251" spans="1:8" s="32" customFormat="1" ht="15.75" customHeight="1" thickTop="1" thickBot="1"/>
    <row r="1252" spans="1:8" s="32" customFormat="1" ht="15.75" customHeight="1" thickTop="1">
      <c r="A1252" s="3802" t="s">
        <v>0</v>
      </c>
      <c r="B1252" s="3799" t="s">
        <v>1</v>
      </c>
      <c r="C1252" s="3799" t="s">
        <v>2</v>
      </c>
      <c r="D1252" s="3799" t="s">
        <v>3</v>
      </c>
      <c r="E1252" s="3799" t="s">
        <v>4</v>
      </c>
      <c r="F1252" s="3800" t="s">
        <v>5</v>
      </c>
    </row>
    <row r="1253" spans="1:8" s="32" customFormat="1" ht="15.75" customHeight="1" thickBot="1">
      <c r="A1253" s="3803"/>
      <c r="B1253" s="3780"/>
      <c r="C1253" s="3780"/>
      <c r="D1253" s="3780"/>
      <c r="E1253" s="3780"/>
      <c r="F1253" s="4078"/>
    </row>
    <row r="1254" spans="1:8" s="32" customFormat="1" ht="15.75" customHeight="1" thickTop="1">
      <c r="A1254" s="289" t="s">
        <v>1803</v>
      </c>
      <c r="B1254" s="288" t="s">
        <v>200</v>
      </c>
      <c r="C1254" s="288" t="s">
        <v>1556</v>
      </c>
      <c r="D1254" s="288"/>
      <c r="E1254" s="290">
        <v>0.1</v>
      </c>
      <c r="F1254" s="81">
        <v>17.850000000000001</v>
      </c>
      <c r="G1254" s="32">
        <v>20.97</v>
      </c>
      <c r="H1254" s="33">
        <v>1680</v>
      </c>
    </row>
    <row r="1255" spans="1:8" s="32" customFormat="1" ht="15.75" customHeight="1">
      <c r="A1255" s="292"/>
      <c r="B1255" s="81"/>
      <c r="C1255" s="81" t="s">
        <v>1557</v>
      </c>
      <c r="D1255" s="288"/>
      <c r="E1255" s="290">
        <v>0.1</v>
      </c>
      <c r="F1255" s="81">
        <v>17.850000000000001</v>
      </c>
      <c r="G1255" s="32">
        <v>20.97</v>
      </c>
      <c r="H1255" s="33">
        <v>720</v>
      </c>
    </row>
    <row r="1256" spans="1:8" s="32" customFormat="1" ht="15.75" customHeight="1">
      <c r="A1256" s="292"/>
      <c r="B1256" s="81"/>
      <c r="C1256" s="81" t="s">
        <v>1763</v>
      </c>
      <c r="D1256" s="288"/>
      <c r="E1256" s="290">
        <v>0.1</v>
      </c>
      <c r="F1256" s="81">
        <v>17.850000000000001</v>
      </c>
      <c r="G1256" s="32">
        <v>20.97</v>
      </c>
      <c r="H1256" s="33">
        <v>1300</v>
      </c>
    </row>
    <row r="1257" spans="1:8" s="32" customFormat="1" ht="15.75" customHeight="1">
      <c r="A1257" s="292"/>
      <c r="B1257" s="81"/>
      <c r="C1257" s="81"/>
      <c r="D1257" s="288"/>
      <c r="E1257" s="290"/>
      <c r="F1257" s="291"/>
    </row>
    <row r="1258" spans="1:8" s="32" customFormat="1" ht="15.75" customHeight="1">
      <c r="A1258" s="292"/>
      <c r="B1258" s="81"/>
      <c r="C1258" s="81"/>
      <c r="D1258" s="288"/>
      <c r="E1258" s="343"/>
      <c r="F1258" s="293"/>
    </row>
    <row r="1259" spans="1:8" s="32" customFormat="1" ht="15.75" customHeight="1">
      <c r="A1259" s="292"/>
      <c r="B1259" s="81"/>
      <c r="C1259" s="81"/>
      <c r="D1259" s="288"/>
      <c r="E1259" s="343"/>
      <c r="F1259" s="293"/>
    </row>
    <row r="1260" spans="1:8" s="32" customFormat="1" ht="15.75" customHeight="1">
      <c r="A1260" s="292"/>
      <c r="B1260" s="81"/>
      <c r="C1260" s="81"/>
      <c r="D1260" s="288"/>
      <c r="E1260" s="343"/>
      <c r="F1260" s="293"/>
    </row>
    <row r="1261" spans="1:8" s="32" customFormat="1" ht="15.75" customHeight="1">
      <c r="A1261" s="292"/>
      <c r="B1261" s="81"/>
      <c r="C1261" s="81"/>
      <c r="D1261" s="288"/>
      <c r="E1261" s="343"/>
      <c r="F1261" s="293"/>
    </row>
    <row r="1262" spans="1:8" s="32" customFormat="1" ht="15.75" customHeight="1">
      <c r="A1262" s="292"/>
      <c r="B1262" s="81"/>
      <c r="C1262" s="81"/>
      <c r="D1262" s="288"/>
      <c r="E1262" s="343"/>
      <c r="F1262" s="293"/>
    </row>
    <row r="1263" spans="1:8" s="32" customFormat="1" ht="15.75" customHeight="1">
      <c r="A1263" s="292"/>
      <c r="B1263" s="81"/>
      <c r="C1263" s="81"/>
      <c r="D1263" s="81"/>
      <c r="E1263" s="81"/>
      <c r="F1263" s="293"/>
    </row>
    <row r="1264" spans="1:8" s="32" customFormat="1" ht="15.75" customHeight="1">
      <c r="A1264" s="292"/>
      <c r="B1264" s="81"/>
      <c r="C1264" s="81"/>
      <c r="D1264" s="81"/>
      <c r="E1264" s="81"/>
      <c r="F1264" s="293"/>
    </row>
    <row r="1265" spans="1:7" s="32" customFormat="1" ht="15.75" customHeight="1" thickBot="1">
      <c r="A1265" s="382"/>
      <c r="B1265" s="383"/>
      <c r="C1265" s="383"/>
      <c r="D1265" s="383"/>
      <c r="E1265" s="383"/>
      <c r="F1265" s="384"/>
    </row>
    <row r="1266" spans="1:7" s="32" customFormat="1" ht="15.75" customHeight="1" thickTop="1"/>
    <row r="1267" spans="1:7" ht="15.75" thickBot="1"/>
    <row r="1268" spans="1:7">
      <c r="A1268" s="3614" t="s">
        <v>0</v>
      </c>
      <c r="B1268" s="3693" t="s">
        <v>1</v>
      </c>
      <c r="C1268" s="3693" t="s">
        <v>2</v>
      </c>
      <c r="D1268" s="3693" t="s">
        <v>3</v>
      </c>
      <c r="E1268" s="3693" t="s">
        <v>4</v>
      </c>
      <c r="F1268" s="3522" t="s">
        <v>5</v>
      </c>
    </row>
    <row r="1269" spans="1:7" ht="15.75" thickBot="1">
      <c r="A1269" s="4075"/>
      <c r="B1269" s="4076"/>
      <c r="C1269" s="4076"/>
      <c r="D1269" s="4076"/>
      <c r="E1269" s="4076"/>
      <c r="F1269" s="4077"/>
    </row>
    <row r="1270" spans="1:7">
      <c r="A1270" s="302" t="s">
        <v>1842</v>
      </c>
      <c r="B1270" s="288" t="s">
        <v>152</v>
      </c>
      <c r="C1270" s="466" t="s">
        <v>1300</v>
      </c>
      <c r="D1270" s="288"/>
      <c r="E1270" s="290">
        <f>(G1270-F1270)/G1270</f>
        <v>0.15000000000000002</v>
      </c>
      <c r="F1270" s="467">
        <v>0.88400000000000001</v>
      </c>
      <c r="G1270">
        <v>1.04</v>
      </c>
    </row>
    <row r="1271" spans="1:7">
      <c r="A1271" s="302"/>
      <c r="B1271" s="466"/>
      <c r="C1271" s="466" t="s">
        <v>149</v>
      </c>
      <c r="D1271" s="288"/>
      <c r="E1271" s="290">
        <f t="shared" ref="E1271:E1276" si="0">(G1271-F1271)/G1271</f>
        <v>0.15000000000000005</v>
      </c>
      <c r="F1271" s="467">
        <v>0.65449999999999997</v>
      </c>
      <c r="G1271">
        <v>0.77</v>
      </c>
    </row>
    <row r="1272" spans="1:7">
      <c r="A1272" s="302"/>
      <c r="B1272" s="466"/>
      <c r="C1272" s="468" t="s">
        <v>487</v>
      </c>
      <c r="D1272" s="288"/>
      <c r="E1272" s="290">
        <f t="shared" si="0"/>
        <v>0.15000000000000002</v>
      </c>
      <c r="F1272" s="467">
        <v>0.45900000000000002</v>
      </c>
      <c r="G1272">
        <v>0.54</v>
      </c>
    </row>
    <row r="1273" spans="1:7">
      <c r="A1273" s="302"/>
      <c r="B1273" s="466"/>
      <c r="C1273" s="468" t="s">
        <v>24</v>
      </c>
      <c r="D1273" s="288"/>
      <c r="E1273" s="290">
        <f t="shared" si="0"/>
        <v>0.15</v>
      </c>
      <c r="F1273" s="467">
        <v>1.3260000000000001</v>
      </c>
      <c r="G1273" s="33">
        <v>1.56</v>
      </c>
    </row>
    <row r="1274" spans="1:7">
      <c r="A1274" s="302"/>
      <c r="B1274" s="468"/>
      <c r="C1274" s="469" t="s">
        <v>23</v>
      </c>
      <c r="D1274" s="469"/>
      <c r="E1274" s="290">
        <f t="shared" si="0"/>
        <v>0.15</v>
      </c>
      <c r="F1274" s="467">
        <v>1.3260000000000001</v>
      </c>
      <c r="G1274" s="33">
        <v>1.56</v>
      </c>
    </row>
    <row r="1275" spans="1:7">
      <c r="A1275" s="302"/>
      <c r="B1275" s="466"/>
      <c r="C1275" s="288" t="s">
        <v>274</v>
      </c>
      <c r="D1275" s="288"/>
      <c r="E1275" s="290">
        <f t="shared" si="0"/>
        <v>0.15</v>
      </c>
      <c r="F1275" s="470">
        <v>1.0965</v>
      </c>
      <c r="G1275" s="33">
        <v>1.29</v>
      </c>
    </row>
    <row r="1276" spans="1:7">
      <c r="A1276" s="302"/>
      <c r="B1276" s="466"/>
      <c r="C1276" s="466" t="s">
        <v>22</v>
      </c>
      <c r="D1276" s="288"/>
      <c r="E1276" s="290">
        <f t="shared" si="0"/>
        <v>0.15000000000000008</v>
      </c>
      <c r="F1276" s="467">
        <v>2.1589999999999998</v>
      </c>
      <c r="G1276" s="33">
        <v>2.54</v>
      </c>
    </row>
    <row r="1277" spans="1:7">
      <c r="A1277" s="302"/>
      <c r="B1277" s="466"/>
      <c r="C1277" s="466"/>
      <c r="D1277" s="288"/>
      <c r="E1277" s="471"/>
      <c r="F1277" s="472"/>
    </row>
    <row r="1278" spans="1:7">
      <c r="A1278" s="302"/>
      <c r="B1278" s="466"/>
      <c r="C1278" s="466"/>
      <c r="D1278" s="288"/>
      <c r="E1278" s="471"/>
      <c r="F1278" s="472"/>
    </row>
    <row r="1279" spans="1:7">
      <c r="A1279" s="302"/>
      <c r="B1279" s="469"/>
      <c r="C1279" s="469"/>
      <c r="D1279" s="469"/>
      <c r="E1279" s="469"/>
      <c r="F1279" s="473"/>
    </row>
    <row r="1280" spans="1:7">
      <c r="A1280" s="302"/>
      <c r="B1280" s="469"/>
      <c r="C1280" s="469"/>
      <c r="D1280" s="469"/>
      <c r="E1280" s="469"/>
      <c r="F1280" s="473"/>
    </row>
    <row r="1281" spans="1:7" ht="15.75" thickBot="1">
      <c r="A1281" s="460"/>
      <c r="B1281" s="474"/>
      <c r="C1281" s="474"/>
      <c r="D1281" s="474"/>
      <c r="E1281" s="474"/>
      <c r="F1281" s="475"/>
    </row>
    <row r="1283" spans="1:7" ht="15.75" thickBot="1"/>
    <row r="1284" spans="1:7">
      <c r="A1284" s="3614" t="s">
        <v>0</v>
      </c>
      <c r="B1284" s="3693" t="s">
        <v>1</v>
      </c>
      <c r="C1284" s="3693" t="s">
        <v>2</v>
      </c>
      <c r="D1284" s="3693" t="s">
        <v>3</v>
      </c>
      <c r="E1284" s="3693" t="s">
        <v>4</v>
      </c>
      <c r="F1284" s="3522" t="s">
        <v>5</v>
      </c>
    </row>
    <row r="1285" spans="1:7" ht="15.75" thickBot="1">
      <c r="A1285" s="4075"/>
      <c r="B1285" s="4076"/>
      <c r="C1285" s="4076"/>
      <c r="D1285" s="4076"/>
      <c r="E1285" s="4076"/>
      <c r="F1285" s="4077"/>
    </row>
    <row r="1286" spans="1:7">
      <c r="A1286" s="302" t="s">
        <v>1849</v>
      </c>
      <c r="B1286" s="288" t="s">
        <v>200</v>
      </c>
      <c r="C1286" s="191" t="s">
        <v>1556</v>
      </c>
      <c r="D1286" s="191"/>
      <c r="E1286" s="278">
        <f>(G1286-F1286)/G1286</f>
        <v>0.14878397711015726</v>
      </c>
      <c r="F1286" s="562">
        <v>17.850000000000001</v>
      </c>
      <c r="G1286" s="176">
        <v>20.97</v>
      </c>
    </row>
    <row r="1287" spans="1:7">
      <c r="A1287" s="302"/>
      <c r="B1287" s="466"/>
      <c r="C1287" s="508" t="s">
        <v>1557</v>
      </c>
      <c r="D1287" s="191"/>
      <c r="E1287" s="278">
        <f>(G1287-F1287)/G1287</f>
        <v>0.14878397711015726</v>
      </c>
      <c r="F1287" s="563">
        <v>17.850000000000001</v>
      </c>
      <c r="G1287" s="176">
        <v>20.97</v>
      </c>
    </row>
    <row r="1288" spans="1:7">
      <c r="A1288" s="302"/>
      <c r="B1288" s="466"/>
      <c r="C1288" s="508" t="s">
        <v>1763</v>
      </c>
      <c r="D1288" s="191"/>
      <c r="E1288" s="278">
        <f>(G1288-F1288)/G1288</f>
        <v>0.14878397711015726</v>
      </c>
      <c r="F1288" s="563">
        <v>17.850000000000001</v>
      </c>
      <c r="G1288" s="176">
        <v>20.97</v>
      </c>
    </row>
    <row r="1289" spans="1:7">
      <c r="A1289" s="302"/>
      <c r="B1289" s="466"/>
      <c r="C1289" s="508"/>
      <c r="D1289" s="191"/>
      <c r="E1289" s="278"/>
      <c r="F1289" s="562"/>
      <c r="G1289" s="176"/>
    </row>
    <row r="1290" spans="1:7">
      <c r="A1290" s="302"/>
      <c r="B1290" s="468"/>
      <c r="C1290" s="466"/>
      <c r="D1290" s="288"/>
      <c r="E1290" s="471"/>
      <c r="F1290" s="472"/>
    </row>
    <row r="1291" spans="1:7">
      <c r="A1291" s="302"/>
      <c r="B1291" s="466"/>
      <c r="C1291" s="466"/>
      <c r="D1291" s="288"/>
      <c r="E1291" s="471"/>
      <c r="F1291" s="472"/>
    </row>
    <row r="1292" spans="1:7">
      <c r="A1292" s="302"/>
      <c r="B1292" s="466"/>
      <c r="C1292" s="466"/>
      <c r="D1292" s="288"/>
      <c r="E1292" s="471"/>
      <c r="F1292" s="472"/>
    </row>
    <row r="1293" spans="1:7">
      <c r="A1293" s="302"/>
      <c r="B1293" s="466"/>
      <c r="C1293" s="466"/>
      <c r="D1293" s="288"/>
      <c r="E1293" s="471"/>
      <c r="F1293" s="472"/>
    </row>
    <row r="1294" spans="1:7">
      <c r="A1294" s="302"/>
      <c r="B1294" s="466"/>
      <c r="C1294" s="466"/>
      <c r="D1294" s="288"/>
      <c r="E1294" s="471"/>
      <c r="F1294" s="472"/>
    </row>
    <row r="1295" spans="1:7">
      <c r="A1295" s="302"/>
      <c r="B1295" s="469"/>
      <c r="C1295" s="469"/>
      <c r="D1295" s="469"/>
      <c r="E1295" s="469"/>
      <c r="F1295" s="473"/>
    </row>
    <row r="1296" spans="1:7">
      <c r="A1296" s="302"/>
      <c r="B1296" s="469"/>
      <c r="C1296" s="469"/>
      <c r="D1296" s="469"/>
      <c r="E1296" s="469"/>
      <c r="F1296" s="473"/>
    </row>
    <row r="1297" spans="1:14" ht="15.75" thickBot="1">
      <c r="A1297" s="460"/>
      <c r="B1297" s="474"/>
      <c r="C1297" s="474"/>
      <c r="D1297" s="474"/>
      <c r="E1297" s="474"/>
      <c r="F1297" s="475"/>
    </row>
    <row r="1299" spans="1:14" ht="15.75" thickBot="1"/>
    <row r="1300" spans="1:14">
      <c r="A1300" s="3614" t="s">
        <v>0</v>
      </c>
      <c r="B1300" s="3693" t="s">
        <v>1</v>
      </c>
      <c r="C1300" s="3693" t="s">
        <v>2</v>
      </c>
      <c r="D1300" s="3693" t="s">
        <v>3</v>
      </c>
      <c r="E1300" s="3693" t="s">
        <v>4</v>
      </c>
      <c r="F1300" s="3522" t="s">
        <v>5</v>
      </c>
    </row>
    <row r="1301" spans="1:14" ht="18.75" customHeight="1" thickBot="1">
      <c r="A1301" s="4075"/>
      <c r="B1301" s="4070"/>
      <c r="C1301" s="4070"/>
      <c r="D1301" s="4070"/>
      <c r="E1301" s="4070"/>
      <c r="F1301" s="4077"/>
    </row>
    <row r="1302" spans="1:14">
      <c r="A1302" s="302" t="s">
        <v>1909</v>
      </c>
      <c r="B1302" s="288" t="s">
        <v>152</v>
      </c>
      <c r="C1302" s="542" t="s">
        <v>150</v>
      </c>
      <c r="D1302" s="288"/>
      <c r="E1302" s="290">
        <f>(G1302-F1302)/G1302</f>
        <v>0.24358974358974367</v>
      </c>
      <c r="F1302" s="588">
        <v>0.59</v>
      </c>
      <c r="G1302">
        <v>0.78</v>
      </c>
      <c r="I1302">
        <v>20</v>
      </c>
      <c r="J1302">
        <f>(G1302-F1302)*I1302</f>
        <v>3.8000000000000012</v>
      </c>
      <c r="L1302">
        <f>SUM(J1302:J1309)</f>
        <v>57.8</v>
      </c>
      <c r="M1302">
        <f>L1302*0.5</f>
        <v>28.9</v>
      </c>
      <c r="N1302">
        <f>M1302/1.8968</f>
        <v>15.236187262758328</v>
      </c>
    </row>
    <row r="1303" spans="1:14">
      <c r="A1303" s="302"/>
      <c r="B1303" s="542"/>
      <c r="C1303" s="542" t="s">
        <v>641</v>
      </c>
      <c r="D1303" s="288"/>
      <c r="E1303" s="290">
        <f t="shared" ref="E1303:E1310" si="1">(G1303-F1303)/G1303</f>
        <v>0.20143884892086319</v>
      </c>
      <c r="F1303" s="588">
        <v>1.1100000000000001</v>
      </c>
      <c r="G1303">
        <v>1.39</v>
      </c>
      <c r="I1303">
        <v>35</v>
      </c>
      <c r="J1303">
        <f>(G1303-F1303)*I1303</f>
        <v>9.7999999999999936</v>
      </c>
    </row>
    <row r="1304" spans="1:14">
      <c r="A1304" s="302"/>
      <c r="B1304" s="542"/>
      <c r="C1304" s="589" t="s">
        <v>1910</v>
      </c>
      <c r="D1304" s="288"/>
      <c r="E1304" s="290">
        <f t="shared" si="1"/>
        <v>0.24418604651162787</v>
      </c>
      <c r="F1304" s="588">
        <v>0.65</v>
      </c>
      <c r="G1304">
        <v>0.86</v>
      </c>
    </row>
    <row r="1305" spans="1:14">
      <c r="A1305" s="302"/>
      <c r="B1305" s="542"/>
      <c r="C1305" s="589" t="s">
        <v>1911</v>
      </c>
      <c r="D1305" s="288"/>
      <c r="E1305" s="290">
        <f>(G1305-F1305)/G1305</f>
        <v>0.24418604651162787</v>
      </c>
      <c r="F1305" s="588">
        <v>0.65</v>
      </c>
      <c r="G1305" s="33">
        <v>0.86</v>
      </c>
      <c r="I1305">
        <v>65</v>
      </c>
      <c r="J1305">
        <f>(G1305-F1305)*I1305</f>
        <v>13.649999999999999</v>
      </c>
    </row>
    <row r="1306" spans="1:14">
      <c r="A1306" s="302"/>
      <c r="B1306" s="542"/>
      <c r="C1306" s="589" t="s">
        <v>1912</v>
      </c>
      <c r="D1306" s="288"/>
      <c r="E1306" s="290">
        <f>(G1306-F1306)/G1306</f>
        <v>0.24418604651162787</v>
      </c>
      <c r="F1306" s="588">
        <v>0.65</v>
      </c>
      <c r="G1306" s="33">
        <v>0.86</v>
      </c>
    </row>
    <row r="1307" spans="1:14">
      <c r="A1307" s="302"/>
      <c r="B1307" s="589"/>
      <c r="C1307" s="516" t="s">
        <v>485</v>
      </c>
      <c r="D1307" s="516"/>
      <c r="E1307" s="290">
        <f t="shared" si="1"/>
        <v>0.24752475247524752</v>
      </c>
      <c r="F1307" s="588">
        <v>0.76</v>
      </c>
      <c r="G1307" s="33">
        <v>1.01</v>
      </c>
    </row>
    <row r="1308" spans="1:14">
      <c r="A1308" s="302"/>
      <c r="B1308" s="542"/>
      <c r="C1308" s="288" t="s">
        <v>486</v>
      </c>
      <c r="D1308" s="288"/>
      <c r="E1308" s="290">
        <f t="shared" si="1"/>
        <v>0.24752475247524752</v>
      </c>
      <c r="F1308" s="588">
        <v>0.76</v>
      </c>
      <c r="G1308" s="33">
        <v>1.01</v>
      </c>
    </row>
    <row r="1309" spans="1:14">
      <c r="A1309" s="302"/>
      <c r="B1309" s="542"/>
      <c r="C1309" s="542" t="s">
        <v>1913</v>
      </c>
      <c r="D1309" s="288"/>
      <c r="E1309" s="290">
        <f t="shared" si="1"/>
        <v>0.12871287128712872</v>
      </c>
      <c r="F1309" s="588">
        <v>0.88</v>
      </c>
      <c r="G1309" s="33">
        <v>1.01</v>
      </c>
      <c r="I1309">
        <v>235</v>
      </c>
      <c r="J1309">
        <f>(G1309-F1309)*I1309</f>
        <v>30.55</v>
      </c>
    </row>
    <row r="1310" spans="1:14" ht="15.75" thickBot="1">
      <c r="A1310" s="590"/>
      <c r="B1310" s="546"/>
      <c r="C1310" s="591" t="s">
        <v>1914</v>
      </c>
      <c r="D1310" s="592"/>
      <c r="E1310" s="593">
        <f t="shared" si="1"/>
        <v>0.24752475247524752</v>
      </c>
      <c r="F1310" s="594">
        <v>0.76</v>
      </c>
      <c r="G1310" s="33">
        <v>1.01</v>
      </c>
    </row>
    <row r="1311" spans="1:14" ht="15.75" thickBot="1"/>
    <row r="1312" spans="1:14">
      <c r="A1312" s="3614" t="s">
        <v>0</v>
      </c>
      <c r="B1312" s="3693" t="s">
        <v>1</v>
      </c>
      <c r="C1312" s="3693" t="s">
        <v>2</v>
      </c>
      <c r="D1312" s="3693" t="s">
        <v>3</v>
      </c>
      <c r="E1312" s="3693" t="s">
        <v>4</v>
      </c>
      <c r="F1312" s="3522" t="s">
        <v>5</v>
      </c>
    </row>
    <row r="1313" spans="1:7" ht="15.75" thickBot="1">
      <c r="A1313" s="4069"/>
      <c r="B1313" s="4070"/>
      <c r="C1313" s="4070"/>
      <c r="D1313" s="4070"/>
      <c r="E1313" s="4070"/>
      <c r="F1313" s="4071"/>
    </row>
    <row r="1314" spans="1:7">
      <c r="A1314" s="302" t="s">
        <v>1919</v>
      </c>
      <c r="B1314" s="288" t="s">
        <v>200</v>
      </c>
      <c r="C1314" s="288" t="s">
        <v>1556</v>
      </c>
      <c r="D1314" s="288"/>
      <c r="E1314" s="290">
        <f>(G1314-F1314)/G1314</f>
        <v>0.11349546971864564</v>
      </c>
      <c r="F1314" s="603">
        <v>18.59</v>
      </c>
      <c r="G1314">
        <v>20.97</v>
      </c>
    </row>
    <row r="1315" spans="1:7">
      <c r="A1315" s="302"/>
      <c r="B1315" s="542"/>
      <c r="C1315" s="542" t="s">
        <v>1557</v>
      </c>
      <c r="D1315" s="288"/>
      <c r="E1315" s="290">
        <f>(G1315-F1315)/G1315</f>
        <v>0.11349546971864564</v>
      </c>
      <c r="F1315" s="603">
        <v>18.59</v>
      </c>
      <c r="G1315">
        <v>20.97</v>
      </c>
    </row>
    <row r="1316" spans="1:7">
      <c r="A1316" s="302"/>
      <c r="B1316" s="542"/>
      <c r="C1316" s="542" t="s">
        <v>1763</v>
      </c>
      <c r="D1316" s="288"/>
      <c r="E1316" s="290">
        <f>(G1316-F1316)/G1316</f>
        <v>0.11349546971864564</v>
      </c>
      <c r="F1316" s="603">
        <v>18.59</v>
      </c>
      <c r="G1316">
        <v>20.97</v>
      </c>
    </row>
    <row r="1317" spans="1:7" ht="15.75" thickBot="1">
      <c r="A1317" s="460"/>
      <c r="B1317" s="546"/>
      <c r="C1317" s="546"/>
      <c r="D1317" s="592"/>
      <c r="E1317" s="593"/>
      <c r="F1317" s="604"/>
    </row>
    <row r="1319" spans="1:7" ht="15.75" thickBot="1"/>
    <row r="1320" spans="1:7" ht="15.75" thickTop="1">
      <c r="A1320" s="3782" t="s">
        <v>0</v>
      </c>
      <c r="B1320" s="3781" t="s">
        <v>1</v>
      </c>
      <c r="C1320" s="3781" t="s">
        <v>2</v>
      </c>
      <c r="D1320" s="3781" t="s">
        <v>3</v>
      </c>
      <c r="E1320" s="3781" t="s">
        <v>4</v>
      </c>
      <c r="F1320" s="3765" t="s">
        <v>5</v>
      </c>
    </row>
    <row r="1321" spans="1:7" ht="15.75" thickBot="1">
      <c r="A1321" s="3783"/>
      <c r="B1321" s="4074"/>
      <c r="C1321" s="4074"/>
      <c r="D1321" s="4074"/>
      <c r="E1321" s="4074"/>
      <c r="F1321" s="3766"/>
    </row>
    <row r="1322" spans="1:7" ht="27" thickTop="1" thickBot="1">
      <c r="A1322" s="7" t="s">
        <v>1977</v>
      </c>
      <c r="B1322" s="288" t="s">
        <v>265</v>
      </c>
      <c r="C1322" s="692" t="s">
        <v>730</v>
      </c>
      <c r="D1322" s="288"/>
      <c r="E1322" s="290">
        <f>(G1322-F1322)/G1322</f>
        <v>0.14814814814814828</v>
      </c>
      <c r="F1322" s="693">
        <v>0.69</v>
      </c>
      <c r="G1322">
        <v>0.81</v>
      </c>
    </row>
    <row r="1323" spans="1:7" ht="26.25" thickBot="1">
      <c r="A1323" s="8"/>
      <c r="B1323" s="641" t="s">
        <v>264</v>
      </c>
      <c r="C1323" s="694" t="s">
        <v>554</v>
      </c>
      <c r="D1323" s="288"/>
      <c r="E1323" s="290">
        <f>(G1323-F1323)/G1323</f>
        <v>0.14655172413793099</v>
      </c>
      <c r="F1323" s="695">
        <v>0.99</v>
      </c>
      <c r="G1323">
        <v>1.1599999999999999</v>
      </c>
    </row>
    <row r="1324" spans="1:7" ht="15.75" thickBot="1">
      <c r="A1324" s="8"/>
      <c r="B1324" s="641" t="s">
        <v>266</v>
      </c>
      <c r="C1324" s="696" t="s">
        <v>1058</v>
      </c>
      <c r="D1324" s="288"/>
      <c r="E1324" s="290">
        <f>(G1324-F1324)/G1324</f>
        <v>0.15000000000000002</v>
      </c>
      <c r="F1324" s="695">
        <v>1.7</v>
      </c>
      <c r="G1324">
        <v>2</v>
      </c>
    </row>
    <row r="1325" spans="1:7">
      <c r="A1325" s="8"/>
      <c r="B1325" s="641" t="s">
        <v>267</v>
      </c>
      <c r="C1325" s="641"/>
      <c r="D1325" s="288"/>
      <c r="E1325" s="290"/>
      <c r="F1325" s="291"/>
    </row>
    <row r="1326" spans="1:7">
      <c r="A1326" s="8"/>
      <c r="B1326" s="641" t="s">
        <v>268</v>
      </c>
      <c r="C1326" s="641"/>
      <c r="D1326" s="288"/>
      <c r="E1326" s="697"/>
      <c r="F1326" s="698"/>
    </row>
    <row r="1327" spans="1:7">
      <c r="A1327" s="8"/>
      <c r="B1327" s="641" t="s">
        <v>1246</v>
      </c>
      <c r="C1327" s="641"/>
      <c r="D1327" s="288"/>
      <c r="E1327" s="697"/>
      <c r="F1327" s="698"/>
    </row>
    <row r="1328" spans="1:7">
      <c r="A1328" s="8"/>
      <c r="B1328" s="699" t="s">
        <v>1512</v>
      </c>
      <c r="C1328" s="641"/>
      <c r="D1328" s="288"/>
      <c r="E1328" s="697"/>
      <c r="F1328" s="698"/>
    </row>
    <row r="1329" spans="1:7">
      <c r="A1329" s="8"/>
      <c r="B1329" s="699" t="s">
        <v>1976</v>
      </c>
      <c r="C1329" s="641"/>
      <c r="D1329" s="288"/>
      <c r="E1329" s="697"/>
      <c r="F1329" s="698"/>
    </row>
    <row r="1330" spans="1:7">
      <c r="A1330" s="8"/>
      <c r="C1330" s="641"/>
      <c r="D1330" s="288"/>
      <c r="E1330" s="697"/>
      <c r="F1330" s="698"/>
    </row>
    <row r="1331" spans="1:7">
      <c r="A1331" s="8"/>
      <c r="C1331" s="699"/>
      <c r="D1331" s="699"/>
      <c r="E1331" s="699"/>
      <c r="F1331" s="700"/>
    </row>
    <row r="1332" spans="1:7">
      <c r="A1332" s="8"/>
      <c r="C1332" s="699"/>
      <c r="D1332" s="699"/>
      <c r="E1332" s="699"/>
      <c r="F1332" s="700"/>
    </row>
    <row r="1333" spans="1:7" ht="15.75" thickBot="1">
      <c r="A1333" s="9"/>
      <c r="B1333" s="701"/>
      <c r="C1333" s="701"/>
      <c r="D1333" s="701"/>
      <c r="E1333" s="701"/>
      <c r="F1333" s="4"/>
    </row>
    <row r="1334" spans="1:7" ht="15.75" thickTop="1"/>
    <row r="1336" spans="1:7" ht="15.75" thickBot="1"/>
    <row r="1337" spans="1:7">
      <c r="A1337" s="3516" t="s">
        <v>0</v>
      </c>
      <c r="B1337" s="3520" t="s">
        <v>1</v>
      </c>
      <c r="C1337" s="3520" t="s">
        <v>2</v>
      </c>
      <c r="D1337" s="3520" t="s">
        <v>3</v>
      </c>
      <c r="E1337" s="3520" t="s">
        <v>4</v>
      </c>
      <c r="F1337" s="4072" t="s">
        <v>5</v>
      </c>
    </row>
    <row r="1338" spans="1:7" ht="15.75" thickBot="1">
      <c r="A1338" s="3545"/>
      <c r="B1338" s="3547"/>
      <c r="C1338" s="3547"/>
      <c r="D1338" s="3547"/>
      <c r="E1338" s="3547"/>
      <c r="F1338" s="4073"/>
    </row>
    <row r="1339" spans="1:7">
      <c r="A1339" s="302" t="s">
        <v>1980</v>
      </c>
      <c r="B1339" s="288" t="s">
        <v>200</v>
      </c>
      <c r="C1339" s="288" t="s">
        <v>1556</v>
      </c>
      <c r="D1339" s="288"/>
      <c r="E1339" s="290">
        <f>(G1339-F1339)/G1339</f>
        <v>0.12017167381974247</v>
      </c>
      <c r="F1339" s="603">
        <v>18.45</v>
      </c>
      <c r="G1339">
        <v>20.97</v>
      </c>
    </row>
    <row r="1340" spans="1:7">
      <c r="A1340" s="302"/>
      <c r="B1340" s="641"/>
      <c r="C1340" s="641" t="s">
        <v>1555</v>
      </c>
      <c r="D1340" s="288"/>
      <c r="E1340" s="290">
        <f>(G1340-F1340)/G1340</f>
        <v>0.12017167381974247</v>
      </c>
      <c r="F1340" s="603">
        <v>18.45</v>
      </c>
      <c r="G1340">
        <v>20.97</v>
      </c>
    </row>
    <row r="1341" spans="1:7">
      <c r="A1341" s="302"/>
      <c r="B1341" s="641"/>
      <c r="C1341" s="641" t="s">
        <v>1763</v>
      </c>
      <c r="D1341" s="288"/>
      <c r="E1341" s="290">
        <f>(G1341-F1341)/G1341</f>
        <v>0.12017167381974247</v>
      </c>
      <c r="F1341" s="603">
        <v>18.45</v>
      </c>
      <c r="G1341">
        <v>20.97</v>
      </c>
    </row>
    <row r="1342" spans="1:7" ht="15.75" thickBot="1">
      <c r="A1342" s="460"/>
      <c r="B1342" s="623"/>
      <c r="C1342" s="623"/>
      <c r="D1342" s="592"/>
      <c r="E1342" s="593"/>
      <c r="F1342" s="604"/>
    </row>
    <row r="1343" spans="1:7" ht="15.75" thickBot="1"/>
    <row r="1344" spans="1:7">
      <c r="A1344" s="3614" t="s">
        <v>0</v>
      </c>
      <c r="B1344" s="3693" t="s">
        <v>1</v>
      </c>
      <c r="C1344" s="3693" t="s">
        <v>2</v>
      </c>
      <c r="D1344" s="3693" t="s">
        <v>3</v>
      </c>
      <c r="E1344" s="3693" t="s">
        <v>4</v>
      </c>
      <c r="F1344" s="3522" t="s">
        <v>5</v>
      </c>
    </row>
    <row r="1345" spans="1:7" ht="15.75" thickBot="1">
      <c r="A1345" s="4079"/>
      <c r="B1345" s="4058"/>
      <c r="C1345" s="4058"/>
      <c r="D1345" s="4058"/>
      <c r="E1345" s="4058"/>
      <c r="F1345" s="4059"/>
    </row>
    <row r="1346" spans="1:7">
      <c r="A1346" s="825" t="s">
        <v>2063</v>
      </c>
      <c r="B1346" s="288" t="s">
        <v>200</v>
      </c>
      <c r="C1346" s="739" t="s">
        <v>1555</v>
      </c>
      <c r="D1346" s="288"/>
      <c r="E1346" s="290">
        <f>(G1346-F1346)/G1346</f>
        <v>0.21030042918454939</v>
      </c>
      <c r="F1346" s="603">
        <v>16.559999999999999</v>
      </c>
      <c r="G1346">
        <v>20.97</v>
      </c>
    </row>
    <row r="1347" spans="1:7">
      <c r="A1347" s="302"/>
      <c r="B1347" s="739"/>
      <c r="C1347" s="288" t="s">
        <v>1556</v>
      </c>
      <c r="D1347" s="288"/>
      <c r="E1347" s="290">
        <f>(G1347-F1347)/G1347</f>
        <v>0.10014306151645198</v>
      </c>
      <c r="F1347" s="603">
        <v>18.87</v>
      </c>
      <c r="G1347">
        <v>20.97</v>
      </c>
    </row>
    <row r="1348" spans="1:7" ht="15.75" thickBot="1">
      <c r="A1348" s="460"/>
      <c r="B1348" s="755"/>
      <c r="C1348" s="739" t="s">
        <v>1763</v>
      </c>
      <c r="D1348" s="592"/>
      <c r="E1348" s="593">
        <f>(G1348-F1348)/G1348</f>
        <v>0.10014306151645198</v>
      </c>
      <c r="F1348" s="826">
        <v>18.87</v>
      </c>
      <c r="G1348">
        <v>20.97</v>
      </c>
    </row>
    <row r="1349" spans="1:7" ht="15.75" thickBot="1"/>
    <row r="1350" spans="1:7">
      <c r="A1350" s="3614" t="s">
        <v>0</v>
      </c>
      <c r="B1350" s="3693" t="s">
        <v>1</v>
      </c>
      <c r="C1350" s="3693" t="s">
        <v>2</v>
      </c>
      <c r="D1350" s="3693" t="s">
        <v>3</v>
      </c>
      <c r="E1350" s="3693" t="s">
        <v>4</v>
      </c>
      <c r="F1350" s="3522" t="s">
        <v>5</v>
      </c>
    </row>
    <row r="1351" spans="1:7" ht="15.75" thickBot="1">
      <c r="A1351" s="4060"/>
      <c r="B1351" s="4066"/>
      <c r="C1351" s="3715"/>
      <c r="D1351" s="4066"/>
      <c r="E1351" s="4066"/>
      <c r="F1351" s="4067"/>
    </row>
    <row r="1352" spans="1:7" ht="16.5" thickTop="1" thickBot="1">
      <c r="A1352" s="867" t="s">
        <v>2091</v>
      </c>
      <c r="B1352" s="868" t="s">
        <v>265</v>
      </c>
      <c r="C1352" s="869" t="s">
        <v>1315</v>
      </c>
      <c r="D1352" s="426"/>
      <c r="E1352" s="290">
        <f>(G1352-F1352)/G1352</f>
        <v>0.36912751677852351</v>
      </c>
      <c r="F1352" s="693">
        <v>0.94</v>
      </c>
      <c r="G1352">
        <v>1.49</v>
      </c>
    </row>
    <row r="1353" spans="1:7" ht="15.75" thickBot="1">
      <c r="A1353" s="302"/>
      <c r="B1353" s="870" t="s">
        <v>264</v>
      </c>
      <c r="C1353" s="869" t="s">
        <v>1316</v>
      </c>
      <c r="D1353" s="426"/>
      <c r="E1353" s="290">
        <f>(G1353-F1353)/G1353</f>
        <v>0.36912751677852351</v>
      </c>
      <c r="F1353" s="695">
        <v>0.94</v>
      </c>
      <c r="G1353">
        <v>1.49</v>
      </c>
    </row>
    <row r="1354" spans="1:7" ht="15.75" thickBot="1">
      <c r="A1354" s="302"/>
      <c r="B1354" s="870" t="s">
        <v>266</v>
      </c>
      <c r="C1354" s="869" t="s">
        <v>2066</v>
      </c>
      <c r="D1354" s="426"/>
      <c r="E1354" s="290">
        <f>(G1354-F1354)/G1354</f>
        <v>0.36912751677852351</v>
      </c>
      <c r="F1354" s="695">
        <v>0.94</v>
      </c>
      <c r="G1354">
        <v>1.49</v>
      </c>
    </row>
    <row r="1355" spans="1:7">
      <c r="A1355" s="302"/>
      <c r="B1355" s="870" t="s">
        <v>267</v>
      </c>
      <c r="C1355" s="739"/>
      <c r="D1355" s="426"/>
      <c r="E1355" s="290"/>
      <c r="F1355" s="399"/>
    </row>
    <row r="1356" spans="1:7">
      <c r="A1356" s="302"/>
      <c r="B1356" s="870" t="s">
        <v>268</v>
      </c>
      <c r="C1356" s="739"/>
      <c r="D1356" s="426"/>
      <c r="E1356" s="740"/>
      <c r="F1356" s="754"/>
    </row>
    <row r="1357" spans="1:7">
      <c r="A1357" s="302"/>
      <c r="B1357" s="870" t="s">
        <v>1246</v>
      </c>
      <c r="C1357" s="739"/>
      <c r="D1357" s="426"/>
      <c r="E1357" s="740"/>
      <c r="F1357" s="754"/>
    </row>
    <row r="1358" spans="1:7">
      <c r="A1358" s="302"/>
      <c r="B1358" s="871" t="s">
        <v>1512</v>
      </c>
      <c r="C1358" s="739"/>
      <c r="D1358" s="426"/>
      <c r="E1358" s="740"/>
      <c r="F1358" s="754"/>
    </row>
    <row r="1359" spans="1:7" ht="15.75" thickBot="1">
      <c r="A1359" s="460"/>
      <c r="B1359" s="760" t="s">
        <v>1976</v>
      </c>
      <c r="C1359" s="755"/>
      <c r="D1359" s="592"/>
      <c r="E1359" s="850"/>
      <c r="F1359" s="756"/>
    </row>
    <row r="1362" spans="1:7" ht="15.75" thickBot="1"/>
    <row r="1363" spans="1:7">
      <c r="A1363" s="3614" t="s">
        <v>0</v>
      </c>
      <c r="B1363" s="3693" t="s">
        <v>1</v>
      </c>
      <c r="C1363" s="3693" t="s">
        <v>2</v>
      </c>
      <c r="D1363" s="3693" t="s">
        <v>3</v>
      </c>
      <c r="E1363" s="3693" t="s">
        <v>4</v>
      </c>
      <c r="F1363" s="3522" t="s">
        <v>5</v>
      </c>
    </row>
    <row r="1364" spans="1:7" ht="15.75" thickBot="1">
      <c r="A1364" s="4079"/>
      <c r="B1364" s="4058"/>
      <c r="C1364" s="4058"/>
      <c r="D1364" s="4058"/>
      <c r="E1364" s="4058"/>
      <c r="F1364" s="4059"/>
    </row>
    <row r="1365" spans="1:7">
      <c r="A1365" s="876" t="s">
        <v>2098</v>
      </c>
      <c r="B1365" s="288" t="s">
        <v>200</v>
      </c>
      <c r="C1365" s="739" t="s">
        <v>1555</v>
      </c>
      <c r="D1365" s="288"/>
      <c r="E1365" s="290">
        <f>(G1365-F1365)/G1365</f>
        <v>0.10014306151645198</v>
      </c>
      <c r="F1365" s="603">
        <v>18.87</v>
      </c>
      <c r="G1365">
        <v>20.97</v>
      </c>
    </row>
    <row r="1366" spans="1:7">
      <c r="A1366" s="302"/>
      <c r="B1366" s="739"/>
      <c r="C1366" s="288"/>
      <c r="D1366" s="288"/>
      <c r="E1366" s="290"/>
      <c r="F1366" s="603"/>
    </row>
    <row r="1367" spans="1:7" ht="15.75" thickBot="1">
      <c r="A1367" s="460"/>
      <c r="B1367" s="755"/>
      <c r="C1367" s="739"/>
      <c r="D1367" s="592"/>
      <c r="E1367" s="593"/>
      <c r="F1367" s="826"/>
    </row>
    <row r="1369" spans="1:7" ht="15.75" thickBot="1"/>
    <row r="1370" spans="1:7">
      <c r="A1370" s="3614" t="s">
        <v>0</v>
      </c>
      <c r="B1370" s="3693" t="s">
        <v>1</v>
      </c>
      <c r="C1370" s="3693" t="s">
        <v>2</v>
      </c>
      <c r="D1370" s="3693" t="s">
        <v>3</v>
      </c>
      <c r="E1370" s="3693" t="s">
        <v>4</v>
      </c>
      <c r="F1370" s="3522" t="s">
        <v>5</v>
      </c>
    </row>
    <row r="1371" spans="1:7" ht="15.75" thickBot="1">
      <c r="A1371" s="4060"/>
      <c r="B1371" s="4066"/>
      <c r="C1371" s="4066"/>
      <c r="D1371" s="4066"/>
      <c r="E1371" s="4066"/>
      <c r="F1371" s="4067"/>
    </row>
    <row r="1372" spans="1:7" ht="30.75" thickTop="1">
      <c r="A1372" s="867" t="s">
        <v>2108</v>
      </c>
      <c r="B1372" s="288" t="s">
        <v>232</v>
      </c>
      <c r="C1372" s="888" t="s">
        <v>2109</v>
      </c>
      <c r="D1372" s="288"/>
      <c r="E1372" s="290">
        <f t="shared" ref="E1372:E1377" si="2">(G1372-F1372)/G1372</f>
        <v>0.20075757575757583</v>
      </c>
      <c r="F1372" s="399">
        <v>2.11</v>
      </c>
      <c r="G1372">
        <v>2.64</v>
      </c>
    </row>
    <row r="1373" spans="1:7">
      <c r="A1373" s="302"/>
      <c r="B1373" s="739"/>
      <c r="C1373" s="739" t="s">
        <v>1363</v>
      </c>
      <c r="D1373" s="288"/>
      <c r="E1373" s="290">
        <f t="shared" si="2"/>
        <v>0.21964285714285708</v>
      </c>
      <c r="F1373" s="399">
        <v>4.37</v>
      </c>
      <c r="G1373">
        <v>5.6</v>
      </c>
    </row>
    <row r="1374" spans="1:7">
      <c r="A1374" s="302"/>
      <c r="B1374" s="739"/>
      <c r="C1374" s="739" t="s">
        <v>510</v>
      </c>
      <c r="D1374" s="288"/>
      <c r="E1374" s="290">
        <f t="shared" si="2"/>
        <v>0.21964285714285708</v>
      </c>
      <c r="F1374" s="399">
        <v>4.37</v>
      </c>
      <c r="G1374">
        <v>5.6</v>
      </c>
    </row>
    <row r="1375" spans="1:7">
      <c r="A1375" s="302"/>
      <c r="B1375" s="739"/>
      <c r="C1375" s="739" t="s">
        <v>1661</v>
      </c>
      <c r="D1375" s="288"/>
      <c r="E1375" s="290">
        <f t="shared" si="2"/>
        <v>0.21964285714285708</v>
      </c>
      <c r="F1375" s="399">
        <v>4.37</v>
      </c>
      <c r="G1375">
        <v>5.6</v>
      </c>
    </row>
    <row r="1376" spans="1:7">
      <c r="A1376" s="302"/>
      <c r="B1376" s="889"/>
      <c r="C1376" s="739" t="s">
        <v>1923</v>
      </c>
      <c r="D1376" s="288"/>
      <c r="E1376" s="290">
        <f t="shared" si="2"/>
        <v>0.21964285714285708</v>
      </c>
      <c r="F1376" s="399">
        <v>4.37</v>
      </c>
      <c r="G1376">
        <v>5.6</v>
      </c>
    </row>
    <row r="1377" spans="1:7" ht="15.75" thickBot="1">
      <c r="A1377" s="460"/>
      <c r="B1377" s="755"/>
      <c r="C1377" s="755" t="s">
        <v>1521</v>
      </c>
      <c r="D1377" s="592"/>
      <c r="E1377" s="290">
        <f t="shared" si="2"/>
        <v>0.21964285714285708</v>
      </c>
      <c r="F1377" s="399">
        <v>4.37</v>
      </c>
      <c r="G1377">
        <v>5.6</v>
      </c>
    </row>
    <row r="1380" spans="1:7" ht="15.75" thickBot="1"/>
    <row r="1381" spans="1:7">
      <c r="A1381" s="3614" t="s">
        <v>0</v>
      </c>
      <c r="B1381" s="3693" t="s">
        <v>1</v>
      </c>
      <c r="C1381" s="3693" t="s">
        <v>2</v>
      </c>
      <c r="D1381" s="3693" t="s">
        <v>3</v>
      </c>
      <c r="E1381" s="3693" t="s">
        <v>4</v>
      </c>
      <c r="F1381" s="3522" t="s">
        <v>5</v>
      </c>
    </row>
    <row r="1382" spans="1:7" ht="15.75" thickBot="1">
      <c r="A1382" s="4060"/>
      <c r="B1382" s="4066"/>
      <c r="C1382" s="3715"/>
      <c r="D1382" s="4066"/>
      <c r="E1382" s="4066"/>
      <c r="F1382" s="4067"/>
    </row>
    <row r="1383" spans="1:7" ht="16.5" thickTop="1" thickBot="1">
      <c r="A1383" s="867" t="s">
        <v>2117</v>
      </c>
      <c r="B1383" s="868" t="s">
        <v>265</v>
      </c>
      <c r="C1383" s="869" t="s">
        <v>1904</v>
      </c>
      <c r="D1383" s="426"/>
      <c r="E1383" s="290">
        <f>(G1383-F1383)/G1383</f>
        <v>0.12686567164179116</v>
      </c>
      <c r="F1383" s="693">
        <v>1.17</v>
      </c>
      <c r="G1383">
        <v>1.34</v>
      </c>
    </row>
    <row r="1384" spans="1:7" ht="15.75" thickBot="1">
      <c r="A1384" s="302"/>
      <c r="B1384" s="870" t="s">
        <v>264</v>
      </c>
      <c r="C1384" s="869" t="s">
        <v>1975</v>
      </c>
      <c r="D1384" s="426"/>
      <c r="E1384" s="290">
        <f>(G1384-F1384)/G1384</f>
        <v>0.12837837837837834</v>
      </c>
      <c r="F1384" s="695">
        <v>1.29</v>
      </c>
      <c r="G1384">
        <v>1.48</v>
      </c>
    </row>
    <row r="1385" spans="1:7" ht="15.75" thickBot="1">
      <c r="A1385" s="302"/>
      <c r="B1385" s="870" t="s">
        <v>266</v>
      </c>
      <c r="C1385" s="869"/>
      <c r="D1385" s="426"/>
      <c r="E1385" s="290" t="e">
        <f>(G1385-F1385)/G1385</f>
        <v>#DIV/0!</v>
      </c>
      <c r="F1385" s="695"/>
    </row>
    <row r="1386" spans="1:7">
      <c r="A1386" s="302"/>
      <c r="B1386" s="870" t="s">
        <v>267</v>
      </c>
      <c r="C1386" s="739"/>
      <c r="D1386" s="426"/>
      <c r="E1386" s="290"/>
      <c r="F1386" s="399"/>
    </row>
    <row r="1387" spans="1:7">
      <c r="A1387" s="302"/>
      <c r="B1387" s="870" t="s">
        <v>268</v>
      </c>
      <c r="C1387" s="739"/>
      <c r="D1387" s="426"/>
      <c r="E1387" s="740"/>
      <c r="F1387" s="754"/>
    </row>
    <row r="1388" spans="1:7">
      <c r="A1388" s="302"/>
      <c r="B1388" s="870" t="s">
        <v>1246</v>
      </c>
      <c r="C1388" s="739"/>
      <c r="D1388" s="426"/>
      <c r="E1388" s="740"/>
      <c r="F1388" s="754"/>
    </row>
    <row r="1389" spans="1:7">
      <c r="A1389" s="302"/>
      <c r="B1389" s="871" t="s">
        <v>1512</v>
      </c>
      <c r="C1389" s="739"/>
      <c r="D1389" s="426"/>
      <c r="E1389" s="740"/>
      <c r="F1389" s="754"/>
    </row>
    <row r="1390" spans="1:7" ht="15.75" thickBot="1">
      <c r="A1390" s="460"/>
      <c r="B1390" s="760" t="s">
        <v>1976</v>
      </c>
      <c r="C1390" s="755"/>
      <c r="D1390" s="592"/>
      <c r="E1390" s="850"/>
      <c r="F1390" s="756"/>
    </row>
    <row r="1391" spans="1:7" ht="15.75" thickBot="1"/>
    <row r="1392" spans="1:7">
      <c r="A1392" s="3614" t="s">
        <v>0</v>
      </c>
      <c r="B1392" s="3693" t="s">
        <v>1</v>
      </c>
      <c r="C1392" s="3693" t="s">
        <v>2</v>
      </c>
      <c r="D1392" s="3693" t="s">
        <v>3</v>
      </c>
      <c r="E1392" s="3693" t="s">
        <v>4</v>
      </c>
      <c r="F1392" s="3522" t="s">
        <v>5</v>
      </c>
    </row>
    <row r="1393" spans="1:7" ht="15.75" thickBot="1">
      <c r="A1393" s="4079"/>
      <c r="B1393" s="4058"/>
      <c r="C1393" s="4058"/>
      <c r="D1393" s="4058"/>
      <c r="E1393" s="4058"/>
      <c r="F1393" s="4059"/>
    </row>
    <row r="1394" spans="1:7">
      <c r="A1394" s="876" t="s">
        <v>2149</v>
      </c>
      <c r="B1394" s="288" t="s">
        <v>200</v>
      </c>
      <c r="C1394" s="739" t="s">
        <v>1555</v>
      </c>
      <c r="D1394" s="288"/>
      <c r="E1394" s="290">
        <f>(G1394-F1394)/G1394</f>
        <v>0.21030042918454939</v>
      </c>
      <c r="F1394" s="603">
        <v>16.559999999999999</v>
      </c>
      <c r="G1394">
        <v>20.97</v>
      </c>
    </row>
    <row r="1395" spans="1:7">
      <c r="A1395" s="302"/>
      <c r="B1395" s="739"/>
      <c r="C1395" s="288" t="s">
        <v>1556</v>
      </c>
      <c r="D1395" s="288"/>
      <c r="E1395" s="290">
        <f>(G1395-F1395)/G1395</f>
        <v>0.10014306151645198</v>
      </c>
      <c r="F1395" s="603">
        <v>18.87</v>
      </c>
      <c r="G1395">
        <v>20.97</v>
      </c>
    </row>
    <row r="1396" spans="1:7" ht="15.75" thickBot="1">
      <c r="A1396" s="460"/>
      <c r="B1396" s="755"/>
      <c r="C1396" s="739" t="s">
        <v>1763</v>
      </c>
      <c r="D1396" s="592"/>
      <c r="E1396" s="290">
        <f>(G1396-F1396)/G1396</f>
        <v>0.10014306151645198</v>
      </c>
      <c r="F1396" s="826">
        <v>18.87</v>
      </c>
      <c r="G1396">
        <v>20.97</v>
      </c>
    </row>
    <row r="1398" spans="1:7" ht="15.75" thickBot="1"/>
    <row r="1399" spans="1:7">
      <c r="A1399" s="3614" t="s">
        <v>0</v>
      </c>
      <c r="B1399" s="3693" t="s">
        <v>1</v>
      </c>
      <c r="C1399" s="3693" t="s">
        <v>2</v>
      </c>
      <c r="D1399" s="3693" t="s">
        <v>3</v>
      </c>
      <c r="E1399" s="3693" t="s">
        <v>4</v>
      </c>
      <c r="F1399" s="3522" t="s">
        <v>5</v>
      </c>
    </row>
    <row r="1400" spans="1:7" ht="15.75" thickBot="1">
      <c r="A1400" s="4060"/>
      <c r="B1400" s="4066"/>
      <c r="C1400" s="3715"/>
      <c r="D1400" s="4066"/>
      <c r="E1400" s="4066"/>
      <c r="F1400" s="4067"/>
    </row>
    <row r="1401" spans="1:7" ht="27" thickTop="1" thickBot="1">
      <c r="A1401" s="867" t="s">
        <v>2158</v>
      </c>
      <c r="B1401" s="868" t="s">
        <v>265</v>
      </c>
      <c r="C1401" s="1119" t="s">
        <v>2156</v>
      </c>
      <c r="D1401" s="426"/>
      <c r="E1401" s="290">
        <f>(G1401-F1401)/G1401</f>
        <v>0.16574585635359118</v>
      </c>
      <c r="F1401" s="693">
        <v>1.51</v>
      </c>
      <c r="G1401">
        <v>1.81</v>
      </c>
    </row>
    <row r="1402" spans="1:7" ht="26.25" thickBot="1">
      <c r="A1402" s="302"/>
      <c r="B1402" s="870" t="s">
        <v>264</v>
      </c>
      <c r="C1402" s="1119" t="s">
        <v>2024</v>
      </c>
      <c r="D1402" s="426"/>
      <c r="E1402" s="290">
        <f>(G1402-F1402)/G1402</f>
        <v>0.16949152542372878</v>
      </c>
      <c r="F1402" s="695">
        <v>0.49</v>
      </c>
      <c r="G1402">
        <v>0.59</v>
      </c>
    </row>
    <row r="1403" spans="1:7" ht="15.75" thickBot="1">
      <c r="A1403" s="302"/>
      <c r="B1403" s="870" t="s">
        <v>266</v>
      </c>
      <c r="C1403" s="869"/>
      <c r="D1403" s="426"/>
      <c r="E1403" s="290" t="e">
        <f>(G1403-F1403)/G1403</f>
        <v>#DIV/0!</v>
      </c>
      <c r="F1403" s="695"/>
    </row>
    <row r="1404" spans="1:7">
      <c r="A1404" s="302"/>
      <c r="B1404" s="870" t="s">
        <v>267</v>
      </c>
      <c r="C1404" s="739"/>
      <c r="D1404" s="426"/>
      <c r="E1404" s="290"/>
      <c r="F1404" s="399"/>
    </row>
    <row r="1405" spans="1:7">
      <c r="A1405" s="302"/>
      <c r="B1405" s="870" t="s">
        <v>268</v>
      </c>
      <c r="C1405" s="739"/>
      <c r="D1405" s="426"/>
      <c r="E1405" s="740"/>
      <c r="F1405" s="754"/>
    </row>
    <row r="1406" spans="1:7">
      <c r="A1406" s="302"/>
      <c r="B1406" s="870" t="s">
        <v>1246</v>
      </c>
      <c r="C1406" s="739"/>
      <c r="D1406" s="426"/>
      <c r="E1406" s="740"/>
      <c r="F1406" s="754"/>
    </row>
    <row r="1407" spans="1:7">
      <c r="A1407" s="302"/>
      <c r="B1407" s="871" t="s">
        <v>1512</v>
      </c>
      <c r="C1407" s="739"/>
      <c r="D1407" s="426"/>
      <c r="E1407" s="740"/>
      <c r="F1407" s="754"/>
    </row>
    <row r="1408" spans="1:7" ht="15.75" thickBot="1">
      <c r="A1408" s="460"/>
      <c r="B1408" s="760" t="s">
        <v>1976</v>
      </c>
      <c r="C1408" s="755"/>
      <c r="D1408" s="592"/>
      <c r="E1408" s="850"/>
      <c r="F1408" s="756"/>
    </row>
    <row r="1411" spans="1:7" ht="15.75" thickBot="1"/>
    <row r="1412" spans="1:7">
      <c r="A1412" s="3614" t="s">
        <v>0</v>
      </c>
      <c r="B1412" s="3693" t="s">
        <v>1</v>
      </c>
      <c r="C1412" s="3693" t="s">
        <v>2</v>
      </c>
      <c r="D1412" s="3693" t="s">
        <v>3</v>
      </c>
      <c r="E1412" s="3693" t="s">
        <v>4</v>
      </c>
      <c r="F1412" s="3522" t="s">
        <v>5</v>
      </c>
    </row>
    <row r="1413" spans="1:7" ht="15.75" thickBot="1">
      <c r="A1413" s="4060"/>
      <c r="B1413" s="4066"/>
      <c r="C1413" s="3716"/>
      <c r="D1413" s="4066"/>
      <c r="E1413" s="4066"/>
      <c r="F1413" s="4067"/>
    </row>
    <row r="1414" spans="1:7" ht="27" thickTop="1" thickBot="1">
      <c r="A1414" s="867" t="s">
        <v>2197</v>
      </c>
      <c r="B1414" s="868" t="s">
        <v>265</v>
      </c>
      <c r="C1414" s="957" t="s">
        <v>554</v>
      </c>
      <c r="D1414" s="426"/>
      <c r="E1414" s="290">
        <f>(G1414-F1414)/G1414</f>
        <v>0.35344827586206889</v>
      </c>
      <c r="F1414" s="693">
        <v>0.75</v>
      </c>
      <c r="G1414">
        <v>1.1599999999999999</v>
      </c>
    </row>
    <row r="1415" spans="1:7" ht="15.75" thickBot="1">
      <c r="A1415" s="302"/>
      <c r="B1415" s="870" t="s">
        <v>264</v>
      </c>
      <c r="C1415" s="957"/>
      <c r="D1415" s="426"/>
      <c r="E1415" s="290" t="e">
        <f>(G1415-F1415)/G1415</f>
        <v>#DIV/0!</v>
      </c>
      <c r="F1415" s="695"/>
    </row>
    <row r="1416" spans="1:7" ht="15.75" thickBot="1">
      <c r="A1416" s="302"/>
      <c r="B1416" s="870" t="s">
        <v>266</v>
      </c>
      <c r="C1416" s="957"/>
      <c r="D1416" s="426"/>
      <c r="E1416" s="290" t="e">
        <f>(G1416-F1416)/G1416</f>
        <v>#DIV/0!</v>
      </c>
      <c r="F1416" s="695"/>
    </row>
    <row r="1417" spans="1:7">
      <c r="A1417" s="302"/>
      <c r="B1417" s="870" t="s">
        <v>267</v>
      </c>
      <c r="C1417" s="923"/>
      <c r="D1417" s="426"/>
      <c r="E1417" s="290"/>
      <c r="F1417" s="399"/>
    </row>
    <row r="1418" spans="1:7">
      <c r="A1418" s="302"/>
      <c r="B1418" s="870" t="s">
        <v>268</v>
      </c>
      <c r="C1418" s="923"/>
      <c r="D1418" s="426"/>
      <c r="E1418" s="926"/>
      <c r="F1418" s="754"/>
    </row>
    <row r="1419" spans="1:7">
      <c r="A1419" s="302"/>
      <c r="B1419" s="870" t="s">
        <v>1246</v>
      </c>
      <c r="C1419" s="923"/>
      <c r="D1419" s="426"/>
      <c r="E1419" s="926"/>
      <c r="F1419" s="754"/>
    </row>
    <row r="1420" spans="1:7">
      <c r="A1420" s="302"/>
      <c r="B1420" s="871" t="s">
        <v>1512</v>
      </c>
      <c r="C1420" s="923"/>
      <c r="D1420" s="426"/>
      <c r="E1420" s="926"/>
      <c r="F1420" s="754"/>
    </row>
    <row r="1421" spans="1:7" ht="15.75" thickBot="1">
      <c r="A1421" s="460"/>
      <c r="B1421" s="760" t="s">
        <v>1976</v>
      </c>
      <c r="C1421" s="755"/>
      <c r="D1421" s="592"/>
      <c r="E1421" s="850"/>
      <c r="F1421" s="756"/>
    </row>
    <row r="1423" spans="1:7" ht="15.75" thickBot="1"/>
    <row r="1424" spans="1:7">
      <c r="A1424" s="3614" t="s">
        <v>0</v>
      </c>
      <c r="B1424" s="3693" t="s">
        <v>1</v>
      </c>
      <c r="C1424" s="3693" t="s">
        <v>2</v>
      </c>
      <c r="D1424" s="3693" t="s">
        <v>3</v>
      </c>
      <c r="E1424" s="3693" t="s">
        <v>4</v>
      </c>
      <c r="F1424" s="3522" t="s">
        <v>5</v>
      </c>
    </row>
    <row r="1425" spans="1:7" ht="15.75" thickBot="1">
      <c r="A1425" s="4060"/>
      <c r="B1425" s="4066"/>
      <c r="C1425" s="3716"/>
      <c r="D1425" s="4066"/>
      <c r="E1425" s="4066"/>
      <c r="F1425" s="4067"/>
    </row>
    <row r="1426" spans="1:7" ht="16.5" thickTop="1" thickBot="1">
      <c r="A1426" s="867" t="s">
        <v>2215</v>
      </c>
      <c r="B1426" s="868" t="s">
        <v>265</v>
      </c>
      <c r="C1426" s="945" t="s">
        <v>2115</v>
      </c>
      <c r="D1426" s="426"/>
      <c r="E1426" s="290">
        <f>(G1426-F1426)/G1426</f>
        <v>0.20134228187919467</v>
      </c>
      <c r="F1426" s="693">
        <v>1.19</v>
      </c>
      <c r="G1426">
        <v>1.49</v>
      </c>
    </row>
    <row r="1427" spans="1:7" ht="15.75" thickBot="1">
      <c r="A1427" s="302"/>
      <c r="B1427" s="870" t="s">
        <v>264</v>
      </c>
      <c r="C1427" s="945" t="s">
        <v>1315</v>
      </c>
      <c r="D1427" s="426"/>
      <c r="E1427" s="290">
        <f>(G1427-F1427)/G1427</f>
        <v>0.20134228187919467</v>
      </c>
      <c r="F1427" s="693">
        <v>1.19</v>
      </c>
      <c r="G1427">
        <v>1.49</v>
      </c>
    </row>
    <row r="1428" spans="1:7" ht="15.75" thickBot="1">
      <c r="A1428" s="302"/>
      <c r="B1428" s="870" t="s">
        <v>266</v>
      </c>
      <c r="C1428" s="945" t="s">
        <v>2116</v>
      </c>
      <c r="D1428" s="426"/>
      <c r="E1428" s="290">
        <f>(G1428-F1428)/G1428</f>
        <v>0.20134228187919467</v>
      </c>
      <c r="F1428" s="693">
        <v>1.19</v>
      </c>
      <c r="G1428">
        <v>1.49</v>
      </c>
    </row>
    <row r="1429" spans="1:7" ht="15.75" thickBot="1">
      <c r="A1429" s="302"/>
      <c r="B1429" s="870" t="s">
        <v>267</v>
      </c>
      <c r="C1429" s="945" t="s">
        <v>2066</v>
      </c>
      <c r="D1429" s="426"/>
      <c r="E1429" s="290">
        <f>(G1429-F1429)/G1429</f>
        <v>0.20134228187919467</v>
      </c>
      <c r="F1429" s="693">
        <v>1.19</v>
      </c>
      <c r="G1429">
        <v>1.49</v>
      </c>
    </row>
    <row r="1430" spans="1:7">
      <c r="A1430" s="302"/>
      <c r="B1430" s="870" t="s">
        <v>268</v>
      </c>
      <c r="C1430" s="191" t="s">
        <v>1892</v>
      </c>
      <c r="D1430" s="426"/>
      <c r="E1430" s="290">
        <f>(G1430-F1430)/G1430</f>
        <v>0.12244897959183673</v>
      </c>
      <c r="F1430" s="963">
        <v>0.86</v>
      </c>
      <c r="G1430">
        <v>0.98</v>
      </c>
    </row>
    <row r="1431" spans="1:7">
      <c r="A1431" s="302"/>
      <c r="B1431" s="870" t="s">
        <v>1246</v>
      </c>
      <c r="C1431" s="923"/>
      <c r="D1431" s="426"/>
      <c r="E1431" s="926"/>
      <c r="F1431" s="754"/>
    </row>
    <row r="1432" spans="1:7">
      <c r="A1432" s="302"/>
      <c r="B1432" s="871" t="s">
        <v>1512</v>
      </c>
      <c r="C1432" s="923"/>
      <c r="D1432" s="426"/>
      <c r="E1432" s="926"/>
      <c r="F1432" s="754"/>
    </row>
    <row r="1433" spans="1:7" ht="15.75" thickBot="1">
      <c r="A1433" s="460"/>
      <c r="B1433" s="760" t="s">
        <v>1976</v>
      </c>
      <c r="C1433" s="755"/>
      <c r="D1433" s="592"/>
      <c r="E1433" s="850"/>
      <c r="F1433" s="756"/>
    </row>
    <row r="1435" spans="1:7" ht="15.75" thickBot="1"/>
    <row r="1436" spans="1:7">
      <c r="A1436" s="3614" t="s">
        <v>0</v>
      </c>
      <c r="B1436" s="3693" t="s">
        <v>1</v>
      </c>
      <c r="C1436" s="3693" t="s">
        <v>2</v>
      </c>
      <c r="D1436" s="3693" t="s">
        <v>3</v>
      </c>
      <c r="E1436" s="3693" t="s">
        <v>4</v>
      </c>
      <c r="F1436" s="3522" t="s">
        <v>5</v>
      </c>
    </row>
    <row r="1437" spans="1:7" ht="15.75" thickBot="1">
      <c r="A1437" s="4079"/>
      <c r="B1437" s="4058"/>
      <c r="C1437" s="4058"/>
      <c r="D1437" s="4058"/>
      <c r="E1437" s="4058"/>
      <c r="F1437" s="4059"/>
    </row>
    <row r="1438" spans="1:7">
      <c r="A1438" s="876" t="s">
        <v>2221</v>
      </c>
      <c r="B1438" s="288" t="s">
        <v>200</v>
      </c>
      <c r="C1438" s="923" t="s">
        <v>1555</v>
      </c>
      <c r="D1438" s="288"/>
      <c r="E1438" s="290">
        <f>(G1438-F1438)/G1438</f>
        <v>0.14020028612303281</v>
      </c>
      <c r="F1438" s="603">
        <v>18.03</v>
      </c>
      <c r="G1438">
        <v>20.97</v>
      </c>
    </row>
    <row r="1439" spans="1:7">
      <c r="A1439" s="302"/>
      <c r="B1439" s="923"/>
      <c r="C1439" s="288" t="s">
        <v>1556</v>
      </c>
      <c r="D1439" s="288"/>
      <c r="E1439" s="290">
        <f>(G1439-F1439)/G1439</f>
        <v>0.14020028612303281</v>
      </c>
      <c r="F1439" s="603">
        <v>18.03</v>
      </c>
      <c r="G1439">
        <v>20.97</v>
      </c>
    </row>
    <row r="1440" spans="1:7" ht="15.75" thickBot="1">
      <c r="A1440" s="460"/>
      <c r="B1440" s="755"/>
      <c r="C1440" s="923" t="s">
        <v>1763</v>
      </c>
      <c r="D1440" s="592"/>
      <c r="E1440" s="290">
        <f>(G1440-F1440)/G1440</f>
        <v>0.14020028612303281</v>
      </c>
      <c r="F1440" s="826">
        <v>18.03</v>
      </c>
      <c r="G1440">
        <v>20.97</v>
      </c>
    </row>
    <row r="1441" spans="1:7" ht="15.75" thickBot="1"/>
    <row r="1442" spans="1:7">
      <c r="A1442" s="3614" t="s">
        <v>0</v>
      </c>
      <c r="B1442" s="3693" t="s">
        <v>1</v>
      </c>
      <c r="C1442" s="3693" t="s">
        <v>2</v>
      </c>
      <c r="D1442" s="3693" t="s">
        <v>3</v>
      </c>
      <c r="E1442" s="3693" t="s">
        <v>4</v>
      </c>
      <c r="F1442" s="3522" t="s">
        <v>5</v>
      </c>
    </row>
    <row r="1443" spans="1:7" ht="15.75" thickBot="1">
      <c r="A1443" s="4083"/>
      <c r="B1443" s="4084"/>
      <c r="C1443" s="4084"/>
      <c r="D1443" s="4084"/>
      <c r="E1443" s="4084"/>
      <c r="F1443" s="4085"/>
    </row>
    <row r="1444" spans="1:7">
      <c r="A1444" s="302" t="s">
        <v>2279</v>
      </c>
      <c r="B1444" s="288" t="s">
        <v>445</v>
      </c>
      <c r="C1444" s="1207" t="s">
        <v>1975</v>
      </c>
      <c r="D1444" s="288"/>
      <c r="E1444" s="290">
        <f>(G1444-F1444)/G1444</f>
        <v>0.19875776397515529</v>
      </c>
      <c r="F1444" s="603">
        <v>1.29</v>
      </c>
      <c r="G1444">
        <v>1.61</v>
      </c>
    </row>
    <row r="1445" spans="1:7">
      <c r="A1445" s="302"/>
      <c r="B1445" s="1031"/>
      <c r="C1445" s="1210" t="s">
        <v>1904</v>
      </c>
      <c r="D1445" s="288"/>
      <c r="E1445" s="290">
        <f>(G1445-F1445)/G1445</f>
        <v>0.1974522292993631</v>
      </c>
      <c r="F1445" s="603">
        <v>1.26</v>
      </c>
      <c r="G1445">
        <v>1.57</v>
      </c>
    </row>
    <row r="1446" spans="1:7">
      <c r="A1446" s="302"/>
      <c r="B1446" s="1031"/>
      <c r="C1446" s="1031"/>
      <c r="D1446" s="288"/>
      <c r="E1446" s="290" t="e">
        <f>(G1446-F1446)/G1446</f>
        <v>#DIV/0!</v>
      </c>
      <c r="F1446" s="603"/>
    </row>
    <row r="1447" spans="1:7" ht="15.75" thickBot="1">
      <c r="A1447" s="460"/>
      <c r="B1447" s="1032"/>
      <c r="C1447" s="1032"/>
      <c r="D1447" s="592"/>
      <c r="E1447" s="593"/>
      <c r="F1447" s="604"/>
    </row>
    <row r="1450" spans="1:7" ht="15.75" thickBot="1"/>
    <row r="1451" spans="1:7">
      <c r="A1451" s="3614" t="s">
        <v>0</v>
      </c>
      <c r="B1451" s="3693" t="s">
        <v>1</v>
      </c>
      <c r="C1451" s="3693" t="s">
        <v>2</v>
      </c>
      <c r="D1451" s="3693" t="s">
        <v>3</v>
      </c>
      <c r="E1451" s="3693" t="s">
        <v>4</v>
      </c>
      <c r="F1451" s="3522" t="s">
        <v>5</v>
      </c>
    </row>
    <row r="1452" spans="1:7" ht="15.75" thickBot="1">
      <c r="A1452" s="4080"/>
      <c r="B1452" s="4081"/>
      <c r="C1452" s="3711"/>
      <c r="D1452" s="4081"/>
      <c r="E1452" s="4081"/>
      <c r="F1452" s="4082"/>
    </row>
    <row r="1453" spans="1:7" ht="16.5" thickTop="1" thickBot="1">
      <c r="A1453" s="867" t="s">
        <v>2283</v>
      </c>
      <c r="B1453" s="868" t="s">
        <v>265</v>
      </c>
      <c r="C1453" s="1042" t="s">
        <v>1058</v>
      </c>
      <c r="D1453" s="426"/>
      <c r="E1453" s="290">
        <f>(G1453-F1453)/G1453</f>
        <v>0.15000000000000002</v>
      </c>
      <c r="F1453" s="693">
        <v>1.7</v>
      </c>
      <c r="G1453">
        <v>2</v>
      </c>
    </row>
    <row r="1454" spans="1:7" ht="15.75" thickBot="1">
      <c r="A1454" s="302"/>
      <c r="B1454" s="1043" t="s">
        <v>264</v>
      </c>
      <c r="C1454" s="1042" t="s">
        <v>2284</v>
      </c>
      <c r="D1454" s="426"/>
      <c r="E1454" s="290">
        <f>(G1454-F1454)/G1454</f>
        <v>0.18934911242603542</v>
      </c>
      <c r="F1454" s="693">
        <v>1.37</v>
      </c>
      <c r="G1454">
        <v>1.69</v>
      </c>
    </row>
    <row r="1455" spans="1:7" ht="15.75" thickBot="1">
      <c r="A1455" s="302"/>
      <c r="B1455" s="1043" t="s">
        <v>266</v>
      </c>
      <c r="C1455" s="1042"/>
      <c r="D1455" s="426"/>
      <c r="E1455" s="290" t="e">
        <f>(G1455-F1455)/G1455</f>
        <v>#DIV/0!</v>
      </c>
      <c r="F1455" s="693"/>
    </row>
    <row r="1456" spans="1:7" ht="15.75" thickBot="1">
      <c r="A1456" s="302"/>
      <c r="B1456" s="1043" t="s">
        <v>267</v>
      </c>
      <c r="C1456" s="1042"/>
      <c r="D1456" s="426"/>
      <c r="E1456" s="290" t="e">
        <f>(G1456-F1456)/G1456</f>
        <v>#DIV/0!</v>
      </c>
      <c r="F1456" s="693"/>
    </row>
    <row r="1457" spans="1:7">
      <c r="A1457" s="302"/>
      <c r="B1457" s="1043" t="s">
        <v>268</v>
      </c>
      <c r="C1457" s="5"/>
      <c r="D1457" s="426"/>
      <c r="E1457" s="290" t="e">
        <f>(G1457-F1457)/G1457</f>
        <v>#DIV/0!</v>
      </c>
      <c r="F1457" s="963"/>
    </row>
    <row r="1458" spans="1:7">
      <c r="A1458" s="302"/>
      <c r="B1458" s="1043" t="s">
        <v>1246</v>
      </c>
      <c r="C1458" s="1031"/>
      <c r="D1458" s="426"/>
      <c r="E1458" s="1044"/>
      <c r="F1458" s="1045"/>
    </row>
    <row r="1459" spans="1:7">
      <c r="A1459" s="302"/>
      <c r="B1459" s="1046" t="s">
        <v>1512</v>
      </c>
      <c r="C1459" s="1031"/>
      <c r="D1459" s="426"/>
      <c r="E1459" s="1044"/>
      <c r="F1459" s="1045"/>
    </row>
    <row r="1460" spans="1:7" ht="15.75" thickBot="1">
      <c r="A1460" s="460"/>
      <c r="B1460" s="1047" t="s">
        <v>1976</v>
      </c>
      <c r="C1460" s="1032"/>
      <c r="D1460" s="592"/>
      <c r="E1460" s="1048"/>
      <c r="F1460" s="1049"/>
    </row>
    <row r="1462" spans="1:7" ht="15.75" thickBot="1"/>
    <row r="1463" spans="1:7" s="667" customFormat="1">
      <c r="A1463" s="4086" t="s">
        <v>0</v>
      </c>
      <c r="B1463" s="4088" t="s">
        <v>1</v>
      </c>
      <c r="C1463" s="4088" t="s">
        <v>2</v>
      </c>
      <c r="D1463" s="4088" t="s">
        <v>3</v>
      </c>
      <c r="E1463" s="4088" t="s">
        <v>4</v>
      </c>
      <c r="F1463" s="4090" t="s">
        <v>5</v>
      </c>
      <c r="G1463" s="1067"/>
    </row>
    <row r="1464" spans="1:7" s="667" customFormat="1" ht="15.75" thickBot="1">
      <c r="A1464" s="4087"/>
      <c r="B1464" s="4089"/>
      <c r="C1464" s="4089"/>
      <c r="D1464" s="4089"/>
      <c r="E1464" s="4089"/>
      <c r="F1464" s="4091"/>
      <c r="G1464" s="1067"/>
    </row>
    <row r="1465" spans="1:7" s="667" customFormat="1">
      <c r="A1465" s="1068" t="s">
        <v>2301</v>
      </c>
      <c r="B1465" s="1069" t="s">
        <v>200</v>
      </c>
      <c r="C1465" s="1070" t="s">
        <v>1555</v>
      </c>
      <c r="D1465" s="1069"/>
      <c r="E1465" s="1071">
        <f>(G1465-F1465)/G1465</f>
        <v>0.16009174311926613</v>
      </c>
      <c r="F1465" s="1072">
        <v>18.309999999999999</v>
      </c>
      <c r="G1465" s="1067">
        <v>21.8</v>
      </c>
    </row>
    <row r="1466" spans="1:7" s="667" customFormat="1">
      <c r="A1466" s="1073"/>
      <c r="B1466" s="1070"/>
      <c r="C1466" s="1069" t="s">
        <v>1556</v>
      </c>
      <c r="D1466" s="1069"/>
      <c r="E1466" s="1071">
        <f>(G1466-F1466)/G1466</f>
        <v>0.16009174311926613</v>
      </c>
      <c r="F1466" s="1072">
        <v>18.309999999999999</v>
      </c>
      <c r="G1466" s="1067">
        <v>21.8</v>
      </c>
    </row>
    <row r="1467" spans="1:7" s="667" customFormat="1" ht="15.75" thickBot="1">
      <c r="A1467" s="1074"/>
      <c r="B1467" s="1075"/>
      <c r="C1467" s="1070" t="s">
        <v>1763</v>
      </c>
      <c r="D1467" s="1076"/>
      <c r="E1467" s="1071">
        <f>(G1467-F1467)/G1467</f>
        <v>0.16009174311926613</v>
      </c>
      <c r="F1467" s="1072">
        <v>18.309999999999999</v>
      </c>
      <c r="G1467" s="1067">
        <v>21.8</v>
      </c>
    </row>
    <row r="1468" spans="1:7" ht="15.75" thickBot="1"/>
    <row r="1469" spans="1:7">
      <c r="A1469" s="3614" t="s">
        <v>0</v>
      </c>
      <c r="B1469" s="3693" t="s">
        <v>1</v>
      </c>
      <c r="C1469" s="3693" t="s">
        <v>2</v>
      </c>
      <c r="D1469" s="3693" t="s">
        <v>3</v>
      </c>
      <c r="E1469" s="3693" t="s">
        <v>4</v>
      </c>
      <c r="F1469" s="3522" t="s">
        <v>5</v>
      </c>
    </row>
    <row r="1470" spans="1:7" ht="15.75" thickBot="1">
      <c r="A1470" s="4080"/>
      <c r="B1470" s="4081"/>
      <c r="C1470" s="3711"/>
      <c r="D1470" s="4081"/>
      <c r="E1470" s="4081"/>
      <c r="F1470" s="4082"/>
    </row>
    <row r="1471" spans="1:7" ht="16.5" thickTop="1" thickBot="1">
      <c r="A1471" s="867" t="s">
        <v>2336</v>
      </c>
      <c r="B1471" s="868" t="s">
        <v>265</v>
      </c>
      <c r="C1471" s="1042" t="s">
        <v>2115</v>
      </c>
      <c r="D1471" s="426"/>
      <c r="E1471" s="290">
        <f>(G1471-F1471)/G1471</f>
        <v>0.3020134228187919</v>
      </c>
      <c r="F1471" s="693">
        <v>1.04</v>
      </c>
      <c r="G1471">
        <v>1.49</v>
      </c>
    </row>
    <row r="1472" spans="1:7" ht="15.75" thickBot="1">
      <c r="A1472" s="302"/>
      <c r="B1472" s="1043" t="s">
        <v>264</v>
      </c>
      <c r="C1472" s="1042" t="s">
        <v>2116</v>
      </c>
      <c r="D1472" s="426"/>
      <c r="E1472" s="290">
        <f>(G1472-F1472)/G1472</f>
        <v>0.3020134228187919</v>
      </c>
      <c r="F1472" s="693">
        <v>1.04</v>
      </c>
      <c r="G1472">
        <v>1.49</v>
      </c>
    </row>
    <row r="1473" spans="1:7" ht="15.75" thickBot="1">
      <c r="A1473" s="302"/>
      <c r="B1473" s="1043" t="s">
        <v>266</v>
      </c>
      <c r="C1473" s="1042" t="s">
        <v>2066</v>
      </c>
      <c r="D1473" s="426"/>
      <c r="E1473" s="290">
        <f>(G1473-F1473)/G1473</f>
        <v>0.3020134228187919</v>
      </c>
      <c r="F1473" s="693">
        <v>1.04</v>
      </c>
      <c r="G1473">
        <v>1.49</v>
      </c>
    </row>
    <row r="1474" spans="1:7" ht="15.75" thickBot="1">
      <c r="A1474" s="302"/>
      <c r="B1474" s="1043" t="s">
        <v>267</v>
      </c>
      <c r="C1474" s="1021"/>
      <c r="D1474" s="426"/>
      <c r="E1474" s="290" t="e">
        <f>(G1474-F1474)/G1474</f>
        <v>#DIV/0!</v>
      </c>
      <c r="F1474" s="693"/>
    </row>
    <row r="1475" spans="1:7">
      <c r="A1475" s="302"/>
      <c r="B1475" s="1043" t="s">
        <v>268</v>
      </c>
      <c r="C1475" s="5"/>
      <c r="D1475" s="426"/>
      <c r="E1475" s="290" t="e">
        <f>(G1475-F1475)/G1475</f>
        <v>#DIV/0!</v>
      </c>
      <c r="F1475" s="963"/>
    </row>
    <row r="1476" spans="1:7">
      <c r="A1476" s="302"/>
      <c r="B1476" s="1043" t="s">
        <v>1246</v>
      </c>
      <c r="C1476" s="1031"/>
      <c r="D1476" s="426"/>
      <c r="E1476" s="1044"/>
      <c r="F1476" s="1045"/>
    </row>
    <row r="1477" spans="1:7">
      <c r="A1477" s="302"/>
      <c r="B1477" s="1046" t="s">
        <v>1512</v>
      </c>
      <c r="C1477" s="1031"/>
      <c r="D1477" s="426"/>
      <c r="E1477" s="1044"/>
      <c r="F1477" s="1045"/>
    </row>
    <row r="1478" spans="1:7" ht="15.75" thickBot="1">
      <c r="A1478" s="460"/>
      <c r="B1478" s="1047" t="s">
        <v>1976</v>
      </c>
      <c r="C1478" s="1032"/>
      <c r="D1478" s="592"/>
      <c r="E1478" s="1048"/>
      <c r="F1478" s="1049"/>
    </row>
    <row r="1479" spans="1:7" ht="15.75" thickBot="1"/>
    <row r="1480" spans="1:7">
      <c r="A1480" s="3614" t="s">
        <v>0</v>
      </c>
      <c r="B1480" s="3693" t="s">
        <v>1</v>
      </c>
      <c r="C1480" s="3693" t="s">
        <v>2</v>
      </c>
      <c r="D1480" s="3693" t="s">
        <v>3</v>
      </c>
      <c r="E1480" s="3693" t="s">
        <v>4</v>
      </c>
      <c r="F1480" s="3522" t="s">
        <v>5</v>
      </c>
    </row>
    <row r="1481" spans="1:7" ht="15.75" thickBot="1">
      <c r="A1481" s="4083"/>
      <c r="B1481" s="4092"/>
      <c r="C1481" s="4092"/>
      <c r="D1481" s="4092"/>
      <c r="E1481" s="4092"/>
      <c r="F1481" s="4085"/>
    </row>
    <row r="1482" spans="1:7">
      <c r="A1482" s="876" t="s">
        <v>2410</v>
      </c>
      <c r="B1482" s="288" t="s">
        <v>200</v>
      </c>
      <c r="C1482" s="1363" t="s">
        <v>1555</v>
      </c>
      <c r="D1482" s="288"/>
      <c r="E1482" s="290">
        <f>(G1482-F1482)/G1482</f>
        <v>0.14999999999999997</v>
      </c>
      <c r="F1482" s="603">
        <v>18.53</v>
      </c>
      <c r="G1482">
        <v>21.8</v>
      </c>
    </row>
    <row r="1483" spans="1:7">
      <c r="A1483" s="302"/>
      <c r="B1483" s="1238"/>
      <c r="C1483" s="191" t="s">
        <v>1556</v>
      </c>
      <c r="D1483" s="288"/>
      <c r="E1483" s="290">
        <f>(G1483-F1483)/G1483</f>
        <v>0.14999999999999997</v>
      </c>
      <c r="F1483" s="603">
        <v>18.53</v>
      </c>
      <c r="G1483">
        <v>21.8</v>
      </c>
    </row>
    <row r="1484" spans="1:7" ht="15.75" thickBot="1">
      <c r="A1484" s="460"/>
      <c r="B1484" s="1249"/>
      <c r="C1484" s="1363" t="s">
        <v>1763</v>
      </c>
      <c r="D1484" s="592"/>
      <c r="E1484" s="290">
        <f>(G1484-F1484)/G1484</f>
        <v>0.14999999999999997</v>
      </c>
      <c r="F1484" s="603">
        <v>18.53</v>
      </c>
      <c r="G1484">
        <v>21.8</v>
      </c>
    </row>
    <row r="1486" spans="1:7" ht="15.75" thickBot="1"/>
    <row r="1487" spans="1:7">
      <c r="A1487" s="3614" t="s">
        <v>0</v>
      </c>
      <c r="B1487" s="3693" t="s">
        <v>1</v>
      </c>
      <c r="C1487" s="3693" t="s">
        <v>2</v>
      </c>
      <c r="D1487" s="3693" t="s">
        <v>3</v>
      </c>
      <c r="E1487" s="3693" t="s">
        <v>4</v>
      </c>
      <c r="F1487" s="3522" t="s">
        <v>5</v>
      </c>
    </row>
    <row r="1488" spans="1:7" ht="15.75" thickBot="1">
      <c r="A1488" s="4093"/>
      <c r="B1488" s="4094"/>
      <c r="C1488" s="4094"/>
      <c r="D1488" s="4094"/>
      <c r="E1488" s="4094"/>
      <c r="F1488" s="4054"/>
    </row>
    <row r="1489" spans="1:7">
      <c r="A1489" s="302" t="s">
        <v>2444</v>
      </c>
      <c r="B1489" s="288" t="s">
        <v>445</v>
      </c>
      <c r="C1489" s="288" t="s">
        <v>2042</v>
      </c>
      <c r="D1489" s="288"/>
      <c r="E1489" s="290">
        <f>(G1489-F1489)/G1489</f>
        <v>0.20192307692307698</v>
      </c>
      <c r="F1489" s="603">
        <v>0.83</v>
      </c>
      <c r="G1489">
        <v>1.04</v>
      </c>
    </row>
    <row r="1490" spans="1:7">
      <c r="A1490" s="302"/>
      <c r="B1490" s="1299"/>
      <c r="C1490" s="1299" t="s">
        <v>1522</v>
      </c>
      <c r="D1490" s="288"/>
      <c r="E1490" s="290">
        <f>(G1490-F1490)/G1490</f>
        <v>0.20192307692307698</v>
      </c>
      <c r="F1490" s="603">
        <v>0.83</v>
      </c>
      <c r="G1490">
        <v>1.04</v>
      </c>
    </row>
    <row r="1491" spans="1:7">
      <c r="A1491" s="302"/>
      <c r="B1491" s="1299"/>
      <c r="C1491" s="1299"/>
      <c r="D1491" s="288"/>
      <c r="E1491" s="290" t="e">
        <f>(G1491-F1491)/G1491</f>
        <v>#DIV/0!</v>
      </c>
      <c r="F1491" s="603"/>
    </row>
    <row r="1492" spans="1:7" ht="15.75" thickBot="1">
      <c r="A1492" s="460"/>
      <c r="B1492" s="1196"/>
      <c r="C1492" s="1196"/>
      <c r="D1492" s="592"/>
      <c r="E1492" s="593"/>
      <c r="F1492" s="604"/>
    </row>
    <row r="1493" spans="1:7" ht="15.75" thickBot="1"/>
    <row r="1494" spans="1:7">
      <c r="A1494" s="4095" t="s">
        <v>0</v>
      </c>
      <c r="B1494" s="4097" t="s">
        <v>1</v>
      </c>
      <c r="C1494" s="4097" t="s">
        <v>2</v>
      </c>
      <c r="D1494" s="4097" t="s">
        <v>3</v>
      </c>
      <c r="E1494" s="4097" t="s">
        <v>4</v>
      </c>
      <c r="F1494" s="4100" t="s">
        <v>5</v>
      </c>
      <c r="G1494" s="1321"/>
    </row>
    <row r="1495" spans="1:7" ht="15.75" thickBot="1">
      <c r="A1495" s="4096"/>
      <c r="B1495" s="4098"/>
      <c r="C1495" s="4099"/>
      <c r="D1495" s="4098"/>
      <c r="E1495" s="4098"/>
      <c r="F1495" s="4101"/>
      <c r="G1495" s="1321"/>
    </row>
    <row r="1496" spans="1:7" ht="27" thickTop="1" thickBot="1">
      <c r="A1496" s="1322" t="s">
        <v>2501</v>
      </c>
      <c r="B1496" s="868" t="s">
        <v>265</v>
      </c>
      <c r="C1496" s="1323" t="s">
        <v>1413</v>
      </c>
      <c r="D1496" s="1324"/>
      <c r="E1496" s="1325">
        <f>(G1496-F1496)/G1496</f>
        <v>0.24022346368715081</v>
      </c>
      <c r="F1496" s="1326">
        <v>1.36</v>
      </c>
      <c r="G1496" s="1321">
        <v>1.79</v>
      </c>
    </row>
    <row r="1497" spans="1:7" ht="26.25" thickBot="1">
      <c r="A1497" s="1327"/>
      <c r="B1497" s="1043" t="s">
        <v>264</v>
      </c>
      <c r="C1497" s="1328" t="s">
        <v>1429</v>
      </c>
      <c r="D1497" s="1324"/>
      <c r="E1497" s="1325">
        <f>(G1497-F1497)/G1497</f>
        <v>0.24022346368715081</v>
      </c>
      <c r="F1497" s="1326">
        <v>1.36</v>
      </c>
      <c r="G1497" s="1321">
        <v>1.79</v>
      </c>
    </row>
    <row r="1498" spans="1:7" ht="15.75" thickBot="1">
      <c r="A1498" s="1327"/>
      <c r="B1498" s="1043" t="s">
        <v>266</v>
      </c>
      <c r="C1498" s="1323" t="s">
        <v>554</v>
      </c>
      <c r="D1498" s="1324"/>
      <c r="E1498" s="1325">
        <f>(G1498-F1498)/G1498</f>
        <v>0.22131147540983609</v>
      </c>
      <c r="F1498" s="1326">
        <v>0.95</v>
      </c>
      <c r="G1498" s="1321">
        <v>1.22</v>
      </c>
    </row>
    <row r="1499" spans="1:7" ht="15.75" thickBot="1">
      <c r="A1499" s="1327"/>
      <c r="B1499" s="1043" t="s">
        <v>267</v>
      </c>
      <c r="C1499" s="1329" t="s">
        <v>730</v>
      </c>
      <c r="D1499" s="1324"/>
      <c r="E1499" s="1325">
        <f>(G1499-F1499)/G1499</f>
        <v>0.22352941176470584</v>
      </c>
      <c r="F1499" s="1326">
        <v>0.66</v>
      </c>
      <c r="G1499" s="1321">
        <v>0.85</v>
      </c>
    </row>
    <row r="1500" spans="1:7">
      <c r="A1500" s="1327"/>
      <c r="B1500" s="1043" t="s">
        <v>268</v>
      </c>
      <c r="C1500" s="1330" t="s">
        <v>2210</v>
      </c>
      <c r="D1500" s="1324"/>
      <c r="E1500" s="1325">
        <f>(G1500-F1500)/G1500</f>
        <v>0.22352941176470584</v>
      </c>
      <c r="F1500" s="1331">
        <v>0.66</v>
      </c>
      <c r="G1500" s="1321">
        <v>0.85</v>
      </c>
    </row>
    <row r="1501" spans="1:7">
      <c r="A1501" s="1327"/>
      <c r="B1501" s="1043" t="s">
        <v>1246</v>
      </c>
      <c r="C1501" s="1332"/>
      <c r="D1501" s="1324"/>
      <c r="E1501" s="1333"/>
      <c r="F1501" s="1334"/>
      <c r="G1501" s="1321"/>
    </row>
    <row r="1502" spans="1:7">
      <c r="A1502" s="1327"/>
      <c r="B1502" s="1046" t="s">
        <v>1512</v>
      </c>
      <c r="C1502" s="1332"/>
      <c r="D1502" s="1324"/>
      <c r="E1502" s="1333"/>
      <c r="F1502" s="1334"/>
      <c r="G1502" s="1321"/>
    </row>
    <row r="1503" spans="1:7" ht="15.75" thickBot="1">
      <c r="A1503" s="1335"/>
      <c r="B1503" s="1047" t="s">
        <v>1976</v>
      </c>
      <c r="C1503" s="1336"/>
      <c r="D1503" s="1337"/>
      <c r="E1503" s="1338"/>
      <c r="F1503" s="1339"/>
      <c r="G1503" s="1321"/>
    </row>
    <row r="1504" spans="1:7" ht="15.75" thickBot="1"/>
    <row r="1505" spans="1:7">
      <c r="A1505" s="3614" t="s">
        <v>0</v>
      </c>
      <c r="B1505" s="3693" t="s">
        <v>1</v>
      </c>
      <c r="C1505" s="3693" t="s">
        <v>2</v>
      </c>
      <c r="D1505" s="3693" t="s">
        <v>3</v>
      </c>
      <c r="E1505" s="3693" t="s">
        <v>4</v>
      </c>
      <c r="F1505" s="3522" t="s">
        <v>5</v>
      </c>
    </row>
    <row r="1506" spans="1:7" ht="15.75" thickBot="1">
      <c r="A1506" s="3681"/>
      <c r="B1506" s="3702"/>
      <c r="C1506" s="3702"/>
      <c r="D1506" s="3702"/>
      <c r="E1506" s="3702"/>
      <c r="F1506" s="3717"/>
    </row>
    <row r="1507" spans="1:7">
      <c r="A1507" s="1375" t="s">
        <v>2505</v>
      </c>
      <c r="B1507" s="1098" t="s">
        <v>1414</v>
      </c>
      <c r="C1507" s="1098" t="s">
        <v>2115</v>
      </c>
      <c r="D1507" s="1098"/>
      <c r="E1507" s="1376">
        <f>(G1507-F1507)/G1507</f>
        <v>0.19753086419753088</v>
      </c>
      <c r="F1507" s="881">
        <v>1.3</v>
      </c>
      <c r="G1507">
        <v>1.62</v>
      </c>
    </row>
    <row r="1508" spans="1:7">
      <c r="A1508" s="1377"/>
      <c r="B1508" s="1299" t="s">
        <v>1419</v>
      </c>
      <c r="C1508" s="1299" t="s">
        <v>2116</v>
      </c>
      <c r="D1508" s="1299"/>
      <c r="E1508" s="1378">
        <f>(G1508-F1508)/G1508</f>
        <v>0.19753086419753088</v>
      </c>
      <c r="F1508" s="1367">
        <v>1.3</v>
      </c>
      <c r="G1508">
        <v>1.62</v>
      </c>
    </row>
    <row r="1509" spans="1:7">
      <c r="A1509" s="1377"/>
      <c r="B1509" s="1299" t="s">
        <v>1417</v>
      </c>
      <c r="C1509" s="1299" t="s">
        <v>2066</v>
      </c>
      <c r="D1509" s="1299"/>
      <c r="E1509" s="1378">
        <f>(G1509-F1509)/G1509</f>
        <v>0.19753086419753088</v>
      </c>
      <c r="F1509" s="1367">
        <v>1.3</v>
      </c>
      <c r="G1509">
        <v>1.62</v>
      </c>
    </row>
    <row r="1510" spans="1:7">
      <c r="A1510" s="1377"/>
      <c r="B1510" s="1299" t="s">
        <v>2506</v>
      </c>
      <c r="C1510" s="1299" t="s">
        <v>1058</v>
      </c>
      <c r="D1510" s="1299"/>
      <c r="E1510" s="1378">
        <f>(G1510-F1510)/G1510</f>
        <v>0.20183486238532117</v>
      </c>
      <c r="F1510" s="1379">
        <v>1.74</v>
      </c>
      <c r="G1510">
        <v>2.1800000000000002</v>
      </c>
    </row>
    <row r="1511" spans="1:7" ht="15.75" thickBot="1">
      <c r="A1511" s="1315"/>
      <c r="B1511" s="1356" t="s">
        <v>1415</v>
      </c>
      <c r="C1511" s="1356"/>
      <c r="D1511" s="1356"/>
      <c r="E1511" s="1356"/>
      <c r="F1511" s="1368"/>
    </row>
    <row r="1512" spans="1:7" ht="15.75" thickBot="1"/>
    <row r="1513" spans="1:7">
      <c r="A1513" s="3614" t="s">
        <v>0</v>
      </c>
      <c r="B1513" s="3693" t="s">
        <v>1</v>
      </c>
      <c r="C1513" s="3693" t="s">
        <v>2</v>
      </c>
      <c r="D1513" s="3693" t="s">
        <v>3</v>
      </c>
      <c r="E1513" s="3693" t="s">
        <v>4</v>
      </c>
      <c r="F1513" s="3522" t="s">
        <v>5</v>
      </c>
    </row>
    <row r="1514" spans="1:7" ht="15.75" thickBot="1">
      <c r="A1514" s="4050"/>
      <c r="B1514" s="4102"/>
      <c r="C1514" s="4102"/>
      <c r="D1514" s="4102"/>
      <c r="E1514" s="4102"/>
      <c r="F1514" s="4054"/>
    </row>
    <row r="1515" spans="1:7">
      <c r="A1515" s="876" t="s">
        <v>2549</v>
      </c>
      <c r="B1515" s="288" t="s">
        <v>200</v>
      </c>
      <c r="C1515" s="1299" t="s">
        <v>1555</v>
      </c>
      <c r="D1515" s="288"/>
      <c r="E1515" s="290">
        <f>(G1515-F1515)/G1515</f>
        <v>0.13007420340462683</v>
      </c>
      <c r="F1515" s="603">
        <v>19.93</v>
      </c>
      <c r="G1515">
        <v>22.91</v>
      </c>
    </row>
    <row r="1516" spans="1:7">
      <c r="A1516" s="302"/>
      <c r="B1516" s="1299"/>
      <c r="C1516" s="288" t="s">
        <v>1556</v>
      </c>
      <c r="D1516" s="288"/>
      <c r="E1516" s="290">
        <f>(G1516-F1516)/G1516</f>
        <v>0.13007420340462683</v>
      </c>
      <c r="F1516" s="603">
        <v>19.93</v>
      </c>
      <c r="G1516">
        <v>22.91</v>
      </c>
    </row>
    <row r="1517" spans="1:7" ht="15.75" thickBot="1">
      <c r="A1517" s="460"/>
      <c r="B1517" s="1320"/>
      <c r="C1517" s="1299" t="s">
        <v>1763</v>
      </c>
      <c r="D1517" s="592"/>
      <c r="E1517" s="290">
        <f>(G1517-F1517)/G1517</f>
        <v>0.13007420340462683</v>
      </c>
      <c r="F1517" s="603">
        <v>19.93</v>
      </c>
      <c r="G1517">
        <v>22.91</v>
      </c>
    </row>
    <row r="1518" spans="1:7" ht="15.75" thickBot="1"/>
    <row r="1519" spans="1:7">
      <c r="A1519" s="4095" t="s">
        <v>0</v>
      </c>
      <c r="B1519" s="4097" t="s">
        <v>1</v>
      </c>
      <c r="C1519" s="4097" t="s">
        <v>2</v>
      </c>
      <c r="D1519" s="4097" t="s">
        <v>3</v>
      </c>
      <c r="E1519" s="4097" t="s">
        <v>4</v>
      </c>
      <c r="F1519" s="4100" t="s">
        <v>5</v>
      </c>
      <c r="G1519" s="1321"/>
    </row>
    <row r="1520" spans="1:7" ht="15.75" thickBot="1">
      <c r="A1520" s="4103"/>
      <c r="B1520" s="4104"/>
      <c r="C1520" s="4104"/>
      <c r="D1520" s="4104"/>
      <c r="E1520" s="4104"/>
      <c r="F1520" s="4105"/>
      <c r="G1520" s="1321"/>
    </row>
    <row r="1521" spans="1:7">
      <c r="A1521" s="1416" t="s">
        <v>2561</v>
      </c>
      <c r="B1521" s="1417" t="s">
        <v>265</v>
      </c>
      <c r="C1521" s="1329" t="s">
        <v>730</v>
      </c>
      <c r="D1521" s="1417"/>
      <c r="E1521" s="1418">
        <f t="shared" ref="E1521:E1528" si="3">(G1521-F1521)/G1521</f>
        <v>0.22352941176470584</v>
      </c>
      <c r="F1521" s="1419">
        <v>0.66</v>
      </c>
      <c r="G1521" s="1321">
        <v>0.85</v>
      </c>
    </row>
    <row r="1522" spans="1:7">
      <c r="A1522" s="1420"/>
      <c r="B1522" s="1332" t="s">
        <v>264</v>
      </c>
      <c r="C1522" s="1323" t="s">
        <v>858</v>
      </c>
      <c r="D1522" s="1332"/>
      <c r="E1522" s="1333">
        <f t="shared" si="3"/>
        <v>0.22448979591836732</v>
      </c>
      <c r="F1522" s="1421">
        <v>0.76</v>
      </c>
      <c r="G1522" s="1321">
        <v>0.98</v>
      </c>
    </row>
    <row r="1523" spans="1:7">
      <c r="A1523" s="1420"/>
      <c r="B1523" s="1332" t="s">
        <v>266</v>
      </c>
      <c r="C1523" s="1323"/>
      <c r="D1523" s="1332"/>
      <c r="E1523" s="1333" t="e">
        <f t="shared" si="3"/>
        <v>#DIV/0!</v>
      </c>
      <c r="F1523" s="1421"/>
      <c r="G1523" s="1321"/>
    </row>
    <row r="1524" spans="1:7">
      <c r="A1524" s="1420"/>
      <c r="B1524" s="1332" t="s">
        <v>267</v>
      </c>
      <c r="C1524" s="1329"/>
      <c r="D1524" s="1332"/>
      <c r="E1524" s="1333" t="e">
        <f t="shared" si="3"/>
        <v>#DIV/0!</v>
      </c>
      <c r="F1524" s="1421"/>
      <c r="G1524" s="1321"/>
    </row>
    <row r="1525" spans="1:7">
      <c r="A1525" s="1420"/>
      <c r="B1525" s="1332" t="s">
        <v>268</v>
      </c>
      <c r="C1525" s="1329"/>
      <c r="D1525" s="1332"/>
      <c r="E1525" s="1333" t="e">
        <f t="shared" si="3"/>
        <v>#DIV/0!</v>
      </c>
      <c r="F1525" s="1422"/>
      <c r="G1525" s="1321"/>
    </row>
    <row r="1526" spans="1:7">
      <c r="A1526" s="1420"/>
      <c r="B1526" s="1332" t="s">
        <v>1246</v>
      </c>
      <c r="C1526" s="1332"/>
      <c r="D1526" s="1332"/>
      <c r="E1526" s="1333" t="e">
        <f t="shared" si="3"/>
        <v>#DIV/0!</v>
      </c>
      <c r="F1526" s="1334"/>
      <c r="G1526" s="1321"/>
    </row>
    <row r="1527" spans="1:7">
      <c r="A1527" s="1420"/>
      <c r="B1527" s="1329" t="s">
        <v>1512</v>
      </c>
      <c r="C1527" s="1332"/>
      <c r="D1527" s="1332"/>
      <c r="E1527" s="1333" t="e">
        <f t="shared" si="3"/>
        <v>#DIV/0!</v>
      </c>
      <c r="F1527" s="1334"/>
      <c r="G1527" s="1321"/>
    </row>
    <row r="1528" spans="1:7" ht="15.75" thickBot="1">
      <c r="A1528" s="1423"/>
      <c r="B1528" s="1424" t="s">
        <v>1976</v>
      </c>
      <c r="C1528" s="1336"/>
      <c r="D1528" s="1336"/>
      <c r="E1528" s="1333" t="e">
        <f t="shared" si="3"/>
        <v>#DIV/0!</v>
      </c>
      <c r="F1528" s="1339"/>
      <c r="G1528" s="1321"/>
    </row>
    <row r="1530" spans="1:7" ht="15.75" thickBot="1"/>
    <row r="1531" spans="1:7">
      <c r="A1531" s="3614" t="s">
        <v>0</v>
      </c>
      <c r="B1531" s="3518" t="s">
        <v>1</v>
      </c>
      <c r="C1531" s="3518" t="s">
        <v>2</v>
      </c>
      <c r="D1531" s="3518" t="s">
        <v>3</v>
      </c>
      <c r="E1531" s="3518" t="s">
        <v>4</v>
      </c>
      <c r="F1531" s="3522" t="s">
        <v>5</v>
      </c>
    </row>
    <row r="1532" spans="1:7" ht="15.75" thickBot="1">
      <c r="A1532" s="3681"/>
      <c r="B1532" s="3687"/>
      <c r="C1532" s="3687"/>
      <c r="D1532" s="3687"/>
      <c r="E1532" s="3687"/>
      <c r="F1532" s="3717"/>
    </row>
    <row r="1533" spans="1:7">
      <c r="A1533" s="1375" t="s">
        <v>2565</v>
      </c>
      <c r="B1533" s="1163" t="s">
        <v>1414</v>
      </c>
      <c r="C1533" s="1163" t="s">
        <v>2115</v>
      </c>
      <c r="D1533" s="1163"/>
      <c r="E1533" s="1431">
        <f t="shared" ref="E1533:E1542" si="4">(G1533-F1533)/G1533</f>
        <v>0.35185185185185186</v>
      </c>
      <c r="F1533" s="881">
        <v>1.05</v>
      </c>
      <c r="G1533">
        <v>1.62</v>
      </c>
    </row>
    <row r="1534" spans="1:7">
      <c r="A1534" s="1377"/>
      <c r="B1534" s="1299" t="s">
        <v>1419</v>
      </c>
      <c r="C1534" s="1299" t="s">
        <v>2116</v>
      </c>
      <c r="D1534" s="1299"/>
      <c r="E1534" s="1378">
        <f t="shared" si="4"/>
        <v>0.35185185185185186</v>
      </c>
      <c r="F1534" s="1367">
        <v>1.05</v>
      </c>
      <c r="G1534">
        <v>1.62</v>
      </c>
    </row>
    <row r="1535" spans="1:7">
      <c r="A1535" s="1377"/>
      <c r="B1535" s="1299" t="s">
        <v>1417</v>
      </c>
      <c r="C1535" s="1299" t="s">
        <v>2066</v>
      </c>
      <c r="D1535" s="1299"/>
      <c r="E1535" s="1378">
        <f t="shared" si="4"/>
        <v>0.35185185185185186</v>
      </c>
      <c r="F1535" s="1367">
        <v>1.05</v>
      </c>
      <c r="G1535">
        <v>1.62</v>
      </c>
    </row>
    <row r="1536" spans="1:7">
      <c r="A1536" s="1377"/>
      <c r="B1536" s="1299" t="s">
        <v>2506</v>
      </c>
      <c r="C1536" s="1299" t="s">
        <v>2273</v>
      </c>
      <c r="D1536" s="1299"/>
      <c r="E1536" s="1378">
        <f t="shared" si="4"/>
        <v>0.14315352697095443</v>
      </c>
      <c r="F1536" s="1379">
        <v>16.52</v>
      </c>
      <c r="G1536">
        <v>19.28</v>
      </c>
    </row>
    <row r="1537" spans="1:7">
      <c r="A1537" s="1432"/>
      <c r="B1537" s="1151" t="s">
        <v>1415</v>
      </c>
      <c r="C1537" s="1151" t="s">
        <v>71</v>
      </c>
      <c r="D1537" s="1151"/>
      <c r="E1537" s="1378">
        <f t="shared" si="4"/>
        <v>0.14315352697095443</v>
      </c>
      <c r="F1537" s="1379">
        <v>16.52</v>
      </c>
      <c r="G1537">
        <v>19.28</v>
      </c>
    </row>
    <row r="1538" spans="1:7">
      <c r="A1538" s="1432"/>
      <c r="B1538" s="1441" t="s">
        <v>1416</v>
      </c>
      <c r="C1538" s="1151" t="s">
        <v>2276</v>
      </c>
      <c r="D1538" s="1151"/>
      <c r="E1538" s="1378">
        <f t="shared" si="4"/>
        <v>0.14315352697095443</v>
      </c>
      <c r="F1538" s="1379">
        <v>16.52</v>
      </c>
      <c r="G1538">
        <v>19.28</v>
      </c>
    </row>
    <row r="1539" spans="1:7">
      <c r="A1539" s="1432"/>
      <c r="B1539" s="1441" t="s">
        <v>1420</v>
      </c>
      <c r="C1539" s="1151" t="s">
        <v>1883</v>
      </c>
      <c r="D1539" s="1151"/>
      <c r="E1539" s="1378">
        <f t="shared" si="4"/>
        <v>0.14315352697095443</v>
      </c>
      <c r="F1539" s="1379">
        <v>16.52</v>
      </c>
      <c r="G1539">
        <v>19.28</v>
      </c>
    </row>
    <row r="1540" spans="1:7">
      <c r="A1540" s="1432"/>
      <c r="B1540" s="1441" t="s">
        <v>1421</v>
      </c>
      <c r="C1540" s="1151" t="s">
        <v>2566</v>
      </c>
      <c r="D1540" s="1151"/>
      <c r="E1540" s="1378">
        <f t="shared" si="4"/>
        <v>0.14315352697095443</v>
      </c>
      <c r="F1540" s="1379">
        <v>16.52</v>
      </c>
      <c r="G1540">
        <v>19.28</v>
      </c>
    </row>
    <row r="1541" spans="1:7">
      <c r="A1541" s="1432"/>
      <c r="B1541" s="1441" t="s">
        <v>1423</v>
      </c>
      <c r="C1541" s="1151" t="s">
        <v>72</v>
      </c>
      <c r="D1541" s="1151"/>
      <c r="E1541" s="1378">
        <f t="shared" si="4"/>
        <v>0.14315352697095443</v>
      </c>
      <c r="F1541" s="1379">
        <v>16.52</v>
      </c>
      <c r="G1541">
        <v>19.28</v>
      </c>
    </row>
    <row r="1542" spans="1:7" ht="15.75" thickBot="1">
      <c r="A1542" s="1315"/>
      <c r="B1542" s="1356"/>
      <c r="C1542" s="1356" t="s">
        <v>2052</v>
      </c>
      <c r="D1542" s="1356"/>
      <c r="E1542" s="1378">
        <f t="shared" si="4"/>
        <v>0.14315352697095443</v>
      </c>
      <c r="F1542" s="1379">
        <v>16.52</v>
      </c>
      <c r="G1542">
        <v>19.28</v>
      </c>
    </row>
    <row r="1544" spans="1:7" ht="15.75" thickBot="1"/>
    <row r="1545" spans="1:7">
      <c r="A1545" s="4095" t="s">
        <v>0</v>
      </c>
      <c r="B1545" s="4097" t="s">
        <v>1</v>
      </c>
      <c r="C1545" s="4097" t="s">
        <v>2</v>
      </c>
      <c r="D1545" s="4097" t="s">
        <v>3</v>
      </c>
      <c r="E1545" s="4097" t="s">
        <v>4</v>
      </c>
      <c r="F1545" s="4100" t="s">
        <v>5</v>
      </c>
      <c r="G1545" s="1321"/>
    </row>
    <row r="1546" spans="1:7" ht="15.75" thickBot="1">
      <c r="A1546" s="4103"/>
      <c r="B1546" s="4104"/>
      <c r="C1546" s="4104"/>
      <c r="D1546" s="4104"/>
      <c r="E1546" s="4104"/>
      <c r="F1546" s="4105"/>
      <c r="G1546" s="1321"/>
    </row>
    <row r="1547" spans="1:7">
      <c r="A1547" s="1416" t="s">
        <v>2616</v>
      </c>
      <c r="B1547" s="1417" t="s">
        <v>265</v>
      </c>
      <c r="C1547" s="1329" t="s">
        <v>2116</v>
      </c>
      <c r="D1547" s="1417"/>
      <c r="E1547" s="1418">
        <f>(G1547-F1547)/G1547</f>
        <v>0.17948717948717949</v>
      </c>
      <c r="F1547" s="1419">
        <v>1.28</v>
      </c>
      <c r="G1547" s="1321">
        <v>1.56</v>
      </c>
    </row>
    <row r="1548" spans="1:7">
      <c r="A1548" s="1420"/>
      <c r="B1548" s="1332" t="s">
        <v>264</v>
      </c>
      <c r="C1548" s="1323" t="s">
        <v>2066</v>
      </c>
      <c r="D1548" s="1332"/>
      <c r="E1548" s="1333">
        <f>(G1548-F1548)/G1548</f>
        <v>0.17948717948717949</v>
      </c>
      <c r="F1548" s="1421">
        <v>1.28</v>
      </c>
      <c r="G1548" s="1321">
        <v>1.56</v>
      </c>
    </row>
    <row r="1549" spans="1:7">
      <c r="A1549" s="1420"/>
      <c r="B1549" s="1332" t="s">
        <v>266</v>
      </c>
      <c r="C1549" s="1329" t="s">
        <v>1120</v>
      </c>
      <c r="D1549" s="1332"/>
      <c r="E1549" s="1333">
        <f>(G1549-F1549)/G1549</f>
        <v>0.17647058823529416</v>
      </c>
      <c r="F1549" s="1421">
        <v>0.42</v>
      </c>
      <c r="G1549" s="1321">
        <v>0.51</v>
      </c>
    </row>
    <row r="1550" spans="1:7">
      <c r="A1550" s="1420"/>
      <c r="B1550" s="1332" t="s">
        <v>267</v>
      </c>
      <c r="C1550" s="1329"/>
      <c r="D1550" s="1332"/>
      <c r="E1550" s="1333"/>
      <c r="F1550" s="1421"/>
      <c r="G1550" s="1321"/>
    </row>
    <row r="1551" spans="1:7">
      <c r="A1551" s="1420"/>
      <c r="B1551" s="1332" t="s">
        <v>268</v>
      </c>
      <c r="C1551" s="1329"/>
      <c r="D1551" s="1332"/>
      <c r="E1551" s="1333"/>
      <c r="F1551" s="1422"/>
      <c r="G1551" s="1321"/>
    </row>
    <row r="1552" spans="1:7">
      <c r="A1552" s="1420"/>
      <c r="B1552" s="1332" t="s">
        <v>1246</v>
      </c>
      <c r="C1552" s="1332"/>
      <c r="D1552" s="1332"/>
      <c r="E1552" s="1333" t="e">
        <f>(G1552-F1552)/G1552</f>
        <v>#DIV/0!</v>
      </c>
      <c r="F1552" s="1334"/>
      <c r="G1552" s="1321"/>
    </row>
    <row r="1553" spans="1:7">
      <c r="A1553" s="1420"/>
      <c r="B1553" s="1329" t="s">
        <v>1512</v>
      </c>
      <c r="C1553" s="1332"/>
      <c r="D1553" s="1332"/>
      <c r="E1553" s="1333" t="e">
        <f>(G1553-F1553)/G1553</f>
        <v>#DIV/0!</v>
      </c>
      <c r="F1553" s="1334"/>
      <c r="G1553" s="1321"/>
    </row>
    <row r="1554" spans="1:7" ht="15.75" thickBot="1">
      <c r="A1554" s="1423"/>
      <c r="B1554" s="1424" t="s">
        <v>1976</v>
      </c>
      <c r="C1554" s="1336"/>
      <c r="D1554" s="1336"/>
      <c r="E1554" s="1333" t="e">
        <f>(G1554-F1554)/G1554</f>
        <v>#DIV/0!</v>
      </c>
      <c r="F1554" s="1339"/>
      <c r="G1554" s="1321"/>
    </row>
    <row r="1556" spans="1:7" ht="15.75" thickBot="1"/>
    <row r="1557" spans="1:7">
      <c r="A1557" s="3614" t="s">
        <v>0</v>
      </c>
      <c r="B1557" s="3693" t="s">
        <v>1</v>
      </c>
      <c r="C1557" s="3693" t="s">
        <v>2</v>
      </c>
      <c r="D1557" s="3693" t="s">
        <v>3</v>
      </c>
      <c r="E1557" s="3693" t="s">
        <v>4</v>
      </c>
      <c r="F1557" s="3522" t="s">
        <v>5</v>
      </c>
    </row>
    <row r="1558" spans="1:7" ht="15.75" thickBot="1">
      <c r="A1558" s="4050"/>
      <c r="B1558" s="4094"/>
      <c r="C1558" s="4094"/>
      <c r="D1558" s="4094"/>
      <c r="E1558" s="4094"/>
      <c r="F1558" s="4054"/>
    </row>
    <row r="1559" spans="1:7">
      <c r="A1559" s="876" t="s">
        <v>2643</v>
      </c>
      <c r="B1559" s="288" t="s">
        <v>200</v>
      </c>
      <c r="C1559" s="989" t="s">
        <v>2602</v>
      </c>
      <c r="D1559" s="288"/>
      <c r="E1559" s="290">
        <f>(G1559-F1559)/G1559</f>
        <v>0.14079422382671483</v>
      </c>
      <c r="F1559" s="603">
        <v>2.38</v>
      </c>
      <c r="G1559">
        <v>2.77</v>
      </c>
    </row>
    <row r="1560" spans="1:7">
      <c r="A1560" s="302"/>
      <c r="B1560" s="989"/>
      <c r="C1560" s="288" t="s">
        <v>2558</v>
      </c>
      <c r="D1560" s="288"/>
      <c r="E1560" s="290">
        <f>(G1560-F1560)/G1560</f>
        <v>0.14079422382671483</v>
      </c>
      <c r="F1560" s="603">
        <v>2.38</v>
      </c>
      <c r="G1560">
        <v>2.77</v>
      </c>
    </row>
    <row r="1561" spans="1:7">
      <c r="A1561" s="302"/>
      <c r="B1561" s="94"/>
      <c r="C1561" s="989" t="s">
        <v>2603</v>
      </c>
      <c r="D1561" s="989"/>
      <c r="E1561" s="290">
        <f>(G1561-F1561)/G1561</f>
        <v>0.14079422382671483</v>
      </c>
      <c r="F1561" s="603">
        <v>2.38</v>
      </c>
      <c r="G1561">
        <v>2.77</v>
      </c>
    </row>
    <row r="1562" spans="1:7" ht="15.75" thickBot="1">
      <c r="A1562" s="460"/>
      <c r="B1562" s="1196"/>
      <c r="C1562" s="1196" t="s">
        <v>2559</v>
      </c>
      <c r="D1562" s="1196"/>
      <c r="E1562" s="593">
        <f>(G1562-F1562)/G1562</f>
        <v>0.14079422382671483</v>
      </c>
      <c r="F1562" s="826">
        <v>2.38</v>
      </c>
      <c r="G1562">
        <v>2.77</v>
      </c>
    </row>
    <row r="1563" spans="1:7" ht="15.75" thickBot="1"/>
    <row r="1564" spans="1:7">
      <c r="A1564" s="4095" t="s">
        <v>0</v>
      </c>
      <c r="B1564" s="4097" t="s">
        <v>1</v>
      </c>
      <c r="C1564" s="4097" t="s">
        <v>2</v>
      </c>
      <c r="D1564" s="4097" t="s">
        <v>3</v>
      </c>
      <c r="E1564" s="4097" t="s">
        <v>4</v>
      </c>
      <c r="F1564" s="4100" t="s">
        <v>5</v>
      </c>
      <c r="G1564" s="1321"/>
    </row>
    <row r="1565" spans="1:7" ht="15.75" thickBot="1">
      <c r="A1565" s="4106"/>
      <c r="B1565" s="4104"/>
      <c r="C1565" s="4104"/>
      <c r="D1565" s="4104"/>
      <c r="E1565" s="4104"/>
      <c r="F1565" s="4105"/>
      <c r="G1565" s="1321"/>
    </row>
    <row r="1566" spans="1:7">
      <c r="A1566" s="1416" t="s">
        <v>2661</v>
      </c>
      <c r="B1566" s="1417" t="s">
        <v>265</v>
      </c>
      <c r="C1566" s="1524" t="s">
        <v>2662</v>
      </c>
      <c r="D1566" s="1417"/>
      <c r="E1566" s="1418">
        <f>(G1566-F1566)/G1566</f>
        <v>0.29629629629629634</v>
      </c>
      <c r="F1566" s="1419">
        <v>0.76</v>
      </c>
      <c r="G1566" s="1321">
        <v>1.08</v>
      </c>
    </row>
    <row r="1567" spans="1:7">
      <c r="A1567" s="1420"/>
      <c r="B1567" s="1525" t="s">
        <v>264</v>
      </c>
      <c r="C1567" s="1526"/>
      <c r="D1567" s="1525"/>
      <c r="E1567" s="1527" t="e">
        <f>(G1567-F1567)/G1567</f>
        <v>#DIV/0!</v>
      </c>
      <c r="F1567" s="1528"/>
      <c r="G1567" s="1321"/>
    </row>
    <row r="1568" spans="1:7">
      <c r="A1568" s="1420"/>
      <c r="B1568" s="1525" t="s">
        <v>266</v>
      </c>
      <c r="C1568" s="1524"/>
      <c r="D1568" s="1525"/>
      <c r="E1568" s="1527" t="e">
        <f>(G1568-F1568)/G1568</f>
        <v>#DIV/0!</v>
      </c>
      <c r="F1568" s="1528"/>
      <c r="G1568" s="1321"/>
    </row>
    <row r="1569" spans="1:7">
      <c r="A1569" s="1420"/>
      <c r="B1569" s="1525" t="s">
        <v>267</v>
      </c>
      <c r="C1569" s="1524"/>
      <c r="D1569" s="1525"/>
      <c r="E1569" s="1527"/>
      <c r="F1569" s="1528"/>
      <c r="G1569" s="1321"/>
    </row>
    <row r="1570" spans="1:7">
      <c r="A1570" s="1420"/>
      <c r="B1570" s="1525" t="s">
        <v>268</v>
      </c>
      <c r="C1570" s="1524"/>
      <c r="D1570" s="1525"/>
      <c r="E1570" s="1527"/>
      <c r="F1570" s="1529"/>
      <c r="G1570" s="1321"/>
    </row>
    <row r="1571" spans="1:7">
      <c r="A1571" s="1420"/>
      <c r="B1571" s="1525" t="s">
        <v>1246</v>
      </c>
      <c r="C1571" s="1525"/>
      <c r="D1571" s="1525"/>
      <c r="E1571" s="1527"/>
      <c r="F1571" s="1530"/>
      <c r="G1571" s="1321"/>
    </row>
    <row r="1572" spans="1:7">
      <c r="A1572" s="1420"/>
      <c r="B1572" s="1524" t="s">
        <v>1512</v>
      </c>
      <c r="C1572" s="1525"/>
      <c r="D1572" s="1525"/>
      <c r="E1572" s="1527"/>
      <c r="F1572" s="1530"/>
      <c r="G1572" s="1321"/>
    </row>
    <row r="1573" spans="1:7" ht="15.75" thickBot="1">
      <c r="A1573" s="1423"/>
      <c r="B1573" s="1424" t="s">
        <v>1976</v>
      </c>
      <c r="C1573" s="1336"/>
      <c r="D1573" s="1336"/>
      <c r="E1573" s="1527"/>
      <c r="F1573" s="1339"/>
      <c r="G1573" s="1321"/>
    </row>
    <row r="1575" spans="1:7" ht="15.75" thickBot="1"/>
    <row r="1576" spans="1:7">
      <c r="A1576" s="4095" t="s">
        <v>0</v>
      </c>
      <c r="B1576" s="4097" t="s">
        <v>1</v>
      </c>
      <c r="C1576" s="4097" t="s">
        <v>2</v>
      </c>
      <c r="D1576" s="4097" t="s">
        <v>3</v>
      </c>
      <c r="E1576" s="4097" t="s">
        <v>4</v>
      </c>
      <c r="F1576" s="4100" t="s">
        <v>5</v>
      </c>
      <c r="G1576" s="1321"/>
    </row>
    <row r="1577" spans="1:7" ht="15.75" thickBot="1">
      <c r="A1577" s="4106"/>
      <c r="B1577" s="4107"/>
      <c r="C1577" s="4107"/>
      <c r="D1577" s="4107"/>
      <c r="E1577" s="4107"/>
      <c r="F1577" s="4108"/>
      <c r="G1577" s="1321"/>
    </row>
    <row r="1578" spans="1:7">
      <c r="A1578" s="1416" t="s">
        <v>2711</v>
      </c>
      <c r="B1578" s="1417" t="s">
        <v>265</v>
      </c>
      <c r="C1578" s="1573" t="s">
        <v>2271</v>
      </c>
      <c r="D1578" s="1417"/>
      <c r="E1578" s="1418">
        <f t="shared" ref="E1578:E1583" si="5">(G1578-F1578)/G1578</f>
        <v>0.14970059880239522</v>
      </c>
      <c r="F1578" s="1574">
        <v>7.1</v>
      </c>
      <c r="G1578" s="1321">
        <v>8.35</v>
      </c>
    </row>
    <row r="1579" spans="1:7">
      <c r="A1579" s="1420"/>
      <c r="B1579" s="1575" t="s">
        <v>264</v>
      </c>
      <c r="C1579" s="1560" t="s">
        <v>238</v>
      </c>
      <c r="D1579" s="1575"/>
      <c r="E1579" s="1576">
        <f t="shared" si="5"/>
        <v>0.14970059880239522</v>
      </c>
      <c r="F1579" s="1577">
        <v>7.1</v>
      </c>
      <c r="G1579" s="1321">
        <v>8.35</v>
      </c>
    </row>
    <row r="1580" spans="1:7">
      <c r="A1580" s="1420"/>
      <c r="B1580" s="1575" t="s">
        <v>266</v>
      </c>
      <c r="C1580" s="1573" t="s">
        <v>2275</v>
      </c>
      <c r="D1580" s="1575"/>
      <c r="E1580" s="1576">
        <f t="shared" si="5"/>
        <v>0.14970059880239522</v>
      </c>
      <c r="F1580" s="1577">
        <v>7.1</v>
      </c>
      <c r="G1580" s="1321">
        <v>8.35</v>
      </c>
    </row>
    <row r="1581" spans="1:7">
      <c r="A1581" s="1420"/>
      <c r="B1581" s="1575" t="s">
        <v>267</v>
      </c>
      <c r="C1581" s="1573" t="s">
        <v>239</v>
      </c>
      <c r="D1581" s="1575"/>
      <c r="E1581" s="1576">
        <f t="shared" si="5"/>
        <v>0.14970059880239522</v>
      </c>
      <c r="F1581" s="1577">
        <v>7.1</v>
      </c>
      <c r="G1581" s="1321">
        <v>8.35</v>
      </c>
    </row>
    <row r="1582" spans="1:7">
      <c r="A1582" s="1420"/>
      <c r="B1582" s="1575" t="s">
        <v>268</v>
      </c>
      <c r="C1582" s="1573" t="s">
        <v>1413</v>
      </c>
      <c r="D1582" s="1575"/>
      <c r="E1582" s="1576">
        <f t="shared" si="5"/>
        <v>0.15083798882681565</v>
      </c>
      <c r="F1582" s="1578">
        <v>1.52</v>
      </c>
      <c r="G1582" s="1321">
        <v>1.79</v>
      </c>
    </row>
    <row r="1583" spans="1:7">
      <c r="A1583" s="1420"/>
      <c r="B1583" s="1575" t="s">
        <v>1246</v>
      </c>
      <c r="C1583" s="1575" t="s">
        <v>1429</v>
      </c>
      <c r="D1583" s="1575"/>
      <c r="E1583" s="1576">
        <f t="shared" si="5"/>
        <v>0.15083798882681565</v>
      </c>
      <c r="F1583" s="1578">
        <v>1.52</v>
      </c>
      <c r="G1583" s="1321">
        <v>1.79</v>
      </c>
    </row>
    <row r="1584" spans="1:7">
      <c r="A1584" s="1420"/>
      <c r="B1584" s="1573" t="s">
        <v>1512</v>
      </c>
      <c r="C1584" s="1575"/>
      <c r="D1584" s="1575"/>
      <c r="E1584" s="1576"/>
      <c r="F1584" s="1530"/>
      <c r="G1584" s="1321"/>
    </row>
    <row r="1585" spans="1:8" ht="15.75" thickBot="1">
      <c r="A1585" s="1423"/>
      <c r="B1585" s="1424" t="s">
        <v>1976</v>
      </c>
      <c r="C1585" s="1336"/>
      <c r="D1585" s="1336"/>
      <c r="E1585" s="1338"/>
      <c r="F1585" s="1339"/>
      <c r="G1585" s="1321"/>
    </row>
    <row r="1587" spans="1:8" ht="15.75" thickBot="1"/>
    <row r="1588" spans="1:8">
      <c r="A1588" s="3614" t="s">
        <v>0</v>
      </c>
      <c r="B1588" s="3693" t="s">
        <v>1</v>
      </c>
      <c r="C1588" s="3693" t="s">
        <v>2</v>
      </c>
      <c r="D1588" s="3693" t="s">
        <v>3</v>
      </c>
      <c r="E1588" s="3693" t="s">
        <v>4</v>
      </c>
      <c r="F1588" s="3522" t="s">
        <v>5</v>
      </c>
    </row>
    <row r="1589" spans="1:8" ht="15.75" thickBot="1">
      <c r="A1589" s="4050"/>
      <c r="B1589" s="4102"/>
      <c r="C1589" s="4102"/>
      <c r="D1589" s="4102"/>
      <c r="E1589" s="4102"/>
      <c r="F1589" s="4054"/>
    </row>
    <row r="1590" spans="1:8">
      <c r="A1590" s="876" t="s">
        <v>2729</v>
      </c>
      <c r="B1590" s="288" t="s">
        <v>200</v>
      </c>
      <c r="C1590" s="1545" t="s">
        <v>2550</v>
      </c>
      <c r="D1590" s="288"/>
      <c r="E1590" s="290">
        <f>(G1590-F1590)/G1590</f>
        <v>0.40022050716648289</v>
      </c>
      <c r="F1590" s="603">
        <v>5.44</v>
      </c>
      <c r="G1590">
        <v>9.07</v>
      </c>
      <c r="H1590">
        <f>F1590/5.24</f>
        <v>1.0381679389312977</v>
      </c>
    </row>
    <row r="1591" spans="1:8">
      <c r="A1591" s="302"/>
      <c r="B1591" s="1545"/>
      <c r="C1591" s="288" t="s">
        <v>2551</v>
      </c>
      <c r="D1591" s="288"/>
      <c r="E1591" s="290">
        <f>(G1591-F1591)/G1591</f>
        <v>0.40022050716648289</v>
      </c>
      <c r="F1591" s="603">
        <v>5.44</v>
      </c>
      <c r="G1591">
        <v>9.07</v>
      </c>
    </row>
    <row r="1592" spans="1:8">
      <c r="A1592" s="302"/>
      <c r="B1592" s="1549"/>
      <c r="C1592" s="1545"/>
      <c r="D1592" s="1545"/>
      <c r="E1592" s="290" t="e">
        <f>(G1592-F1592)/G1592</f>
        <v>#DIV/0!</v>
      </c>
      <c r="F1592" s="603"/>
    </row>
    <row r="1593" spans="1:8" ht="15.75" thickBot="1">
      <c r="A1593" s="460"/>
      <c r="B1593" s="1320"/>
      <c r="C1593" s="1320"/>
      <c r="D1593" s="1320"/>
      <c r="E1593" s="593" t="e">
        <f>(G1593-F1593)/G1593</f>
        <v>#DIV/0!</v>
      </c>
      <c r="F1593" s="826"/>
    </row>
    <row r="1595" spans="1:8" ht="15.75" thickBot="1"/>
    <row r="1596" spans="1:8">
      <c r="A1596" s="3614" t="s">
        <v>0</v>
      </c>
      <c r="B1596" s="3693" t="s">
        <v>1</v>
      </c>
      <c r="C1596" s="3693" t="s">
        <v>2</v>
      </c>
      <c r="D1596" s="3693" t="s">
        <v>3</v>
      </c>
      <c r="E1596" s="3693" t="s">
        <v>4</v>
      </c>
      <c r="F1596" s="3522" t="s">
        <v>5</v>
      </c>
    </row>
    <row r="1597" spans="1:8" ht="15.75" thickBot="1">
      <c r="A1597" s="4050"/>
      <c r="B1597" s="4102"/>
      <c r="C1597" s="4102"/>
      <c r="D1597" s="4102"/>
      <c r="E1597" s="4102"/>
      <c r="F1597" s="4054"/>
    </row>
    <row r="1598" spans="1:8">
      <c r="A1598" s="876" t="s">
        <v>2784</v>
      </c>
      <c r="B1598" s="288" t="s">
        <v>200</v>
      </c>
      <c r="C1598" s="1545" t="s">
        <v>1555</v>
      </c>
      <c r="D1598" s="288"/>
      <c r="E1598" s="290">
        <f>(G1598-F1598)/G1598</f>
        <v>0.13007420340462683</v>
      </c>
      <c r="F1598" s="603">
        <v>19.93</v>
      </c>
      <c r="G1598">
        <v>22.91</v>
      </c>
    </row>
    <row r="1599" spans="1:8">
      <c r="A1599" s="302"/>
      <c r="B1599" s="1545"/>
      <c r="C1599" s="288" t="s">
        <v>1556</v>
      </c>
      <c r="D1599" s="288"/>
      <c r="E1599" s="290">
        <f>(G1599-F1599)/G1599</f>
        <v>0.13007420340462683</v>
      </c>
      <c r="F1599" s="603">
        <v>19.93</v>
      </c>
      <c r="G1599">
        <v>22.91</v>
      </c>
    </row>
    <row r="1600" spans="1:8" ht="15.75" thickBot="1">
      <c r="A1600" s="460"/>
      <c r="B1600" s="1320"/>
      <c r="C1600" s="1320" t="s">
        <v>1763</v>
      </c>
      <c r="D1600" s="592"/>
      <c r="E1600" s="593">
        <f>(G1600-F1600)/G1600</f>
        <v>0.13007420340462683</v>
      </c>
      <c r="F1600" s="826">
        <v>19.93</v>
      </c>
      <c r="G1600">
        <v>22.91</v>
      </c>
    </row>
    <row r="1601" spans="1:7" ht="15.75" thickBot="1"/>
    <row r="1602" spans="1:7">
      <c r="A1602" s="3614" t="s">
        <v>0</v>
      </c>
      <c r="B1602" s="3693" t="s">
        <v>1</v>
      </c>
      <c r="C1602" s="3693" t="s">
        <v>2</v>
      </c>
      <c r="D1602" s="3693" t="s">
        <v>3</v>
      </c>
      <c r="E1602" s="3693" t="s">
        <v>4</v>
      </c>
      <c r="F1602" s="3522" t="s">
        <v>5</v>
      </c>
    </row>
    <row r="1603" spans="1:7" ht="15.75" thickBot="1">
      <c r="A1603" s="4050"/>
      <c r="B1603" s="4053"/>
      <c r="C1603" s="4053"/>
      <c r="D1603" s="4053"/>
      <c r="E1603" s="4053"/>
      <c r="F1603" s="4054"/>
    </row>
    <row r="1604" spans="1:7">
      <c r="A1604" s="876" t="s">
        <v>2830</v>
      </c>
      <c r="B1604" s="288" t="s">
        <v>200</v>
      </c>
      <c r="C1604" s="1707" t="s">
        <v>623</v>
      </c>
      <c r="D1604" s="288"/>
      <c r="E1604" s="290">
        <f>(G1604-F1604)/G1604</f>
        <v>0.3658536585365853</v>
      </c>
      <c r="F1604" s="603">
        <v>1.3</v>
      </c>
      <c r="G1604">
        <v>2.0499999999999998</v>
      </c>
    </row>
    <row r="1605" spans="1:7">
      <c r="A1605" s="302"/>
      <c r="B1605" s="1707"/>
      <c r="C1605" s="288"/>
      <c r="D1605" s="288"/>
      <c r="E1605" s="290" t="e">
        <f>(G1605-F1605)/G1605</f>
        <v>#DIV/0!</v>
      </c>
      <c r="F1605" s="603"/>
    </row>
    <row r="1606" spans="1:7" ht="15.75" thickBot="1">
      <c r="A1606" s="460"/>
      <c r="B1606" s="1708"/>
      <c r="C1606" s="1708"/>
      <c r="D1606" s="592"/>
      <c r="E1606" s="593" t="e">
        <f>(G1606-F1606)/G1606</f>
        <v>#DIV/0!</v>
      </c>
      <c r="F1606" s="826"/>
    </row>
    <row r="1607" spans="1:7" ht="15.75" thickBot="1"/>
    <row r="1608" spans="1:7">
      <c r="A1608" s="3614" t="s">
        <v>0</v>
      </c>
      <c r="B1608" s="3693" t="s">
        <v>1</v>
      </c>
      <c r="C1608" s="3693" t="s">
        <v>2</v>
      </c>
      <c r="D1608" s="3693" t="s">
        <v>3</v>
      </c>
      <c r="E1608" s="3693" t="s">
        <v>4</v>
      </c>
      <c r="F1608" s="3522" t="s">
        <v>5</v>
      </c>
    </row>
    <row r="1609" spans="1:7" ht="15.75" thickBot="1">
      <c r="A1609" s="4050"/>
      <c r="B1609" s="4109"/>
      <c r="C1609" s="4109"/>
      <c r="D1609" s="4109"/>
      <c r="E1609" s="4109"/>
      <c r="F1609" s="4054"/>
    </row>
    <row r="1610" spans="1:7">
      <c r="A1610" s="302" t="s">
        <v>2878</v>
      </c>
      <c r="B1610" s="288" t="s">
        <v>152</v>
      </c>
      <c r="C1610" s="1858" t="s">
        <v>2207</v>
      </c>
      <c r="D1610" s="288"/>
      <c r="E1610" s="290">
        <f>(G1610-F1610)/G1610</f>
        <v>0.1551724137931034</v>
      </c>
      <c r="F1610" s="1859">
        <v>0.49</v>
      </c>
      <c r="G1610">
        <v>0.57999999999999996</v>
      </c>
    </row>
    <row r="1611" spans="1:7">
      <c r="A1611" s="302"/>
      <c r="B1611" s="1860"/>
      <c r="C1611" s="1858" t="s">
        <v>1913</v>
      </c>
      <c r="D1611" s="288"/>
      <c r="E1611" s="290">
        <f>(G1611-F1611)/G1611</f>
        <v>0.13636363636363635</v>
      </c>
      <c r="F1611" s="1861">
        <v>0.76</v>
      </c>
      <c r="G1611">
        <v>0.88</v>
      </c>
    </row>
    <row r="1612" spans="1:7" ht="15.75" thickBot="1">
      <c r="A1612" s="460"/>
      <c r="B1612" s="1445"/>
      <c r="C1612" s="1862" t="s">
        <v>906</v>
      </c>
      <c r="D1612" s="592"/>
      <c r="E1612" s="593">
        <f>(G1612-F1612)/G1612</f>
        <v>0.12931034482758613</v>
      </c>
      <c r="F1612" s="1863">
        <v>1.01</v>
      </c>
      <c r="G1612">
        <v>1.1599999999999999</v>
      </c>
    </row>
    <row r="1614" spans="1:7" ht="15.75" thickBot="1"/>
    <row r="1615" spans="1:7" ht="15" customHeight="1">
      <c r="A1615" s="3516" t="s">
        <v>0</v>
      </c>
      <c r="B1615" s="3693" t="s">
        <v>1</v>
      </c>
      <c r="C1615" s="3693" t="s">
        <v>2</v>
      </c>
      <c r="D1615" s="3520" t="s">
        <v>3</v>
      </c>
      <c r="E1615" s="3693" t="s">
        <v>4</v>
      </c>
      <c r="F1615" s="3522" t="s">
        <v>5</v>
      </c>
    </row>
    <row r="1616" spans="1:7" ht="15" customHeight="1">
      <c r="A1616" s="3544"/>
      <c r="B1616" s="3622"/>
      <c r="C1616" s="3622"/>
      <c r="D1616" s="3529"/>
      <c r="E1616" s="3622"/>
      <c r="F1616" s="4110"/>
    </row>
    <row r="1617" spans="1:7">
      <c r="A1617" s="4111" t="s">
        <v>2923</v>
      </c>
      <c r="B1617" s="3632" t="s">
        <v>356</v>
      </c>
      <c r="C1617" s="1983" t="s">
        <v>1376</v>
      </c>
      <c r="D1617" s="1984"/>
      <c r="E1617" s="1985">
        <f>(G1617-F1617)/G1617</f>
        <v>0.38050734312416562</v>
      </c>
      <c r="F1617" s="1711">
        <v>4.6399999999999997</v>
      </c>
      <c r="G1617">
        <v>7.49</v>
      </c>
    </row>
    <row r="1618" spans="1:7">
      <c r="A1618" s="3536"/>
      <c r="B1618" s="3527"/>
      <c r="C1618" s="1986" t="s">
        <v>2916</v>
      </c>
      <c r="D1618" s="1987"/>
      <c r="E1618" s="1988">
        <f>(G1618-F1618)/G1618</f>
        <v>0.39959973315543695</v>
      </c>
      <c r="F1618" s="1989">
        <v>9</v>
      </c>
      <c r="G1618">
        <v>14.99</v>
      </c>
    </row>
    <row r="1619" spans="1:7" ht="15.75" thickBot="1">
      <c r="A1619" s="3537"/>
      <c r="B1619" s="3528"/>
      <c r="C1619" s="1316"/>
      <c r="D1619" s="1316"/>
      <c r="E1619" s="1456" t="e">
        <f>(G1619-F1619)/G1619</f>
        <v>#DIV/0!</v>
      </c>
      <c r="F1619" s="1368"/>
    </row>
    <row r="1620" spans="1:7" ht="15.75" thickBot="1"/>
    <row r="1621" spans="1:7">
      <c r="A1621" s="3614" t="s">
        <v>0</v>
      </c>
      <c r="B1621" s="3693" t="s">
        <v>1</v>
      </c>
      <c r="C1621" s="3693" t="s">
        <v>2</v>
      </c>
      <c r="D1621" s="3693" t="s">
        <v>3</v>
      </c>
      <c r="E1621" s="3693" t="s">
        <v>4</v>
      </c>
      <c r="F1621" s="3522" t="s">
        <v>5</v>
      </c>
    </row>
    <row r="1622" spans="1:7" ht="15.75" thickBot="1">
      <c r="A1622" s="4050"/>
      <c r="B1622" s="4112"/>
      <c r="C1622" s="4112"/>
      <c r="D1622" s="4112"/>
      <c r="E1622" s="4112"/>
      <c r="F1622" s="4054"/>
    </row>
    <row r="1623" spans="1:7">
      <c r="A1623" s="302" t="s">
        <v>2937</v>
      </c>
      <c r="B1623" s="288" t="s">
        <v>152</v>
      </c>
      <c r="C1623" s="2044" t="s">
        <v>2207</v>
      </c>
      <c r="D1623" s="288"/>
      <c r="E1623" s="290">
        <f>(G1623-F1623)/G1623</f>
        <v>0.1551724137931034</v>
      </c>
      <c r="F1623" s="2045">
        <v>0.49</v>
      </c>
      <c r="G1623">
        <v>0.57999999999999996</v>
      </c>
    </row>
    <row r="1624" spans="1:7">
      <c r="A1624" s="302"/>
      <c r="B1624" s="1766"/>
      <c r="C1624" s="2046" t="s">
        <v>1913</v>
      </c>
      <c r="D1624" s="288"/>
      <c r="E1624" s="290">
        <f>(G1624-F1624)/G1624</f>
        <v>0.13636363636363635</v>
      </c>
      <c r="F1624" s="2045">
        <v>0.76</v>
      </c>
      <c r="G1624">
        <v>0.88</v>
      </c>
    </row>
    <row r="1625" spans="1:7" ht="15.75" thickBot="1">
      <c r="A1625" s="460"/>
      <c r="B1625" s="1445"/>
      <c r="C1625" s="1862" t="s">
        <v>906</v>
      </c>
      <c r="D1625" s="592"/>
      <c r="E1625" s="593">
        <f>(G1625-F1625)/G1625</f>
        <v>0.12931034482758613</v>
      </c>
      <c r="F1625" s="1863">
        <v>1.01</v>
      </c>
      <c r="G1625">
        <v>1.1599999999999999</v>
      </c>
    </row>
    <row r="1627" spans="1:7" ht="15.75" thickBot="1"/>
    <row r="1628" spans="1:7">
      <c r="A1628" s="3614" t="s">
        <v>0</v>
      </c>
      <c r="B1628" s="3693" t="s">
        <v>1</v>
      </c>
      <c r="C1628" s="3693" t="s">
        <v>2</v>
      </c>
      <c r="D1628" s="3693" t="s">
        <v>3</v>
      </c>
      <c r="E1628" s="3693" t="s">
        <v>4</v>
      </c>
      <c r="F1628" s="3522" t="s">
        <v>5</v>
      </c>
    </row>
    <row r="1629" spans="1:7" ht="15.75" thickBot="1">
      <c r="A1629" s="3878"/>
      <c r="B1629" s="3622"/>
      <c r="C1629" s="3622"/>
      <c r="D1629" s="3622"/>
      <c r="E1629" s="3622"/>
      <c r="F1629" s="3846"/>
    </row>
    <row r="1630" spans="1:7">
      <c r="A1630" s="1108" t="s">
        <v>2958</v>
      </c>
      <c r="B1630" s="1098" t="s">
        <v>1414</v>
      </c>
      <c r="C1630" s="1098" t="s">
        <v>2827</v>
      </c>
      <c r="D1630" s="1098"/>
      <c r="E1630" s="1376">
        <f t="shared" ref="E1630:E1638" si="6">(G1630-F1630)/G1630</f>
        <v>0.37037037037037041</v>
      </c>
      <c r="F1630" s="2111">
        <v>1.02</v>
      </c>
      <c r="G1630" s="32">
        <v>1.62</v>
      </c>
    </row>
    <row r="1631" spans="1:7">
      <c r="A1631" s="2078"/>
      <c r="B1631" s="2079" t="s">
        <v>1419</v>
      </c>
      <c r="C1631" s="2079" t="s">
        <v>2890</v>
      </c>
      <c r="D1631" s="2079"/>
      <c r="E1631" s="2100">
        <f t="shared" si="6"/>
        <v>0.37037037037037041</v>
      </c>
      <c r="F1631" s="2101">
        <v>1.02</v>
      </c>
      <c r="G1631" s="32">
        <v>1.62</v>
      </c>
    </row>
    <row r="1632" spans="1:7">
      <c r="A1632" s="2078"/>
      <c r="B1632" s="2079" t="s">
        <v>1417</v>
      </c>
      <c r="C1632" s="2079" t="s">
        <v>2871</v>
      </c>
      <c r="D1632" s="2079"/>
      <c r="E1632" s="2100">
        <f t="shared" si="6"/>
        <v>0.37037037037037041</v>
      </c>
      <c r="F1632" s="2101">
        <v>1.02</v>
      </c>
      <c r="G1632" s="32">
        <v>1.62</v>
      </c>
    </row>
    <row r="1633" spans="1:9">
      <c r="A1633" s="2078"/>
      <c r="B1633" s="2079" t="s">
        <v>2506</v>
      </c>
      <c r="C1633" s="2079" t="s">
        <v>920</v>
      </c>
      <c r="D1633" s="2079"/>
      <c r="E1633" s="2100">
        <f t="shared" si="6"/>
        <v>0.2023809523809523</v>
      </c>
      <c r="F1633" s="2101">
        <v>0.67</v>
      </c>
      <c r="G1633" s="32">
        <v>0.84</v>
      </c>
    </row>
    <row r="1634" spans="1:9">
      <c r="A1634" s="2078"/>
      <c r="B1634" s="2079" t="s">
        <v>1415</v>
      </c>
      <c r="C1634" s="2079"/>
      <c r="D1634" s="2079"/>
      <c r="E1634" s="2100" t="e">
        <f t="shared" si="6"/>
        <v>#DIV/0!</v>
      </c>
      <c r="F1634" s="2101"/>
      <c r="G1634" s="32"/>
    </row>
    <row r="1635" spans="1:9">
      <c r="A1635" s="2078"/>
      <c r="B1635" s="2079" t="s">
        <v>1416</v>
      </c>
      <c r="C1635" s="2079"/>
      <c r="D1635" s="2079"/>
      <c r="E1635" s="2100" t="e">
        <f t="shared" si="6"/>
        <v>#DIV/0!</v>
      </c>
      <c r="F1635" s="2101"/>
      <c r="G1635" s="32"/>
    </row>
    <row r="1636" spans="1:9">
      <c r="A1636" s="2112"/>
      <c r="B1636" s="2079" t="s">
        <v>1420</v>
      </c>
      <c r="C1636" s="2079"/>
      <c r="D1636" s="2079"/>
      <c r="E1636" s="2100" t="e">
        <f t="shared" si="6"/>
        <v>#DIV/0!</v>
      </c>
      <c r="F1636" s="2101"/>
      <c r="G1636" s="32"/>
    </row>
    <row r="1637" spans="1:9">
      <c r="A1637" s="2112"/>
      <c r="B1637" s="2079" t="s">
        <v>1421</v>
      </c>
      <c r="C1637" s="2079"/>
      <c r="D1637" s="2079"/>
      <c r="E1637" s="2100" t="e">
        <f t="shared" si="6"/>
        <v>#DIV/0!</v>
      </c>
      <c r="F1637" s="2101"/>
      <c r="G1637" s="32"/>
    </row>
    <row r="1638" spans="1:9" ht="15.75" thickBot="1">
      <c r="A1638" s="2113"/>
      <c r="B1638" s="1768" t="s">
        <v>1423</v>
      </c>
      <c r="C1638" s="1768"/>
      <c r="D1638" s="1768"/>
      <c r="E1638" s="2100" t="e">
        <f t="shared" si="6"/>
        <v>#DIV/0!</v>
      </c>
      <c r="F1638" s="1535"/>
      <c r="G1638" s="32"/>
    </row>
    <row r="1639" spans="1:9" ht="15.75" thickBot="1"/>
    <row r="1640" spans="1:9">
      <c r="A1640" s="3614" t="s">
        <v>0</v>
      </c>
      <c r="B1640" s="3693" t="s">
        <v>1</v>
      </c>
      <c r="C1640" s="3693" t="s">
        <v>2</v>
      </c>
      <c r="D1640" s="3693" t="s">
        <v>3</v>
      </c>
      <c r="E1640" s="3693" t="s">
        <v>4</v>
      </c>
      <c r="F1640" s="3522" t="s">
        <v>5</v>
      </c>
    </row>
    <row r="1641" spans="1:9" ht="15.75" thickBot="1">
      <c r="A1641" s="4050"/>
      <c r="B1641" s="4057"/>
      <c r="C1641" s="4057"/>
      <c r="D1641" s="4057"/>
      <c r="E1641" s="4057"/>
      <c r="F1641" s="4054"/>
    </row>
    <row r="1642" spans="1:9">
      <c r="A1642" s="2102" t="s">
        <v>2959</v>
      </c>
      <c r="B1642" s="288" t="s">
        <v>200</v>
      </c>
      <c r="C1642" s="2079" t="s">
        <v>2960</v>
      </c>
      <c r="D1642" s="288"/>
      <c r="E1642" s="290">
        <f>(G1642-F1642)/G1642</f>
        <v>0.14563106796116507</v>
      </c>
      <c r="F1642" s="399">
        <v>0.88</v>
      </c>
      <c r="G1642" s="32">
        <v>1.03</v>
      </c>
    </row>
    <row r="1643" spans="1:9">
      <c r="A1643" s="413"/>
      <c r="B1643" s="2079"/>
      <c r="C1643" s="288" t="s">
        <v>2961</v>
      </c>
      <c r="D1643" s="288"/>
      <c r="E1643" s="290">
        <f>(G1643-F1643)/G1643</f>
        <v>0.14563106796116507</v>
      </c>
      <c r="F1643" s="399">
        <v>0.88</v>
      </c>
      <c r="G1643" s="32">
        <v>1.03</v>
      </c>
    </row>
    <row r="1644" spans="1:9" ht="15.75" thickBot="1">
      <c r="A1644" s="415"/>
      <c r="B1644" s="1768"/>
      <c r="C1644" s="1768" t="s">
        <v>2962</v>
      </c>
      <c r="D1644" s="592"/>
      <c r="E1644" s="593">
        <f>(G1644-F1644)/G1644</f>
        <v>0.14563106796116507</v>
      </c>
      <c r="F1644" s="399">
        <v>0.88</v>
      </c>
      <c r="G1644" s="32">
        <v>1.03</v>
      </c>
      <c r="H1644">
        <f>F1644-0.73</f>
        <v>0.15000000000000002</v>
      </c>
      <c r="I1644">
        <f>H1644*48450</f>
        <v>7267.5000000000009</v>
      </c>
    </row>
    <row r="1645" spans="1:9" ht="15.75" thickBot="1"/>
    <row r="1646" spans="1:9">
      <c r="A1646" s="3614" t="s">
        <v>0</v>
      </c>
      <c r="B1646" s="3693" t="s">
        <v>1</v>
      </c>
      <c r="C1646" s="3693" t="s">
        <v>2</v>
      </c>
      <c r="D1646" s="3693" t="s">
        <v>3</v>
      </c>
      <c r="E1646" s="3693" t="s">
        <v>4</v>
      </c>
      <c r="F1646" s="3522" t="s">
        <v>5</v>
      </c>
    </row>
    <row r="1647" spans="1:9" ht="15.75" thickBot="1">
      <c r="A1647" s="4050"/>
      <c r="B1647" s="4057"/>
      <c r="C1647" s="4057"/>
      <c r="D1647" s="4057"/>
      <c r="E1647" s="4057"/>
      <c r="F1647" s="4054"/>
    </row>
    <row r="1648" spans="1:9">
      <c r="A1648" s="2102" t="s">
        <v>2959</v>
      </c>
      <c r="B1648" s="288" t="s">
        <v>200</v>
      </c>
      <c r="C1648" s="2079" t="s">
        <v>623</v>
      </c>
      <c r="D1648" s="288"/>
      <c r="E1648" s="290">
        <f>(G1648-F1648)/G1648</f>
        <v>0.3658536585365853</v>
      </c>
      <c r="F1648" s="399">
        <v>1.3</v>
      </c>
      <c r="G1648" s="32">
        <v>2.0499999999999998</v>
      </c>
    </row>
    <row r="1649" spans="1:7">
      <c r="A1649" s="413"/>
      <c r="B1649" s="2079"/>
      <c r="C1649" s="288"/>
      <c r="D1649" s="288"/>
      <c r="E1649" s="290" t="e">
        <f>(G1649-F1649)/G1649</f>
        <v>#DIV/0!</v>
      </c>
      <c r="F1649" s="399"/>
      <c r="G1649" s="32"/>
    </row>
    <row r="1650" spans="1:7" ht="15.75" thickBot="1">
      <c r="A1650" s="415"/>
      <c r="B1650" s="1768"/>
      <c r="C1650" s="1768"/>
      <c r="D1650" s="592"/>
      <c r="E1650" s="593" t="e">
        <f>(G1650-F1650)/G1650</f>
        <v>#DIV/0!</v>
      </c>
      <c r="F1650" s="604"/>
      <c r="G1650" s="32"/>
    </row>
    <row r="1651" spans="1:7" ht="15.75" thickBot="1"/>
    <row r="1652" spans="1:7">
      <c r="A1652" s="3614" t="s">
        <v>0</v>
      </c>
      <c r="B1652" s="3693" t="s">
        <v>1</v>
      </c>
      <c r="C1652" s="3693" t="s">
        <v>2</v>
      </c>
      <c r="D1652" s="3693" t="s">
        <v>3</v>
      </c>
      <c r="E1652" s="3693" t="s">
        <v>4</v>
      </c>
      <c r="F1652" s="3522" t="s">
        <v>5</v>
      </c>
    </row>
    <row r="1653" spans="1:7" ht="15.75" thickBot="1">
      <c r="A1653" s="4050"/>
      <c r="B1653" s="4112"/>
      <c r="C1653" s="4112"/>
      <c r="D1653" s="4112"/>
      <c r="E1653" s="4112"/>
      <c r="F1653" s="4054"/>
    </row>
    <row r="1654" spans="1:7">
      <c r="A1654" s="302" t="s">
        <v>2970</v>
      </c>
      <c r="B1654" s="2148" t="s">
        <v>152</v>
      </c>
      <c r="C1654" s="2149" t="s">
        <v>2207</v>
      </c>
      <c r="D1654" s="2148"/>
      <c r="E1654" s="2150">
        <f>(G1654-F1654)/G1654</f>
        <v>0.1551724137931034</v>
      </c>
      <c r="F1654" s="2151">
        <v>0.49</v>
      </c>
      <c r="G1654">
        <v>0.57999999999999996</v>
      </c>
    </row>
    <row r="1655" spans="1:7">
      <c r="A1655" s="302"/>
      <c r="B1655" s="2079"/>
      <c r="C1655" s="2152" t="s">
        <v>1913</v>
      </c>
      <c r="D1655" s="2148"/>
      <c r="E1655" s="2150">
        <f>(G1655-F1655)/G1655</f>
        <v>0.13636363636363635</v>
      </c>
      <c r="F1655" s="2151">
        <v>0.76</v>
      </c>
      <c r="G1655">
        <v>0.88</v>
      </c>
    </row>
    <row r="1656" spans="1:7" ht="15.75" thickBot="1">
      <c r="A1656" s="460"/>
      <c r="B1656" s="1445"/>
      <c r="C1656" s="2153" t="s">
        <v>906</v>
      </c>
      <c r="D1656" s="592"/>
      <c r="E1656" s="593">
        <f>(G1656-F1656)/G1656</f>
        <v>0.12931034482758613</v>
      </c>
      <c r="F1656" s="1863">
        <v>1.01</v>
      </c>
      <c r="G1656">
        <v>1.1599999999999999</v>
      </c>
    </row>
    <row r="1657" spans="1:7" ht="15.75" thickBot="1"/>
    <row r="1658" spans="1:7">
      <c r="A1658" s="3614" t="s">
        <v>0</v>
      </c>
      <c r="B1658" s="3693" t="s">
        <v>1</v>
      </c>
      <c r="C1658" s="3693" t="s">
        <v>2</v>
      </c>
      <c r="D1658" s="3693" t="s">
        <v>3</v>
      </c>
      <c r="E1658" s="3693" t="s">
        <v>4</v>
      </c>
      <c r="F1658" s="3522" t="s">
        <v>5</v>
      </c>
    </row>
    <row r="1659" spans="1:7" ht="15.75" thickBot="1">
      <c r="A1659" s="4050"/>
      <c r="B1659" s="4057"/>
      <c r="C1659" s="4057"/>
      <c r="D1659" s="4057"/>
      <c r="E1659" s="4057"/>
      <c r="F1659" s="4054"/>
    </row>
    <row r="1660" spans="1:7">
      <c r="A1660" s="876" t="s">
        <v>2975</v>
      </c>
      <c r="B1660" s="2148" t="s">
        <v>200</v>
      </c>
      <c r="C1660" s="2163" t="s">
        <v>1555</v>
      </c>
      <c r="D1660" s="2148"/>
      <c r="E1660" s="2150">
        <f t="shared" ref="E1660:E1665" si="7">(G1660-F1660)/G1660</f>
        <v>8.904408555216059E-2</v>
      </c>
      <c r="F1660" s="2164">
        <v>20.87</v>
      </c>
      <c r="G1660">
        <v>22.91</v>
      </c>
    </row>
    <row r="1661" spans="1:7">
      <c r="A1661" s="876"/>
      <c r="B1661" s="2148"/>
      <c r="C1661" s="2148" t="s">
        <v>1556</v>
      </c>
      <c r="D1661" s="2148"/>
      <c r="E1661" s="2150">
        <f t="shared" si="7"/>
        <v>8.904408555216059E-2</v>
      </c>
      <c r="F1661" s="2164">
        <v>20.87</v>
      </c>
      <c r="G1661">
        <v>22.91</v>
      </c>
    </row>
    <row r="1662" spans="1:7">
      <c r="A1662" s="876"/>
      <c r="B1662" s="2148"/>
      <c r="C1662" s="2148" t="s">
        <v>1763</v>
      </c>
      <c r="D1662" s="2148"/>
      <c r="E1662" s="2150">
        <f t="shared" si="7"/>
        <v>8.904408555216059E-2</v>
      </c>
      <c r="F1662" s="2164">
        <v>20.87</v>
      </c>
      <c r="G1662">
        <v>22.91</v>
      </c>
    </row>
    <row r="1663" spans="1:7">
      <c r="A1663" s="876"/>
      <c r="B1663" s="2148"/>
      <c r="C1663" s="2148" t="s">
        <v>2602</v>
      </c>
      <c r="D1663" s="2148"/>
      <c r="E1663" s="2150">
        <f t="shared" si="7"/>
        <v>0.1985559566787003</v>
      </c>
      <c r="F1663" s="2164">
        <v>2.2200000000000002</v>
      </c>
      <c r="G1663">
        <v>2.77</v>
      </c>
    </row>
    <row r="1664" spans="1:7">
      <c r="A1664" s="302"/>
      <c r="B1664" s="2163"/>
      <c r="C1664" s="2148" t="s">
        <v>2558</v>
      </c>
      <c r="D1664" s="2148"/>
      <c r="E1664" s="2150">
        <f t="shared" si="7"/>
        <v>0.1985559566787003</v>
      </c>
      <c r="F1664" s="2164">
        <v>2.2200000000000002</v>
      </c>
      <c r="G1664">
        <v>2.77</v>
      </c>
    </row>
    <row r="1665" spans="1:7" ht="15.75" thickBot="1">
      <c r="A1665" s="460"/>
      <c r="B1665" s="2165"/>
      <c r="C1665" s="2165" t="s">
        <v>2603</v>
      </c>
      <c r="D1665" s="592"/>
      <c r="E1665" s="593">
        <f t="shared" si="7"/>
        <v>0.1985559566787003</v>
      </c>
      <c r="F1665" s="826">
        <v>2.2200000000000002</v>
      </c>
      <c r="G1665">
        <v>2.77</v>
      </c>
    </row>
    <row r="1667" spans="1:7" ht="15.75" thickBot="1"/>
    <row r="1668" spans="1:7">
      <c r="A1668" s="3572" t="s">
        <v>0</v>
      </c>
      <c r="B1668" s="3557" t="s">
        <v>1</v>
      </c>
      <c r="C1668" s="3557" t="s">
        <v>2</v>
      </c>
      <c r="D1668" s="3557" t="s">
        <v>3</v>
      </c>
      <c r="E1668" s="3557" t="s">
        <v>4</v>
      </c>
      <c r="F1668" s="3559" t="s">
        <v>5</v>
      </c>
    </row>
    <row r="1669" spans="1:7">
      <c r="A1669" s="4062"/>
      <c r="B1669" s="4061"/>
      <c r="C1669" s="4061"/>
      <c r="D1669" s="4061"/>
      <c r="E1669" s="4061"/>
      <c r="F1669" s="4063"/>
    </row>
    <row r="1670" spans="1:7">
      <c r="A1670" s="4051" t="s">
        <v>2979</v>
      </c>
      <c r="B1670" s="4064" t="s">
        <v>356</v>
      </c>
      <c r="C1670" s="2166" t="s">
        <v>1763</v>
      </c>
      <c r="D1670" s="2167"/>
      <c r="E1670" s="2168">
        <f>(G1670-F1670)/G1670</f>
        <v>0.17013463892288869</v>
      </c>
      <c r="F1670" s="2169">
        <v>20.34</v>
      </c>
      <c r="G1670">
        <v>24.51</v>
      </c>
    </row>
    <row r="1671" spans="1:7">
      <c r="A1671" s="4051"/>
      <c r="B1671" s="4064"/>
      <c r="C1671" s="2166" t="s">
        <v>1556</v>
      </c>
      <c r="D1671" s="2170"/>
      <c r="E1671" s="2168">
        <f>(G1671-F1671)/G1671</f>
        <v>0.17013463892288869</v>
      </c>
      <c r="F1671" s="2169">
        <v>20.34</v>
      </c>
      <c r="G1671">
        <v>24.51</v>
      </c>
    </row>
    <row r="1672" spans="1:7">
      <c r="A1672" s="4051"/>
      <c r="B1672" s="4064"/>
      <c r="C1672" s="2166" t="s">
        <v>1557</v>
      </c>
      <c r="D1672" s="2170"/>
      <c r="E1672" s="2168">
        <f>(G1672-F1672)/G1672</f>
        <v>0.17013463892288869</v>
      </c>
      <c r="F1672" s="2169">
        <v>20.34</v>
      </c>
      <c r="G1672">
        <v>24.51</v>
      </c>
    </row>
    <row r="1673" spans="1:7" ht="15.75" thickBot="1">
      <c r="A1673" s="3654"/>
      <c r="B1673" s="4113"/>
      <c r="C1673" s="2171" t="s">
        <v>1555</v>
      </c>
      <c r="D1673" s="2171"/>
      <c r="E1673" s="2172">
        <f>(G1673-F1673)/G1673</f>
        <v>0.17013463892288869</v>
      </c>
      <c r="F1673" s="2173">
        <v>20.34</v>
      </c>
      <c r="G1673">
        <v>24.51</v>
      </c>
    </row>
    <row r="1674" spans="1:7" ht="15.75" thickBot="1"/>
    <row r="1675" spans="1:7">
      <c r="A1675" s="3572" t="s">
        <v>0</v>
      </c>
      <c r="B1675" s="3557" t="s">
        <v>1</v>
      </c>
      <c r="C1675" s="3518" t="s">
        <v>2</v>
      </c>
      <c r="D1675" s="3518" t="s">
        <v>3</v>
      </c>
      <c r="E1675" s="3518" t="s">
        <v>4</v>
      </c>
      <c r="F1675" s="3522" t="s">
        <v>5</v>
      </c>
    </row>
    <row r="1676" spans="1:7" ht="15.75" thickBot="1">
      <c r="A1676" s="3844"/>
      <c r="B1676" s="4114"/>
      <c r="C1676" s="4068"/>
      <c r="D1676" s="4068"/>
      <c r="E1676" s="4068"/>
      <c r="F1676" s="4054"/>
    </row>
    <row r="1677" spans="1:7">
      <c r="A1677" s="4055" t="s">
        <v>2980</v>
      </c>
      <c r="B1677" s="2174" t="s">
        <v>409</v>
      </c>
      <c r="C1677" s="1163" t="s">
        <v>2827</v>
      </c>
      <c r="D1677" s="2175"/>
      <c r="E1677" s="2150">
        <f>(G1677-F1677)/G1677</f>
        <v>0.20000000000000004</v>
      </c>
      <c r="F1677" s="2164">
        <v>1.28</v>
      </c>
      <c r="G1677">
        <v>1.6</v>
      </c>
    </row>
    <row r="1678" spans="1:7">
      <c r="A1678" s="4051"/>
      <c r="B1678" s="2176" t="s">
        <v>921</v>
      </c>
      <c r="C1678" s="2163" t="s">
        <v>2890</v>
      </c>
      <c r="D1678" s="2177"/>
      <c r="E1678" s="2150">
        <f>(G1678-F1678)/G1678</f>
        <v>0.20000000000000004</v>
      </c>
      <c r="F1678" s="2178">
        <v>1.28</v>
      </c>
      <c r="G1678">
        <v>1.6</v>
      </c>
    </row>
    <row r="1679" spans="1:7" ht="15.75" thickBot="1">
      <c r="A1679" s="3654"/>
      <c r="B1679" s="2179" t="s">
        <v>534</v>
      </c>
      <c r="C1679" s="2163" t="s">
        <v>2871</v>
      </c>
      <c r="D1679" s="2180"/>
      <c r="E1679" s="2150">
        <f>(G1679-F1679)/G1679</f>
        <v>0.20000000000000004</v>
      </c>
      <c r="F1679" s="1368">
        <v>1.28</v>
      </c>
      <c r="G1679">
        <v>1.6</v>
      </c>
    </row>
    <row r="1680" spans="1:7" ht="15.75" thickBot="1"/>
    <row r="1681" spans="1:7">
      <c r="A1681" s="3572" t="s">
        <v>0</v>
      </c>
      <c r="B1681" s="3557" t="s">
        <v>1</v>
      </c>
      <c r="C1681" s="3557" t="s">
        <v>2</v>
      </c>
      <c r="D1681" s="3557" t="s">
        <v>3</v>
      </c>
      <c r="E1681" s="3557" t="s">
        <v>4</v>
      </c>
      <c r="F1681" s="3559" t="s">
        <v>5</v>
      </c>
    </row>
    <row r="1682" spans="1:7">
      <c r="A1682" s="4062"/>
      <c r="B1682" s="4061"/>
      <c r="C1682" s="4061"/>
      <c r="D1682" s="4061"/>
      <c r="E1682" s="4061"/>
      <c r="F1682" s="4063"/>
    </row>
    <row r="1683" spans="1:7">
      <c r="A1683" s="4051" t="s">
        <v>2992</v>
      </c>
      <c r="B1683" s="4064" t="s">
        <v>356</v>
      </c>
      <c r="C1683" s="2166" t="s">
        <v>2916</v>
      </c>
      <c r="D1683" s="2197"/>
      <c r="E1683" s="2168">
        <f>(G1683-F1683)/G1683</f>
        <v>0.37062937062937068</v>
      </c>
      <c r="F1683" s="2169">
        <v>9</v>
      </c>
      <c r="G1683" s="39">
        <v>14.3</v>
      </c>
    </row>
    <row r="1684" spans="1:7">
      <c r="A1684" s="4051"/>
      <c r="B1684" s="4064"/>
      <c r="C1684" s="2166"/>
      <c r="D1684" s="2170"/>
      <c r="E1684" s="2168" t="e">
        <f>(G1684-F1684)/G1684</f>
        <v>#DIV/0!</v>
      </c>
      <c r="F1684" s="2169"/>
    </row>
    <row r="1685" spans="1:7">
      <c r="A1685" s="4051"/>
      <c r="B1685" s="4064"/>
      <c r="C1685" s="2166"/>
      <c r="D1685" s="2170"/>
      <c r="E1685" s="2168" t="e">
        <f>(G1685-F1685)/G1685</f>
        <v>#DIV/0!</v>
      </c>
      <c r="F1685" s="2169"/>
    </row>
    <row r="1686" spans="1:7" ht="15.75" thickBot="1">
      <c r="A1686" s="3654"/>
      <c r="B1686" s="4065"/>
      <c r="C1686" s="2198"/>
      <c r="D1686" s="2198"/>
      <c r="E1686" s="2036" t="e">
        <f>(G1686-F1686)/G1686</f>
        <v>#DIV/0!</v>
      </c>
      <c r="F1686" s="2173"/>
    </row>
    <row r="1687" spans="1:7" ht="15.75" thickBot="1"/>
    <row r="1688" spans="1:7">
      <c r="A1688" s="3572" t="s">
        <v>0</v>
      </c>
      <c r="B1688" s="3557" t="s">
        <v>1</v>
      </c>
      <c r="C1688" s="3518" t="s">
        <v>2</v>
      </c>
      <c r="D1688" s="3518" t="s">
        <v>3</v>
      </c>
      <c r="E1688" s="3518" t="s">
        <v>4</v>
      </c>
      <c r="F1688" s="3522" t="s">
        <v>5</v>
      </c>
    </row>
    <row r="1689" spans="1:7" ht="15.75" thickBot="1">
      <c r="A1689" s="3844"/>
      <c r="B1689" s="4001"/>
      <c r="C1689" s="4057"/>
      <c r="D1689" s="4057"/>
      <c r="E1689" s="4057"/>
      <c r="F1689" s="4054"/>
    </row>
    <row r="1690" spans="1:7">
      <c r="A1690" s="4055" t="s">
        <v>2993</v>
      </c>
      <c r="B1690" s="2174" t="s">
        <v>409</v>
      </c>
      <c r="C1690" s="1163" t="s">
        <v>1376</v>
      </c>
      <c r="D1690" s="2175"/>
      <c r="E1690" s="2150">
        <f>(G1690-F1690)/G1690</f>
        <v>0.28971962616822428</v>
      </c>
      <c r="F1690" s="2164">
        <v>5.32</v>
      </c>
      <c r="G1690">
        <v>7.49</v>
      </c>
    </row>
    <row r="1691" spans="1:7">
      <c r="A1691" s="4051"/>
      <c r="B1691" s="2176" t="s">
        <v>921</v>
      </c>
      <c r="C1691" s="2163" t="s">
        <v>2916</v>
      </c>
      <c r="D1691" s="2177"/>
      <c r="E1691" s="2150">
        <f>(G1691-F1691)/G1691</f>
        <v>0.29019346230820542</v>
      </c>
      <c r="F1691" s="2178">
        <v>10.64</v>
      </c>
      <c r="G1691">
        <v>14.99</v>
      </c>
    </row>
    <row r="1692" spans="1:7" ht="15.75" thickBot="1">
      <c r="A1692" s="3654"/>
      <c r="B1692" s="2199" t="s">
        <v>534</v>
      </c>
      <c r="C1692" s="1768"/>
      <c r="D1692" s="2035"/>
      <c r="E1692" s="593" t="e">
        <f>(G1692-F1692)/G1692</f>
        <v>#DIV/0!</v>
      </c>
      <c r="F1692" s="1368"/>
    </row>
    <row r="1694" spans="1:7" ht="15.75" thickBot="1"/>
    <row r="1695" spans="1:7">
      <c r="A1695" s="3614" t="s">
        <v>0</v>
      </c>
      <c r="B1695" s="3693" t="s">
        <v>1</v>
      </c>
      <c r="C1695" s="3693" t="s">
        <v>2</v>
      </c>
      <c r="D1695" s="3693" t="s">
        <v>3</v>
      </c>
      <c r="E1695" s="3693" t="s">
        <v>4</v>
      </c>
      <c r="F1695" s="3522" t="s">
        <v>5</v>
      </c>
    </row>
    <row r="1696" spans="1:7" ht="15.75" thickBot="1">
      <c r="A1696" s="4050"/>
      <c r="B1696" s="4057"/>
      <c r="C1696" s="4057"/>
      <c r="D1696" s="4057"/>
      <c r="E1696" s="4057"/>
      <c r="F1696" s="4054"/>
    </row>
    <row r="1697" spans="1:7">
      <c r="A1697" s="876" t="s">
        <v>2997</v>
      </c>
      <c r="B1697" s="2148" t="s">
        <v>200</v>
      </c>
      <c r="C1697" s="2163" t="s">
        <v>2550</v>
      </c>
      <c r="D1697" s="2148"/>
      <c r="E1697" s="2150">
        <f t="shared" ref="E1697:E1702" si="8">(G1697-F1697)/G1697</f>
        <v>0.37265711135611906</v>
      </c>
      <c r="F1697" s="2164">
        <v>5.69</v>
      </c>
      <c r="G1697">
        <v>9.07</v>
      </c>
    </row>
    <row r="1698" spans="1:7">
      <c r="A1698" s="876"/>
      <c r="B1698" s="2148"/>
      <c r="C1698" s="2148" t="s">
        <v>2551</v>
      </c>
      <c r="D1698" s="2148"/>
      <c r="E1698" s="2150">
        <f t="shared" si="8"/>
        <v>0.37265711135611906</v>
      </c>
      <c r="F1698" s="2164">
        <v>5.69</v>
      </c>
      <c r="G1698">
        <v>9.07</v>
      </c>
    </row>
    <row r="1699" spans="1:7">
      <c r="A1699" s="876"/>
      <c r="B1699" s="2148"/>
      <c r="C1699" s="2148"/>
      <c r="D1699" s="2148"/>
      <c r="E1699" s="2150" t="e">
        <f t="shared" si="8"/>
        <v>#DIV/0!</v>
      </c>
      <c r="F1699" s="2164"/>
    </row>
    <row r="1700" spans="1:7">
      <c r="A1700" s="876"/>
      <c r="B1700" s="2148"/>
      <c r="C1700" s="2148"/>
      <c r="D1700" s="2148"/>
      <c r="E1700" s="2150" t="e">
        <f t="shared" si="8"/>
        <v>#DIV/0!</v>
      </c>
      <c r="F1700" s="2164"/>
    </row>
    <row r="1701" spans="1:7">
      <c r="A1701" s="302"/>
      <c r="B1701" s="2163"/>
      <c r="C1701" s="2148"/>
      <c r="D1701" s="2148"/>
      <c r="E1701" s="2150" t="e">
        <f t="shared" si="8"/>
        <v>#DIV/0!</v>
      </c>
      <c r="F1701" s="2164"/>
    </row>
    <row r="1702" spans="1:7" ht="15.75" thickBot="1">
      <c r="A1702" s="460"/>
      <c r="B1702" s="1768"/>
      <c r="C1702" s="1768"/>
      <c r="D1702" s="592"/>
      <c r="E1702" s="593" t="e">
        <f t="shared" si="8"/>
        <v>#DIV/0!</v>
      </c>
      <c r="F1702" s="826"/>
    </row>
    <row r="1703" spans="1:7" ht="15.75" thickBot="1"/>
    <row r="1704" spans="1:7">
      <c r="A1704" s="3614" t="s">
        <v>0</v>
      </c>
      <c r="B1704" s="3693" t="s">
        <v>1</v>
      </c>
      <c r="C1704" s="3693" t="s">
        <v>2</v>
      </c>
      <c r="D1704" s="3693" t="s">
        <v>3</v>
      </c>
      <c r="E1704" s="3693" t="s">
        <v>4</v>
      </c>
      <c r="F1704" s="3522" t="s">
        <v>5</v>
      </c>
    </row>
    <row r="1705" spans="1:7" ht="15.75" thickBot="1">
      <c r="A1705" s="3650"/>
      <c r="B1705" s="3622"/>
      <c r="C1705" s="3622"/>
      <c r="D1705" s="3622"/>
      <c r="E1705" s="3622"/>
      <c r="F1705" s="3846"/>
    </row>
    <row r="1706" spans="1:7">
      <c r="A1706" s="1375" t="s">
        <v>3032</v>
      </c>
      <c r="B1706" s="1098" t="s">
        <v>1414</v>
      </c>
      <c r="C1706" s="1098" t="s">
        <v>2999</v>
      </c>
      <c r="D1706" s="1098"/>
      <c r="E1706" s="1376">
        <f t="shared" ref="E1706:E1714" si="9">(G1706-F1706)/G1706</f>
        <v>0.37244897959183676</v>
      </c>
      <c r="F1706" s="881">
        <v>1.23</v>
      </c>
      <c r="G1706">
        <v>1.96</v>
      </c>
    </row>
    <row r="1707" spans="1:7">
      <c r="A1707" s="1743"/>
      <c r="B1707" s="1766" t="s">
        <v>1419</v>
      </c>
      <c r="C1707" s="1766"/>
      <c r="D1707" s="1766"/>
      <c r="E1707" s="2266" t="e">
        <f t="shared" si="9"/>
        <v>#DIV/0!</v>
      </c>
      <c r="F1707" s="2265"/>
    </row>
    <row r="1708" spans="1:7">
      <c r="A1708" s="1743"/>
      <c r="B1708" s="1766" t="s">
        <v>1417</v>
      </c>
      <c r="C1708" s="1766"/>
      <c r="D1708" s="1766"/>
      <c r="E1708" s="2266" t="e">
        <f t="shared" si="9"/>
        <v>#DIV/0!</v>
      </c>
      <c r="F1708" s="2265"/>
    </row>
    <row r="1709" spans="1:7">
      <c r="A1709" s="1743"/>
      <c r="B1709" s="1766" t="s">
        <v>2506</v>
      </c>
      <c r="C1709" s="1766"/>
      <c r="D1709" s="1766"/>
      <c r="E1709" s="2266" t="e">
        <f t="shared" si="9"/>
        <v>#DIV/0!</v>
      </c>
      <c r="F1709" s="2267"/>
    </row>
    <row r="1710" spans="1:7">
      <c r="A1710" s="1743"/>
      <c r="B1710" s="1766" t="s">
        <v>1415</v>
      </c>
      <c r="C1710" s="1766"/>
      <c r="D1710" s="1766"/>
      <c r="E1710" s="2266" t="e">
        <f t="shared" si="9"/>
        <v>#DIV/0!</v>
      </c>
      <c r="F1710" s="2267"/>
    </row>
    <row r="1711" spans="1:7">
      <c r="A1711" s="1743"/>
      <c r="B1711" s="1766" t="s">
        <v>1416</v>
      </c>
      <c r="C1711" s="1766"/>
      <c r="D1711" s="1766"/>
      <c r="E1711" s="2266" t="e">
        <f t="shared" si="9"/>
        <v>#DIV/0!</v>
      </c>
      <c r="F1711" s="2267"/>
    </row>
    <row r="1712" spans="1:7">
      <c r="A1712" s="1739"/>
      <c r="B1712" s="1978" t="s">
        <v>1420</v>
      </c>
      <c r="C1712" s="1978"/>
      <c r="D1712" s="1978"/>
      <c r="E1712" s="2266" t="e">
        <f t="shared" si="9"/>
        <v>#DIV/0!</v>
      </c>
      <c r="F1712" s="2267"/>
    </row>
    <row r="1713" spans="1:7">
      <c r="A1713" s="1739"/>
      <c r="B1713" s="1978" t="s">
        <v>1421</v>
      </c>
      <c r="C1713" s="1978"/>
      <c r="D1713" s="1978"/>
      <c r="E1713" s="2266" t="e">
        <f t="shared" si="9"/>
        <v>#DIV/0!</v>
      </c>
      <c r="F1713" s="2265"/>
    </row>
    <row r="1714" spans="1:7" ht="15.75" thickBot="1">
      <c r="A1714" s="1315"/>
      <c r="B1714" s="1718" t="s">
        <v>1423</v>
      </c>
      <c r="C1714" s="1718"/>
      <c r="D1714" s="1718"/>
      <c r="E1714" s="2268" t="e">
        <f t="shared" si="9"/>
        <v>#DIV/0!</v>
      </c>
      <c r="F1714" s="1368"/>
    </row>
    <row r="1715" spans="1:7" ht="15.75" thickBot="1"/>
    <row r="1716" spans="1:7">
      <c r="A1716" s="3614" t="s">
        <v>0</v>
      </c>
      <c r="B1716" s="3693" t="s">
        <v>1</v>
      </c>
      <c r="C1716" s="3693" t="s">
        <v>2</v>
      </c>
      <c r="D1716" s="3693" t="s">
        <v>3</v>
      </c>
      <c r="E1716" s="3693" t="s">
        <v>4</v>
      </c>
      <c r="F1716" s="3522" t="s">
        <v>5</v>
      </c>
    </row>
    <row r="1717" spans="1:7" ht="15.75" thickBot="1">
      <c r="A1717" s="4050"/>
      <c r="B1717" s="4053"/>
      <c r="C1717" s="4053"/>
      <c r="D1717" s="4053"/>
      <c r="E1717" s="4053"/>
      <c r="F1717" s="4054"/>
    </row>
    <row r="1718" spans="1:7">
      <c r="A1718" s="876" t="s">
        <v>3052</v>
      </c>
      <c r="B1718" s="2148" t="s">
        <v>200</v>
      </c>
      <c r="C1718" s="1766" t="s">
        <v>2602</v>
      </c>
      <c r="D1718" s="2148"/>
      <c r="E1718" s="2150">
        <f>(G1718-F1718)/G1718</f>
        <v>0.19931271477663232</v>
      </c>
      <c r="F1718" s="2164">
        <v>2.33</v>
      </c>
      <c r="G1718">
        <v>2.91</v>
      </c>
    </row>
    <row r="1719" spans="1:7">
      <c r="A1719" s="876"/>
      <c r="B1719" s="2148"/>
      <c r="C1719" s="2148" t="s">
        <v>2558</v>
      </c>
      <c r="D1719" s="2148"/>
      <c r="E1719" s="2150">
        <f>(G1719-F1719)/G1719</f>
        <v>0.19931271477663232</v>
      </c>
      <c r="F1719" s="2164">
        <v>2.33</v>
      </c>
      <c r="G1719">
        <v>2.91</v>
      </c>
    </row>
    <row r="1720" spans="1:7" ht="15.75" thickBot="1">
      <c r="A1720" s="2287"/>
      <c r="B1720" s="592"/>
      <c r="C1720" s="592" t="s">
        <v>2603</v>
      </c>
      <c r="D1720" s="592"/>
      <c r="E1720" s="593">
        <f>(G1720-F1720)/G1720</f>
        <v>0.19931271477663232</v>
      </c>
      <c r="F1720" s="826">
        <v>2.33</v>
      </c>
      <c r="G1720">
        <v>2.91</v>
      </c>
    </row>
    <row r="1721" spans="1:7" ht="15.75" thickBot="1"/>
    <row r="1722" spans="1:7">
      <c r="A1722" s="3614" t="s">
        <v>0</v>
      </c>
      <c r="B1722" s="3693" t="s">
        <v>1</v>
      </c>
      <c r="C1722" s="3693" t="s">
        <v>2</v>
      </c>
      <c r="D1722" s="3693" t="s">
        <v>3</v>
      </c>
      <c r="E1722" s="3693" t="s">
        <v>4</v>
      </c>
      <c r="F1722" s="3522" t="s">
        <v>5</v>
      </c>
    </row>
    <row r="1723" spans="1:7" ht="15.75" thickBot="1">
      <c r="A1723" s="4050"/>
      <c r="B1723" s="4053"/>
      <c r="C1723" s="4053"/>
      <c r="D1723" s="4053"/>
      <c r="E1723" s="4053"/>
      <c r="F1723" s="4054"/>
    </row>
    <row r="1724" spans="1:7">
      <c r="A1724" s="876" t="s">
        <v>3053</v>
      </c>
      <c r="B1724" s="2148" t="s">
        <v>200</v>
      </c>
      <c r="C1724" s="1766" t="s">
        <v>3054</v>
      </c>
      <c r="D1724" s="2148"/>
      <c r="E1724" s="2150">
        <f>(G1724-F1724)/G1724</f>
        <v>0.1705674895799936</v>
      </c>
      <c r="F1724" s="2164">
        <v>25.87</v>
      </c>
      <c r="G1724">
        <v>31.19</v>
      </c>
    </row>
    <row r="1725" spans="1:7">
      <c r="A1725" s="876"/>
      <c r="B1725" s="2148"/>
      <c r="C1725" s="2148" t="s">
        <v>3055</v>
      </c>
      <c r="D1725" s="2148"/>
      <c r="E1725" s="2150">
        <f>(G1725-F1725)/G1725</f>
        <v>0.1705674895799936</v>
      </c>
      <c r="F1725" s="2164">
        <v>25.87</v>
      </c>
      <c r="G1725">
        <v>31.19</v>
      </c>
    </row>
    <row r="1726" spans="1:7" ht="15.75" thickBot="1">
      <c r="A1726" s="2287"/>
      <c r="B1726" s="592"/>
      <c r="C1726" s="592" t="s">
        <v>3056</v>
      </c>
      <c r="D1726" s="592"/>
      <c r="E1726" s="593">
        <f>(G1726-F1726)/G1726</f>
        <v>0.1705674895799936</v>
      </c>
      <c r="F1726" s="826">
        <v>25.87</v>
      </c>
      <c r="G1726">
        <v>31.19</v>
      </c>
    </row>
    <row r="1727" spans="1:7" ht="15.75" thickBot="1"/>
    <row r="1728" spans="1:7">
      <c r="A1728" s="3572" t="s">
        <v>0</v>
      </c>
      <c r="B1728" s="3636" t="s">
        <v>1</v>
      </c>
      <c r="C1728" s="3693" t="s">
        <v>2</v>
      </c>
      <c r="D1728" s="3693" t="s">
        <v>3</v>
      </c>
      <c r="E1728" s="3693" t="s">
        <v>4</v>
      </c>
      <c r="F1728" s="3522" t="s">
        <v>5</v>
      </c>
    </row>
    <row r="1729" spans="1:7" ht="15.75" thickBot="1">
      <c r="A1729" s="3844"/>
      <c r="B1729" s="4011"/>
      <c r="C1729" s="4053"/>
      <c r="D1729" s="4053"/>
      <c r="E1729" s="4053"/>
      <c r="F1729" s="4054"/>
    </row>
    <row r="1730" spans="1:7">
      <c r="A1730" s="4055" t="s">
        <v>3067</v>
      </c>
      <c r="B1730" s="2174" t="s">
        <v>409</v>
      </c>
      <c r="C1730" s="1098" t="s">
        <v>858</v>
      </c>
      <c r="D1730" s="2175"/>
      <c r="E1730" s="2150">
        <f>(G1730-F1730)/G1730</f>
        <v>0.26</v>
      </c>
      <c r="F1730" s="2164">
        <v>0.74</v>
      </c>
      <c r="G1730">
        <v>1</v>
      </c>
    </row>
    <row r="1731" spans="1:7">
      <c r="A1731" s="3862"/>
      <c r="B1731" s="2338" t="s">
        <v>921</v>
      </c>
      <c r="C1731" s="2489" t="s">
        <v>623</v>
      </c>
      <c r="D1731" s="1978"/>
      <c r="E1731" s="2150">
        <f>(G1731-F1731)/G1731</f>
        <v>0.19780219780219785</v>
      </c>
      <c r="F1731" s="2339">
        <v>1.46</v>
      </c>
      <c r="G1731">
        <v>1.82</v>
      </c>
    </row>
    <row r="1732" spans="1:7" ht="15.75" thickBot="1">
      <c r="A1732" s="3654"/>
      <c r="B1732" s="2340" t="s">
        <v>534</v>
      </c>
      <c r="C1732" s="1708"/>
      <c r="D1732" s="1718"/>
      <c r="E1732" s="593" t="e">
        <f>(G1732-F1732)/G1732</f>
        <v>#DIV/0!</v>
      </c>
      <c r="F1732" s="1368"/>
    </row>
    <row r="1733" spans="1:7" ht="15.75" thickBot="1"/>
    <row r="1734" spans="1:7">
      <c r="A1734" s="3572" t="s">
        <v>0</v>
      </c>
      <c r="B1734" s="3636" t="s">
        <v>1</v>
      </c>
      <c r="C1734" s="3693" t="s">
        <v>2</v>
      </c>
      <c r="D1734" s="3693" t="s">
        <v>3</v>
      </c>
      <c r="E1734" s="3693" t="s">
        <v>4</v>
      </c>
      <c r="F1734" s="3522" t="s">
        <v>5</v>
      </c>
    </row>
    <row r="1735" spans="1:7" ht="15.75" thickBot="1">
      <c r="A1735" s="3844"/>
      <c r="B1735" s="4011"/>
      <c r="C1735" s="4053"/>
      <c r="D1735" s="4053"/>
      <c r="E1735" s="4053"/>
      <c r="F1735" s="4054"/>
    </row>
    <row r="1736" spans="1:7">
      <c r="A1736" s="4055" t="s">
        <v>3079</v>
      </c>
      <c r="B1736" s="2174" t="s">
        <v>409</v>
      </c>
      <c r="C1736" s="1098" t="s">
        <v>2827</v>
      </c>
      <c r="D1736" s="2175"/>
      <c r="E1736" s="2150">
        <f>(G1736-F1736)/G1736</f>
        <v>0.20000000000000004</v>
      </c>
      <c r="F1736" s="2164">
        <v>1.28</v>
      </c>
      <c r="G1736">
        <v>1.6</v>
      </c>
    </row>
    <row r="1737" spans="1:7">
      <c r="A1737" s="3862"/>
      <c r="B1737" s="2338" t="s">
        <v>921</v>
      </c>
      <c r="C1737" s="1766" t="s">
        <v>2890</v>
      </c>
      <c r="D1737" s="1978"/>
      <c r="E1737" s="2150">
        <f>(G1737-F1737)/G1737</f>
        <v>0.20000000000000004</v>
      </c>
      <c r="F1737" s="2350">
        <v>1.28</v>
      </c>
      <c r="G1737">
        <v>1.6</v>
      </c>
    </row>
    <row r="1738" spans="1:7">
      <c r="A1738" s="4056"/>
      <c r="B1738" s="2351" t="s">
        <v>534</v>
      </c>
      <c r="C1738" s="1549" t="s">
        <v>2871</v>
      </c>
      <c r="D1738" s="1566"/>
      <c r="E1738" s="2150">
        <f>(G1738-F1738)/G1738</f>
        <v>0.20000000000000004</v>
      </c>
      <c r="F1738" s="2352">
        <v>1.28</v>
      </c>
      <c r="G1738">
        <v>1.6</v>
      </c>
    </row>
    <row r="1739" spans="1:7" ht="15.75" thickBot="1">
      <c r="A1739" s="3654"/>
      <c r="B1739" s="2340"/>
      <c r="C1739" s="2488" t="s">
        <v>2387</v>
      </c>
      <c r="D1739" s="1718"/>
      <c r="E1739" s="593">
        <f>(G1739-F1739)/G1739</f>
        <v>0.20098039215686281</v>
      </c>
      <c r="F1739" s="1368">
        <v>1.63</v>
      </c>
      <c r="G1739">
        <v>2.04</v>
      </c>
    </row>
    <row r="1740" spans="1:7" ht="15.75" thickBot="1"/>
    <row r="1741" spans="1:7">
      <c r="A1741" s="3614" t="s">
        <v>0</v>
      </c>
      <c r="B1741" s="3693" t="s">
        <v>1</v>
      </c>
      <c r="C1741" s="3693" t="s">
        <v>2</v>
      </c>
      <c r="D1741" s="3693" t="s">
        <v>3</v>
      </c>
      <c r="E1741" s="3693" t="s">
        <v>4</v>
      </c>
      <c r="F1741" s="3522" t="s">
        <v>5</v>
      </c>
    </row>
    <row r="1742" spans="1:7" ht="15.75" thickBot="1">
      <c r="A1742" s="4050"/>
      <c r="B1742" s="3622"/>
      <c r="C1742" s="3622"/>
      <c r="D1742" s="3622"/>
      <c r="E1742" s="3622"/>
      <c r="F1742" s="3846"/>
    </row>
    <row r="1743" spans="1:7">
      <c r="A1743" s="876" t="s">
        <v>3075</v>
      </c>
      <c r="B1743" s="2367" t="s">
        <v>200</v>
      </c>
      <c r="C1743" s="1098" t="s">
        <v>2550</v>
      </c>
      <c r="D1743" s="1098"/>
      <c r="E1743" s="1376">
        <f>(G1743-F1743)/G1743</f>
        <v>0.37265711135611906</v>
      </c>
      <c r="F1743" s="881">
        <v>5.69</v>
      </c>
      <c r="G1743">
        <v>9.07</v>
      </c>
    </row>
    <row r="1744" spans="1:7">
      <c r="A1744" s="876"/>
      <c r="B1744" s="2368"/>
      <c r="C1744" s="2369" t="s">
        <v>2551</v>
      </c>
      <c r="D1744" s="2369"/>
      <c r="E1744" s="2370">
        <f>(G1744-F1744)/G1744</f>
        <v>0.37265711135611906</v>
      </c>
      <c r="F1744" s="2366">
        <v>5.69</v>
      </c>
      <c r="G1744">
        <v>9.07</v>
      </c>
    </row>
    <row r="1745" spans="1:7">
      <c r="A1745" s="876"/>
      <c r="B1745" s="2368"/>
      <c r="C1745" s="2369" t="s">
        <v>2552</v>
      </c>
      <c r="D1745" s="2369"/>
      <c r="E1745" s="2370">
        <f>(G1745-F1745)/G1745</f>
        <v>0.37265711135611906</v>
      </c>
      <c r="F1745" s="2366">
        <v>5.69</v>
      </c>
      <c r="G1745">
        <v>9.07</v>
      </c>
    </row>
    <row r="1746" spans="1:7" ht="15.75" thickBot="1">
      <c r="A1746" s="2287"/>
      <c r="B1746" s="2113"/>
      <c r="C1746" s="1708" t="s">
        <v>2553</v>
      </c>
      <c r="D1746" s="1708"/>
      <c r="E1746" s="2268">
        <f>(G1746-F1746)/G1746</f>
        <v>0.37265711135611906</v>
      </c>
      <c r="F1746" s="1368">
        <v>5.69</v>
      </c>
      <c r="G1746">
        <v>9.07</v>
      </c>
    </row>
    <row r="1747" spans="1:7" ht="15.75" thickBot="1"/>
    <row r="1748" spans="1:7">
      <c r="A1748" s="3572" t="s">
        <v>0</v>
      </c>
      <c r="B1748" s="3557" t="s">
        <v>1</v>
      </c>
      <c r="C1748" s="3518" t="s">
        <v>2</v>
      </c>
      <c r="D1748" s="3518" t="s">
        <v>3</v>
      </c>
      <c r="E1748" s="3518" t="s">
        <v>4</v>
      </c>
      <c r="F1748" s="3522" t="s">
        <v>5</v>
      </c>
    </row>
    <row r="1749" spans="1:7" ht="15.75" thickBot="1">
      <c r="A1749" s="3844"/>
      <c r="B1749" s="4011"/>
      <c r="C1749" s="4053"/>
      <c r="D1749" s="4053"/>
      <c r="E1749" s="4053"/>
      <c r="F1749" s="4054"/>
    </row>
    <row r="1750" spans="1:7">
      <c r="A1750" s="4055" t="s">
        <v>3093</v>
      </c>
      <c r="B1750" s="2174" t="s">
        <v>409</v>
      </c>
      <c r="C1750" s="1163" t="s">
        <v>554</v>
      </c>
      <c r="D1750" s="2175"/>
      <c r="E1750" s="2150">
        <f>(G1750-F1750)/G1750</f>
        <v>0.25757575757575762</v>
      </c>
      <c r="F1750" s="2164">
        <v>0.98</v>
      </c>
      <c r="G1750">
        <v>1.32</v>
      </c>
    </row>
    <row r="1751" spans="1:7">
      <c r="A1751" s="3862"/>
      <c r="B1751" s="2338" t="s">
        <v>921</v>
      </c>
      <c r="C1751" s="1766"/>
      <c r="D1751" s="1978"/>
      <c r="E1751" s="2150" t="e">
        <f>(G1751-F1751)/G1751</f>
        <v>#DIV/0!</v>
      </c>
      <c r="F1751" s="2380"/>
    </row>
    <row r="1752" spans="1:7" ht="15.75" thickBot="1">
      <c r="A1752" s="3654"/>
      <c r="B1752" s="2340" t="s">
        <v>534</v>
      </c>
      <c r="C1752" s="1708"/>
      <c r="D1752" s="1718"/>
      <c r="E1752" s="593" t="e">
        <f>(G1752-F1752)/G1752</f>
        <v>#DIV/0!</v>
      </c>
      <c r="F1752" s="1368"/>
    </row>
    <row r="1753" spans="1:7" ht="15.75" thickBot="1"/>
    <row r="1754" spans="1:7">
      <c r="A1754" s="3572" t="s">
        <v>0</v>
      </c>
      <c r="B1754" s="3557" t="s">
        <v>1</v>
      </c>
      <c r="C1754" s="3557" t="s">
        <v>2</v>
      </c>
      <c r="D1754" s="3557" t="s">
        <v>3</v>
      </c>
      <c r="E1754" s="3557" t="s">
        <v>4</v>
      </c>
      <c r="F1754" s="3559" t="s">
        <v>5</v>
      </c>
    </row>
    <row r="1755" spans="1:7" ht="15.75" thickBot="1">
      <c r="A1755" s="4013"/>
      <c r="B1755" s="3628"/>
      <c r="C1755" s="3628"/>
      <c r="D1755" s="3628"/>
      <c r="E1755" s="3628"/>
      <c r="F1755" s="3629"/>
    </row>
    <row r="1756" spans="1:7">
      <c r="A1756" s="2381" t="s">
        <v>3094</v>
      </c>
      <c r="B1756" s="2382" t="s">
        <v>356</v>
      </c>
      <c r="C1756" s="2383" t="s">
        <v>1763</v>
      </c>
      <c r="D1756" s="2384"/>
      <c r="E1756" s="1677">
        <f>(G1756-F1756)/G1756</f>
        <v>7.0112034694615147E-2</v>
      </c>
      <c r="F1756" s="2385">
        <v>25.73</v>
      </c>
      <c r="G1756">
        <v>27.67</v>
      </c>
    </row>
    <row r="1757" spans="1:7">
      <c r="A1757" s="2386"/>
      <c r="B1757" s="2387"/>
      <c r="C1757" s="2388" t="s">
        <v>1556</v>
      </c>
      <c r="D1757" s="2364"/>
      <c r="E1757" s="2389">
        <f t="shared" ref="E1757:E1767" si="10">(G1757-F1757)/G1757</f>
        <v>7.0112034694615147E-2</v>
      </c>
      <c r="F1757" s="2390">
        <v>25.73</v>
      </c>
      <c r="G1757">
        <v>27.67</v>
      </c>
    </row>
    <row r="1758" spans="1:7">
      <c r="A1758" s="2386"/>
      <c r="B1758" s="2387"/>
      <c r="C1758" s="2388" t="s">
        <v>1557</v>
      </c>
      <c r="D1758" s="2364"/>
      <c r="E1758" s="2389">
        <f t="shared" si="10"/>
        <v>7.0112034694615147E-2</v>
      </c>
      <c r="F1758" s="2390">
        <v>25.73</v>
      </c>
      <c r="G1758">
        <v>27.67</v>
      </c>
    </row>
    <row r="1759" spans="1:7">
      <c r="A1759" s="2391"/>
      <c r="B1759" s="2387"/>
      <c r="C1759" s="2392" t="s">
        <v>1555</v>
      </c>
      <c r="D1759" s="2364"/>
      <c r="E1759" s="2389">
        <f t="shared" si="10"/>
        <v>7.0112034694615147E-2</v>
      </c>
      <c r="F1759" s="2390">
        <v>25.73</v>
      </c>
      <c r="G1759">
        <v>27.67</v>
      </c>
    </row>
    <row r="1760" spans="1:7">
      <c r="A1760" s="2393"/>
      <c r="B1760" s="2387"/>
      <c r="C1760" s="2394" t="s">
        <v>1660</v>
      </c>
      <c r="D1760" s="2365"/>
      <c r="E1760" s="2389">
        <f t="shared" si="10"/>
        <v>6.9828722002635082E-2</v>
      </c>
      <c r="F1760" s="2380">
        <v>7.06</v>
      </c>
      <c r="G1760">
        <v>7.59</v>
      </c>
    </row>
    <row r="1761" spans="1:7">
      <c r="A1761" s="2393"/>
      <c r="B1761" s="2387"/>
      <c r="C1761" s="2394" t="s">
        <v>1661</v>
      </c>
      <c r="D1761" s="2365"/>
      <c r="E1761" s="2389">
        <f t="shared" si="10"/>
        <v>6.9828722002635082E-2</v>
      </c>
      <c r="F1761" s="2380">
        <v>7.06</v>
      </c>
      <c r="G1761">
        <v>7.59</v>
      </c>
    </row>
    <row r="1762" spans="1:7">
      <c r="A1762" s="2393"/>
      <c r="B1762" s="2387"/>
      <c r="C1762" s="2394" t="s">
        <v>2192</v>
      </c>
      <c r="D1762" s="2365"/>
      <c r="E1762" s="2389">
        <f t="shared" si="10"/>
        <v>6.9828722002635082E-2</v>
      </c>
      <c r="F1762" s="2380">
        <v>7.06</v>
      </c>
      <c r="G1762">
        <v>7.59</v>
      </c>
    </row>
    <row r="1763" spans="1:7">
      <c r="A1763" s="2393"/>
      <c r="B1763" s="2387"/>
      <c r="C1763" s="2394" t="s">
        <v>2194</v>
      </c>
      <c r="D1763" s="2365"/>
      <c r="E1763" s="2389">
        <f t="shared" si="10"/>
        <v>6.9828722002635082E-2</v>
      </c>
      <c r="F1763" s="2380">
        <v>7.06</v>
      </c>
      <c r="G1763">
        <v>7.59</v>
      </c>
    </row>
    <row r="1764" spans="1:7">
      <c r="A1764" s="2393"/>
      <c r="B1764" s="2387"/>
      <c r="C1764" s="2394" t="s">
        <v>2266</v>
      </c>
      <c r="D1764" s="2365"/>
      <c r="E1764" s="2389">
        <f t="shared" si="10"/>
        <v>6.9828722002635082E-2</v>
      </c>
      <c r="F1764" s="2380">
        <v>7.06</v>
      </c>
      <c r="G1764">
        <v>7.59</v>
      </c>
    </row>
    <row r="1765" spans="1:7">
      <c r="A1765" s="2393"/>
      <c r="B1765" s="2387"/>
      <c r="C1765" s="2394" t="s">
        <v>2359</v>
      </c>
      <c r="D1765" s="2365"/>
      <c r="E1765" s="2389">
        <f t="shared" si="10"/>
        <v>6.9828722002635082E-2</v>
      </c>
      <c r="F1765" s="2380">
        <v>7.06</v>
      </c>
      <c r="G1765">
        <v>7.59</v>
      </c>
    </row>
    <row r="1766" spans="1:7">
      <c r="A1766" s="2393"/>
      <c r="B1766" s="2387"/>
      <c r="C1766" s="2394" t="s">
        <v>1374</v>
      </c>
      <c r="D1766" s="2365"/>
      <c r="E1766" s="2389">
        <f t="shared" si="10"/>
        <v>6.8376068376068258E-2</v>
      </c>
      <c r="F1766" s="2380">
        <v>1.0900000000000001</v>
      </c>
      <c r="G1766">
        <v>1.17</v>
      </c>
    </row>
    <row r="1767" spans="1:7" ht="15.75" thickBot="1">
      <c r="A1767" s="2395"/>
      <c r="B1767" s="2396"/>
      <c r="C1767" s="2397" t="s">
        <v>1301</v>
      </c>
      <c r="D1767" s="1718"/>
      <c r="E1767" s="1706">
        <f t="shared" si="10"/>
        <v>6.8376068376068258E-2</v>
      </c>
      <c r="F1767" s="1368">
        <v>1.0900000000000001</v>
      </c>
      <c r="G1767">
        <v>1.17</v>
      </c>
    </row>
    <row r="1768" spans="1:7" ht="15.75" thickBot="1"/>
    <row r="1769" spans="1:7">
      <c r="A1769" s="3572" t="s">
        <v>0</v>
      </c>
      <c r="B1769" s="3557" t="s">
        <v>1</v>
      </c>
      <c r="C1769" s="3518" t="s">
        <v>2</v>
      </c>
      <c r="D1769" s="3518" t="s">
        <v>3</v>
      </c>
      <c r="E1769" s="3518" t="s">
        <v>4</v>
      </c>
      <c r="F1769" s="3522" t="s">
        <v>5</v>
      </c>
    </row>
    <row r="1770" spans="1:7" ht="15.75" thickBot="1">
      <c r="A1770" s="3844"/>
      <c r="B1770" s="4011"/>
      <c r="C1770" s="4053"/>
      <c r="D1770" s="4053"/>
      <c r="E1770" s="4053"/>
      <c r="F1770" s="4054"/>
    </row>
    <row r="1771" spans="1:7">
      <c r="A1771" s="2398" t="s">
        <v>3095</v>
      </c>
      <c r="B1771" s="2174" t="s">
        <v>2185</v>
      </c>
      <c r="C1771" s="1163" t="s">
        <v>2558</v>
      </c>
      <c r="D1771" s="2175"/>
      <c r="E1771" s="2150">
        <f>(G1771-F1771)/G1771</f>
        <v>0.19940476190476189</v>
      </c>
      <c r="F1771" s="2164">
        <v>2.69</v>
      </c>
      <c r="G1771">
        <v>3.36</v>
      </c>
    </row>
    <row r="1772" spans="1:7" ht="15.75" thickBot="1">
      <c r="A1772" s="2399"/>
      <c r="B1772" s="2340" t="s">
        <v>2403</v>
      </c>
      <c r="C1772" s="1708" t="s">
        <v>2603</v>
      </c>
      <c r="D1772" s="1718"/>
      <c r="E1772" s="593">
        <f>(G1772-F1772)/G1772</f>
        <v>0.19940476190476189</v>
      </c>
      <c r="F1772" s="1368">
        <v>2.69</v>
      </c>
      <c r="G1772">
        <v>3.36</v>
      </c>
    </row>
    <row r="1773" spans="1:7" ht="15.75" thickBot="1"/>
    <row r="1774" spans="1:7">
      <c r="A1774" s="3614" t="s">
        <v>0</v>
      </c>
      <c r="B1774" s="3518" t="s">
        <v>1</v>
      </c>
      <c r="C1774" s="3518" t="s">
        <v>2</v>
      </c>
      <c r="D1774" s="3518" t="s">
        <v>3</v>
      </c>
      <c r="E1774" s="3518" t="s">
        <v>4</v>
      </c>
      <c r="F1774" s="3522" t="s">
        <v>5</v>
      </c>
    </row>
    <row r="1775" spans="1:7" ht="15.75" thickBot="1">
      <c r="A1775" s="4050"/>
      <c r="B1775" s="3622"/>
      <c r="C1775" s="3622"/>
      <c r="D1775" s="3622"/>
      <c r="E1775" s="3622"/>
      <c r="F1775" s="3846"/>
    </row>
    <row r="1776" spans="1:7">
      <c r="A1776" s="876" t="s">
        <v>3098</v>
      </c>
      <c r="B1776" s="2367" t="s">
        <v>200</v>
      </c>
      <c r="C1776" s="1163" t="s">
        <v>1763</v>
      </c>
      <c r="D1776" s="1163"/>
      <c r="E1776" s="1431">
        <f>(G1776-F1776)/G1776</f>
        <v>8.6285952480199948E-2</v>
      </c>
      <c r="F1776" s="881">
        <v>21.92</v>
      </c>
      <c r="G1776">
        <v>23.99</v>
      </c>
    </row>
    <row r="1777" spans="1:7">
      <c r="A1777" s="876"/>
      <c r="B1777" s="2411"/>
      <c r="C1777" s="2369" t="s">
        <v>1556</v>
      </c>
      <c r="D1777" s="2369"/>
      <c r="E1777" s="2370">
        <f>(G1777-F1777)/G1777</f>
        <v>8.6285952480199948E-2</v>
      </c>
      <c r="F1777" s="2380">
        <v>21.92</v>
      </c>
      <c r="G1777">
        <v>23.99</v>
      </c>
    </row>
    <row r="1778" spans="1:7" ht="15.75" thickBot="1">
      <c r="A1778" s="2287"/>
      <c r="B1778" s="2113"/>
      <c r="C1778" s="2165" t="s">
        <v>1555</v>
      </c>
      <c r="D1778" s="2165"/>
      <c r="E1778" s="2412">
        <f>(G1778-F1778)/G1778</f>
        <v>8.6285952480199948E-2</v>
      </c>
      <c r="F1778" s="2413">
        <v>21.92</v>
      </c>
      <c r="G1778">
        <v>23.99</v>
      </c>
    </row>
    <row r="1780" spans="1:7" ht="15.75" thickBot="1"/>
    <row r="1781" spans="1:7">
      <c r="A1781" s="3572" t="s">
        <v>0</v>
      </c>
      <c r="B1781" s="3557" t="s">
        <v>1</v>
      </c>
      <c r="C1781" s="3518" t="s">
        <v>2</v>
      </c>
      <c r="D1781" s="3518" t="s">
        <v>3</v>
      </c>
      <c r="E1781" s="3518" t="s">
        <v>4</v>
      </c>
      <c r="F1781" s="3522" t="s">
        <v>5</v>
      </c>
    </row>
    <row r="1782" spans="1:7" ht="15.75" thickBot="1">
      <c r="A1782" s="3876"/>
      <c r="B1782" s="3626"/>
      <c r="C1782" s="3622"/>
      <c r="D1782" s="3622"/>
      <c r="E1782" s="3622"/>
      <c r="F1782" s="3846"/>
    </row>
    <row r="1783" spans="1:7">
      <c r="A1783" s="3872" t="s">
        <v>3093</v>
      </c>
      <c r="B1783" s="2420" t="s">
        <v>409</v>
      </c>
      <c r="C1783" s="1163" t="s">
        <v>3103</v>
      </c>
      <c r="D1783" s="2421"/>
      <c r="E1783" s="1431">
        <f>(G1783-F1783)/G1783</f>
        <v>0.19999999999999996</v>
      </c>
      <c r="F1783" s="881">
        <v>4.04</v>
      </c>
      <c r="G1783">
        <v>5.05</v>
      </c>
    </row>
    <row r="1784" spans="1:7">
      <c r="A1784" s="3873"/>
      <c r="B1784" s="2422" t="s">
        <v>921</v>
      </c>
      <c r="C1784" s="2369" t="s">
        <v>3104</v>
      </c>
      <c r="D1784" s="2365"/>
      <c r="E1784" s="2370">
        <f>(G1784-F1784)/G1784</f>
        <v>0.19999999999999996</v>
      </c>
      <c r="F1784" s="2380">
        <v>4.04</v>
      </c>
      <c r="G1784">
        <v>5.05</v>
      </c>
    </row>
    <row r="1785" spans="1:7">
      <c r="A1785" s="3873"/>
      <c r="B1785" s="2422" t="s">
        <v>534</v>
      </c>
      <c r="C1785" s="2369" t="s">
        <v>3105</v>
      </c>
      <c r="D1785" s="2365"/>
      <c r="E1785" s="2370">
        <f>(G1785-F1785)/G1785</f>
        <v>0.19999999999999996</v>
      </c>
      <c r="F1785" s="2380">
        <v>4.04</v>
      </c>
      <c r="G1785">
        <v>5.05</v>
      </c>
    </row>
    <row r="1786" spans="1:7">
      <c r="A1786" s="3873"/>
      <c r="B1786" s="2365"/>
      <c r="C1786" s="2365" t="s">
        <v>3106</v>
      </c>
      <c r="D1786" s="2365"/>
      <c r="E1786" s="2370">
        <f>(G1786-F1786)/G1786</f>
        <v>0.19938650306748465</v>
      </c>
      <c r="F1786" s="2423">
        <v>5.22</v>
      </c>
      <c r="G1786">
        <v>6.52</v>
      </c>
    </row>
    <row r="1787" spans="1:7" ht="15.75" thickBot="1">
      <c r="A1787" s="3874"/>
      <c r="B1787" s="2180"/>
      <c r="C1787" s="2180" t="s">
        <v>3107</v>
      </c>
      <c r="D1787" s="2180"/>
      <c r="E1787" s="2412">
        <f>(G1787-F1787)/G1787</f>
        <v>0.19938650306748465</v>
      </c>
      <c r="F1787" s="2424">
        <v>5.22</v>
      </c>
      <c r="G1787">
        <v>6.52</v>
      </c>
    </row>
    <row r="1788" spans="1:7" ht="15.75" thickBot="1"/>
    <row r="1789" spans="1:7">
      <c r="A1789" s="3572" t="s">
        <v>0</v>
      </c>
      <c r="B1789" s="3557" t="s">
        <v>1</v>
      </c>
      <c r="C1789" s="3557" t="s">
        <v>2</v>
      </c>
      <c r="D1789" s="3557" t="s">
        <v>3</v>
      </c>
      <c r="E1789" s="3557" t="s">
        <v>4</v>
      </c>
      <c r="F1789" s="3559" t="s">
        <v>5</v>
      </c>
    </row>
    <row r="1790" spans="1:7" ht="15.75" thickBot="1">
      <c r="A1790" s="3876"/>
      <c r="B1790" s="3628"/>
      <c r="C1790" s="3628"/>
      <c r="D1790" s="3628"/>
      <c r="E1790" s="3628"/>
      <c r="F1790" s="3629"/>
    </row>
    <row r="1791" spans="1:7">
      <c r="A1791" s="4116" t="s">
        <v>3094</v>
      </c>
      <c r="B1791" s="2382" t="s">
        <v>356</v>
      </c>
      <c r="C1791" s="2425" t="s">
        <v>1660</v>
      </c>
      <c r="D1791" s="2421"/>
      <c r="E1791" s="1677">
        <f t="shared" ref="E1791:E1796" si="11">(G1791-F1791)/G1791</f>
        <v>0.19971671388101975</v>
      </c>
      <c r="F1791" s="881">
        <v>5.65</v>
      </c>
      <c r="G1791">
        <v>7.06</v>
      </c>
    </row>
    <row r="1792" spans="1:7">
      <c r="A1792" s="4117"/>
      <c r="B1792" s="2387"/>
      <c r="C1792" s="2394" t="s">
        <v>1661</v>
      </c>
      <c r="D1792" s="2365"/>
      <c r="E1792" s="2389">
        <f t="shared" si="11"/>
        <v>0.19971671388101975</v>
      </c>
      <c r="F1792" s="2380">
        <v>5.65</v>
      </c>
      <c r="G1792">
        <v>7.06</v>
      </c>
    </row>
    <row r="1793" spans="1:7">
      <c r="A1793" s="4117"/>
      <c r="B1793" s="2387"/>
      <c r="C1793" s="2394" t="s">
        <v>2192</v>
      </c>
      <c r="D1793" s="2365"/>
      <c r="E1793" s="2389">
        <f t="shared" si="11"/>
        <v>0.19971671388101975</v>
      </c>
      <c r="F1793" s="2380">
        <v>5.65</v>
      </c>
      <c r="G1793">
        <v>7.06</v>
      </c>
    </row>
    <row r="1794" spans="1:7">
      <c r="A1794" s="4117"/>
      <c r="B1794" s="2387"/>
      <c r="C1794" s="2394" t="s">
        <v>2194</v>
      </c>
      <c r="D1794" s="2365"/>
      <c r="E1794" s="2389">
        <f t="shared" si="11"/>
        <v>0.19971671388101975</v>
      </c>
      <c r="F1794" s="2380">
        <v>5.65</v>
      </c>
      <c r="G1794">
        <v>7.06</v>
      </c>
    </row>
    <row r="1795" spans="1:7">
      <c r="A1795" s="4117"/>
      <c r="B1795" s="2387"/>
      <c r="C1795" s="2394" t="s">
        <v>2266</v>
      </c>
      <c r="D1795" s="2365"/>
      <c r="E1795" s="2389">
        <f t="shared" si="11"/>
        <v>0.19971671388101975</v>
      </c>
      <c r="F1795" s="2380">
        <v>5.65</v>
      </c>
      <c r="G1795">
        <v>7.06</v>
      </c>
    </row>
    <row r="1796" spans="1:7" ht="15.75" thickBot="1">
      <c r="A1796" s="4118"/>
      <c r="B1796" s="2396"/>
      <c r="C1796" s="2426" t="s">
        <v>2359</v>
      </c>
      <c r="D1796" s="2180"/>
      <c r="E1796" s="2172">
        <f t="shared" si="11"/>
        <v>0.19971671388101975</v>
      </c>
      <c r="F1796" s="2413">
        <v>5.65</v>
      </c>
      <c r="G1796">
        <v>7.06</v>
      </c>
    </row>
    <row r="1797" spans="1:7" ht="15.75" thickBot="1"/>
    <row r="1798" spans="1:7">
      <c r="A1798" s="3572" t="s">
        <v>0</v>
      </c>
      <c r="B1798" s="3557" t="s">
        <v>1</v>
      </c>
      <c r="C1798" s="3518" t="s">
        <v>2</v>
      </c>
      <c r="D1798" s="3518" t="s">
        <v>3</v>
      </c>
      <c r="E1798" s="3518" t="s">
        <v>4</v>
      </c>
      <c r="F1798" s="3522" t="s">
        <v>5</v>
      </c>
    </row>
    <row r="1799" spans="1:7" ht="15.75" thickBot="1">
      <c r="A1799" s="3871"/>
      <c r="B1799" s="3626"/>
      <c r="C1799" s="3622"/>
      <c r="D1799" s="3622"/>
      <c r="E1799" s="3622"/>
      <c r="F1799" s="3846"/>
    </row>
    <row r="1800" spans="1:7">
      <c r="A1800" s="3872" t="s">
        <v>3118</v>
      </c>
      <c r="B1800" s="2420" t="s">
        <v>409</v>
      </c>
      <c r="C1800" s="1163" t="s">
        <v>2983</v>
      </c>
      <c r="D1800" s="2421"/>
      <c r="E1800" s="1431">
        <f t="shared" ref="E1800:E1805" si="12">(G1800-F1800)/G1800</f>
        <v>0.25888324873096447</v>
      </c>
      <c r="F1800" s="881">
        <v>1.46</v>
      </c>
      <c r="G1800">
        <v>1.97</v>
      </c>
    </row>
    <row r="1801" spans="1:7">
      <c r="A1801" s="3873"/>
      <c r="B1801" s="2447" t="s">
        <v>921</v>
      </c>
      <c r="C1801" s="2448" t="s">
        <v>2984</v>
      </c>
      <c r="D1801" s="2440"/>
      <c r="E1801" s="2449">
        <f t="shared" si="12"/>
        <v>0.25888324873096447</v>
      </c>
      <c r="F1801" s="2441">
        <v>1.46</v>
      </c>
      <c r="G1801">
        <v>1.97</v>
      </c>
    </row>
    <row r="1802" spans="1:7">
      <c r="A1802" s="3873"/>
      <c r="B1802" s="2447" t="s">
        <v>534</v>
      </c>
      <c r="C1802" s="2448" t="s">
        <v>2940</v>
      </c>
      <c r="D1802" s="2440"/>
      <c r="E1802" s="2449">
        <f t="shared" si="12"/>
        <v>0.25888324873096447</v>
      </c>
      <c r="F1802" s="2441">
        <v>1.46</v>
      </c>
      <c r="G1802">
        <v>1.97</v>
      </c>
    </row>
    <row r="1803" spans="1:7">
      <c r="A1803" s="3873"/>
      <c r="B1803" s="2440"/>
      <c r="C1803" s="2440" t="s">
        <v>2941</v>
      </c>
      <c r="D1803" s="2440"/>
      <c r="E1803" s="2449">
        <f t="shared" si="12"/>
        <v>0.25888324873096447</v>
      </c>
      <c r="F1803" s="2450">
        <v>1.46</v>
      </c>
      <c r="G1803">
        <v>1.97</v>
      </c>
    </row>
    <row r="1804" spans="1:7">
      <c r="A1804" s="3873"/>
      <c r="B1804" s="2440"/>
      <c r="C1804" s="2603" t="s">
        <v>2021</v>
      </c>
      <c r="D1804" s="2440"/>
      <c r="E1804" s="2449">
        <f t="shared" si="12"/>
        <v>0.24137931034482754</v>
      </c>
      <c r="F1804" s="2450">
        <v>1.32</v>
      </c>
      <c r="G1804">
        <v>1.74</v>
      </c>
    </row>
    <row r="1805" spans="1:7" ht="15.75" thickBot="1">
      <c r="A1805" s="3874"/>
      <c r="B1805" s="2180"/>
      <c r="C1805" s="2604" t="s">
        <v>2743</v>
      </c>
      <c r="D1805" s="2180"/>
      <c r="E1805" s="2412">
        <f t="shared" si="12"/>
        <v>0.23376623376623382</v>
      </c>
      <c r="F1805" s="2413">
        <v>0.59</v>
      </c>
      <c r="G1805">
        <v>0.77</v>
      </c>
    </row>
    <row r="1806" spans="1:7" ht="15.75" thickBot="1"/>
    <row r="1807" spans="1:7">
      <c r="A1807" s="3614" t="s">
        <v>0</v>
      </c>
      <c r="B1807" s="3518" t="s">
        <v>1</v>
      </c>
      <c r="C1807" s="3518" t="s">
        <v>2</v>
      </c>
      <c r="D1807" s="3518" t="s">
        <v>3</v>
      </c>
      <c r="E1807" s="3518" t="s">
        <v>4</v>
      </c>
      <c r="F1807" s="3522" t="s">
        <v>5</v>
      </c>
    </row>
    <row r="1808" spans="1:7" ht="15.75" thickBot="1">
      <c r="A1808" s="4050"/>
      <c r="B1808" s="3622"/>
      <c r="C1808" s="3622"/>
      <c r="D1808" s="3622"/>
      <c r="E1808" s="3622"/>
      <c r="F1808" s="3846"/>
    </row>
    <row r="1809" spans="1:7">
      <c r="A1809" s="876" t="s">
        <v>3129</v>
      </c>
      <c r="B1809" s="2367" t="s">
        <v>200</v>
      </c>
      <c r="C1809" s="1163" t="s">
        <v>2550</v>
      </c>
      <c r="D1809" s="1163"/>
      <c r="E1809" s="1431">
        <f>(G1809-F1809)/G1809</f>
        <v>0.37265711135611906</v>
      </c>
      <c r="F1809" s="881">
        <v>5.69</v>
      </c>
      <c r="G1809">
        <v>9.07</v>
      </c>
    </row>
    <row r="1810" spans="1:7" ht="15.75" thickBot="1">
      <c r="A1810" s="2287"/>
      <c r="B1810" s="2113"/>
      <c r="C1810" s="2165" t="s">
        <v>2551</v>
      </c>
      <c r="D1810" s="2165"/>
      <c r="E1810" s="2412">
        <f>(G1810-F1810)/G1810</f>
        <v>0.37265711135611906</v>
      </c>
      <c r="F1810" s="2413">
        <v>5.69</v>
      </c>
      <c r="G1810">
        <v>9.07</v>
      </c>
    </row>
    <row r="1812" spans="1:7" ht="15.75" thickBot="1"/>
    <row r="1813" spans="1:7">
      <c r="A1813" s="3614" t="s">
        <v>0</v>
      </c>
      <c r="B1813" s="3518" t="s">
        <v>1</v>
      </c>
      <c r="C1813" s="3518" t="s">
        <v>2</v>
      </c>
      <c r="D1813" s="3518" t="s">
        <v>3</v>
      </c>
      <c r="E1813" s="3518" t="s">
        <v>4</v>
      </c>
      <c r="F1813" s="3522" t="s">
        <v>5</v>
      </c>
    </row>
    <row r="1814" spans="1:7" ht="15.75" thickBot="1">
      <c r="A1814" s="3610"/>
      <c r="B1814" s="3622"/>
      <c r="C1814" s="3622"/>
      <c r="D1814" s="3622"/>
      <c r="E1814" s="3622"/>
      <c r="F1814" s="3846"/>
    </row>
    <row r="1815" spans="1:7">
      <c r="A1815" s="4051" t="s">
        <v>3151</v>
      </c>
      <c r="B1815" s="1163" t="s">
        <v>1414</v>
      </c>
      <c r="C1815" s="2514" t="s">
        <v>2940</v>
      </c>
      <c r="D1815" s="1163"/>
      <c r="E1815" s="1431">
        <f t="shared" ref="E1815:E1823" si="13">(G1815-F1815)/G1815</f>
        <v>0.37912087912087922</v>
      </c>
      <c r="F1815" s="881">
        <v>1.1299999999999999</v>
      </c>
      <c r="G1815">
        <v>1.82</v>
      </c>
    </row>
    <row r="1816" spans="1:7">
      <c r="A1816" s="4051"/>
      <c r="B1816" s="2514" t="s">
        <v>1419</v>
      </c>
      <c r="C1816" s="2495" t="s">
        <v>2941</v>
      </c>
      <c r="D1816" s="2514"/>
      <c r="E1816" s="2515">
        <f t="shared" si="13"/>
        <v>0.37912087912087922</v>
      </c>
      <c r="F1816" s="2441">
        <v>1.1299999999999999</v>
      </c>
      <c r="G1816">
        <v>1.82</v>
      </c>
    </row>
    <row r="1817" spans="1:7" ht="15.75" thickBot="1">
      <c r="A1817" s="3654"/>
      <c r="B1817" s="2514" t="s">
        <v>1417</v>
      </c>
      <c r="C1817" s="2514"/>
      <c r="D1817" s="2514"/>
      <c r="E1817" s="2515" t="e">
        <f t="shared" si="13"/>
        <v>#DIV/0!</v>
      </c>
      <c r="F1817" s="2441"/>
    </row>
    <row r="1818" spans="1:7">
      <c r="A1818" s="2409"/>
      <c r="B1818" s="2514" t="s">
        <v>2506</v>
      </c>
      <c r="C1818" s="2514"/>
      <c r="D1818" s="2514"/>
      <c r="E1818" s="2515" t="e">
        <f t="shared" si="13"/>
        <v>#DIV/0!</v>
      </c>
      <c r="F1818" s="2450"/>
    </row>
    <row r="1819" spans="1:7">
      <c r="A1819" s="2409"/>
      <c r="B1819" s="2514" t="s">
        <v>1415</v>
      </c>
      <c r="C1819" s="2514"/>
      <c r="D1819" s="2514"/>
      <c r="E1819" s="2515" t="e">
        <f t="shared" si="13"/>
        <v>#DIV/0!</v>
      </c>
      <c r="F1819" s="2450"/>
    </row>
    <row r="1820" spans="1:7">
      <c r="A1820" s="2409"/>
      <c r="B1820" s="2514" t="s">
        <v>1416</v>
      </c>
      <c r="C1820" s="2514"/>
      <c r="D1820" s="2514"/>
      <c r="E1820" s="2515" t="e">
        <f t="shared" si="13"/>
        <v>#DIV/0!</v>
      </c>
      <c r="F1820" s="2450"/>
    </row>
    <row r="1821" spans="1:7">
      <c r="A1821" s="2206"/>
      <c r="B1821" s="2495" t="s">
        <v>1420</v>
      </c>
      <c r="C1821" s="2495"/>
      <c r="D1821" s="2495"/>
      <c r="E1821" s="2515" t="e">
        <f t="shared" si="13"/>
        <v>#DIV/0!</v>
      </c>
      <c r="F1821" s="2450"/>
    </row>
    <row r="1822" spans="1:7">
      <c r="A1822" s="2206"/>
      <c r="B1822" s="2495" t="s">
        <v>1421</v>
      </c>
      <c r="C1822" s="2495"/>
      <c r="D1822" s="2495"/>
      <c r="E1822" s="2515" t="e">
        <f t="shared" si="13"/>
        <v>#DIV/0!</v>
      </c>
      <c r="F1822" s="2441"/>
    </row>
    <row r="1823" spans="1:7" ht="15.75" thickBot="1">
      <c r="A1823" s="1315"/>
      <c r="B1823" s="2180" t="s">
        <v>1423</v>
      </c>
      <c r="C1823" s="2180"/>
      <c r="D1823" s="2180"/>
      <c r="E1823" s="2412" t="e">
        <f t="shared" si="13"/>
        <v>#DIV/0!</v>
      </c>
      <c r="F1823" s="2413"/>
    </row>
    <row r="1824" spans="1:7" ht="15.75" thickBot="1"/>
    <row r="1825" spans="1:7">
      <c r="A1825" s="3572" t="s">
        <v>0</v>
      </c>
      <c r="B1825" s="3557" t="s">
        <v>1</v>
      </c>
      <c r="C1825" s="3518" t="s">
        <v>2</v>
      </c>
      <c r="D1825" s="3518" t="s">
        <v>3</v>
      </c>
      <c r="E1825" s="3518" t="s">
        <v>4</v>
      </c>
      <c r="F1825" s="3522" t="s">
        <v>5</v>
      </c>
    </row>
    <row r="1826" spans="1:7">
      <c r="A1826" s="4052"/>
      <c r="B1826" s="3624"/>
      <c r="C1826" s="3879"/>
      <c r="D1826" s="3879"/>
      <c r="E1826" s="3879"/>
      <c r="F1826" s="4119"/>
    </row>
    <row r="1827" spans="1:7">
      <c r="A1827" s="4051" t="s">
        <v>3140</v>
      </c>
      <c r="B1827" s="2516" t="s">
        <v>409</v>
      </c>
      <c r="C1827" s="2514" t="s">
        <v>905</v>
      </c>
      <c r="D1827" s="2495"/>
      <c r="E1827" s="2515">
        <f>(G1827-F1827)/G1827</f>
        <v>0.19512195121951212</v>
      </c>
      <c r="F1827" s="2441">
        <v>0.66</v>
      </c>
      <c r="G1827">
        <v>0.82</v>
      </c>
    </row>
    <row r="1828" spans="1:7">
      <c r="A1828" s="4051"/>
      <c r="B1828" s="2516" t="s">
        <v>921</v>
      </c>
      <c r="C1828" s="2514" t="s">
        <v>1120</v>
      </c>
      <c r="D1828" s="2495"/>
      <c r="E1828" s="2515">
        <f>(G1828-F1828)/G1828</f>
        <v>0.21153846153846162</v>
      </c>
      <c r="F1828" s="2441">
        <v>0.41</v>
      </c>
      <c r="G1828">
        <v>0.52</v>
      </c>
    </row>
    <row r="1829" spans="1:7" ht="15.75" thickBot="1">
      <c r="A1829" s="3654"/>
      <c r="B1829" s="2179" t="s">
        <v>534</v>
      </c>
      <c r="C1829" s="2165" t="s">
        <v>858</v>
      </c>
      <c r="D1829" s="2180"/>
      <c r="E1829" s="2412">
        <f>(G1829-F1829)/G1829</f>
        <v>0.19999999999999996</v>
      </c>
      <c r="F1829" s="2413">
        <v>0.8</v>
      </c>
      <c r="G1829">
        <v>1</v>
      </c>
    </row>
    <row r="1831" spans="1:7" ht="15.75" thickBot="1"/>
    <row r="1832" spans="1:7">
      <c r="A1832" s="3572" t="s">
        <v>0</v>
      </c>
      <c r="B1832" s="3557" t="s">
        <v>1</v>
      </c>
      <c r="C1832" s="3518" t="s">
        <v>2</v>
      </c>
      <c r="D1832" s="3518" t="s">
        <v>3</v>
      </c>
      <c r="E1832" s="3518" t="s">
        <v>4</v>
      </c>
      <c r="F1832" s="3522" t="s">
        <v>5</v>
      </c>
    </row>
    <row r="1833" spans="1:7">
      <c r="A1833" s="4052"/>
      <c r="B1833" s="4115"/>
      <c r="C1833" s="3631"/>
      <c r="D1833" s="3631"/>
      <c r="E1833" s="3631"/>
      <c r="F1833" s="4120"/>
    </row>
    <row r="1834" spans="1:7">
      <c r="A1834" s="4051" t="s">
        <v>3149</v>
      </c>
      <c r="B1834" s="2524" t="s">
        <v>409</v>
      </c>
      <c r="C1834" s="2657" t="s">
        <v>1892</v>
      </c>
      <c r="D1834" s="2526"/>
      <c r="E1834" s="2527">
        <f>(G1834-F1834)/G1834</f>
        <v>0.2109375</v>
      </c>
      <c r="F1834" s="2528">
        <v>1.01</v>
      </c>
      <c r="G1834">
        <v>1.28</v>
      </c>
    </row>
    <row r="1835" spans="1:7">
      <c r="A1835" s="4051"/>
      <c r="B1835" s="2524" t="s">
        <v>921</v>
      </c>
      <c r="C1835" s="2657" t="s">
        <v>1891</v>
      </c>
      <c r="D1835" s="2526"/>
      <c r="E1835" s="2527">
        <f>(G1835-F1835)/G1835</f>
        <v>0.2109375</v>
      </c>
      <c r="F1835" s="2528">
        <v>1.01</v>
      </c>
      <c r="G1835">
        <v>1.28</v>
      </c>
    </row>
    <row r="1836" spans="1:7" ht="15.75" thickBot="1">
      <c r="A1836" s="3654"/>
      <c r="B1836" s="2179" t="s">
        <v>534</v>
      </c>
      <c r="C1836" s="2165" t="s">
        <v>2999</v>
      </c>
      <c r="D1836" s="2180"/>
      <c r="E1836" s="2412">
        <f>(G1836-F1836)/G1836</f>
        <v>0.26108374384236444</v>
      </c>
      <c r="F1836" s="2413">
        <v>1.5</v>
      </c>
      <c r="G1836">
        <v>2.0299999999999998</v>
      </c>
    </row>
    <row r="1838" spans="1:7" ht="15.75" thickBot="1"/>
    <row r="1839" spans="1:7">
      <c r="A1839" s="3572" t="s">
        <v>0</v>
      </c>
      <c r="B1839" s="3557" t="s">
        <v>1</v>
      </c>
      <c r="C1839" s="3518" t="s">
        <v>2</v>
      </c>
      <c r="D1839" s="3518" t="s">
        <v>3</v>
      </c>
      <c r="E1839" s="3518" t="s">
        <v>4</v>
      </c>
      <c r="F1839" s="3522" t="s">
        <v>5</v>
      </c>
    </row>
    <row r="1840" spans="1:7">
      <c r="A1840" s="3871"/>
      <c r="B1840" s="3626"/>
      <c r="C1840" s="3622"/>
      <c r="D1840" s="3622"/>
      <c r="E1840" s="3622"/>
      <c r="F1840" s="3846"/>
    </row>
    <row r="1841" spans="1:7">
      <c r="A1841" s="2536" t="s">
        <v>3160</v>
      </c>
      <c r="B1841" s="2524" t="s">
        <v>2185</v>
      </c>
      <c r="C1841" s="2525" t="s">
        <v>2558</v>
      </c>
      <c r="D1841" s="2526"/>
      <c r="E1841" s="2527">
        <f t="shared" ref="E1841:E1846" si="14">(G1841-F1841)/G1841</f>
        <v>0.16071428571428573</v>
      </c>
      <c r="F1841" s="2528">
        <v>2.82</v>
      </c>
      <c r="G1841">
        <v>3.36</v>
      </c>
    </row>
    <row r="1842" spans="1:7">
      <c r="A1842" s="2536"/>
      <c r="B1842" s="2524" t="s">
        <v>2403</v>
      </c>
      <c r="C1842" s="2525" t="s">
        <v>2603</v>
      </c>
      <c r="D1842" s="2526"/>
      <c r="E1842" s="2527">
        <f t="shared" si="14"/>
        <v>0.16071428571428573</v>
      </c>
      <c r="F1842" s="2528">
        <v>2.82</v>
      </c>
      <c r="G1842">
        <v>3.36</v>
      </c>
    </row>
    <row r="1843" spans="1:7">
      <c r="A1843" s="2536"/>
      <c r="B1843" s="2524" t="s">
        <v>2438</v>
      </c>
      <c r="C1843" s="2653" t="s">
        <v>155</v>
      </c>
      <c r="D1843" s="2526"/>
      <c r="E1843" s="2527">
        <f t="shared" si="14"/>
        <v>0.19827586206896541</v>
      </c>
      <c r="F1843" s="2528">
        <v>0.93</v>
      </c>
      <c r="G1843">
        <v>1.1599999999999999</v>
      </c>
    </row>
    <row r="1844" spans="1:7">
      <c r="A1844" s="2206"/>
      <c r="B1844" s="2526"/>
      <c r="C1844" s="2653" t="s">
        <v>154</v>
      </c>
      <c r="D1844" s="2526"/>
      <c r="E1844" s="2527">
        <f t="shared" si="14"/>
        <v>0.20388349514563114</v>
      </c>
      <c r="F1844" s="2528">
        <v>0.82</v>
      </c>
      <c r="G1844">
        <v>1.03</v>
      </c>
    </row>
    <row r="1845" spans="1:7">
      <c r="A1845" s="2206"/>
      <c r="B1845" s="2526"/>
      <c r="C1845" s="2653" t="s">
        <v>452</v>
      </c>
      <c r="D1845" s="2526"/>
      <c r="E1845" s="2527">
        <f t="shared" si="14"/>
        <v>0.20370370370370378</v>
      </c>
      <c r="F1845" s="2528">
        <v>0.86</v>
      </c>
      <c r="G1845">
        <v>1.08</v>
      </c>
    </row>
    <row r="1846" spans="1:7" ht="15.75" thickBot="1">
      <c r="A1846" s="1315"/>
      <c r="B1846" s="2180"/>
      <c r="C1846" s="2604" t="s">
        <v>153</v>
      </c>
      <c r="D1846" s="2180"/>
      <c r="E1846" s="2412">
        <f t="shared" si="14"/>
        <v>0.19607843137254907</v>
      </c>
      <c r="F1846" s="2413">
        <v>0.82</v>
      </c>
      <c r="G1846">
        <v>1.02</v>
      </c>
    </row>
    <row r="1847" spans="1:7" ht="15.75" thickBot="1"/>
    <row r="1848" spans="1:7" ht="16.5" customHeight="1">
      <c r="A1848" s="3614" t="s">
        <v>0</v>
      </c>
      <c r="B1848" s="3518" t="s">
        <v>1</v>
      </c>
      <c r="C1848" s="3518" t="s">
        <v>2</v>
      </c>
      <c r="D1848" s="3518" t="s">
        <v>3</v>
      </c>
      <c r="E1848" s="3518" t="s">
        <v>4</v>
      </c>
      <c r="F1848" s="3522" t="s">
        <v>5</v>
      </c>
    </row>
    <row r="1849" spans="1:7" ht="16.5" customHeight="1" thickBot="1">
      <c r="A1849" s="4050"/>
      <c r="B1849" s="3622"/>
      <c r="C1849" s="3622"/>
      <c r="D1849" s="3622"/>
      <c r="E1849" s="3622"/>
      <c r="F1849" s="3846"/>
    </row>
    <row r="1850" spans="1:7" ht="16.5" customHeight="1">
      <c r="A1850" s="876" t="s">
        <v>3161</v>
      </c>
      <c r="B1850" s="2367" t="s">
        <v>200</v>
      </c>
      <c r="C1850" s="1163" t="s">
        <v>1763</v>
      </c>
      <c r="D1850" s="1163"/>
      <c r="E1850" s="1431">
        <f>(G1850-F1850)/G1850</f>
        <v>8.6285952480199948E-2</v>
      </c>
      <c r="F1850" s="881">
        <v>21.92</v>
      </c>
      <c r="G1850">
        <v>23.99</v>
      </c>
    </row>
    <row r="1851" spans="1:7" ht="16.5" customHeight="1">
      <c r="A1851" s="876"/>
      <c r="B1851" s="2411"/>
      <c r="C1851" s="2525" t="s">
        <v>1556</v>
      </c>
      <c r="D1851" s="2525"/>
      <c r="E1851" s="2527">
        <f>(G1851-F1851)/G1851</f>
        <v>8.6285952480199948E-2</v>
      </c>
      <c r="F1851" s="2528">
        <v>21.92</v>
      </c>
      <c r="G1851">
        <v>23.99</v>
      </c>
    </row>
    <row r="1852" spans="1:7" ht="16.5" customHeight="1" thickBot="1">
      <c r="A1852" s="2287"/>
      <c r="B1852" s="2113"/>
      <c r="C1852" s="2165" t="s">
        <v>1555</v>
      </c>
      <c r="D1852" s="2165"/>
      <c r="E1852" s="2412">
        <f>(G1852-F1852)/G1852</f>
        <v>8.6285952480199948E-2</v>
      </c>
      <c r="F1852" s="2413">
        <v>21.92</v>
      </c>
      <c r="G1852">
        <v>23.99</v>
      </c>
    </row>
    <row r="1853" spans="1:7" ht="15.75" thickBot="1"/>
    <row r="1854" spans="1:7">
      <c r="A1854" s="3572" t="s">
        <v>0</v>
      </c>
      <c r="B1854" s="3636" t="s">
        <v>1</v>
      </c>
      <c r="C1854" s="3693" t="s">
        <v>2</v>
      </c>
      <c r="D1854" s="3693" t="s">
        <v>3</v>
      </c>
      <c r="E1854" s="3693" t="s">
        <v>4</v>
      </c>
      <c r="F1854" s="3522" t="s">
        <v>5</v>
      </c>
    </row>
    <row r="1855" spans="1:7" ht="15.75" thickBot="1">
      <c r="A1855" s="3871"/>
      <c r="B1855" s="3626"/>
      <c r="C1855" s="3622"/>
      <c r="D1855" s="3622"/>
      <c r="E1855" s="3622"/>
      <c r="F1855" s="3846"/>
    </row>
    <row r="1856" spans="1:7" ht="15" customHeight="1">
      <c r="A1856" s="3872" t="s">
        <v>3166</v>
      </c>
      <c r="B1856" s="2549" t="s">
        <v>409</v>
      </c>
      <c r="C1856" s="1098" t="s">
        <v>905</v>
      </c>
      <c r="D1856" s="178"/>
      <c r="E1856" s="1376">
        <f>(G1856-F1856)/G1856</f>
        <v>0.2584269662921348</v>
      </c>
      <c r="F1856" s="881">
        <v>0.66</v>
      </c>
      <c r="G1856">
        <v>0.89</v>
      </c>
    </row>
    <row r="1857" spans="1:7" ht="15" customHeight="1">
      <c r="A1857" s="3873"/>
      <c r="B1857" s="2524" t="s">
        <v>921</v>
      </c>
      <c r="C1857" s="2525" t="s">
        <v>1120</v>
      </c>
      <c r="D1857" s="2526"/>
      <c r="E1857" s="2527">
        <f>(G1857-F1857)/G1857</f>
        <v>0.26785714285714296</v>
      </c>
      <c r="F1857" s="2528">
        <v>0.41</v>
      </c>
      <c r="G1857">
        <v>0.56000000000000005</v>
      </c>
    </row>
    <row r="1858" spans="1:7">
      <c r="A1858" s="3873"/>
      <c r="B1858" s="2524" t="s">
        <v>534</v>
      </c>
      <c r="C1858" s="2525" t="s">
        <v>3116</v>
      </c>
      <c r="D1858" s="2526"/>
      <c r="E1858" s="2527">
        <f>(G1858-F1858)/G1858</f>
        <v>0.26785714285714296</v>
      </c>
      <c r="F1858" s="2528">
        <v>0.41</v>
      </c>
      <c r="G1858">
        <v>0.56000000000000005</v>
      </c>
    </row>
    <row r="1859" spans="1:7" ht="15.75" thickBot="1">
      <c r="A1859" s="3874"/>
      <c r="B1859" s="2180"/>
      <c r="C1859" s="2180" t="s">
        <v>858</v>
      </c>
      <c r="D1859" s="2180"/>
      <c r="E1859" s="2527">
        <f>(G1859-F1859)/G1859</f>
        <v>0.25925925925925924</v>
      </c>
      <c r="F1859" s="2413">
        <v>0.8</v>
      </c>
      <c r="G1859">
        <v>1.08</v>
      </c>
    </row>
    <row r="1861" spans="1:7" ht="15.75" thickBot="1"/>
    <row r="1862" spans="1:7">
      <c r="A1862" s="3572" t="s">
        <v>0</v>
      </c>
      <c r="B1862" s="3557" t="s">
        <v>1</v>
      </c>
      <c r="C1862" s="3518" t="s">
        <v>2</v>
      </c>
      <c r="D1862" s="3518" t="s">
        <v>3</v>
      </c>
      <c r="E1862" s="3518" t="s">
        <v>4</v>
      </c>
      <c r="F1862" s="3522" t="s">
        <v>5</v>
      </c>
    </row>
    <row r="1863" spans="1:7" ht="15.75" thickBot="1">
      <c r="A1863" s="3871"/>
      <c r="B1863" s="3628"/>
      <c r="C1863" s="3608"/>
      <c r="D1863" s="3608"/>
      <c r="E1863" s="3608"/>
      <c r="F1863" s="3607"/>
    </row>
    <row r="1864" spans="1:7">
      <c r="A1864" s="3872" t="s">
        <v>3178</v>
      </c>
      <c r="B1864" s="2420" t="s">
        <v>409</v>
      </c>
      <c r="C1864" s="1163" t="s">
        <v>905</v>
      </c>
      <c r="D1864" s="2421"/>
      <c r="E1864" s="1431">
        <f>(G1864-F1864)/G1864</f>
        <v>0.18823529411764711</v>
      </c>
      <c r="F1864" s="881">
        <v>0.69</v>
      </c>
      <c r="G1864">
        <v>0.85</v>
      </c>
    </row>
    <row r="1865" spans="1:7">
      <c r="A1865" s="3873"/>
      <c r="B1865" s="2579" t="s">
        <v>921</v>
      </c>
      <c r="C1865" s="2580"/>
      <c r="D1865" s="2571"/>
      <c r="E1865" s="2581" t="e">
        <f>(G1865-F1865)/G1865</f>
        <v>#DIV/0!</v>
      </c>
      <c r="F1865" s="2582"/>
    </row>
    <row r="1866" spans="1:7" ht="15.75" thickBot="1">
      <c r="A1866" s="3874"/>
      <c r="B1866" s="2179" t="s">
        <v>534</v>
      </c>
      <c r="C1866" s="2165"/>
      <c r="D1866" s="2180"/>
      <c r="E1866" s="2412" t="e">
        <f>(G1866-F1866)/G1866</f>
        <v>#DIV/0!</v>
      </c>
      <c r="F1866" s="2413"/>
    </row>
    <row r="1867" spans="1:7" ht="15.75" thickBot="1"/>
    <row r="1868" spans="1:7">
      <c r="A1868" s="3614" t="s">
        <v>0</v>
      </c>
      <c r="B1868" s="3518" t="s">
        <v>1</v>
      </c>
      <c r="C1868" s="3518" t="s">
        <v>2</v>
      </c>
      <c r="D1868" s="3518" t="s">
        <v>3</v>
      </c>
      <c r="E1868" s="3518" t="s">
        <v>4</v>
      </c>
      <c r="F1868" s="3522" t="s">
        <v>5</v>
      </c>
    </row>
    <row r="1869" spans="1:7" ht="15.75" thickBot="1">
      <c r="A1869" s="4050"/>
      <c r="B1869" s="3622"/>
      <c r="C1869" s="3622"/>
      <c r="D1869" s="3622"/>
      <c r="E1869" s="3622"/>
      <c r="F1869" s="3846"/>
    </row>
    <row r="1870" spans="1:7">
      <c r="A1870" s="876" t="s">
        <v>3190</v>
      </c>
      <c r="B1870" s="2367" t="s">
        <v>200</v>
      </c>
      <c r="C1870" s="1163" t="s">
        <v>2550</v>
      </c>
      <c r="D1870" s="1163"/>
      <c r="E1870" s="1431">
        <f>(G1870-F1870)/G1870</f>
        <v>0.34068357221609702</v>
      </c>
      <c r="F1870" s="881">
        <v>5.98</v>
      </c>
      <c r="G1870">
        <v>9.07</v>
      </c>
    </row>
    <row r="1871" spans="1:7">
      <c r="A1871" s="876"/>
      <c r="B1871" s="2583"/>
      <c r="C1871" s="2584" t="s">
        <v>2551</v>
      </c>
      <c r="D1871" s="2584"/>
      <c r="E1871" s="2585">
        <f>(G1871-F1871)/G1871</f>
        <v>0.34068357221609702</v>
      </c>
      <c r="F1871" s="2586">
        <v>5.98</v>
      </c>
      <c r="G1871">
        <v>9.07</v>
      </c>
    </row>
    <row r="1872" spans="1:7" ht="15.75" thickBot="1">
      <c r="A1872" s="2287"/>
      <c r="B1872" s="2113"/>
      <c r="C1872" s="2587"/>
      <c r="D1872" s="2587"/>
      <c r="E1872" s="2588" t="e">
        <f>(G1872-F1872)/G1872</f>
        <v>#DIV/0!</v>
      </c>
      <c r="F1872" s="2413"/>
    </row>
    <row r="1873" spans="1:7" ht="15.75" thickBot="1"/>
    <row r="1874" spans="1:7">
      <c r="A1874" s="3614" t="s">
        <v>0</v>
      </c>
      <c r="B1874" s="3518" t="s">
        <v>1</v>
      </c>
      <c r="C1874" s="3518" t="s">
        <v>2</v>
      </c>
      <c r="D1874" s="3518" t="s">
        <v>3</v>
      </c>
      <c r="E1874" s="3518" t="s">
        <v>4</v>
      </c>
      <c r="F1874" s="3522" t="s">
        <v>5</v>
      </c>
    </row>
    <row r="1875" spans="1:7" ht="15.75" thickBot="1">
      <c r="A1875" s="4050"/>
      <c r="B1875" s="3608"/>
      <c r="C1875" s="3608"/>
      <c r="D1875" s="3608"/>
      <c r="E1875" s="3608"/>
      <c r="F1875" s="3607"/>
    </row>
    <row r="1876" spans="1:7">
      <c r="A1876" s="876" t="s">
        <v>3195</v>
      </c>
      <c r="B1876" s="2367" t="s">
        <v>200</v>
      </c>
      <c r="C1876" s="1163" t="s">
        <v>2960</v>
      </c>
      <c r="D1876" s="1163"/>
      <c r="E1876" s="1431">
        <f>(G1876-F1876)/G1876</f>
        <v>0.33009708737864085</v>
      </c>
      <c r="F1876" s="881">
        <v>0.69</v>
      </c>
      <c r="G1876">
        <v>1.03</v>
      </c>
    </row>
    <row r="1877" spans="1:7">
      <c r="A1877" s="876"/>
      <c r="B1877" s="2583"/>
      <c r="C1877" s="2584" t="s">
        <v>2961</v>
      </c>
      <c r="D1877" s="2584"/>
      <c r="E1877" s="2585">
        <f>(G1877-F1877)/G1877</f>
        <v>0.33009708737864085</v>
      </c>
      <c r="F1877" s="2586">
        <v>0.69</v>
      </c>
      <c r="G1877">
        <v>1.03</v>
      </c>
    </row>
    <row r="1878" spans="1:7" ht="15.75" thickBot="1">
      <c r="A1878" s="2287"/>
      <c r="B1878" s="2113"/>
      <c r="C1878" s="2587" t="s">
        <v>2962</v>
      </c>
      <c r="D1878" s="2587"/>
      <c r="E1878" s="2588">
        <f>(G1878-F1878)/G1878</f>
        <v>0.33009708737864085</v>
      </c>
      <c r="F1878" s="2413">
        <v>0.69</v>
      </c>
      <c r="G1878">
        <v>1.03</v>
      </c>
    </row>
    <row r="1880" spans="1:7" ht="15.75" thickBot="1"/>
    <row r="1881" spans="1:7">
      <c r="A1881" s="3614" t="s">
        <v>0</v>
      </c>
      <c r="B1881" s="3518" t="s">
        <v>1</v>
      </c>
      <c r="C1881" s="3518" t="s">
        <v>2</v>
      </c>
      <c r="D1881" s="3518" t="s">
        <v>3</v>
      </c>
      <c r="E1881" s="3518" t="s">
        <v>4</v>
      </c>
      <c r="F1881" s="3522" t="s">
        <v>5</v>
      </c>
    </row>
    <row r="1882" spans="1:7">
      <c r="A1882" s="3610"/>
      <c r="B1882" s="3622"/>
      <c r="C1882" s="3622"/>
      <c r="D1882" s="3622"/>
      <c r="E1882" s="3622"/>
      <c r="F1882" s="3846"/>
    </row>
    <row r="1883" spans="1:7">
      <c r="A1883" s="4048" t="s">
        <v>3212</v>
      </c>
      <c r="B1883" s="2514" t="s">
        <v>1414</v>
      </c>
      <c r="C1883" s="2514" t="s">
        <v>2827</v>
      </c>
      <c r="D1883" s="2514"/>
      <c r="E1883" s="2515">
        <f t="shared" ref="E1883:E1891" si="15">(G1883-F1883)/G1883</f>
        <v>0.28395061728395071</v>
      </c>
      <c r="F1883" s="2495">
        <v>1.1599999999999999</v>
      </c>
      <c r="G1883">
        <v>1.62</v>
      </c>
    </row>
    <row r="1884" spans="1:7">
      <c r="A1884" s="4048"/>
      <c r="B1884" s="2514" t="s">
        <v>1419</v>
      </c>
      <c r="C1884" s="2495" t="s">
        <v>2890</v>
      </c>
      <c r="D1884" s="2514"/>
      <c r="E1884" s="2515">
        <f t="shared" si="15"/>
        <v>0.28395061728395071</v>
      </c>
      <c r="F1884" s="2495">
        <v>1.1599999999999999</v>
      </c>
      <c r="G1884">
        <v>1.62</v>
      </c>
    </row>
    <row r="1885" spans="1:7">
      <c r="A1885" s="4048"/>
      <c r="B1885" s="2514" t="s">
        <v>1417</v>
      </c>
      <c r="C1885" s="2514" t="s">
        <v>2871</v>
      </c>
      <c r="D1885" s="2514"/>
      <c r="E1885" s="2515">
        <f t="shared" si="15"/>
        <v>0.28395061728395071</v>
      </c>
      <c r="F1885" s="2495">
        <v>1.1599999999999999</v>
      </c>
      <c r="G1885">
        <v>1.62</v>
      </c>
    </row>
    <row r="1886" spans="1:7">
      <c r="A1886" s="2649"/>
      <c r="B1886" s="2514" t="s">
        <v>2506</v>
      </c>
      <c r="C1886" s="2605" t="s">
        <v>623</v>
      </c>
      <c r="D1886" s="2514"/>
      <c r="E1886" s="2515">
        <f t="shared" si="15"/>
        <v>0.16582914572864324</v>
      </c>
      <c r="F1886" s="2514">
        <v>1.66</v>
      </c>
      <c r="G1886">
        <v>1.99</v>
      </c>
    </row>
    <row r="1887" spans="1:7">
      <c r="A1887" s="2649"/>
      <c r="B1887" s="2514" t="s">
        <v>1415</v>
      </c>
      <c r="C1887" s="2514"/>
      <c r="D1887" s="2514"/>
      <c r="E1887" s="2515" t="e">
        <f t="shared" si="15"/>
        <v>#DIV/0!</v>
      </c>
      <c r="F1887" s="2514"/>
    </row>
    <row r="1888" spans="1:7">
      <c r="A1888" s="2649"/>
      <c r="B1888" s="2514" t="s">
        <v>1416</v>
      </c>
      <c r="C1888" s="2514"/>
      <c r="D1888" s="2514"/>
      <c r="E1888" s="2515" t="e">
        <f t="shared" si="15"/>
        <v>#DIV/0!</v>
      </c>
      <c r="F1888" s="2514"/>
    </row>
    <row r="1889" spans="1:7">
      <c r="A1889" s="2495"/>
      <c r="B1889" s="2495" t="s">
        <v>1420</v>
      </c>
      <c r="C1889" s="2495"/>
      <c r="D1889" s="2495"/>
      <c r="E1889" s="2515" t="e">
        <f t="shared" si="15"/>
        <v>#DIV/0!</v>
      </c>
      <c r="F1889" s="2514"/>
    </row>
    <row r="1890" spans="1:7">
      <c r="A1890" s="2495"/>
      <c r="B1890" s="2495" t="s">
        <v>1421</v>
      </c>
      <c r="C1890" s="2495"/>
      <c r="D1890" s="2495"/>
      <c r="E1890" s="2515" t="e">
        <f t="shared" si="15"/>
        <v>#DIV/0!</v>
      </c>
      <c r="F1890" s="2495"/>
    </row>
    <row r="1891" spans="1:7">
      <c r="A1891" s="2495"/>
      <c r="B1891" s="2495" t="s">
        <v>1423</v>
      </c>
      <c r="C1891" s="2495"/>
      <c r="D1891" s="2495"/>
      <c r="E1891" s="2515" t="e">
        <f t="shared" si="15"/>
        <v>#DIV/0!</v>
      </c>
      <c r="F1891" s="2495"/>
    </row>
    <row r="1892" spans="1:7" ht="15.75" thickBot="1"/>
    <row r="1893" spans="1:7">
      <c r="A1893" s="3572" t="s">
        <v>0</v>
      </c>
      <c r="B1893" s="3557" t="s">
        <v>1</v>
      </c>
      <c r="C1893" s="3518" t="s">
        <v>2</v>
      </c>
      <c r="D1893" s="3518" t="s">
        <v>3</v>
      </c>
      <c r="E1893" s="3518" t="s">
        <v>4</v>
      </c>
      <c r="F1893" s="3522" t="s">
        <v>5</v>
      </c>
    </row>
    <row r="1894" spans="1:7" ht="15.75" thickBot="1">
      <c r="A1894" s="3871"/>
      <c r="B1894" s="3626"/>
      <c r="C1894" s="3622"/>
      <c r="D1894" s="3622"/>
      <c r="E1894" s="3622"/>
      <c r="F1894" s="3846"/>
    </row>
    <row r="1895" spans="1:7">
      <c r="A1895" s="3872" t="s">
        <v>3288</v>
      </c>
      <c r="B1895" s="2420" t="s">
        <v>409</v>
      </c>
      <c r="C1895" s="1163" t="s">
        <v>2827</v>
      </c>
      <c r="D1895" s="2421"/>
      <c r="E1895" s="1431">
        <f>(G1895-F1895)/G1895</f>
        <v>0.13750000000000012</v>
      </c>
      <c r="F1895" s="881">
        <v>1.38</v>
      </c>
      <c r="G1895">
        <v>1.6</v>
      </c>
    </row>
    <row r="1896" spans="1:7">
      <c r="A1896" s="3873"/>
      <c r="B1896" s="2516" t="s">
        <v>921</v>
      </c>
      <c r="C1896" s="2514" t="s">
        <v>2890</v>
      </c>
      <c r="D1896" s="2495"/>
      <c r="E1896" s="2515">
        <f>(G1896-F1896)/G1896</f>
        <v>0.13750000000000012</v>
      </c>
      <c r="F1896" s="2586">
        <v>1.38</v>
      </c>
      <c r="G1896">
        <v>1.6</v>
      </c>
    </row>
    <row r="1897" spans="1:7">
      <c r="A1897" s="3873"/>
      <c r="B1897" s="2516" t="s">
        <v>534</v>
      </c>
      <c r="C1897" s="2514" t="s">
        <v>2871</v>
      </c>
      <c r="D1897" s="2495"/>
      <c r="E1897" s="2515">
        <f>(G1897-F1897)/G1897</f>
        <v>0.13750000000000012</v>
      </c>
      <c r="F1897" s="2586">
        <v>1.38</v>
      </c>
      <c r="G1897">
        <v>1.6</v>
      </c>
    </row>
    <row r="1898" spans="1:7" ht="15.75" thickBot="1">
      <c r="A1898" s="3873"/>
      <c r="B1898" s="2621"/>
      <c r="C1898" s="2808" t="s">
        <v>1892</v>
      </c>
      <c r="D1898" s="2621"/>
      <c r="E1898" s="2515">
        <f>(G1898-F1898)/G1898</f>
        <v>0.2109375</v>
      </c>
      <c r="F1898" s="2413">
        <v>1.01</v>
      </c>
      <c r="G1898">
        <v>1.28</v>
      </c>
    </row>
    <row r="1899" spans="1:7" ht="15.75" thickBot="1">
      <c r="A1899" s="3874"/>
      <c r="B1899" s="2621"/>
      <c r="C1899" s="2808" t="s">
        <v>1891</v>
      </c>
      <c r="D1899" s="2621"/>
      <c r="E1899" s="2515">
        <f>(G1899-F1899)/G1899</f>
        <v>0.2109375</v>
      </c>
      <c r="F1899" s="2413">
        <v>1.01</v>
      </c>
      <c r="G1899">
        <v>1.28</v>
      </c>
    </row>
    <row r="1901" spans="1:7" ht="15.75" thickBot="1"/>
    <row r="1902" spans="1:7">
      <c r="A1902" s="3614" t="s">
        <v>0</v>
      </c>
      <c r="B1902" s="3518" t="s">
        <v>1</v>
      </c>
      <c r="C1902" s="3518" t="s">
        <v>2</v>
      </c>
      <c r="D1902" s="3518" t="s">
        <v>3</v>
      </c>
      <c r="E1902" s="3518" t="s">
        <v>4</v>
      </c>
      <c r="F1902" s="3522" t="s">
        <v>5</v>
      </c>
    </row>
    <row r="1903" spans="1:7" ht="15.75" thickBot="1">
      <c r="A1903" s="4050"/>
      <c r="B1903" s="3622"/>
      <c r="C1903" s="3622"/>
      <c r="D1903" s="3622"/>
      <c r="E1903" s="3622"/>
      <c r="F1903" s="3846"/>
    </row>
    <row r="1904" spans="1:7">
      <c r="A1904" s="876" t="s">
        <v>3241</v>
      </c>
      <c r="B1904" s="2367" t="s">
        <v>200</v>
      </c>
      <c r="C1904" s="1163" t="s">
        <v>1555</v>
      </c>
      <c r="D1904" s="1163"/>
      <c r="E1904" s="1431">
        <f>(G1904-F1904)/G1904</f>
        <v>8.6285952480199948E-2</v>
      </c>
      <c r="F1904" s="881">
        <v>21.92</v>
      </c>
      <c r="G1904">
        <v>23.99</v>
      </c>
    </row>
    <row r="1905" spans="1:7">
      <c r="A1905" s="876"/>
      <c r="B1905" s="2583"/>
      <c r="C1905" s="2514" t="s">
        <v>1556</v>
      </c>
      <c r="D1905" s="2514"/>
      <c r="E1905" s="2515">
        <f>(G1905-F1905)/G1905</f>
        <v>8.6285952480199948E-2</v>
      </c>
      <c r="F1905" s="2586">
        <v>21.92</v>
      </c>
      <c r="G1905">
        <v>23.99</v>
      </c>
    </row>
    <row r="1906" spans="1:7" ht="15.75" thickBot="1">
      <c r="A1906" s="2287"/>
      <c r="B1906" s="2113"/>
      <c r="C1906" s="2587" t="s">
        <v>1763</v>
      </c>
      <c r="D1906" s="2587"/>
      <c r="E1906" s="2588">
        <f>(G1906-F1906)/G1906</f>
        <v>8.6285952480199948E-2</v>
      </c>
      <c r="F1906" s="2413">
        <v>21.92</v>
      </c>
      <c r="G1906">
        <v>23.99</v>
      </c>
    </row>
    <row r="1907" spans="1:7" ht="15.75" thickBot="1"/>
    <row r="1908" spans="1:7">
      <c r="A1908" s="3614" t="s">
        <v>0</v>
      </c>
      <c r="B1908" s="3518" t="s">
        <v>1</v>
      </c>
      <c r="C1908" s="3518" t="s">
        <v>2</v>
      </c>
      <c r="D1908" s="3518" t="s">
        <v>3</v>
      </c>
      <c r="E1908" s="3518" t="s">
        <v>4</v>
      </c>
      <c r="F1908" s="3522" t="s">
        <v>5</v>
      </c>
    </row>
    <row r="1909" spans="1:7" ht="15.75" thickBot="1">
      <c r="A1909" s="4050"/>
      <c r="B1909" s="3622"/>
      <c r="C1909" s="3622"/>
      <c r="D1909" s="3622"/>
      <c r="E1909" s="3622"/>
      <c r="F1909" s="3846"/>
    </row>
    <row r="1910" spans="1:7">
      <c r="A1910" s="876" t="s">
        <v>3242</v>
      </c>
      <c r="B1910" s="2367" t="s">
        <v>200</v>
      </c>
      <c r="C1910" s="1163" t="s">
        <v>3054</v>
      </c>
      <c r="D1910" s="1163"/>
      <c r="E1910" s="1431">
        <f>(G1910-F1910)/G1910</f>
        <v>0.1700352903432788</v>
      </c>
      <c r="F1910" s="881">
        <v>25.87</v>
      </c>
      <c r="G1910">
        <v>31.17</v>
      </c>
    </row>
    <row r="1911" spans="1:7">
      <c r="A1911" s="876"/>
      <c r="B1911" s="2583"/>
      <c r="C1911" s="2514" t="s">
        <v>3055</v>
      </c>
      <c r="D1911" s="2514"/>
      <c r="E1911" s="2515">
        <f>(G1911-F1911)/G1911</f>
        <v>0.1700352903432788</v>
      </c>
      <c r="F1911" s="2586">
        <v>25.87</v>
      </c>
      <c r="G1911">
        <v>31.17</v>
      </c>
    </row>
    <row r="1912" spans="1:7" ht="15.75" thickBot="1">
      <c r="A1912" s="2287"/>
      <c r="B1912" s="2113"/>
      <c r="C1912" s="2587" t="s">
        <v>3056</v>
      </c>
      <c r="D1912" s="2587"/>
      <c r="E1912" s="2588">
        <f>(G1912-F1912)/G1912</f>
        <v>0.1700352903432788</v>
      </c>
      <c r="F1912" s="2413">
        <v>25.87</v>
      </c>
      <c r="G1912">
        <v>31.17</v>
      </c>
    </row>
    <row r="1913" spans="1:7" ht="15.75" thickBot="1"/>
    <row r="1914" spans="1:7">
      <c r="A1914" s="3572" t="s">
        <v>0</v>
      </c>
      <c r="B1914" s="3557" t="s">
        <v>1</v>
      </c>
      <c r="C1914" s="3518" t="s">
        <v>2</v>
      </c>
      <c r="D1914" s="3518" t="s">
        <v>3</v>
      </c>
      <c r="E1914" s="3518" t="s">
        <v>4</v>
      </c>
      <c r="F1914" s="3522" t="s">
        <v>5</v>
      </c>
    </row>
    <row r="1915" spans="1:7">
      <c r="A1915" s="3871"/>
      <c r="B1915" s="3626"/>
      <c r="C1915" s="3622"/>
      <c r="D1915" s="3622"/>
      <c r="E1915" s="3622"/>
      <c r="F1915" s="3846"/>
    </row>
    <row r="1916" spans="1:7">
      <c r="A1916" s="4049" t="s">
        <v>3243</v>
      </c>
      <c r="B1916" s="2516" t="s">
        <v>409</v>
      </c>
      <c r="C1916" s="2514" t="s">
        <v>3244</v>
      </c>
      <c r="D1916" s="2495"/>
      <c r="E1916" s="2515">
        <f>(G1916-F1916)/G1916</f>
        <v>0.20050125313283212</v>
      </c>
      <c r="F1916" s="2586">
        <v>6.38</v>
      </c>
      <c r="G1916">
        <v>7.98</v>
      </c>
    </row>
    <row r="1917" spans="1:7">
      <c r="A1917" s="4049"/>
      <c r="B1917" s="2516" t="s">
        <v>534</v>
      </c>
      <c r="C1917" s="2514" t="s">
        <v>3245</v>
      </c>
      <c r="D1917" s="2495"/>
      <c r="E1917" s="2515">
        <f>(G1917-F1917)/G1917</f>
        <v>0.20050125313283212</v>
      </c>
      <c r="F1917" s="2586">
        <v>6.38</v>
      </c>
      <c r="G1917">
        <v>7.98</v>
      </c>
    </row>
    <row r="1918" spans="1:7">
      <c r="A1918" s="4049"/>
      <c r="C1918" s="2514" t="s">
        <v>3246</v>
      </c>
      <c r="D1918" s="2495"/>
      <c r="E1918" s="2515">
        <f>(G1918-F1918)/G1918</f>
        <v>0.20050125313283212</v>
      </c>
      <c r="F1918" s="2586">
        <v>6.38</v>
      </c>
      <c r="G1918">
        <v>7.98</v>
      </c>
    </row>
    <row r="1919" spans="1:7">
      <c r="A1919" s="2620"/>
      <c r="B1919" s="2495"/>
      <c r="C1919" s="2495" t="s">
        <v>3247</v>
      </c>
      <c r="D1919" s="2495"/>
      <c r="E1919" s="2515">
        <f t="shared" ref="E1919:E1939" si="16">(G1919-F1919)/G1919</f>
        <v>0.20050125313283212</v>
      </c>
      <c r="F1919" s="2586">
        <v>6.38</v>
      </c>
      <c r="G1919">
        <v>7.98</v>
      </c>
    </row>
    <row r="1920" spans="1:7">
      <c r="A1920" s="2620"/>
      <c r="B1920" s="2495"/>
      <c r="C1920" s="2495" t="s">
        <v>3248</v>
      </c>
      <c r="D1920" s="2495"/>
      <c r="E1920" s="2515">
        <f t="shared" si="16"/>
        <v>0.20050125313283212</v>
      </c>
      <c r="F1920" s="2586">
        <v>6.38</v>
      </c>
      <c r="G1920">
        <v>7.98</v>
      </c>
    </row>
    <row r="1921" spans="1:7">
      <c r="A1921" s="2620"/>
      <c r="B1921" s="2495"/>
      <c r="C1921" s="2495" t="s">
        <v>3249</v>
      </c>
      <c r="D1921" s="2495"/>
      <c r="E1921" s="2515">
        <f t="shared" si="16"/>
        <v>0.20050125313283212</v>
      </c>
      <c r="F1921" s="2586">
        <v>6.38</v>
      </c>
      <c r="G1921">
        <v>7.98</v>
      </c>
    </row>
    <row r="1922" spans="1:7">
      <c r="A1922" s="2620"/>
      <c r="B1922" s="2495"/>
      <c r="C1922" s="2495" t="s">
        <v>3250</v>
      </c>
      <c r="D1922" s="2495"/>
      <c r="E1922" s="2515">
        <f t="shared" si="16"/>
        <v>0.20050125313283212</v>
      </c>
      <c r="F1922" s="2586">
        <v>6.38</v>
      </c>
      <c r="G1922">
        <v>7.98</v>
      </c>
    </row>
    <row r="1923" spans="1:7">
      <c r="A1923" s="2620"/>
      <c r="B1923" s="2495"/>
      <c r="C1923" s="2495" t="s">
        <v>3251</v>
      </c>
      <c r="D1923" s="2495"/>
      <c r="E1923" s="2515">
        <f t="shared" si="16"/>
        <v>0.20050125313283212</v>
      </c>
      <c r="F1923" s="2586">
        <v>6.38</v>
      </c>
      <c r="G1923">
        <v>7.98</v>
      </c>
    </row>
    <row r="1924" spans="1:7">
      <c r="A1924" s="2620"/>
      <c r="B1924" s="2495"/>
      <c r="C1924" s="2495" t="s">
        <v>3252</v>
      </c>
      <c r="D1924" s="2495"/>
      <c r="E1924" s="2515">
        <f t="shared" si="16"/>
        <v>0.20050125313283212</v>
      </c>
      <c r="F1924" s="2586">
        <v>6.38</v>
      </c>
      <c r="G1924">
        <v>7.98</v>
      </c>
    </row>
    <row r="1925" spans="1:7">
      <c r="A1925" s="2620"/>
      <c r="B1925" s="2495"/>
      <c r="C1925" s="2495" t="s">
        <v>3253</v>
      </c>
      <c r="D1925" s="2495"/>
      <c r="E1925" s="2515">
        <f t="shared" si="16"/>
        <v>0.1995926680244399</v>
      </c>
      <c r="F1925" s="2586">
        <v>3.93</v>
      </c>
      <c r="G1925">
        <v>4.91</v>
      </c>
    </row>
    <row r="1926" spans="1:7">
      <c r="A1926" s="2620"/>
      <c r="B1926" s="2495"/>
      <c r="C1926" s="2495" t="s">
        <v>3254</v>
      </c>
      <c r="D1926" s="2495"/>
      <c r="E1926" s="2515">
        <f t="shared" si="16"/>
        <v>0.1995926680244399</v>
      </c>
      <c r="F1926" s="2586">
        <v>3.93</v>
      </c>
      <c r="G1926">
        <v>4.91</v>
      </c>
    </row>
    <row r="1927" spans="1:7">
      <c r="A1927" s="2620"/>
      <c r="B1927" s="2495"/>
      <c r="C1927" s="2495" t="s">
        <v>3236</v>
      </c>
      <c r="D1927" s="2495"/>
      <c r="E1927" s="2515">
        <f t="shared" si="16"/>
        <v>0.1995926680244399</v>
      </c>
      <c r="F1927" s="2586">
        <v>3.93</v>
      </c>
      <c r="G1927">
        <v>4.91</v>
      </c>
    </row>
    <row r="1928" spans="1:7">
      <c r="A1928" s="2620"/>
      <c r="B1928" s="2495"/>
      <c r="C1928" s="2495" t="s">
        <v>3237</v>
      </c>
      <c r="D1928" s="2495"/>
      <c r="E1928" s="2515">
        <f t="shared" si="16"/>
        <v>0.1995926680244399</v>
      </c>
      <c r="F1928" s="2586">
        <v>3.93</v>
      </c>
      <c r="G1928">
        <v>4.91</v>
      </c>
    </row>
    <row r="1929" spans="1:7">
      <c r="A1929" s="2620"/>
      <c r="B1929" s="2495"/>
      <c r="C1929" s="2495" t="s">
        <v>3255</v>
      </c>
      <c r="D1929" s="2495"/>
      <c r="E1929" s="2515">
        <f t="shared" si="16"/>
        <v>0.1995926680244399</v>
      </c>
      <c r="F1929" s="2586">
        <v>3.93</v>
      </c>
      <c r="G1929">
        <v>4.91</v>
      </c>
    </row>
    <row r="1930" spans="1:7">
      <c r="A1930" s="2620"/>
      <c r="B1930" s="2495"/>
      <c r="C1930" s="2495" t="s">
        <v>3256</v>
      </c>
      <c r="D1930" s="2495"/>
      <c r="E1930" s="2515">
        <f t="shared" si="16"/>
        <v>0.19979612640163105</v>
      </c>
      <c r="F1930" s="2586">
        <v>7.85</v>
      </c>
      <c r="G1930">
        <v>9.81</v>
      </c>
    </row>
    <row r="1931" spans="1:7">
      <c r="A1931" s="2620"/>
      <c r="B1931" s="2495"/>
      <c r="C1931" s="2495" t="s">
        <v>3257</v>
      </c>
      <c r="D1931" s="2495"/>
      <c r="E1931" s="2515">
        <f t="shared" si="16"/>
        <v>0.19979612640163105</v>
      </c>
      <c r="F1931" s="2586">
        <v>7.85</v>
      </c>
      <c r="G1931">
        <v>9.81</v>
      </c>
    </row>
    <row r="1932" spans="1:7">
      <c r="A1932" s="2620"/>
      <c r="B1932" s="2495"/>
      <c r="C1932" s="2495" t="s">
        <v>3258</v>
      </c>
      <c r="D1932" s="2495"/>
      <c r="E1932" s="2515">
        <f t="shared" si="16"/>
        <v>0.19979612640163105</v>
      </c>
      <c r="F1932" s="2586">
        <v>7.85</v>
      </c>
      <c r="G1932">
        <v>9.81</v>
      </c>
    </row>
    <row r="1933" spans="1:7">
      <c r="A1933" s="2620"/>
      <c r="B1933" s="2495"/>
      <c r="C1933" s="2495" t="s">
        <v>3259</v>
      </c>
      <c r="D1933" s="2495"/>
      <c r="E1933" s="2515">
        <f t="shared" si="16"/>
        <v>0.19979612640163105</v>
      </c>
      <c r="F1933" s="2586">
        <v>7.85</v>
      </c>
      <c r="G1933">
        <v>9.81</v>
      </c>
    </row>
    <row r="1934" spans="1:7">
      <c r="A1934" s="2620"/>
      <c r="B1934" s="2495"/>
      <c r="C1934" s="2495" t="s">
        <v>3260</v>
      </c>
      <c r="D1934" s="2495"/>
      <c r="E1934" s="2515">
        <f t="shared" si="16"/>
        <v>0.19979612640163105</v>
      </c>
      <c r="F1934" s="2586">
        <v>7.85</v>
      </c>
      <c r="G1934">
        <v>9.81</v>
      </c>
    </row>
    <row r="1935" spans="1:7">
      <c r="A1935" s="2620"/>
      <c r="B1935" s="2495"/>
      <c r="C1935" s="2495" t="s">
        <v>3222</v>
      </c>
      <c r="D1935" s="2495"/>
      <c r="E1935" s="2515">
        <f t="shared" si="16"/>
        <v>0.19980314960629914</v>
      </c>
      <c r="F1935" s="2586">
        <v>8.1300000000000008</v>
      </c>
      <c r="G1935">
        <v>10.16</v>
      </c>
    </row>
    <row r="1936" spans="1:7">
      <c r="A1936" s="2620"/>
      <c r="B1936" s="2495"/>
      <c r="C1936" s="2495" t="s">
        <v>3223</v>
      </c>
      <c r="D1936" s="2495"/>
      <c r="E1936" s="2515">
        <f t="shared" si="16"/>
        <v>0.19980314960629914</v>
      </c>
      <c r="F1936" s="2586">
        <v>8.1300000000000008</v>
      </c>
      <c r="G1936">
        <v>10.16</v>
      </c>
    </row>
    <row r="1937" spans="1:7">
      <c r="A1937" s="2620"/>
      <c r="B1937" s="2495"/>
      <c r="C1937" s="2495" t="s">
        <v>3224</v>
      </c>
      <c r="D1937" s="2495"/>
      <c r="E1937" s="2515">
        <f t="shared" si="16"/>
        <v>0.19980314960629914</v>
      </c>
      <c r="F1937" s="2586">
        <v>8.1300000000000008</v>
      </c>
      <c r="G1937">
        <v>10.16</v>
      </c>
    </row>
    <row r="1938" spans="1:7">
      <c r="A1938" s="2620"/>
      <c r="B1938" s="2495"/>
      <c r="C1938" s="2495" t="s">
        <v>3225</v>
      </c>
      <c r="D1938" s="2495"/>
      <c r="E1938" s="2515">
        <f t="shared" si="16"/>
        <v>0.19980314960629914</v>
      </c>
      <c r="F1938" s="2586">
        <v>8.1300000000000008</v>
      </c>
      <c r="G1938">
        <v>10.16</v>
      </c>
    </row>
    <row r="1939" spans="1:7" ht="15.75" thickBot="1">
      <c r="A1939" s="1315"/>
      <c r="B1939" s="2621"/>
      <c r="C1939" s="2621" t="s">
        <v>3226</v>
      </c>
      <c r="D1939" s="2621"/>
      <c r="E1939" s="2588">
        <f t="shared" si="16"/>
        <v>0.19980314960629914</v>
      </c>
      <c r="F1939" s="2413">
        <v>8.1300000000000008</v>
      </c>
      <c r="G1939">
        <v>10.16</v>
      </c>
    </row>
    <row r="1941" spans="1:7" ht="15.75" thickBot="1"/>
    <row r="1942" spans="1:7">
      <c r="A1942" s="3614" t="s">
        <v>0</v>
      </c>
      <c r="B1942" s="3518" t="s">
        <v>1</v>
      </c>
      <c r="C1942" s="3518" t="s">
        <v>2</v>
      </c>
      <c r="D1942" s="3518" t="s">
        <v>3</v>
      </c>
      <c r="E1942" s="3518" t="s">
        <v>4</v>
      </c>
      <c r="F1942" s="3522" t="s">
        <v>5</v>
      </c>
    </row>
    <row r="1943" spans="1:7">
      <c r="A1943" s="3610"/>
      <c r="B1943" s="3622"/>
      <c r="C1943" s="3622"/>
      <c r="D1943" s="3622"/>
      <c r="E1943" s="3622"/>
      <c r="F1943" s="3846"/>
    </row>
    <row r="1944" spans="1:7">
      <c r="A1944" s="4048" t="s">
        <v>3313</v>
      </c>
      <c r="B1944" s="2722" t="s">
        <v>1414</v>
      </c>
      <c r="C1944" s="2514" t="s">
        <v>1612</v>
      </c>
      <c r="D1944" s="2514"/>
      <c r="E1944" s="2515">
        <f t="shared" ref="E1944:E1952" si="17">(G1944-F1944)/G1944</f>
        <v>0.26262626262626265</v>
      </c>
      <c r="F1944" s="2495">
        <v>0.73</v>
      </c>
      <c r="G1944">
        <v>0.99</v>
      </c>
    </row>
    <row r="1945" spans="1:7">
      <c r="A1945" s="4048"/>
      <c r="B1945" s="2514" t="s">
        <v>1419</v>
      </c>
      <c r="C1945" s="2495" t="s">
        <v>732</v>
      </c>
      <c r="D1945" s="2514"/>
      <c r="E1945" s="2515">
        <f t="shared" si="17"/>
        <v>0.26262626262626265</v>
      </c>
      <c r="F1945" s="2495">
        <v>0.73</v>
      </c>
      <c r="G1945">
        <v>0.99</v>
      </c>
    </row>
    <row r="1946" spans="1:7">
      <c r="A1946" s="4048"/>
      <c r="B1946" s="2722" t="s">
        <v>1417</v>
      </c>
      <c r="C1946" s="2514" t="s">
        <v>554</v>
      </c>
      <c r="D1946" s="2514"/>
      <c r="E1946" s="2515">
        <f t="shared" si="17"/>
        <v>0.25899280575539563</v>
      </c>
      <c r="F1946" s="2495">
        <v>1.03</v>
      </c>
      <c r="G1946">
        <v>1.39</v>
      </c>
    </row>
    <row r="1947" spans="1:7">
      <c r="A1947" s="2649"/>
      <c r="B1947" s="2722" t="s">
        <v>2506</v>
      </c>
      <c r="C1947" s="2514"/>
      <c r="D1947" s="2514"/>
      <c r="E1947" s="2515" t="e">
        <f t="shared" si="17"/>
        <v>#DIV/0!</v>
      </c>
      <c r="F1947" s="2514"/>
    </row>
    <row r="1948" spans="1:7">
      <c r="A1948" s="2649"/>
      <c r="B1948" s="2722" t="s">
        <v>1415</v>
      </c>
      <c r="C1948" s="2514"/>
      <c r="D1948" s="2514"/>
      <c r="E1948" s="2515" t="e">
        <f t="shared" si="17"/>
        <v>#DIV/0!</v>
      </c>
      <c r="F1948" s="2514"/>
    </row>
    <row r="1949" spans="1:7">
      <c r="A1949" s="2649"/>
      <c r="B1949" s="2722" t="s">
        <v>1416</v>
      </c>
      <c r="C1949" s="2514"/>
      <c r="D1949" s="2514"/>
      <c r="E1949" s="2515" t="e">
        <f t="shared" si="17"/>
        <v>#DIV/0!</v>
      </c>
      <c r="F1949" s="2514"/>
    </row>
    <row r="1950" spans="1:7">
      <c r="A1950" s="2495"/>
      <c r="B1950" s="2722" t="s">
        <v>1420</v>
      </c>
      <c r="C1950" s="2495"/>
      <c r="D1950" s="2495"/>
      <c r="E1950" s="2515" t="e">
        <f t="shared" si="17"/>
        <v>#DIV/0!</v>
      </c>
      <c r="F1950" s="2514"/>
    </row>
    <row r="1951" spans="1:7">
      <c r="A1951" s="2495"/>
      <c r="B1951" s="2722" t="s">
        <v>1421</v>
      </c>
      <c r="C1951" s="2495"/>
      <c r="D1951" s="2495"/>
      <c r="E1951" s="2515" t="e">
        <f t="shared" si="17"/>
        <v>#DIV/0!</v>
      </c>
      <c r="F1951" s="2495"/>
    </row>
    <row r="1952" spans="1:7">
      <c r="A1952" s="2495"/>
      <c r="B1952" s="2722" t="s">
        <v>1423</v>
      </c>
      <c r="C1952" s="2495"/>
      <c r="D1952" s="2495"/>
      <c r="E1952" s="2515" t="e">
        <f t="shared" si="17"/>
        <v>#DIV/0!</v>
      </c>
      <c r="F1952" s="2495"/>
    </row>
    <row r="1954" spans="1:7" ht="15.75" thickBot="1"/>
    <row r="1955" spans="1:7">
      <c r="A1955" s="3614" t="s">
        <v>0</v>
      </c>
      <c r="B1955" s="3518" t="s">
        <v>1</v>
      </c>
      <c r="C1955" s="3518" t="s">
        <v>2</v>
      </c>
      <c r="D1955" s="3518" t="s">
        <v>3</v>
      </c>
      <c r="E1955" s="3518" t="s">
        <v>4</v>
      </c>
      <c r="F1955" s="3522" t="s">
        <v>5</v>
      </c>
    </row>
    <row r="1956" spans="1:7" ht="15.75" thickBot="1">
      <c r="A1956" s="4050"/>
      <c r="B1956" s="3622"/>
      <c r="C1956" s="3622"/>
      <c r="D1956" s="3622"/>
      <c r="E1956" s="3622"/>
      <c r="F1956" s="3846"/>
    </row>
    <row r="1957" spans="1:7">
      <c r="A1957" s="876" t="s">
        <v>3339</v>
      </c>
      <c r="B1957" s="2367" t="s">
        <v>200</v>
      </c>
      <c r="C1957" s="1163" t="s">
        <v>2602</v>
      </c>
      <c r="D1957" s="1163"/>
      <c r="E1957" s="1431">
        <f>(G1957-F1957)/G1957</f>
        <v>0.19931271477663232</v>
      </c>
      <c r="F1957" s="881">
        <v>2.33</v>
      </c>
      <c r="G1957">
        <v>2.91</v>
      </c>
    </row>
    <row r="1958" spans="1:7">
      <c r="A1958" s="876"/>
      <c r="B1958" s="2737"/>
      <c r="C1958" s="2738" t="s">
        <v>2558</v>
      </c>
      <c r="D1958" s="2738"/>
      <c r="E1958" s="2739">
        <f>(G1958-F1958)/G1958</f>
        <v>0.19931271477663232</v>
      </c>
      <c r="F1958" s="2740">
        <v>2.33</v>
      </c>
      <c r="G1958">
        <v>2.91</v>
      </c>
    </row>
    <row r="1959" spans="1:7" ht="15.75" thickBot="1">
      <c r="A1959" s="2287"/>
      <c r="B1959" s="2113"/>
      <c r="C1959" s="2741" t="s">
        <v>2603</v>
      </c>
      <c r="D1959" s="2741"/>
      <c r="E1959" s="2742">
        <f>(G1959-F1959)/G1959</f>
        <v>0.19931271477663232</v>
      </c>
      <c r="F1959" s="2743">
        <v>2.33</v>
      </c>
      <c r="G1959">
        <v>2.91</v>
      </c>
    </row>
    <row r="1962" spans="1:7" ht="15.75" thickBot="1"/>
    <row r="1963" spans="1:7">
      <c r="A1963" s="3572" t="s">
        <v>0</v>
      </c>
      <c r="B1963" s="3557" t="s">
        <v>1</v>
      </c>
      <c r="C1963" s="3557" t="s">
        <v>2</v>
      </c>
      <c r="D1963" s="3557" t="s">
        <v>3</v>
      </c>
      <c r="E1963" s="3557" t="s">
        <v>4</v>
      </c>
      <c r="F1963" s="3559" t="s">
        <v>5</v>
      </c>
    </row>
    <row r="1964" spans="1:7" ht="15.75" thickBot="1">
      <c r="A1964" s="3871"/>
      <c r="B1964" s="3628"/>
      <c r="C1964" s="3628"/>
      <c r="D1964" s="3628"/>
      <c r="E1964" s="3628"/>
      <c r="F1964" s="3629"/>
    </row>
    <row r="1965" spans="1:7">
      <c r="A1965" s="4116" t="s">
        <v>3351</v>
      </c>
      <c r="B1965" s="2382" t="s">
        <v>356</v>
      </c>
      <c r="C1965" s="2425" t="s">
        <v>2192</v>
      </c>
      <c r="D1965" s="2421"/>
      <c r="E1965" s="1677">
        <f>(G1965-F1965)/G1965</f>
        <v>0.23796033994334276</v>
      </c>
      <c r="F1965" s="881">
        <v>5.38</v>
      </c>
      <c r="G1965">
        <v>7.06</v>
      </c>
    </row>
    <row r="1966" spans="1:7">
      <c r="A1966" s="4117"/>
      <c r="B1966" s="2777"/>
      <c r="C1966" s="2778" t="s">
        <v>1763</v>
      </c>
      <c r="D1966" s="2756"/>
      <c r="E1966" s="2779">
        <f>(G1966-F1966)/G1966</f>
        <v>0.15001943256898559</v>
      </c>
      <c r="F1966" s="2740">
        <v>21.87</v>
      </c>
      <c r="G1966">
        <v>25.73</v>
      </c>
    </row>
    <row r="1967" spans="1:7">
      <c r="A1967" s="4117"/>
      <c r="B1967" s="2777"/>
      <c r="C1967" s="2778" t="s">
        <v>1556</v>
      </c>
      <c r="D1967" s="2756"/>
      <c r="E1967" s="2779">
        <f>(G1967-F1967)/G1967</f>
        <v>0.15001943256898559</v>
      </c>
      <c r="F1967" s="2740">
        <v>21.87</v>
      </c>
      <c r="G1967">
        <v>25.73</v>
      </c>
    </row>
    <row r="1968" spans="1:7">
      <c r="A1968" s="4117"/>
      <c r="B1968" s="2777"/>
      <c r="C1968" s="2778" t="s">
        <v>1557</v>
      </c>
      <c r="D1968" s="2756"/>
      <c r="E1968" s="2779">
        <f>(G1968-F1968)/G1968</f>
        <v>0.15001943256898559</v>
      </c>
      <c r="F1968" s="2740">
        <v>21.87</v>
      </c>
      <c r="G1968">
        <v>25.73</v>
      </c>
    </row>
    <row r="1969" spans="1:7" ht="15.75" thickBot="1">
      <c r="A1969" s="4118"/>
      <c r="B1969" s="2396"/>
      <c r="C1969" s="2780" t="s">
        <v>1555</v>
      </c>
      <c r="D1969" s="2758"/>
      <c r="E1969" s="2781">
        <f>(G1969-F1969)/G1969</f>
        <v>0.15001943256898559</v>
      </c>
      <c r="F1969" s="2740">
        <v>21.87</v>
      </c>
      <c r="G1969">
        <v>25.73</v>
      </c>
    </row>
    <row r="1970" spans="1:7" ht="15.75" thickBot="1"/>
    <row r="1971" spans="1:7">
      <c r="A1971" s="3614" t="s">
        <v>0</v>
      </c>
      <c r="B1971" s="3518" t="s">
        <v>1</v>
      </c>
      <c r="C1971" s="3518" t="s">
        <v>2</v>
      </c>
      <c r="D1971" s="3518" t="s">
        <v>3</v>
      </c>
      <c r="E1971" s="3518" t="s">
        <v>4</v>
      </c>
      <c r="F1971" s="3522" t="s">
        <v>5</v>
      </c>
    </row>
    <row r="1972" spans="1:7" ht="15.75" thickBot="1">
      <c r="A1972" s="4050"/>
      <c r="B1972" s="3608"/>
      <c r="C1972" s="3608"/>
      <c r="D1972" s="3608"/>
      <c r="E1972" s="3608"/>
      <c r="F1972" s="3607"/>
    </row>
    <row r="1973" spans="1:7">
      <c r="A1973" s="876" t="s">
        <v>3351</v>
      </c>
      <c r="B1973" s="2367" t="s">
        <v>200</v>
      </c>
      <c r="C1973" s="1163" t="s">
        <v>2550</v>
      </c>
      <c r="D1973" s="1163"/>
      <c r="E1973" s="1431">
        <f>(G1973-F1973)/G1973</f>
        <v>0.34068357221609702</v>
      </c>
      <c r="F1973" s="881">
        <v>5.98</v>
      </c>
      <c r="G1973">
        <v>9.07</v>
      </c>
    </row>
    <row r="1974" spans="1:7">
      <c r="A1974" s="876"/>
      <c r="B1974" s="2737"/>
      <c r="C1974" s="2738" t="s">
        <v>2551</v>
      </c>
      <c r="D1974" s="2738"/>
      <c r="E1974" s="2739">
        <f>(G1974-F1974)/G1974</f>
        <v>0.34068357221609702</v>
      </c>
      <c r="F1974" s="2740">
        <v>5.98</v>
      </c>
      <c r="G1974">
        <v>9.07</v>
      </c>
    </row>
    <row r="1975" spans="1:7" ht="15.75" thickBot="1">
      <c r="A1975" s="2287"/>
      <c r="B1975" s="2113"/>
      <c r="C1975" s="2741"/>
      <c r="D1975" s="2741"/>
      <c r="E1975" s="2742" t="e">
        <f>(G1975-F1975)/G1975</f>
        <v>#DIV/0!</v>
      </c>
      <c r="F1975" s="2743"/>
    </row>
    <row r="1976" spans="1:7" ht="15.75" thickBot="1"/>
    <row r="1977" spans="1:7">
      <c r="A1977" s="3572" t="s">
        <v>0</v>
      </c>
      <c r="B1977" s="3557" t="s">
        <v>1</v>
      </c>
      <c r="C1977" s="3518" t="s">
        <v>2</v>
      </c>
      <c r="D1977" s="3518" t="s">
        <v>3</v>
      </c>
      <c r="E1977" s="3518" t="s">
        <v>4</v>
      </c>
      <c r="F1977" s="3522" t="s">
        <v>5</v>
      </c>
    </row>
    <row r="1978" spans="1:7">
      <c r="A1978" s="3871"/>
      <c r="B1978" s="3628"/>
      <c r="C1978" s="3608"/>
      <c r="D1978" s="3608"/>
      <c r="E1978" s="3608"/>
      <c r="F1978" s="3607"/>
    </row>
    <row r="1979" spans="1:7">
      <c r="A1979" s="4123" t="s">
        <v>3359</v>
      </c>
      <c r="B1979" s="2802" t="s">
        <v>409</v>
      </c>
      <c r="C1979" s="2738" t="s">
        <v>858</v>
      </c>
      <c r="D1979" s="2756"/>
      <c r="E1979" s="2739">
        <f>(G1979-F1979)/G1979</f>
        <v>0.20353982300884946</v>
      </c>
      <c r="F1979" s="2757">
        <v>0.9</v>
      </c>
      <c r="G1979">
        <v>1.1299999999999999</v>
      </c>
    </row>
    <row r="1980" spans="1:7">
      <c r="A1980" s="4123"/>
      <c r="B1980" s="2802"/>
      <c r="C1980" s="2738" t="s">
        <v>730</v>
      </c>
      <c r="D1980" s="2756"/>
      <c r="E1980" s="2739">
        <f>(G1980-F1980)/G1980</f>
        <v>0.20408163265306117</v>
      </c>
      <c r="F1980" s="2740">
        <v>0.78</v>
      </c>
      <c r="G1980">
        <v>0.98</v>
      </c>
    </row>
    <row r="1981" spans="1:7" ht="15.75" thickBot="1">
      <c r="A1981" s="3654"/>
      <c r="B1981" s="591"/>
      <c r="C1981" s="2741" t="s">
        <v>920</v>
      </c>
      <c r="D1981" s="2758"/>
      <c r="E1981" s="2742">
        <f>(G1981-F1981)/G1981</f>
        <v>0.19999999999999996</v>
      </c>
      <c r="F1981" s="2743">
        <v>0.76</v>
      </c>
      <c r="G1981">
        <v>0.95</v>
      </c>
    </row>
    <row r="1983" spans="1:7" ht="15.75" thickBot="1"/>
    <row r="1984" spans="1:7">
      <c r="A1984" s="3614" t="s">
        <v>0</v>
      </c>
      <c r="B1984" s="3518" t="s">
        <v>1</v>
      </c>
      <c r="C1984" s="3518" t="s">
        <v>2</v>
      </c>
      <c r="D1984" s="3518" t="s">
        <v>3</v>
      </c>
      <c r="E1984" s="3518" t="s">
        <v>4</v>
      </c>
      <c r="F1984" s="3522" t="s">
        <v>5</v>
      </c>
      <c r="G1984" s="2821"/>
    </row>
    <row r="1985" spans="1:7">
      <c r="A1985" s="4040"/>
      <c r="B1985" s="4041"/>
      <c r="C1985" s="4041"/>
      <c r="D1985" s="4041"/>
      <c r="E1985" s="4041"/>
      <c r="F1985" s="4042"/>
      <c r="G1985" s="2821"/>
    </row>
    <row r="1986" spans="1:7">
      <c r="A1986" s="4043" t="s">
        <v>3373</v>
      </c>
      <c r="B1986" s="2826" t="s">
        <v>1414</v>
      </c>
      <c r="C1986" s="2823" t="s">
        <v>1090</v>
      </c>
      <c r="D1986" s="2823"/>
      <c r="E1986" s="2824" t="e">
        <v>#VALUE!</v>
      </c>
      <c r="F1986" s="2822">
        <v>1.41</v>
      </c>
      <c r="G1986" s="2821" t="s">
        <v>1903</v>
      </c>
    </row>
    <row r="1987" spans="1:7">
      <c r="A1987" s="4043"/>
      <c r="B1987" s="2823" t="s">
        <v>1419</v>
      </c>
      <c r="C1987" s="2822" t="s">
        <v>1091</v>
      </c>
      <c r="D1987" s="2823"/>
      <c r="E1987" s="2824" t="e">
        <v>#VALUE!</v>
      </c>
      <c r="F1987" s="2822">
        <v>1.41</v>
      </c>
      <c r="G1987" s="2821" t="s">
        <v>1903</v>
      </c>
    </row>
    <row r="1988" spans="1:7">
      <c r="A1988" s="4043"/>
      <c r="B1988" s="2826" t="s">
        <v>1417</v>
      </c>
      <c r="C1988" s="2823" t="s">
        <v>858</v>
      </c>
      <c r="D1988" s="2823"/>
      <c r="E1988" s="2824" t="e">
        <v>#VALUE!</v>
      </c>
      <c r="F1988" s="2822">
        <v>0.87</v>
      </c>
      <c r="G1988" s="2821" t="s">
        <v>1903</v>
      </c>
    </row>
    <row r="1989" spans="1:7">
      <c r="A1989" s="2825"/>
      <c r="B1989" s="2826" t="s">
        <v>2506</v>
      </c>
      <c r="C1989" s="2823" t="s">
        <v>1120</v>
      </c>
      <c r="D1989" s="2823"/>
      <c r="E1989" s="2824" t="e">
        <v>#VALUE!</v>
      </c>
      <c r="F1989" s="2823">
        <v>0.46</v>
      </c>
      <c r="G1989" s="2821" t="s">
        <v>1903</v>
      </c>
    </row>
    <row r="1990" spans="1:7">
      <c r="A1990" s="2825"/>
      <c r="B1990" s="2826" t="s">
        <v>1415</v>
      </c>
      <c r="C1990" s="2823"/>
      <c r="D1990" s="2823"/>
      <c r="E1990" s="2824" t="e">
        <v>#DIV/0!</v>
      </c>
      <c r="F1990" s="2823"/>
      <c r="G1990" s="2821"/>
    </row>
    <row r="1991" spans="1:7">
      <c r="A1991" s="2825"/>
      <c r="B1991" s="2826" t="s">
        <v>1416</v>
      </c>
      <c r="C1991" s="2823"/>
      <c r="D1991" s="2823"/>
      <c r="E1991" s="2824" t="e">
        <v>#DIV/0!</v>
      </c>
      <c r="F1991" s="2823"/>
      <c r="G1991" s="2821"/>
    </row>
    <row r="1992" spans="1:7">
      <c r="A1992" s="2822"/>
      <c r="B1992" s="2826" t="s">
        <v>1420</v>
      </c>
      <c r="C1992" s="2822"/>
      <c r="D1992" s="2822"/>
      <c r="E1992" s="2824" t="e">
        <v>#DIV/0!</v>
      </c>
      <c r="F1992" s="2823"/>
      <c r="G1992" s="2821"/>
    </row>
    <row r="1993" spans="1:7">
      <c r="A1993" s="2822"/>
      <c r="B1993" s="2826" t="s">
        <v>1421</v>
      </c>
      <c r="C1993" s="2822"/>
      <c r="D1993" s="2822"/>
      <c r="E1993" s="2824" t="e">
        <v>#DIV/0!</v>
      </c>
      <c r="F1993" s="2822"/>
      <c r="G1993" s="2821"/>
    </row>
    <row r="1994" spans="1:7">
      <c r="A1994" s="2822"/>
      <c r="B1994" s="2826" t="s">
        <v>1423</v>
      </c>
      <c r="C1994" s="2822"/>
      <c r="D1994" s="2822"/>
      <c r="E1994" s="2824" t="e">
        <v>#DIV/0!</v>
      </c>
      <c r="F1994" s="2822"/>
      <c r="G1994" s="2821"/>
    </row>
    <row r="1996" spans="1:7" ht="15.75" thickBot="1"/>
    <row r="1997" spans="1:7" s="2821" customFormat="1">
      <c r="A1997" s="3614" t="s">
        <v>0</v>
      </c>
      <c r="B1997" s="3518" t="s">
        <v>1</v>
      </c>
      <c r="C1997" s="3518" t="s">
        <v>2</v>
      </c>
      <c r="D1997" s="3518" t="s">
        <v>3</v>
      </c>
      <c r="E1997" s="3518" t="s">
        <v>4</v>
      </c>
      <c r="F1997" s="3522" t="s">
        <v>5</v>
      </c>
    </row>
    <row r="1998" spans="1:7" s="2821" customFormat="1" ht="15.75" thickBot="1">
      <c r="A1998" s="4121"/>
      <c r="B1998" s="4122"/>
      <c r="C1998" s="4122"/>
      <c r="D1998" s="4122"/>
      <c r="E1998" s="4122"/>
      <c r="F1998" s="4042"/>
    </row>
    <row r="1999" spans="1:7" s="2821" customFormat="1">
      <c r="A1999" s="876" t="s">
        <v>3376</v>
      </c>
      <c r="B1999" s="2367" t="s">
        <v>200</v>
      </c>
      <c r="C1999" s="1163" t="s">
        <v>1763</v>
      </c>
      <c r="D1999" s="1163"/>
      <c r="E1999" s="1431">
        <f>(G1999-F1999)/G1999</f>
        <v>0.12796998749478936</v>
      </c>
      <c r="F1999" s="881">
        <v>20.92</v>
      </c>
      <c r="G1999" s="2821">
        <v>23.99</v>
      </c>
    </row>
    <row r="2000" spans="1:7" s="2821" customFormat="1">
      <c r="A2000" s="876"/>
      <c r="B2000" s="2846"/>
      <c r="C2000" s="2847" t="s">
        <v>1556</v>
      </c>
      <c r="D2000" s="2847"/>
      <c r="E2000" s="2848">
        <f>(G2000-F2000)/G2000</f>
        <v>0.12796998749478936</v>
      </c>
      <c r="F2000" s="2849">
        <v>20.92</v>
      </c>
      <c r="G2000" s="2821">
        <v>23.99</v>
      </c>
    </row>
    <row r="2001" spans="1:20" s="2821" customFormat="1" ht="15.75" thickBot="1">
      <c r="A2001" s="2287"/>
      <c r="B2001" s="2850"/>
      <c r="C2001" s="2851" t="s">
        <v>1555</v>
      </c>
      <c r="D2001" s="2851"/>
      <c r="E2001" s="2852">
        <f>(G2001-F2001)/G2001</f>
        <v>0.19132972071696541</v>
      </c>
      <c r="F2001" s="2853">
        <v>19.399999999999999</v>
      </c>
      <c r="G2001" s="2821">
        <v>23.99</v>
      </c>
    </row>
    <row r="2002" spans="1:20" ht="15.75" thickBot="1"/>
    <row r="2003" spans="1:20" s="2821" customFormat="1">
      <c r="A2003" s="3572" t="s">
        <v>0</v>
      </c>
      <c r="B2003" s="3557" t="s">
        <v>1</v>
      </c>
      <c r="C2003" s="3518" t="s">
        <v>2</v>
      </c>
      <c r="D2003" s="3518" t="s">
        <v>3</v>
      </c>
      <c r="E2003" s="3518" t="s">
        <v>4</v>
      </c>
      <c r="F2003" s="3522" t="s">
        <v>5</v>
      </c>
    </row>
    <row r="2004" spans="1:20" s="2821" customFormat="1">
      <c r="A2004" s="4019"/>
      <c r="B2004" s="4020"/>
      <c r="C2004" s="4044"/>
      <c r="D2004" s="4044"/>
      <c r="E2004" s="4044"/>
      <c r="F2004" s="4045"/>
    </row>
    <row r="2005" spans="1:20" s="2821" customFormat="1">
      <c r="A2005" s="4046" t="s">
        <v>3385</v>
      </c>
      <c r="B2005" s="2883" t="s">
        <v>409</v>
      </c>
      <c r="C2005" s="2847" t="s">
        <v>554</v>
      </c>
      <c r="D2005" s="2865"/>
      <c r="E2005" s="2848">
        <f>(G2005-F2005)/G2005</f>
        <v>0.20143884892086319</v>
      </c>
      <c r="F2005" s="2884">
        <v>1.1100000000000001</v>
      </c>
      <c r="G2005" s="2821">
        <v>1.39</v>
      </c>
    </row>
    <row r="2006" spans="1:20" s="2821" customFormat="1">
      <c r="A2006" s="4046"/>
      <c r="B2006" s="2883"/>
      <c r="C2006" s="2847" t="s">
        <v>1120</v>
      </c>
      <c r="D2006" s="2865"/>
      <c r="E2006" s="2848">
        <f>(G2006-F2006)/G2006</f>
        <v>0.20338983050847459</v>
      </c>
      <c r="F2006" s="2849">
        <v>0.47</v>
      </c>
      <c r="G2006" s="2821">
        <v>0.59</v>
      </c>
    </row>
    <row r="2007" spans="1:20" s="2821" customFormat="1" ht="15.75" thickBot="1">
      <c r="A2007" s="4047"/>
      <c r="B2007" s="591"/>
      <c r="C2007" s="3051" t="s">
        <v>2743</v>
      </c>
      <c r="D2007" s="2867"/>
      <c r="E2007" s="2852">
        <f>(G2007-F2007)/G2007</f>
        <v>0.16883116883116883</v>
      </c>
      <c r="F2007" s="2853">
        <v>0.64</v>
      </c>
      <c r="G2007" s="2821">
        <v>0.77</v>
      </c>
    </row>
    <row r="2008" spans="1:20" ht="15.75" thickBot="1"/>
    <row r="2009" spans="1:20">
      <c r="A2009" s="3614" t="s">
        <v>0</v>
      </c>
      <c r="B2009" s="3518" t="s">
        <v>1</v>
      </c>
      <c r="C2009" s="3518" t="s">
        <v>2</v>
      </c>
      <c r="D2009" s="3518" t="s">
        <v>3</v>
      </c>
      <c r="E2009" s="3518" t="s">
        <v>4</v>
      </c>
      <c r="F2009" s="3522" t="s">
        <v>5</v>
      </c>
      <c r="G2009" s="2885"/>
      <c r="H2009" s="2821"/>
      <c r="I2009" s="2821"/>
      <c r="J2009" s="2821"/>
      <c r="K2009" s="2821"/>
      <c r="L2009" s="2821"/>
      <c r="M2009" s="2821"/>
      <c r="N2009" s="2821"/>
      <c r="O2009" s="2821"/>
      <c r="P2009" s="2821"/>
      <c r="Q2009" s="2821"/>
      <c r="R2009" s="2821"/>
      <c r="S2009" s="2821"/>
      <c r="T2009" s="2821"/>
    </row>
    <row r="2010" spans="1:20" ht="15.75" thickBot="1">
      <c r="A2010" s="3555"/>
      <c r="B2010" s="3550"/>
      <c r="C2010" s="3550"/>
      <c r="D2010" s="3550"/>
      <c r="E2010" s="3550"/>
      <c r="F2010" s="3588"/>
      <c r="G2010" s="2885"/>
      <c r="H2010" s="2821"/>
      <c r="I2010" s="2821"/>
      <c r="J2010" s="2821"/>
      <c r="K2010" s="2821"/>
      <c r="L2010" s="2821"/>
      <c r="M2010" s="2821"/>
      <c r="N2010" s="2821"/>
      <c r="O2010" s="2821"/>
      <c r="P2010" s="2821"/>
      <c r="Q2010" s="2821"/>
      <c r="R2010" s="2821"/>
      <c r="S2010" s="2821"/>
      <c r="T2010" s="2821"/>
    </row>
    <row r="2011" spans="1:20">
      <c r="A2011" s="2886" t="s">
        <v>3386</v>
      </c>
      <c r="B2011" s="2887" t="s">
        <v>152</v>
      </c>
      <c r="C2011" s="3114" t="s">
        <v>273</v>
      </c>
      <c r="D2011" s="2887"/>
      <c r="E2011" s="2888">
        <v>0.14563106796116507</v>
      </c>
      <c r="F2011" s="2892">
        <v>0.88</v>
      </c>
      <c r="G2011" s="2899">
        <v>1.03</v>
      </c>
      <c r="H2011" s="2821"/>
      <c r="I2011" s="2821"/>
      <c r="J2011" s="2821"/>
      <c r="K2011" s="2821"/>
      <c r="L2011" s="2821"/>
      <c r="M2011" s="2821"/>
      <c r="N2011" s="2821"/>
      <c r="O2011" s="2821"/>
      <c r="P2011" s="2821"/>
      <c r="Q2011" s="2821"/>
      <c r="R2011" s="2821"/>
      <c r="S2011" s="2821"/>
      <c r="T2011" s="2821"/>
    </row>
    <row r="2012" spans="1:20">
      <c r="A2012" s="2894"/>
      <c r="B2012" s="2895"/>
      <c r="C2012" s="3115" t="s">
        <v>177</v>
      </c>
      <c r="D2012" s="2895"/>
      <c r="E2012" s="2896">
        <v>0.14563106796116507</v>
      </c>
      <c r="F2012" s="2903">
        <v>0.88</v>
      </c>
      <c r="G2012" s="2900">
        <v>1.03</v>
      </c>
      <c r="H2012" s="2821"/>
      <c r="I2012" s="2821"/>
      <c r="J2012" s="2821"/>
      <c r="K2012" s="2821"/>
      <c r="L2012" s="2821"/>
      <c r="M2012" s="2821"/>
      <c r="N2012" s="2821"/>
      <c r="O2012" s="2821"/>
      <c r="P2012" s="2821"/>
      <c r="Q2012" s="2821"/>
      <c r="R2012" s="2821"/>
      <c r="S2012" s="2821"/>
      <c r="T2012" s="2821"/>
    </row>
    <row r="2013" spans="1:20">
      <c r="A2013" s="2894"/>
      <c r="B2013" s="2895"/>
      <c r="C2013" s="3115" t="s">
        <v>178</v>
      </c>
      <c r="D2013" s="2895"/>
      <c r="E2013" s="2896">
        <v>0.14563106796116507</v>
      </c>
      <c r="F2013" s="2903">
        <v>0.88</v>
      </c>
      <c r="G2013" s="2900">
        <v>1.03</v>
      </c>
      <c r="H2013" s="2821"/>
      <c r="I2013" s="2821"/>
      <c r="J2013" s="2821"/>
      <c r="K2013" s="2821"/>
      <c r="L2013" s="2821"/>
      <c r="M2013" s="2821"/>
      <c r="N2013" s="2821"/>
      <c r="O2013" s="2821"/>
      <c r="P2013" s="2821"/>
      <c r="Q2013" s="2821"/>
      <c r="R2013" s="2821"/>
      <c r="S2013" s="2821"/>
      <c r="T2013" s="2821"/>
    </row>
    <row r="2014" spans="1:20">
      <c r="A2014" s="2897"/>
      <c r="B2014" s="2898"/>
      <c r="C2014" s="3106" t="s">
        <v>1890</v>
      </c>
      <c r="D2014" s="2898"/>
      <c r="E2014" s="2896">
        <v>0.15384615384615383</v>
      </c>
      <c r="F2014" s="2903">
        <v>0.66</v>
      </c>
      <c r="G2014" s="2901">
        <v>0.78</v>
      </c>
      <c r="H2014" s="2821"/>
      <c r="I2014" s="2821"/>
      <c r="J2014" s="2821"/>
      <c r="K2014" s="2821"/>
      <c r="L2014" s="2821"/>
      <c r="M2014" s="2821"/>
      <c r="N2014" s="2821"/>
      <c r="O2014" s="2821"/>
      <c r="P2014" s="2821"/>
      <c r="Q2014" s="2821"/>
      <c r="R2014" s="2821"/>
      <c r="S2014" s="2821"/>
      <c r="T2014" s="2821"/>
    </row>
    <row r="2015" spans="1:20">
      <c r="A2015" s="2897"/>
      <c r="B2015" s="2898"/>
      <c r="C2015" s="3106" t="s">
        <v>274</v>
      </c>
      <c r="D2015" s="2898"/>
      <c r="E2015" s="2896">
        <v>0.14634146341463411</v>
      </c>
      <c r="F2015" s="2903">
        <v>1.05</v>
      </c>
      <c r="G2015" s="2901">
        <v>1.23</v>
      </c>
      <c r="H2015" s="2821"/>
      <c r="I2015" s="2821"/>
      <c r="J2015" s="2821"/>
      <c r="K2015" s="2821"/>
      <c r="L2015" s="2821"/>
      <c r="M2015" s="2821"/>
      <c r="N2015" s="2821"/>
      <c r="O2015" s="2821"/>
      <c r="P2015" s="2821"/>
      <c r="Q2015" s="2821"/>
      <c r="R2015" s="2821"/>
      <c r="S2015" s="2821"/>
      <c r="T2015" s="2821"/>
    </row>
    <row r="2016" spans="1:20" ht="15.75" thickBot="1">
      <c r="A2016" s="2889"/>
      <c r="B2016" s="2893"/>
      <c r="C2016" s="3107" t="s">
        <v>2304</v>
      </c>
      <c r="D2016" s="2893"/>
      <c r="E2016" s="2890">
        <v>0.1538461538461538</v>
      </c>
      <c r="F2016" s="2891">
        <v>0.55000000000000004</v>
      </c>
      <c r="G2016" s="2902">
        <v>0.65</v>
      </c>
      <c r="H2016" s="2821"/>
      <c r="I2016" s="2821"/>
      <c r="J2016" s="2821"/>
      <c r="K2016" s="2821"/>
      <c r="L2016" s="2821"/>
      <c r="M2016" s="2821"/>
      <c r="N2016" s="2821"/>
      <c r="O2016" s="2821"/>
      <c r="P2016" s="2821"/>
      <c r="Q2016" s="2821"/>
      <c r="R2016" s="2821"/>
      <c r="S2016" s="2821"/>
      <c r="T2016" s="2821"/>
    </row>
    <row r="2017" spans="1:7" ht="15.75" thickBot="1"/>
    <row r="2018" spans="1:7" s="2885" customFormat="1">
      <c r="A2018" s="3572" t="s">
        <v>0</v>
      </c>
      <c r="B2018" s="3557" t="s">
        <v>1</v>
      </c>
      <c r="C2018" s="3518" t="s">
        <v>2</v>
      </c>
      <c r="D2018" s="3518" t="s">
        <v>3</v>
      </c>
      <c r="E2018" s="3518" t="s">
        <v>4</v>
      </c>
      <c r="F2018" s="3522" t="s">
        <v>5</v>
      </c>
    </row>
    <row r="2019" spans="1:7" s="2885" customFormat="1" ht="15.75" thickBot="1">
      <c r="A2019" s="3905"/>
      <c r="B2019" s="3906"/>
      <c r="C2019" s="3550"/>
      <c r="D2019" s="3550"/>
      <c r="E2019" s="3550"/>
      <c r="F2019" s="3588"/>
    </row>
    <row r="2020" spans="1:7" s="2885" customFormat="1">
      <c r="A2020" s="2930" t="s">
        <v>3396</v>
      </c>
      <c r="B2020" s="2420" t="s">
        <v>2185</v>
      </c>
      <c r="C2020" s="1163" t="s">
        <v>471</v>
      </c>
      <c r="D2020" s="2421"/>
      <c r="E2020" s="1431">
        <f>(G2020-F2020)/G2020</f>
        <v>0.20370370370370378</v>
      </c>
      <c r="F2020" s="881">
        <v>0.86</v>
      </c>
      <c r="G2020" s="2885">
        <v>1.08</v>
      </c>
    </row>
    <row r="2021" spans="1:7" s="2885" customFormat="1">
      <c r="A2021" s="2931"/>
      <c r="B2021" s="2932" t="s">
        <v>2403</v>
      </c>
      <c r="C2021" s="2905" t="s">
        <v>472</v>
      </c>
      <c r="D2021" s="2911"/>
      <c r="E2021" s="2933">
        <f>(G2021-F2021)/G2021</f>
        <v>0.20370370370370378</v>
      </c>
      <c r="F2021" s="2913">
        <v>0.86</v>
      </c>
      <c r="G2021" s="2885">
        <v>1.08</v>
      </c>
    </row>
    <row r="2022" spans="1:7" s="2885" customFormat="1">
      <c r="A2022" s="2931"/>
      <c r="B2022" s="2932" t="s">
        <v>2438</v>
      </c>
      <c r="C2022" s="2934"/>
      <c r="D2022" s="2911"/>
      <c r="E2022" s="2933" t="e">
        <f>(G2022-F2022)/G2022</f>
        <v>#DIV/0!</v>
      </c>
      <c r="F2022" s="2913"/>
    </row>
    <row r="2023" spans="1:7" s="2885" customFormat="1" ht="15.75" thickBot="1">
      <c r="A2023" s="2923"/>
      <c r="B2023" s="2924" t="s">
        <v>2447</v>
      </c>
      <c r="C2023" s="2935"/>
      <c r="D2023" s="2915"/>
      <c r="E2023" s="2936"/>
      <c r="F2023" s="2917"/>
    </row>
    <row r="2024" spans="1:7" s="2885" customFormat="1" ht="15.75" thickBot="1"/>
    <row r="2025" spans="1:7" s="2885" customFormat="1">
      <c r="A2025" s="3614" t="s">
        <v>0</v>
      </c>
      <c r="B2025" s="3518" t="s">
        <v>1</v>
      </c>
      <c r="C2025" s="3518" t="s">
        <v>2</v>
      </c>
      <c r="D2025" s="3518" t="s">
        <v>3</v>
      </c>
      <c r="E2025" s="3518" t="s">
        <v>4</v>
      </c>
      <c r="F2025" s="3522" t="s">
        <v>5</v>
      </c>
    </row>
    <row r="2026" spans="1:7" s="2885" customFormat="1">
      <c r="A2026" s="3555"/>
      <c r="B2026" s="3550"/>
      <c r="C2026" s="3550"/>
      <c r="D2026" s="3550"/>
      <c r="E2026" s="3550"/>
      <c r="F2026" s="3588"/>
    </row>
    <row r="2027" spans="1:7" s="2885" customFormat="1">
      <c r="A2027" s="2931" t="s">
        <v>3397</v>
      </c>
      <c r="B2027" s="2905" t="s">
        <v>1414</v>
      </c>
      <c r="C2027" s="2905" t="s">
        <v>2871</v>
      </c>
      <c r="D2027" s="2905"/>
      <c r="E2027" s="2933">
        <f>(G2027-F2027)/G2027</f>
        <v>0.22159090909090903</v>
      </c>
      <c r="F2027" s="2913">
        <v>1.37</v>
      </c>
      <c r="G2027" s="2885">
        <v>1.76</v>
      </c>
    </row>
    <row r="2028" spans="1:7" s="2885" customFormat="1">
      <c r="A2028" s="2931"/>
      <c r="B2028" s="2905" t="s">
        <v>1419</v>
      </c>
      <c r="C2028" s="2911" t="s">
        <v>2890</v>
      </c>
      <c r="D2028" s="2905"/>
      <c r="E2028" s="2933">
        <f>(G2028-F2028)/G2028</f>
        <v>0.22159090909090903</v>
      </c>
      <c r="F2028" s="2913">
        <v>1.37</v>
      </c>
      <c r="G2028" s="2885">
        <v>1.76</v>
      </c>
    </row>
    <row r="2029" spans="1:7" s="2885" customFormat="1">
      <c r="A2029" s="2931"/>
      <c r="B2029" s="2905" t="s">
        <v>1415</v>
      </c>
      <c r="C2029" s="2905" t="s">
        <v>2827</v>
      </c>
      <c r="D2029" s="2905"/>
      <c r="E2029" s="2933">
        <f>(G2029-F2029)/G2029</f>
        <v>0.22159090909090903</v>
      </c>
      <c r="F2029" s="2913">
        <v>1.37</v>
      </c>
      <c r="G2029" s="2885">
        <v>1.76</v>
      </c>
    </row>
    <row r="2030" spans="1:7" s="2885" customFormat="1" ht="15.75" thickBot="1">
      <c r="A2030" s="2937"/>
      <c r="B2030" s="2915"/>
      <c r="C2030" s="2938" t="s">
        <v>1851</v>
      </c>
      <c r="D2030" s="2938"/>
      <c r="E2030" s="2936">
        <f>(G2030-F2030)/G2030</f>
        <v>0.22131147540983609</v>
      </c>
      <c r="F2030" s="2939">
        <v>0.95</v>
      </c>
      <c r="G2030" s="2885">
        <v>1.22</v>
      </c>
    </row>
    <row r="2031" spans="1:7" ht="15.75" thickBot="1"/>
    <row r="2032" spans="1:7" s="2885" customFormat="1">
      <c r="A2032" s="3614" t="s">
        <v>0</v>
      </c>
      <c r="B2032" s="3518" t="s">
        <v>1</v>
      </c>
      <c r="C2032" s="3518" t="s">
        <v>2</v>
      </c>
      <c r="D2032" s="3518" t="s">
        <v>3</v>
      </c>
      <c r="E2032" s="3518" t="s">
        <v>4</v>
      </c>
      <c r="F2032" s="3522" t="s">
        <v>5</v>
      </c>
    </row>
    <row r="2033" spans="1:7" s="2885" customFormat="1">
      <c r="A2033" s="3555"/>
      <c r="B2033" s="3550"/>
      <c r="C2033" s="3550"/>
      <c r="D2033" s="3550"/>
      <c r="E2033" s="3550"/>
      <c r="F2033" s="3588"/>
    </row>
    <row r="2034" spans="1:7" s="2885" customFormat="1">
      <c r="A2034" s="2931" t="s">
        <v>3411</v>
      </c>
      <c r="B2034" s="2905" t="s">
        <v>1414</v>
      </c>
      <c r="C2034" s="2905" t="s">
        <v>554</v>
      </c>
      <c r="D2034" s="2905"/>
      <c r="E2034" s="2933">
        <f>(G2034-F2034)/G2034</f>
        <v>0.21323529411764708</v>
      </c>
      <c r="F2034" s="2913">
        <v>1.07</v>
      </c>
      <c r="G2034" s="2885">
        <v>1.36</v>
      </c>
    </row>
    <row r="2035" spans="1:7" s="2885" customFormat="1">
      <c r="A2035" s="2931"/>
      <c r="B2035" s="2905" t="s">
        <v>1419</v>
      </c>
      <c r="C2035" s="2911" t="s">
        <v>730</v>
      </c>
      <c r="D2035" s="2905"/>
      <c r="E2035" s="2933">
        <f>(G2035-F2035)/G2035</f>
        <v>0.20833333333333329</v>
      </c>
      <c r="F2035" s="2913">
        <v>0.76</v>
      </c>
      <c r="G2035" s="2885">
        <v>0.96</v>
      </c>
    </row>
    <row r="2036" spans="1:7" s="2885" customFormat="1">
      <c r="A2036" s="2931"/>
      <c r="B2036" s="2905" t="s">
        <v>1415</v>
      </c>
      <c r="C2036" s="2905"/>
      <c r="D2036" s="2905"/>
      <c r="E2036" s="2933" t="e">
        <f>(G2036-F2036)/G2036</f>
        <v>#DIV/0!</v>
      </c>
      <c r="F2036" s="2913"/>
    </row>
    <row r="2037" spans="1:7" s="2885" customFormat="1" ht="15.75" thickBot="1">
      <c r="A2037" s="2937"/>
      <c r="B2037" s="2915"/>
      <c r="C2037" s="2938"/>
      <c r="D2037" s="2938"/>
      <c r="E2037" s="2936" t="e">
        <f>(G2037-F2037)/G2037</f>
        <v>#DIV/0!</v>
      </c>
      <c r="F2037" s="2939"/>
    </row>
    <row r="2038" spans="1:7" ht="15.75" thickBot="1"/>
    <row r="2039" spans="1:7" s="2885" customFormat="1">
      <c r="A2039" s="3572" t="s">
        <v>0</v>
      </c>
      <c r="B2039" s="3557" t="s">
        <v>1</v>
      </c>
      <c r="C2039" s="3518" t="s">
        <v>2</v>
      </c>
      <c r="D2039" s="3518" t="s">
        <v>3</v>
      </c>
      <c r="E2039" s="3518" t="s">
        <v>4</v>
      </c>
      <c r="F2039" s="3522" t="s">
        <v>5</v>
      </c>
    </row>
    <row r="2040" spans="1:7" s="2885" customFormat="1">
      <c r="A2040" s="3573"/>
      <c r="B2040" s="3558"/>
      <c r="C2040" s="3556"/>
      <c r="D2040" s="3556"/>
      <c r="E2040" s="3556"/>
      <c r="F2040" s="3890"/>
    </row>
    <row r="2041" spans="1:7" s="2885" customFormat="1">
      <c r="A2041" s="2931" t="s">
        <v>3430</v>
      </c>
      <c r="B2041" s="2932" t="s">
        <v>409</v>
      </c>
      <c r="C2041" s="2905" t="s">
        <v>3315</v>
      </c>
      <c r="D2041" s="2911"/>
      <c r="E2041" s="2933">
        <f t="shared" ref="E2041:E2046" si="18">(G2041-F2041)/G2041</f>
        <v>0.19607843137254907</v>
      </c>
      <c r="F2041" s="2957">
        <v>0.82</v>
      </c>
      <c r="G2041" s="2885">
        <v>1.02</v>
      </c>
    </row>
    <row r="2042" spans="1:7" s="2885" customFormat="1">
      <c r="A2042" s="2931"/>
      <c r="B2042" s="2932"/>
      <c r="C2042" s="2905" t="s">
        <v>3316</v>
      </c>
      <c r="D2042" s="2911"/>
      <c r="E2042" s="2933">
        <f t="shared" si="18"/>
        <v>0.19607843137254907</v>
      </c>
      <c r="F2042" s="2913">
        <v>0.82</v>
      </c>
      <c r="G2042" s="2885">
        <v>1.02</v>
      </c>
    </row>
    <row r="2043" spans="1:7" s="2885" customFormat="1">
      <c r="A2043" s="2931"/>
      <c r="B2043" s="2911"/>
      <c r="C2043" s="2905" t="s">
        <v>3317</v>
      </c>
      <c r="D2043" s="2911"/>
      <c r="E2043" s="2933">
        <f t="shared" si="18"/>
        <v>0.19607843137254907</v>
      </c>
      <c r="F2043" s="2913">
        <v>0.82</v>
      </c>
      <c r="G2043" s="2885">
        <v>1.02</v>
      </c>
    </row>
    <row r="2044" spans="1:7" s="2885" customFormat="1">
      <c r="A2044" s="2910"/>
      <c r="B2044" s="2911"/>
      <c r="C2044" s="2911" t="s">
        <v>2827</v>
      </c>
      <c r="D2044" s="2911"/>
      <c r="E2044" s="2933">
        <f t="shared" si="18"/>
        <v>0.23076923076923084</v>
      </c>
      <c r="F2044" s="2958">
        <v>1.4</v>
      </c>
      <c r="G2044" s="2885">
        <v>1.82</v>
      </c>
    </row>
    <row r="2045" spans="1:7" s="2885" customFormat="1">
      <c r="A2045" s="2910"/>
      <c r="B2045" s="2911"/>
      <c r="C2045" s="2911" t="s">
        <v>2890</v>
      </c>
      <c r="D2045" s="2911"/>
      <c r="E2045" s="2933">
        <f t="shared" si="18"/>
        <v>0.23076923076923084</v>
      </c>
      <c r="F2045" s="2958">
        <v>1.4</v>
      </c>
      <c r="G2045" s="2885">
        <v>1.82</v>
      </c>
    </row>
    <row r="2046" spans="1:7" s="2885" customFormat="1" ht="15.75" thickBot="1">
      <c r="A2046" s="2914"/>
      <c r="B2046" s="2915"/>
      <c r="C2046" s="2915" t="s">
        <v>2871</v>
      </c>
      <c r="D2046" s="2915"/>
      <c r="E2046" s="2936">
        <f t="shared" si="18"/>
        <v>0.23076923076923084</v>
      </c>
      <c r="F2046" s="2959">
        <v>1.4</v>
      </c>
      <c r="G2046" s="2885">
        <v>1.82</v>
      </c>
    </row>
    <row r="2047" spans="1:7" ht="15.75" thickBot="1"/>
    <row r="2048" spans="1:7" s="2885" customFormat="1">
      <c r="A2048" s="3614" t="s">
        <v>0</v>
      </c>
      <c r="B2048" s="3518" t="s">
        <v>1</v>
      </c>
      <c r="C2048" s="3518" t="s">
        <v>2</v>
      </c>
      <c r="D2048" s="3518" t="s">
        <v>3</v>
      </c>
      <c r="E2048" s="3518" t="s">
        <v>4</v>
      </c>
      <c r="F2048" s="3522" t="s">
        <v>5</v>
      </c>
    </row>
    <row r="2049" spans="1:7" s="2885" customFormat="1">
      <c r="A2049" s="3555"/>
      <c r="B2049" s="3550"/>
      <c r="C2049" s="3550"/>
      <c r="D2049" s="3550"/>
      <c r="E2049" s="3550"/>
      <c r="F2049" s="3588"/>
    </row>
    <row r="2050" spans="1:7" s="2885" customFormat="1">
      <c r="A2050" s="2931" t="s">
        <v>3466</v>
      </c>
      <c r="B2050" s="2905" t="s">
        <v>1414</v>
      </c>
      <c r="C2050" s="2905" t="s">
        <v>905</v>
      </c>
      <c r="D2050" s="2905"/>
      <c r="E2050" s="2933">
        <f>(G2050-F2050)/G2050</f>
        <v>0.22222222222222229</v>
      </c>
      <c r="F2050" s="2913">
        <v>0.7</v>
      </c>
      <c r="G2050" s="2885">
        <v>0.9</v>
      </c>
    </row>
    <row r="2051" spans="1:7" s="2885" customFormat="1">
      <c r="A2051" s="2931"/>
      <c r="B2051" s="2905" t="s">
        <v>1419</v>
      </c>
      <c r="C2051" s="3106" t="s">
        <v>1772</v>
      </c>
      <c r="D2051" s="2905"/>
      <c r="E2051" s="2933">
        <f>(G2051-F2051)/G2051</f>
        <v>0.30909090909090914</v>
      </c>
      <c r="F2051" s="2913">
        <v>1.52</v>
      </c>
      <c r="G2051" s="2885">
        <v>2.2000000000000002</v>
      </c>
    </row>
    <row r="2052" spans="1:7" s="2885" customFormat="1">
      <c r="A2052" s="2931"/>
      <c r="B2052" s="2905" t="s">
        <v>1415</v>
      </c>
      <c r="C2052" s="2905"/>
      <c r="D2052" s="2905"/>
      <c r="E2052" s="2933" t="e">
        <f>(G2052-F2052)/G2052</f>
        <v>#DIV/0!</v>
      </c>
      <c r="F2052" s="2913"/>
    </row>
    <row r="2053" spans="1:7" s="2885" customFormat="1" ht="15.75" thickBot="1">
      <c r="A2053" s="2937"/>
      <c r="B2053" s="2915"/>
      <c r="C2053" s="2938"/>
      <c r="D2053" s="2938"/>
      <c r="E2053" s="2936" t="e">
        <f>(G2053-F2053)/G2053</f>
        <v>#DIV/0!</v>
      </c>
      <c r="F2053" s="2939"/>
    </row>
    <row r="2054" spans="1:7" ht="15.75" thickBot="1"/>
    <row r="2055" spans="1:7" s="2885" customFormat="1">
      <c r="A2055" s="3614" t="s">
        <v>0</v>
      </c>
      <c r="B2055" s="3518" t="s">
        <v>1</v>
      </c>
      <c r="C2055" s="3518" t="s">
        <v>2</v>
      </c>
      <c r="D2055" s="3518" t="s">
        <v>3</v>
      </c>
      <c r="E2055" s="3518" t="s">
        <v>4</v>
      </c>
      <c r="F2055" s="3522" t="s">
        <v>5</v>
      </c>
    </row>
    <row r="2056" spans="1:7" s="2885" customFormat="1" ht="15.75" thickBot="1">
      <c r="A2056" s="4034"/>
      <c r="B2056" s="3550"/>
      <c r="C2056" s="3550"/>
      <c r="D2056" s="3550"/>
      <c r="E2056" s="3550"/>
      <c r="F2056" s="3588"/>
    </row>
    <row r="2057" spans="1:7" s="2885" customFormat="1">
      <c r="A2057" s="876" t="s">
        <v>3479</v>
      </c>
      <c r="B2057" s="2367" t="s">
        <v>200</v>
      </c>
      <c r="C2057" s="3108" t="s">
        <v>623</v>
      </c>
      <c r="D2057" s="1163"/>
      <c r="E2057" s="1431">
        <f>(G2057-F2057)/G2057</f>
        <v>0.33658536585365845</v>
      </c>
      <c r="F2057" s="881">
        <v>1.36</v>
      </c>
      <c r="G2057" s="2885">
        <v>2.0499999999999998</v>
      </c>
    </row>
    <row r="2058" spans="1:7" s="2885" customFormat="1" ht="15.75" thickBot="1">
      <c r="A2058" s="2287"/>
      <c r="B2058" s="3000"/>
      <c r="C2058" s="2938"/>
      <c r="D2058" s="2938"/>
      <c r="E2058" s="2936" t="e">
        <f>(G2058-F2058)/G2058</f>
        <v>#DIV/0!</v>
      </c>
      <c r="F2058" s="2917"/>
    </row>
    <row r="2060" spans="1:7" ht="15.75" thickBot="1"/>
    <row r="2061" spans="1:7" s="2885" customFormat="1">
      <c r="A2061" s="3614" t="s">
        <v>0</v>
      </c>
      <c r="B2061" s="3518" t="s">
        <v>1</v>
      </c>
      <c r="C2061" s="3518" t="s">
        <v>2</v>
      </c>
      <c r="D2061" s="3518" t="s">
        <v>3</v>
      </c>
      <c r="E2061" s="3518" t="s">
        <v>4</v>
      </c>
      <c r="F2061" s="3522" t="s">
        <v>5</v>
      </c>
    </row>
    <row r="2062" spans="1:7" s="2885" customFormat="1">
      <c r="A2062" s="3555"/>
      <c r="B2062" s="3550"/>
      <c r="C2062" s="3550"/>
      <c r="D2062" s="3550"/>
      <c r="E2062" s="3550"/>
      <c r="F2062" s="3588"/>
    </row>
    <row r="2063" spans="1:7" s="2885" customFormat="1">
      <c r="A2063" s="2931" t="s">
        <v>3606</v>
      </c>
      <c r="B2063" s="2905" t="s">
        <v>1414</v>
      </c>
      <c r="C2063" s="2905" t="s">
        <v>3316</v>
      </c>
      <c r="D2063" s="2905"/>
      <c r="E2063" s="2933">
        <f>(G2063-F2063)/G2063</f>
        <v>0.19999999999999996</v>
      </c>
      <c r="F2063" s="2913">
        <v>0.8</v>
      </c>
      <c r="G2063" s="2885">
        <v>1</v>
      </c>
    </row>
    <row r="2064" spans="1:7" s="2885" customFormat="1">
      <c r="A2064" s="2931"/>
      <c r="B2064" s="2905" t="s">
        <v>1419</v>
      </c>
      <c r="C2064" s="2911" t="s">
        <v>3317</v>
      </c>
      <c r="D2064" s="2905"/>
      <c r="E2064" s="2933">
        <f>(G2064-F2064)/G2064</f>
        <v>0.19999999999999996</v>
      </c>
      <c r="F2064" s="2913">
        <v>0.8</v>
      </c>
      <c r="G2064" s="2885">
        <v>1</v>
      </c>
    </row>
    <row r="2065" spans="1:7" s="2885" customFormat="1">
      <c r="A2065" s="2931"/>
      <c r="B2065" s="2905" t="s">
        <v>1415</v>
      </c>
      <c r="C2065" s="2905" t="s">
        <v>730</v>
      </c>
      <c r="D2065" s="2905"/>
      <c r="E2065" s="2933">
        <f>(G2065-F2065)/G2065</f>
        <v>0.23958333333333331</v>
      </c>
      <c r="F2065" s="2913">
        <v>0.73</v>
      </c>
      <c r="G2065" s="2885">
        <v>0.96</v>
      </c>
    </row>
    <row r="2066" spans="1:7" s="2885" customFormat="1" ht="15.75" thickBot="1">
      <c r="A2066" s="2937"/>
      <c r="B2066" s="2915"/>
      <c r="C2066" s="2938" t="s">
        <v>554</v>
      </c>
      <c r="D2066" s="2938"/>
      <c r="E2066" s="2936">
        <f>(G2066-F2066)/G2066</f>
        <v>0.24264705882352944</v>
      </c>
      <c r="F2066" s="2939">
        <v>1.03</v>
      </c>
      <c r="G2066" s="2885">
        <v>1.36</v>
      </c>
    </row>
    <row r="2067" spans="1:7" ht="15.75" thickBot="1"/>
    <row r="2068" spans="1:7" s="2885" customFormat="1">
      <c r="A2068" s="3572" t="s">
        <v>0</v>
      </c>
      <c r="B2068" s="3557" t="s">
        <v>1</v>
      </c>
      <c r="C2068" s="3518" t="s">
        <v>2</v>
      </c>
      <c r="D2068" s="3518" t="s">
        <v>3</v>
      </c>
      <c r="E2068" s="3518" t="s">
        <v>4</v>
      </c>
      <c r="F2068" s="3522" t="s">
        <v>5</v>
      </c>
    </row>
    <row r="2069" spans="1:7" s="2885" customFormat="1">
      <c r="A2069" s="3573"/>
      <c r="B2069" s="3558"/>
      <c r="C2069" s="3556"/>
      <c r="D2069" s="3556"/>
      <c r="E2069" s="3556"/>
      <c r="F2069" s="3890"/>
    </row>
    <row r="2070" spans="1:7" s="2885" customFormat="1">
      <c r="A2070" s="2931" t="s">
        <v>3619</v>
      </c>
      <c r="B2070" s="2932" t="s">
        <v>409</v>
      </c>
      <c r="C2070" s="2905" t="s">
        <v>1904</v>
      </c>
      <c r="D2070" s="2911"/>
      <c r="E2070" s="2933">
        <f>(G2070-F2070)/G2070</f>
        <v>0.23033707865168535</v>
      </c>
      <c r="F2070" s="2957">
        <v>1.37</v>
      </c>
      <c r="G2070" s="2885">
        <v>1.78</v>
      </c>
    </row>
    <row r="2071" spans="1:7" s="2885" customFormat="1">
      <c r="A2071" s="2931"/>
      <c r="B2071" s="2932"/>
      <c r="C2071" s="2905" t="s">
        <v>1141</v>
      </c>
      <c r="D2071" s="2911"/>
      <c r="E2071" s="2933">
        <f>(G2071-F2071)/G2071</f>
        <v>0.19354838709677419</v>
      </c>
      <c r="F2071" s="2913">
        <v>0.5</v>
      </c>
      <c r="G2071" s="2885">
        <v>0.62</v>
      </c>
    </row>
    <row r="2072" spans="1:7" s="2885" customFormat="1" ht="15.75" thickBot="1">
      <c r="A2072" s="2923"/>
      <c r="B2072" s="2915"/>
      <c r="C2072" s="2938" t="s">
        <v>2743</v>
      </c>
      <c r="D2072" s="2915"/>
      <c r="E2072" s="2936">
        <f>(G2072-F2072)/G2072</f>
        <v>0.21428571428571422</v>
      </c>
      <c r="F2072" s="2917">
        <v>0.66</v>
      </c>
      <c r="G2072" s="2885">
        <v>0.84</v>
      </c>
    </row>
    <row r="2074" spans="1:7" ht="15.75" thickBot="1"/>
    <row r="2075" spans="1:7" s="2885" customFormat="1">
      <c r="A2075" s="3614" t="s">
        <v>0</v>
      </c>
      <c r="B2075" s="3518" t="s">
        <v>1</v>
      </c>
      <c r="C2075" s="3518" t="s">
        <v>2</v>
      </c>
      <c r="D2075" s="3518" t="s">
        <v>3</v>
      </c>
      <c r="E2075" s="3518" t="s">
        <v>4</v>
      </c>
      <c r="F2075" s="3522" t="s">
        <v>5</v>
      </c>
      <c r="G2075" s="3522" t="s">
        <v>3504</v>
      </c>
    </row>
    <row r="2076" spans="1:7" s="2885" customFormat="1" ht="15.75" thickBot="1">
      <c r="A2076" s="3555"/>
      <c r="B2076" s="4039"/>
      <c r="C2076" s="4039"/>
      <c r="D2076" s="4039"/>
      <c r="E2076" s="4039"/>
      <c r="F2076" s="3551"/>
      <c r="G2076" s="3551"/>
    </row>
    <row r="2077" spans="1:7" s="2885" customFormat="1">
      <c r="A2077" s="2886" t="s">
        <v>3625</v>
      </c>
      <c r="B2077" s="2887" t="s">
        <v>152</v>
      </c>
      <c r="C2077" s="3114" t="s">
        <v>273</v>
      </c>
      <c r="D2077" s="2887"/>
      <c r="E2077" s="2888">
        <f>(G2077-F2077)/G2077</f>
        <v>0.14563106796116507</v>
      </c>
      <c r="F2077" s="3073">
        <v>0.88</v>
      </c>
      <c r="G2077" s="3074">
        <v>1.03</v>
      </c>
    </row>
    <row r="2078" spans="1:7" s="2885" customFormat="1">
      <c r="A2078" s="2894"/>
      <c r="B2078" s="2895"/>
      <c r="C2078" s="3115" t="s">
        <v>177</v>
      </c>
      <c r="D2078" s="2895"/>
      <c r="E2078" s="2896">
        <f t="shared" ref="E2078:E2083" si="19">(G2078-F2078)/G2078</f>
        <v>0.14563106796116507</v>
      </c>
      <c r="F2078" s="3075">
        <v>0.88</v>
      </c>
      <c r="G2078" s="3076">
        <v>1.03</v>
      </c>
    </row>
    <row r="2079" spans="1:7" s="2885" customFormat="1">
      <c r="A2079" s="2894"/>
      <c r="B2079" s="2895"/>
      <c r="C2079" s="3115" t="s">
        <v>178</v>
      </c>
      <c r="D2079" s="2895"/>
      <c r="E2079" s="2896">
        <f t="shared" si="19"/>
        <v>0.14563106796116507</v>
      </c>
      <c r="F2079" s="3075">
        <v>0.88</v>
      </c>
      <c r="G2079" s="3076">
        <v>1.03</v>
      </c>
    </row>
    <row r="2080" spans="1:7" s="2885" customFormat="1">
      <c r="A2080" s="2897"/>
      <c r="B2080" s="2898"/>
      <c r="C2080" s="3106" t="s">
        <v>2207</v>
      </c>
      <c r="D2080" s="2898"/>
      <c r="E2080" s="2896">
        <f t="shared" si="19"/>
        <v>0.13333333333333328</v>
      </c>
      <c r="F2080" s="3075">
        <v>0.52</v>
      </c>
      <c r="G2080" s="3077">
        <v>0.6</v>
      </c>
    </row>
    <row r="2081" spans="1:7" s="2885" customFormat="1">
      <c r="A2081" s="2897"/>
      <c r="B2081" s="2898"/>
      <c r="C2081" s="3106" t="s">
        <v>1300</v>
      </c>
      <c r="D2081" s="2898"/>
      <c r="E2081" s="2896">
        <f t="shared" si="19"/>
        <v>0.15584415584415584</v>
      </c>
      <c r="F2081" s="3075">
        <v>0.65</v>
      </c>
      <c r="G2081" s="3077">
        <v>0.77</v>
      </c>
    </row>
    <row r="2082" spans="1:7" s="2885" customFormat="1">
      <c r="A2082" s="2897"/>
      <c r="B2082" s="2898"/>
      <c r="C2082" s="3106" t="s">
        <v>3626</v>
      </c>
      <c r="D2082" s="2898"/>
      <c r="E2082" s="2896">
        <f t="shared" si="19"/>
        <v>0.14906832298136644</v>
      </c>
      <c r="F2082" s="3075">
        <v>1.37</v>
      </c>
      <c r="G2082" s="3077">
        <v>1.61</v>
      </c>
    </row>
    <row r="2083" spans="1:7" s="2885" customFormat="1" ht="15.75" thickBot="1">
      <c r="A2083" s="2914"/>
      <c r="B2083" s="2915"/>
      <c r="C2083" s="3107" t="s">
        <v>1914</v>
      </c>
      <c r="D2083" s="2915"/>
      <c r="E2083" s="2890">
        <f t="shared" si="19"/>
        <v>0.15217391304347827</v>
      </c>
      <c r="F2083" s="2915">
        <v>0.78</v>
      </c>
      <c r="G2083" s="3078">
        <v>0.92</v>
      </c>
    </row>
    <row r="2085" spans="1:7" ht="15.75" thickBot="1"/>
    <row r="2086" spans="1:7" s="2885" customFormat="1">
      <c r="A2086" s="3614" t="s">
        <v>0</v>
      </c>
      <c r="B2086" s="3518" t="s">
        <v>1</v>
      </c>
      <c r="C2086" s="3518" t="s">
        <v>2</v>
      </c>
      <c r="D2086" s="3518" t="s">
        <v>3</v>
      </c>
      <c r="E2086" s="3518" t="s">
        <v>4</v>
      </c>
      <c r="F2086" s="3522" t="s">
        <v>5</v>
      </c>
    </row>
    <row r="2087" spans="1:7" s="2885" customFormat="1" ht="15.75" thickBot="1">
      <c r="A2087" s="4034"/>
      <c r="B2087" s="3550"/>
      <c r="C2087" s="3550"/>
      <c r="D2087" s="3550"/>
      <c r="E2087" s="3550"/>
      <c r="F2087" s="3588"/>
    </row>
    <row r="2088" spans="1:7" s="2885" customFormat="1">
      <c r="A2088" s="876">
        <v>43644</v>
      </c>
      <c r="B2088" s="2367" t="s">
        <v>200</v>
      </c>
      <c r="C2088" s="1163" t="s">
        <v>3627</v>
      </c>
      <c r="D2088" s="1163"/>
      <c r="E2088" s="1431"/>
      <c r="F2088" s="881">
        <v>2.34</v>
      </c>
    </row>
    <row r="2089" spans="1:7" s="2885" customFormat="1">
      <c r="A2089" s="876"/>
      <c r="B2089" s="3079"/>
      <c r="C2089" s="342" t="s">
        <v>3628</v>
      </c>
      <c r="D2089" s="342"/>
      <c r="E2089" s="3080"/>
      <c r="F2089" s="3081">
        <v>2.34</v>
      </c>
    </row>
    <row r="2090" spans="1:7" s="2885" customFormat="1">
      <c r="A2090" s="876"/>
      <c r="B2090" s="3079"/>
      <c r="C2090" s="342" t="s">
        <v>3487</v>
      </c>
      <c r="D2090" s="342"/>
      <c r="E2090" s="3080"/>
      <c r="F2090" s="3081">
        <v>2.34</v>
      </c>
    </row>
    <row r="2091" spans="1:7" s="2885" customFormat="1">
      <c r="A2091" s="876"/>
      <c r="B2091" s="3079"/>
      <c r="C2091" s="342" t="s">
        <v>3488</v>
      </c>
      <c r="D2091" s="342"/>
      <c r="E2091" s="3080"/>
      <c r="F2091" s="3081">
        <v>2.34</v>
      </c>
    </row>
    <row r="2092" spans="1:7" s="2885" customFormat="1">
      <c r="A2092" s="876"/>
      <c r="B2092" s="3079"/>
      <c r="C2092" s="342" t="s">
        <v>3629</v>
      </c>
      <c r="D2092" s="342"/>
      <c r="E2092" s="3080"/>
      <c r="F2092" s="3081">
        <v>2.34</v>
      </c>
    </row>
    <row r="2093" spans="1:7" s="2885" customFormat="1">
      <c r="A2093" s="876"/>
      <c r="B2093" s="3079"/>
      <c r="C2093" s="342" t="s">
        <v>3489</v>
      </c>
      <c r="D2093" s="342"/>
      <c r="E2093" s="3080"/>
      <c r="F2093" s="3081">
        <v>2.34</v>
      </c>
    </row>
    <row r="2094" spans="1:7" s="2885" customFormat="1">
      <c r="A2094" s="876"/>
      <c r="B2094" s="3079"/>
      <c r="C2094" s="342" t="s">
        <v>3490</v>
      </c>
      <c r="D2094" s="342"/>
      <c r="E2094" s="3080"/>
      <c r="F2094" s="3081">
        <v>2.34</v>
      </c>
    </row>
    <row r="2095" spans="1:7" s="2885" customFormat="1">
      <c r="A2095" s="876"/>
      <c r="B2095" s="3079"/>
      <c r="C2095" s="342"/>
      <c r="D2095" s="342"/>
      <c r="E2095" s="3080"/>
      <c r="F2095" s="3081"/>
    </row>
    <row r="2096" spans="1:7" s="2885" customFormat="1" ht="15.75" thickBot="1">
      <c r="A2096" s="2287"/>
      <c r="B2096" s="3000"/>
      <c r="C2096" s="2938"/>
      <c r="D2096" s="2938"/>
      <c r="E2096" s="2936" t="e">
        <f>(G2096-F2096)/G2096</f>
        <v>#DIV/0!</v>
      </c>
      <c r="F2096" s="2917"/>
    </row>
    <row r="2098" spans="1:8" ht="15.75" thickBot="1"/>
    <row r="2099" spans="1:8" s="2885" customFormat="1">
      <c r="A2099" s="4035" t="s">
        <v>0</v>
      </c>
      <c r="B2099" s="4037" t="s">
        <v>1</v>
      </c>
      <c r="C2099" s="4037" t="s">
        <v>2</v>
      </c>
      <c r="D2099" s="4037" t="s">
        <v>3</v>
      </c>
      <c r="E2099" s="4037" t="s">
        <v>4</v>
      </c>
      <c r="F2099" s="4124" t="s">
        <v>5</v>
      </c>
      <c r="G2099" s="3099"/>
    </row>
    <row r="2100" spans="1:8" s="2885" customFormat="1" ht="15.75" thickBot="1">
      <c r="A2100" s="4036"/>
      <c r="B2100" s="4038"/>
      <c r="C2100" s="4038"/>
      <c r="D2100" s="4038"/>
      <c r="E2100" s="4038"/>
      <c r="F2100" s="4125"/>
      <c r="G2100" s="3099"/>
    </row>
    <row r="2101" spans="1:8" s="2885" customFormat="1">
      <c r="A2101" s="2930" t="s">
        <v>3652</v>
      </c>
      <c r="B2101" s="2887" t="s">
        <v>1414</v>
      </c>
      <c r="C2101" s="2887" t="s">
        <v>1120</v>
      </c>
      <c r="D2101" s="2887"/>
      <c r="E2101" s="2888">
        <f t="shared" ref="E2101:E2107" si="20">(G2101-F2101)/G2101</f>
        <v>0.20689655172413784</v>
      </c>
      <c r="F2101" s="3100">
        <v>0.46</v>
      </c>
      <c r="G2101" s="429">
        <v>0.57999999999999996</v>
      </c>
      <c r="H2101" s="429"/>
    </row>
    <row r="2102" spans="1:8" s="2885" customFormat="1">
      <c r="A2102" s="2931"/>
      <c r="B2102" s="2895" t="s">
        <v>1415</v>
      </c>
      <c r="C2102" s="2898" t="s">
        <v>858</v>
      </c>
      <c r="D2102" s="2895"/>
      <c r="E2102" s="2896">
        <f t="shared" si="20"/>
        <v>0.20909090909090916</v>
      </c>
      <c r="F2102" s="3077">
        <v>0.87</v>
      </c>
      <c r="G2102" s="429">
        <v>1.1000000000000001</v>
      </c>
      <c r="H2102" s="429"/>
    </row>
    <row r="2103" spans="1:8" s="2885" customFormat="1">
      <c r="A2103" s="2931"/>
      <c r="B2103" s="2911"/>
      <c r="C2103" s="3106" t="s">
        <v>623</v>
      </c>
      <c r="D2103" s="2895"/>
      <c r="E2103" s="2896">
        <f t="shared" si="20"/>
        <v>0.30909090909090914</v>
      </c>
      <c r="F2103" s="3077">
        <v>1.52</v>
      </c>
      <c r="G2103" s="429">
        <v>2.2000000000000002</v>
      </c>
      <c r="H2103" s="429"/>
    </row>
    <row r="2104" spans="1:8" s="2885" customFormat="1">
      <c r="A2104" s="2894"/>
      <c r="B2104" s="2898"/>
      <c r="C2104" s="3106" t="s">
        <v>2462</v>
      </c>
      <c r="D2104" s="2895"/>
      <c r="E2104" s="2896">
        <f t="shared" si="20"/>
        <v>0.20000000000000004</v>
      </c>
      <c r="F2104" s="3101">
        <v>1.4</v>
      </c>
      <c r="G2104" s="429">
        <v>1.75</v>
      </c>
      <c r="H2104" s="429"/>
    </row>
    <row r="2105" spans="1:8" s="2885" customFormat="1">
      <c r="A2105" s="2910"/>
      <c r="B2105" s="2911"/>
      <c r="C2105" s="2911" t="s">
        <v>2066</v>
      </c>
      <c r="D2105" s="2911"/>
      <c r="E2105" s="2896">
        <f t="shared" si="20"/>
        <v>0.22159090909090903</v>
      </c>
      <c r="F2105" s="2913">
        <v>1.37</v>
      </c>
      <c r="G2105" s="429">
        <v>1.76</v>
      </c>
    </row>
    <row r="2106" spans="1:8" s="2885" customFormat="1">
      <c r="A2106" s="2910"/>
      <c r="B2106" s="2911"/>
      <c r="C2106" s="2911" t="s">
        <v>2116</v>
      </c>
      <c r="D2106" s="2911"/>
      <c r="E2106" s="2896">
        <f t="shared" si="20"/>
        <v>0.22159090909090903</v>
      </c>
      <c r="F2106" s="2913">
        <v>1.37</v>
      </c>
      <c r="G2106" s="528">
        <v>1.76</v>
      </c>
    </row>
    <row r="2107" spans="1:8" s="2885" customFormat="1" ht="15.75" thickBot="1">
      <c r="A2107" s="2914"/>
      <c r="B2107" s="2915"/>
      <c r="C2107" s="2915" t="s">
        <v>2115</v>
      </c>
      <c r="D2107" s="2915"/>
      <c r="E2107" s="2890">
        <f t="shared" si="20"/>
        <v>0.22159090909090903</v>
      </c>
      <c r="F2107" s="2917">
        <v>1.37</v>
      </c>
      <c r="G2107" s="528">
        <v>1.76</v>
      </c>
    </row>
    <row r="2109" spans="1:8" ht="15.75" thickBot="1"/>
    <row r="2110" spans="1:8" s="2885" customFormat="1">
      <c r="A2110" s="3572" t="s">
        <v>0</v>
      </c>
      <c r="B2110" s="3557" t="s">
        <v>1</v>
      </c>
      <c r="C2110" s="3518" t="s">
        <v>2</v>
      </c>
      <c r="D2110" s="3518" t="s">
        <v>3</v>
      </c>
      <c r="E2110" s="3518" t="s">
        <v>4</v>
      </c>
      <c r="F2110" s="3522" t="s">
        <v>5</v>
      </c>
      <c r="G2110" s="3522" t="s">
        <v>3504</v>
      </c>
    </row>
    <row r="2111" spans="1:8" s="2885" customFormat="1" ht="15.75" thickBot="1">
      <c r="A2111" s="3905"/>
      <c r="B2111" s="3906"/>
      <c r="C2111" s="3550"/>
      <c r="D2111" s="3550"/>
      <c r="E2111" s="3550"/>
      <c r="F2111" s="3551"/>
      <c r="G2111" s="3551"/>
    </row>
    <row r="2112" spans="1:8" s="2885" customFormat="1">
      <c r="A2112" s="2930" t="s">
        <v>3659</v>
      </c>
      <c r="B2112" s="2420" t="s">
        <v>409</v>
      </c>
      <c r="C2112" s="1163" t="s">
        <v>2827</v>
      </c>
      <c r="D2112" s="2421"/>
      <c r="E2112" s="1431">
        <f>(G2112-F2112)/G2112</f>
        <v>0.23076923076923084</v>
      </c>
      <c r="F2112" s="3057">
        <v>1.4</v>
      </c>
      <c r="G2112" s="881">
        <v>1.82</v>
      </c>
    </row>
    <row r="2113" spans="1:7" s="2885" customFormat="1">
      <c r="A2113" s="2931"/>
      <c r="B2113" s="2932"/>
      <c r="C2113" s="2905" t="s">
        <v>2115</v>
      </c>
      <c r="D2113" s="2911"/>
      <c r="E2113" s="2933">
        <f>(G2113-F2113)/G2113</f>
        <v>0.23076923076923084</v>
      </c>
      <c r="F2113" s="3010">
        <v>1.4</v>
      </c>
      <c r="G2113" s="2913">
        <v>1.82</v>
      </c>
    </row>
    <row r="2114" spans="1:7" s="2885" customFormat="1" ht="15.75" thickBot="1">
      <c r="A2114" s="2931"/>
      <c r="B2114" s="2911"/>
      <c r="C2114" s="2905" t="s">
        <v>2890</v>
      </c>
      <c r="D2114" s="2911"/>
      <c r="E2114" s="2915">
        <f>F2114/G2114-1</f>
        <v>-0.23076923076923084</v>
      </c>
      <c r="F2114" s="3010">
        <v>1.4</v>
      </c>
      <c r="G2114" s="2913">
        <v>1.82</v>
      </c>
    </row>
    <row r="2115" spans="1:7" s="2885" customFormat="1" ht="15.75" thickBot="1">
      <c r="A2115" s="2910"/>
      <c r="B2115" s="2911"/>
      <c r="C2115" s="2911" t="s">
        <v>2116</v>
      </c>
      <c r="D2115" s="2911"/>
      <c r="E2115" s="2915">
        <f>F2115/G2115-1</f>
        <v>-0.23076923076923084</v>
      </c>
      <c r="F2115" s="3010">
        <v>1.4</v>
      </c>
      <c r="G2115" s="2913">
        <v>1.82</v>
      </c>
    </row>
    <row r="2116" spans="1:7" s="2885" customFormat="1" ht="15.75" thickBot="1">
      <c r="A2116" s="2910"/>
      <c r="B2116" s="2911"/>
      <c r="C2116" s="2911" t="s">
        <v>2871</v>
      </c>
      <c r="D2116" s="2911"/>
      <c r="E2116" s="2915">
        <f>F2116/G2116-1</f>
        <v>-0.23076923076923084</v>
      </c>
      <c r="F2116" s="3010">
        <v>1.4</v>
      </c>
      <c r="G2116" s="2913">
        <v>1.82</v>
      </c>
    </row>
    <row r="2117" spans="1:7" s="2885" customFormat="1" ht="15.75" thickBot="1">
      <c r="A2117" s="2910"/>
      <c r="B2117" s="2911"/>
      <c r="C2117" s="2911" t="s">
        <v>2066</v>
      </c>
      <c r="D2117" s="2911"/>
      <c r="E2117" s="2915">
        <f>F2117/G2117-1</f>
        <v>-0.23076923076923084</v>
      </c>
      <c r="F2117" s="3010">
        <v>1.4</v>
      </c>
      <c r="G2117" s="2913">
        <v>1.82</v>
      </c>
    </row>
    <row r="2118" spans="1:7" s="2885" customFormat="1" ht="15.75" thickBot="1">
      <c r="A2118" s="2914"/>
      <c r="B2118" s="2915"/>
      <c r="C2118" s="2915" t="s">
        <v>623</v>
      </c>
      <c r="D2118" s="2915"/>
      <c r="E2118" s="2915">
        <f>F2118/G2118-1</f>
        <v>-0.20942408376963351</v>
      </c>
      <c r="F2118" s="3104">
        <v>1.51</v>
      </c>
      <c r="G2118" s="2917">
        <v>1.91</v>
      </c>
    </row>
    <row r="2121" spans="1:7" ht="15.75" thickBot="1"/>
    <row r="2122" spans="1:7" s="2885" customFormat="1">
      <c r="A2122" s="3572" t="s">
        <v>0</v>
      </c>
      <c r="B2122" s="3557" t="s">
        <v>1</v>
      </c>
      <c r="C2122" s="3518" t="s">
        <v>2</v>
      </c>
      <c r="D2122" s="3518" t="s">
        <v>3</v>
      </c>
      <c r="E2122" s="3518" t="s">
        <v>4</v>
      </c>
      <c r="F2122" s="3522" t="s">
        <v>5</v>
      </c>
      <c r="G2122" s="3522" t="s">
        <v>3504</v>
      </c>
    </row>
    <row r="2123" spans="1:7" s="2885" customFormat="1" ht="15.75" thickBot="1">
      <c r="A2123" s="3905"/>
      <c r="B2123" s="3906"/>
      <c r="C2123" s="3550"/>
      <c r="D2123" s="3550"/>
      <c r="E2123" s="3550"/>
      <c r="F2123" s="3551"/>
      <c r="G2123" s="3551"/>
    </row>
    <row r="2124" spans="1:7" s="2885" customFormat="1">
      <c r="A2124" s="2930" t="s">
        <v>3713</v>
      </c>
      <c r="B2124" s="2420" t="s">
        <v>409</v>
      </c>
      <c r="C2124" s="1163" t="s">
        <v>1058</v>
      </c>
      <c r="D2124" s="2421"/>
      <c r="E2124" s="1431">
        <f>(G2124-F2124)/G2124</f>
        <v>0.23111111111111113</v>
      </c>
      <c r="F2124" s="3057">
        <v>1.73</v>
      </c>
      <c r="G2124" s="881">
        <v>2.25</v>
      </c>
    </row>
    <row r="2125" spans="1:7" s="2885" customFormat="1">
      <c r="A2125" s="2931"/>
      <c r="B2125" s="2932"/>
      <c r="C2125" s="2905" t="s">
        <v>1614</v>
      </c>
      <c r="D2125" s="2911"/>
      <c r="E2125" s="2933">
        <f>(G2125-F2125)/G2125</f>
        <v>0.22666666666666671</v>
      </c>
      <c r="F2125" s="3010">
        <v>1.1599999999999999</v>
      </c>
      <c r="G2125" s="2913">
        <v>1.5</v>
      </c>
    </row>
    <row r="2126" spans="1:7" s="2885" customFormat="1" ht="15.75" thickBot="1">
      <c r="A2126" s="2923"/>
      <c r="B2126" s="2915"/>
      <c r="C2126" s="2938" t="s">
        <v>2792</v>
      </c>
      <c r="D2126" s="2915"/>
      <c r="E2126" s="2936">
        <f>(G2126-F2126)/G2126</f>
        <v>0.22666666666666671</v>
      </c>
      <c r="F2126" s="3011">
        <v>1.1599999999999999</v>
      </c>
      <c r="G2126" s="2917">
        <v>1.5</v>
      </c>
    </row>
    <row r="2127" spans="1:7" ht="15.75" thickBot="1"/>
    <row r="2128" spans="1:7">
      <c r="A2128" s="3572" t="s">
        <v>0</v>
      </c>
      <c r="B2128" s="3557" t="s">
        <v>1</v>
      </c>
      <c r="C2128" s="3518" t="s">
        <v>2</v>
      </c>
      <c r="D2128" s="3518" t="s">
        <v>3</v>
      </c>
      <c r="E2128" s="3518" t="s">
        <v>4</v>
      </c>
      <c r="F2128" s="3522" t="s">
        <v>5</v>
      </c>
      <c r="G2128" s="3522" t="s">
        <v>3504</v>
      </c>
    </row>
    <row r="2129" spans="1:7" ht="15.75" thickBot="1">
      <c r="A2129" s="3905"/>
      <c r="B2129" s="3906"/>
      <c r="C2129" s="3550"/>
      <c r="D2129" s="3550"/>
      <c r="E2129" s="3550"/>
      <c r="F2129" s="3551"/>
      <c r="G2129" s="3551"/>
    </row>
    <row r="2130" spans="1:7">
      <c r="A2130" s="2930" t="s">
        <v>3736</v>
      </c>
      <c r="B2130" s="2420" t="s">
        <v>409</v>
      </c>
      <c r="C2130" s="1163" t="s">
        <v>2462</v>
      </c>
      <c r="D2130" s="2421"/>
      <c r="E2130" s="1431">
        <f>(G2130-F2130)/G2130</f>
        <v>0.1372549019607843</v>
      </c>
      <c r="F2130" s="3057">
        <v>1.32</v>
      </c>
      <c r="G2130" s="881">
        <v>1.53</v>
      </c>
    </row>
    <row r="2131" spans="1:7">
      <c r="A2131" s="2931"/>
      <c r="B2131" s="2932"/>
      <c r="C2131" s="2905" t="s">
        <v>2550</v>
      </c>
      <c r="D2131" s="2911"/>
      <c r="E2131" s="2933" t="e">
        <f>(G2131-F2131)/G2131</f>
        <v>#N/A</v>
      </c>
      <c r="F2131" s="3010">
        <v>5.77</v>
      </c>
      <c r="G2131" s="2913" t="e">
        <v>#N/A</v>
      </c>
    </row>
    <row r="2132" spans="1:7" ht="15.75" thickBot="1">
      <c r="A2132" s="2923"/>
      <c r="B2132" s="2915"/>
      <c r="C2132" s="2938" t="s">
        <v>2551</v>
      </c>
      <c r="D2132" s="2915"/>
      <c r="E2132" s="2936" t="e">
        <f>(G2132-F2132)/G2132</f>
        <v>#N/A</v>
      </c>
      <c r="F2132" s="3011">
        <v>5.77</v>
      </c>
      <c r="G2132" s="2917" t="e">
        <v>#N/A</v>
      </c>
    </row>
    <row r="2134" spans="1:7" ht="15.75" thickBot="1"/>
    <row r="2135" spans="1:7" s="2885" customFormat="1">
      <c r="A2135" s="3614" t="s">
        <v>0</v>
      </c>
      <c r="B2135" s="3518" t="s">
        <v>1</v>
      </c>
      <c r="C2135" s="3518" t="s">
        <v>2</v>
      </c>
      <c r="D2135" s="3518" t="s">
        <v>3</v>
      </c>
      <c r="E2135" s="3518" t="s">
        <v>4</v>
      </c>
      <c r="F2135" s="3518" t="s">
        <v>5</v>
      </c>
      <c r="G2135" s="3522" t="s">
        <v>3504</v>
      </c>
    </row>
    <row r="2136" spans="1:7" s="2885" customFormat="1">
      <c r="A2136" s="3889"/>
      <c r="B2136" s="3556"/>
      <c r="C2136" s="3556"/>
      <c r="D2136" s="3556"/>
      <c r="E2136" s="3556"/>
      <c r="F2136" s="3556"/>
      <c r="G2136" s="3890"/>
    </row>
    <row r="2137" spans="1:7" s="2885" customFormat="1">
      <c r="A2137" s="2931" t="s">
        <v>3754</v>
      </c>
      <c r="B2137" s="2895" t="s">
        <v>1414</v>
      </c>
      <c r="C2137" s="2911" t="s">
        <v>2066</v>
      </c>
      <c r="D2137" s="2911"/>
      <c r="E2137" s="2896">
        <f>(G2137-F2137)/G2137</f>
        <v>0.22159090909090903</v>
      </c>
      <c r="F2137" s="2911">
        <v>1.37</v>
      </c>
      <c r="G2137" s="3077">
        <v>1.76</v>
      </c>
    </row>
    <row r="2138" spans="1:7" s="2885" customFormat="1">
      <c r="A2138" s="2931"/>
      <c r="B2138" s="2895" t="s">
        <v>1415</v>
      </c>
      <c r="C2138" s="2911" t="s">
        <v>2116</v>
      </c>
      <c r="D2138" s="2911"/>
      <c r="E2138" s="2896">
        <f>(G2138-F2138)/G2138</f>
        <v>0.22159090909090903</v>
      </c>
      <c r="F2138" s="2911">
        <v>1.37</v>
      </c>
      <c r="G2138" s="3101">
        <v>1.76</v>
      </c>
    </row>
    <row r="2139" spans="1:7" s="2885" customFormat="1" ht="15.75" thickBot="1">
      <c r="A2139" s="2923"/>
      <c r="B2139" s="2938" t="s">
        <v>1419</v>
      </c>
      <c r="C2139" s="2915" t="s">
        <v>2115</v>
      </c>
      <c r="D2139" s="2915"/>
      <c r="E2139" s="2890">
        <f>(G2139-F2139)/G2139</f>
        <v>0.22159090909090903</v>
      </c>
      <c r="F2139" s="2915">
        <v>1.37</v>
      </c>
      <c r="G2139" s="3078">
        <v>1.76</v>
      </c>
    </row>
    <row r="2140" spans="1:7" s="2885" customFormat="1" ht="15.75" thickBot="1"/>
    <row r="2141" spans="1:7" s="2885" customFormat="1">
      <c r="A2141" s="3572" t="s">
        <v>0</v>
      </c>
      <c r="B2141" s="3557" t="s">
        <v>1</v>
      </c>
      <c r="C2141" s="3518" t="s">
        <v>2</v>
      </c>
      <c r="D2141" s="3518" t="s">
        <v>3</v>
      </c>
      <c r="E2141" s="3518" t="s">
        <v>4</v>
      </c>
      <c r="F2141" s="3522" t="s">
        <v>5</v>
      </c>
      <c r="G2141" s="3522" t="s">
        <v>3504</v>
      </c>
    </row>
    <row r="2142" spans="1:7" s="2885" customFormat="1" ht="15.75" thickBot="1">
      <c r="A2142" s="3905"/>
      <c r="B2142" s="3906"/>
      <c r="C2142" s="3550"/>
      <c r="D2142" s="3550"/>
      <c r="E2142" s="3550"/>
      <c r="F2142" s="3551"/>
      <c r="G2142" s="3551"/>
    </row>
    <row r="2143" spans="1:7" s="2885" customFormat="1">
      <c r="A2143" s="2930" t="s">
        <v>3755</v>
      </c>
      <c r="B2143" s="2420" t="s">
        <v>3756</v>
      </c>
      <c r="C2143" s="1163" t="s">
        <v>3555</v>
      </c>
      <c r="D2143" s="2421"/>
      <c r="E2143" s="1431">
        <f t="shared" ref="E2143:E2148" si="21">(G2143-F2143)/G2143</f>
        <v>0.20083102493074798</v>
      </c>
      <c r="F2143" s="3057">
        <v>17.309999999999999</v>
      </c>
      <c r="G2143" s="881">
        <v>21.66</v>
      </c>
    </row>
    <row r="2144" spans="1:7" s="2885" customFormat="1">
      <c r="A2144" s="2931"/>
      <c r="B2144" s="2932"/>
      <c r="C2144" s="2905" t="s">
        <v>3556</v>
      </c>
      <c r="D2144" s="2911"/>
      <c r="E2144" s="2933">
        <f t="shared" si="21"/>
        <v>0.20083102493074798</v>
      </c>
      <c r="F2144" s="3010">
        <v>17.309999999999999</v>
      </c>
      <c r="G2144" s="2913">
        <v>21.66</v>
      </c>
    </row>
    <row r="2145" spans="1:7" s="2885" customFormat="1">
      <c r="A2145" s="2931"/>
      <c r="B2145" s="2911"/>
      <c r="C2145" s="2905" t="s">
        <v>3557</v>
      </c>
      <c r="D2145" s="2911"/>
      <c r="E2145" s="2933">
        <f t="shared" si="21"/>
        <v>0.20083102493074798</v>
      </c>
      <c r="F2145" s="3010">
        <v>17.309999999999999</v>
      </c>
      <c r="G2145" s="2913">
        <v>21.66</v>
      </c>
    </row>
    <row r="2146" spans="1:7" s="2885" customFormat="1">
      <c r="A2146" s="2910"/>
      <c r="B2146" s="2911"/>
      <c r="C2146" s="2911" t="s">
        <v>3558</v>
      </c>
      <c r="D2146" s="2911"/>
      <c r="E2146" s="2933">
        <f t="shared" si="21"/>
        <v>0.20083102493074798</v>
      </c>
      <c r="F2146" s="3010">
        <v>17.309999999999999</v>
      </c>
      <c r="G2146" s="2913">
        <v>21.66</v>
      </c>
    </row>
    <row r="2147" spans="1:7" s="2885" customFormat="1">
      <c r="A2147" s="2910"/>
      <c r="B2147" s="2911"/>
      <c r="C2147" s="2911" t="s">
        <v>3559</v>
      </c>
      <c r="D2147" s="2911"/>
      <c r="E2147" s="2933">
        <f t="shared" si="21"/>
        <v>0.20083102493074798</v>
      </c>
      <c r="F2147" s="3010">
        <v>17.309999999999999</v>
      </c>
      <c r="G2147" s="2913">
        <v>21.66</v>
      </c>
    </row>
    <row r="2148" spans="1:7" s="2885" customFormat="1" ht="15.75" thickBot="1">
      <c r="A2148" s="2914"/>
      <c r="B2148" s="2915"/>
      <c r="C2148" s="2915" t="s">
        <v>3560</v>
      </c>
      <c r="D2148" s="2915"/>
      <c r="E2148" s="2936">
        <f t="shared" si="21"/>
        <v>0.20083102493074798</v>
      </c>
      <c r="F2148" s="3011">
        <v>17.309999999999999</v>
      </c>
      <c r="G2148" s="2917">
        <v>21.66</v>
      </c>
    </row>
    <row r="2150" spans="1:7" ht="15.75" thickBot="1"/>
    <row r="2151" spans="1:7" s="2885" customFormat="1">
      <c r="A2151" s="3572" t="s">
        <v>0</v>
      </c>
      <c r="B2151" s="3557" t="s">
        <v>1</v>
      </c>
      <c r="C2151" s="3518" t="s">
        <v>2</v>
      </c>
      <c r="D2151" s="3518" t="s">
        <v>3</v>
      </c>
      <c r="E2151" s="3518" t="s">
        <v>4</v>
      </c>
      <c r="F2151" s="3522" t="s">
        <v>5</v>
      </c>
      <c r="G2151" s="3522" t="s">
        <v>3504</v>
      </c>
    </row>
    <row r="2152" spans="1:7" s="2885" customFormat="1" ht="15.75" thickBot="1">
      <c r="A2152" s="3905"/>
      <c r="B2152" s="3906"/>
      <c r="C2152" s="3550"/>
      <c r="D2152" s="3550"/>
      <c r="E2152" s="3550"/>
      <c r="F2152" s="3551"/>
      <c r="G2152" s="3551"/>
    </row>
    <row r="2153" spans="1:7" s="2885" customFormat="1">
      <c r="A2153" s="2930" t="s">
        <v>3759</v>
      </c>
      <c r="B2153" s="2420" t="s">
        <v>409</v>
      </c>
      <c r="C2153" s="1163" t="s">
        <v>1892</v>
      </c>
      <c r="D2153" s="2421"/>
      <c r="E2153" s="1431">
        <f>(G2153-F2153)/G2153</f>
        <v>0.19354838709677419</v>
      </c>
      <c r="F2153" s="3057">
        <v>1</v>
      </c>
      <c r="G2153" s="881">
        <v>1.24</v>
      </c>
    </row>
    <row r="2154" spans="1:7" s="2885" customFormat="1" ht="15.75" thickBot="1">
      <c r="A2154" s="2923"/>
      <c r="B2154" s="2924"/>
      <c r="C2154" s="2938" t="s">
        <v>1891</v>
      </c>
      <c r="D2154" s="2915"/>
      <c r="E2154" s="2936">
        <f>(G2154-F2154)/G2154</f>
        <v>0.21875000000000003</v>
      </c>
      <c r="F2154" s="3011">
        <v>1</v>
      </c>
      <c r="G2154" s="2917">
        <v>1.28</v>
      </c>
    </row>
    <row r="2157" spans="1:7" ht="15.75" thickBot="1"/>
    <row r="2158" spans="1:7" s="2885" customFormat="1">
      <c r="A2158" s="3572" t="s">
        <v>0</v>
      </c>
      <c r="B2158" s="3557" t="s">
        <v>1</v>
      </c>
      <c r="C2158" s="3518" t="s">
        <v>2</v>
      </c>
      <c r="D2158" s="3518" t="s">
        <v>3</v>
      </c>
      <c r="E2158" s="3518" t="s">
        <v>4</v>
      </c>
      <c r="F2158" s="3522" t="s">
        <v>5</v>
      </c>
      <c r="G2158" s="3522" t="s">
        <v>3504</v>
      </c>
    </row>
    <row r="2159" spans="1:7" s="2885" customFormat="1" ht="15.75" thickBot="1">
      <c r="A2159" s="3905"/>
      <c r="B2159" s="3906"/>
      <c r="C2159" s="3550"/>
      <c r="D2159" s="3550"/>
      <c r="E2159" s="3550"/>
      <c r="F2159" s="3551"/>
      <c r="G2159" s="3551"/>
    </row>
    <row r="2160" spans="1:7" s="2885" customFormat="1">
      <c r="A2160" s="2930" t="s">
        <v>3774</v>
      </c>
      <c r="B2160" s="2420" t="s">
        <v>409</v>
      </c>
      <c r="C2160" s="1163" t="s">
        <v>3315</v>
      </c>
      <c r="D2160" s="2421"/>
      <c r="E2160" s="1431"/>
      <c r="F2160" s="3057">
        <v>0.83</v>
      </c>
      <c r="G2160" s="881">
        <v>1.06</v>
      </c>
    </row>
    <row r="2161" spans="1:7" s="2885" customFormat="1">
      <c r="A2161" s="3182"/>
      <c r="B2161" s="3183"/>
      <c r="C2161" s="2905" t="s">
        <v>3316</v>
      </c>
      <c r="D2161" s="2911"/>
      <c r="E2161" s="2933"/>
      <c r="F2161" s="3010">
        <v>0.83</v>
      </c>
      <c r="G2161" s="2913">
        <v>1.06</v>
      </c>
    </row>
    <row r="2162" spans="1:7" s="2885" customFormat="1">
      <c r="A2162" s="3182"/>
      <c r="B2162" s="3183"/>
      <c r="C2162" s="2905" t="s">
        <v>3317</v>
      </c>
      <c r="D2162" s="2911"/>
      <c r="E2162" s="2933"/>
      <c r="F2162" s="3010">
        <v>0.83</v>
      </c>
      <c r="G2162" s="2913">
        <v>1.06</v>
      </c>
    </row>
    <row r="2163" spans="1:7" s="2885" customFormat="1">
      <c r="A2163" s="3182"/>
      <c r="B2163" s="3183"/>
      <c r="C2163" s="2905" t="s">
        <v>2115</v>
      </c>
      <c r="D2163" s="2911"/>
      <c r="E2163" s="2933"/>
      <c r="F2163" s="3010">
        <v>1.42</v>
      </c>
      <c r="G2163" s="2913">
        <v>1.89</v>
      </c>
    </row>
    <row r="2164" spans="1:7" s="2885" customFormat="1">
      <c r="A2164" s="3182"/>
      <c r="B2164" s="3183"/>
      <c r="C2164" s="2905" t="s">
        <v>2116</v>
      </c>
      <c r="D2164" s="2911"/>
      <c r="E2164" s="2933"/>
      <c r="F2164" s="3010">
        <v>1.42</v>
      </c>
      <c r="G2164" s="2913">
        <v>1.89</v>
      </c>
    </row>
    <row r="2165" spans="1:7" s="2885" customFormat="1" ht="15.75" thickBot="1">
      <c r="A2165" s="2923"/>
      <c r="B2165" s="2924"/>
      <c r="C2165" s="2938" t="s">
        <v>2066</v>
      </c>
      <c r="D2165" s="2915"/>
      <c r="E2165" s="2936"/>
      <c r="F2165" s="3011">
        <v>1.42</v>
      </c>
      <c r="G2165" s="2917">
        <v>1.89</v>
      </c>
    </row>
    <row r="2166" spans="1:7" ht="15.75" thickBot="1"/>
    <row r="2167" spans="1:7">
      <c r="A2167" s="3614" t="s">
        <v>0</v>
      </c>
      <c r="B2167" s="3518" t="s">
        <v>1</v>
      </c>
      <c r="C2167" s="3518" t="s">
        <v>2</v>
      </c>
      <c r="D2167" s="3518" t="s">
        <v>3</v>
      </c>
      <c r="E2167" s="3518" t="s">
        <v>4</v>
      </c>
      <c r="F2167" s="3518" t="s">
        <v>5</v>
      </c>
      <c r="G2167" s="3522" t="s">
        <v>3504</v>
      </c>
    </row>
    <row r="2168" spans="1:7" ht="15.75" thickBot="1">
      <c r="A2168" s="3555"/>
      <c r="B2168" s="3550"/>
      <c r="C2168" s="3550"/>
      <c r="D2168" s="3550"/>
      <c r="E2168" s="3550"/>
      <c r="F2168" s="3550"/>
      <c r="G2168" s="3551"/>
    </row>
    <row r="2169" spans="1:7" ht="15.75">
      <c r="A2169" s="1675" t="s">
        <v>3787</v>
      </c>
      <c r="B2169" s="2895" t="s">
        <v>1414</v>
      </c>
      <c r="C2169" s="3058" t="s">
        <v>3785</v>
      </c>
      <c r="D2169" s="2887"/>
      <c r="E2169" s="3059">
        <f>(G2169-F2169)/G2169</f>
        <v>0.25257731958762886</v>
      </c>
      <c r="F2169" s="3091">
        <v>1.45</v>
      </c>
      <c r="G2169" s="3092">
        <v>1.94</v>
      </c>
    </row>
    <row r="2170" spans="1:7" ht="28.5">
      <c r="A2170" s="2894"/>
      <c r="B2170" s="2895" t="s">
        <v>1415</v>
      </c>
      <c r="C2170" s="2986" t="s">
        <v>3786</v>
      </c>
      <c r="D2170" s="2895"/>
      <c r="E2170" s="2912">
        <f>(G2170-F2170)/G2170</f>
        <v>0.25257731958762886</v>
      </c>
      <c r="F2170" s="3093">
        <v>1.45</v>
      </c>
      <c r="G2170" s="3094">
        <v>1.94</v>
      </c>
    </row>
    <row r="2171" spans="1:7">
      <c r="A2171" s="3062"/>
      <c r="B2171" s="2895"/>
      <c r="C2171" s="3063" t="s">
        <v>623</v>
      </c>
      <c r="D2171" s="2895"/>
      <c r="E2171" s="2912">
        <f>(G2171-F2171)/G2171</f>
        <v>0.30909090909090914</v>
      </c>
      <c r="F2171" s="3093">
        <v>1.52</v>
      </c>
      <c r="G2171" s="3094">
        <v>2.2000000000000002</v>
      </c>
    </row>
    <row r="2172" spans="1:7" ht="15.75" thickBot="1">
      <c r="A2172" s="3065"/>
      <c r="B2172" s="2915"/>
      <c r="C2172" s="2915" t="s">
        <v>554</v>
      </c>
      <c r="D2172" s="2915"/>
      <c r="E2172" s="2916">
        <f>(G2172-F2172)/G2172</f>
        <v>0.24113475177304955</v>
      </c>
      <c r="F2172" s="3143">
        <v>1.07</v>
      </c>
      <c r="G2172" s="3097">
        <v>1.41</v>
      </c>
    </row>
    <row r="2173" spans="1:7" ht="15.75" thickBot="1"/>
    <row r="2174" spans="1:7">
      <c r="A2174" s="3572" t="s">
        <v>0</v>
      </c>
      <c r="B2174" s="3557" t="s">
        <v>1</v>
      </c>
      <c r="C2174" s="3518" t="s">
        <v>2</v>
      </c>
      <c r="D2174" s="3518" t="s">
        <v>3</v>
      </c>
      <c r="E2174" s="3518" t="s">
        <v>4</v>
      </c>
      <c r="F2174" s="3522" t="s">
        <v>5</v>
      </c>
      <c r="G2174" s="3522" t="s">
        <v>3504</v>
      </c>
    </row>
    <row r="2175" spans="1:7" ht="15.75" thickBot="1">
      <c r="A2175" s="3905"/>
      <c r="B2175" s="3906"/>
      <c r="C2175" s="3550"/>
      <c r="D2175" s="3550"/>
      <c r="E2175" s="3550"/>
      <c r="F2175" s="3551"/>
      <c r="G2175" s="3551"/>
    </row>
    <row r="2176" spans="1:7">
      <c r="A2176" s="2930" t="s">
        <v>3792</v>
      </c>
      <c r="B2176" s="2420" t="s">
        <v>409</v>
      </c>
      <c r="C2176" s="1163" t="s">
        <v>623</v>
      </c>
      <c r="D2176" s="2421"/>
      <c r="E2176" s="1431">
        <f>(G2176-F2176)/G2176</f>
        <v>0.20942408376963348</v>
      </c>
      <c r="F2176" s="3057">
        <v>1.51</v>
      </c>
      <c r="G2176" s="881">
        <v>1.91</v>
      </c>
    </row>
    <row r="2177" spans="1:7" ht="15.75" thickBot="1">
      <c r="A2177" s="2923"/>
      <c r="B2177" s="2924"/>
      <c r="C2177" s="2938"/>
      <c r="D2177" s="2915"/>
      <c r="E2177" s="2936"/>
      <c r="F2177" s="3011"/>
      <c r="G2177" s="2917"/>
    </row>
    <row r="2178" spans="1:7" ht="15.75" thickBot="1"/>
    <row r="2179" spans="1:7">
      <c r="A2179" s="3572" t="s">
        <v>0</v>
      </c>
      <c r="B2179" s="3557" t="s">
        <v>1</v>
      </c>
      <c r="C2179" s="3518" t="s">
        <v>2</v>
      </c>
      <c r="D2179" s="3518" t="s">
        <v>3</v>
      </c>
      <c r="E2179" s="3518" t="s">
        <v>4</v>
      </c>
      <c r="F2179" s="3522" t="s">
        <v>5</v>
      </c>
      <c r="G2179" s="3522" t="s">
        <v>3504</v>
      </c>
    </row>
    <row r="2180" spans="1:7" ht="15.75" thickBot="1">
      <c r="A2180" s="3905"/>
      <c r="B2180" s="3906"/>
      <c r="C2180" s="3550"/>
      <c r="D2180" s="3550"/>
      <c r="E2180" s="3550"/>
      <c r="F2180" s="3551"/>
      <c r="G2180" s="3551"/>
    </row>
    <row r="2181" spans="1:7">
      <c r="A2181" s="2930" t="s">
        <v>3798</v>
      </c>
      <c r="B2181" s="2420" t="s">
        <v>409</v>
      </c>
      <c r="C2181" s="1163" t="s">
        <v>1614</v>
      </c>
      <c r="D2181" s="2421"/>
      <c r="E2181" s="1431" t="e">
        <f>(G2181-F2181)/G2181</f>
        <v>#VALUE!</v>
      </c>
      <c r="F2181" s="3057">
        <v>1.2</v>
      </c>
      <c r="G2181" s="3085" t="s">
        <v>1903</v>
      </c>
    </row>
    <row r="2182" spans="1:7">
      <c r="A2182" s="2931"/>
      <c r="B2182" s="2932"/>
      <c r="C2182" s="2905" t="s">
        <v>2792</v>
      </c>
      <c r="D2182" s="2911"/>
      <c r="E2182" s="2933"/>
      <c r="F2182" s="3010">
        <v>1.2</v>
      </c>
      <c r="G2182" s="3087" t="s">
        <v>1903</v>
      </c>
    </row>
    <row r="2183" spans="1:7">
      <c r="A2183" s="2910"/>
      <c r="B2183" s="2911"/>
      <c r="C2183" s="2911" t="s">
        <v>920</v>
      </c>
      <c r="D2183" s="2911"/>
      <c r="E2183" s="2911"/>
      <c r="F2183" s="2911">
        <v>0.76</v>
      </c>
      <c r="G2183" s="3087">
        <v>0.99</v>
      </c>
    </row>
    <row r="2184" spans="1:7" ht="15.75" thickBot="1">
      <c r="A2184" s="2914"/>
      <c r="B2184" s="2915"/>
      <c r="C2184" s="2915" t="s">
        <v>2743</v>
      </c>
      <c r="D2184" s="2915"/>
      <c r="E2184" s="2915"/>
      <c r="F2184" s="2915">
        <v>0.59</v>
      </c>
      <c r="G2184" s="3088">
        <v>0.77</v>
      </c>
    </row>
    <row r="2185" spans="1:7" ht="15.75" thickBot="1"/>
    <row r="2186" spans="1:7">
      <c r="A2186" s="3614" t="s">
        <v>0</v>
      </c>
      <c r="B2186" s="3518" t="s">
        <v>1</v>
      </c>
      <c r="C2186" s="3518" t="s">
        <v>2</v>
      </c>
      <c r="D2186" s="3518" t="s">
        <v>3</v>
      </c>
      <c r="E2186" s="3518" t="s">
        <v>4</v>
      </c>
      <c r="F2186" s="3522" t="s">
        <v>5</v>
      </c>
      <c r="G2186" s="3522" t="s">
        <v>3504</v>
      </c>
    </row>
    <row r="2187" spans="1:7" ht="15.75" thickBot="1">
      <c r="A2187" s="3555"/>
      <c r="B2187" s="3550"/>
      <c r="C2187" s="3550"/>
      <c r="D2187" s="3550"/>
      <c r="E2187" s="3550"/>
      <c r="F2187" s="3551"/>
      <c r="G2187" s="3551"/>
    </row>
    <row r="2188" spans="1:7">
      <c r="A2188" s="3254" t="s">
        <v>3865</v>
      </c>
      <c r="B2188" s="2887" t="s">
        <v>152</v>
      </c>
      <c r="C2188" s="3208" t="s">
        <v>1913</v>
      </c>
      <c r="D2188" s="2887"/>
      <c r="E2188" s="2888">
        <f>(G2188-F2188)/G2188</f>
        <v>0.15217391304347827</v>
      </c>
      <c r="F2188" s="3073">
        <v>0.78</v>
      </c>
      <c r="G2188" s="3074">
        <v>0.92</v>
      </c>
    </row>
    <row r="2189" spans="1:7">
      <c r="A2189" s="2894"/>
      <c r="B2189" s="2895"/>
      <c r="C2189" s="3209" t="s">
        <v>1914</v>
      </c>
      <c r="D2189" s="2895"/>
      <c r="E2189" s="2896">
        <f t="shared" ref="E2189:E2192" si="22">(G2189-F2189)/G2189</f>
        <v>0.15217391304347827</v>
      </c>
      <c r="F2189" s="3075">
        <v>0.78</v>
      </c>
      <c r="G2189" s="3076">
        <v>0.92</v>
      </c>
    </row>
    <row r="2190" spans="1:7">
      <c r="A2190" s="2894"/>
      <c r="B2190" s="2895"/>
      <c r="C2190" s="3209" t="s">
        <v>906</v>
      </c>
      <c r="D2190" s="2895"/>
      <c r="E2190" s="2896">
        <f t="shared" si="22"/>
        <v>0.15217391304347827</v>
      </c>
      <c r="F2190" s="3075">
        <v>0.39</v>
      </c>
      <c r="G2190" s="3076">
        <v>0.46</v>
      </c>
    </row>
    <row r="2191" spans="1:7">
      <c r="A2191" s="2897"/>
      <c r="B2191" s="2898"/>
      <c r="C2191" s="2920" t="s">
        <v>3823</v>
      </c>
      <c r="D2191" s="2898"/>
      <c r="E2191" s="2896">
        <f t="shared" si="22"/>
        <v>0.16923076923076921</v>
      </c>
      <c r="F2191" s="3075">
        <v>0.54</v>
      </c>
      <c r="G2191" s="3077">
        <v>0.65</v>
      </c>
    </row>
    <row r="2192" spans="1:7" ht="15.75" thickBot="1">
      <c r="A2192" s="2889"/>
      <c r="B2192" s="2893"/>
      <c r="C2192" s="3210" t="s">
        <v>2304</v>
      </c>
      <c r="D2192" s="2893"/>
      <c r="E2192" s="2890">
        <f t="shared" si="22"/>
        <v>0.14754098360655732</v>
      </c>
      <c r="F2192" s="3211">
        <v>1.04</v>
      </c>
      <c r="G2192" s="3212">
        <v>1.22</v>
      </c>
    </row>
    <row r="2193" spans="1:7" ht="15.75" thickBot="1"/>
    <row r="2194" spans="1:7">
      <c r="A2194" s="3614" t="s">
        <v>0</v>
      </c>
      <c r="B2194" s="3518" t="s">
        <v>1</v>
      </c>
      <c r="C2194" s="3518" t="s">
        <v>2</v>
      </c>
      <c r="D2194" s="3518" t="s">
        <v>3</v>
      </c>
      <c r="E2194" s="3518" t="s">
        <v>4</v>
      </c>
      <c r="F2194" s="3522" t="s">
        <v>5</v>
      </c>
      <c r="G2194" s="3522" t="s">
        <v>3504</v>
      </c>
    </row>
    <row r="2195" spans="1:7" ht="15.75" thickBot="1">
      <c r="A2195" s="3555"/>
      <c r="B2195" s="3550"/>
      <c r="C2195" s="3550"/>
      <c r="D2195" s="3550"/>
      <c r="E2195" s="3550"/>
      <c r="F2195" s="3551"/>
      <c r="G2195" s="3551"/>
    </row>
    <row r="2196" spans="1:7">
      <c r="A2196" s="2886" t="s">
        <v>3827</v>
      </c>
      <c r="B2196" s="2887" t="s">
        <v>2438</v>
      </c>
      <c r="C2196" s="3208" t="s">
        <v>906</v>
      </c>
      <c r="D2196" s="2887"/>
      <c r="E2196" s="2888">
        <f>(G2196-F2196)/G2196</f>
        <v>0.14634146341463411</v>
      </c>
      <c r="F2196" s="3073">
        <v>1.05</v>
      </c>
      <c r="G2196" s="3074">
        <v>1.23</v>
      </c>
    </row>
    <row r="2197" spans="1:7">
      <c r="A2197" s="2894"/>
      <c r="B2197" s="2895" t="s">
        <v>2448</v>
      </c>
      <c r="C2197" s="3209" t="s">
        <v>1300</v>
      </c>
      <c r="D2197" s="2895"/>
      <c r="E2197" s="2896">
        <f t="shared" ref="E2197:E2198" si="23">(G2197-F2197)/G2197</f>
        <v>0.15189873417721517</v>
      </c>
      <c r="F2197" s="3075">
        <v>0.67</v>
      </c>
      <c r="G2197" s="3076">
        <v>0.79</v>
      </c>
    </row>
    <row r="2198" spans="1:7">
      <c r="A2198" s="2894"/>
      <c r="B2198" s="2895" t="s">
        <v>2403</v>
      </c>
      <c r="C2198" s="3209" t="s">
        <v>3826</v>
      </c>
      <c r="D2198" s="2895"/>
      <c r="E2198" s="2896">
        <f t="shared" si="23"/>
        <v>0.15189873417721517</v>
      </c>
      <c r="F2198" s="3075">
        <v>0.67</v>
      </c>
      <c r="G2198" s="3076">
        <v>0.79</v>
      </c>
    </row>
    <row r="2199" spans="1:7">
      <c r="A2199" s="2897"/>
      <c r="B2199" s="2898" t="s">
        <v>2451</v>
      </c>
      <c r="C2199" s="2920"/>
      <c r="D2199" s="2898"/>
      <c r="E2199" s="2896"/>
      <c r="F2199" s="3075"/>
      <c r="G2199" s="3077"/>
    </row>
    <row r="2200" spans="1:7">
      <c r="A2200" s="2897"/>
      <c r="B2200" s="2898" t="s">
        <v>2185</v>
      </c>
      <c r="C2200" s="2920"/>
      <c r="D2200" s="2898"/>
      <c r="E2200" s="2896"/>
      <c r="F2200" s="3075"/>
      <c r="G2200" s="3077"/>
    </row>
    <row r="2201" spans="1:7" ht="15.75" thickBot="1">
      <c r="A2201" s="2914"/>
      <c r="B2201" s="2915" t="s">
        <v>2447</v>
      </c>
      <c r="C2201" s="2915"/>
      <c r="D2201" s="2915"/>
      <c r="E2201" s="2915"/>
      <c r="F2201" s="2915"/>
      <c r="G2201" s="2917"/>
    </row>
    <row r="2202" spans="1:7" ht="15.75" thickBot="1"/>
    <row r="2203" spans="1:7">
      <c r="A2203" s="3572" t="s">
        <v>0</v>
      </c>
      <c r="B2203" s="3557" t="s">
        <v>1</v>
      </c>
      <c r="C2203" s="3518" t="s">
        <v>2</v>
      </c>
      <c r="D2203" s="3518" t="s">
        <v>3</v>
      </c>
      <c r="E2203" s="3518" t="s">
        <v>4</v>
      </c>
      <c r="F2203" s="3522" t="s">
        <v>5</v>
      </c>
      <c r="G2203" s="3522" t="s">
        <v>3504</v>
      </c>
    </row>
    <row r="2204" spans="1:7" ht="15.75" thickBot="1">
      <c r="A2204" s="3905"/>
      <c r="B2204" s="3906"/>
      <c r="C2204" s="3550"/>
      <c r="D2204" s="3550"/>
      <c r="E2204" s="3550"/>
      <c r="F2204" s="3551"/>
      <c r="G2204" s="3551"/>
    </row>
    <row r="2205" spans="1:7">
      <c r="A2205" s="2930" t="s">
        <v>3832</v>
      </c>
      <c r="B2205" s="2420" t="s">
        <v>409</v>
      </c>
      <c r="C2205" s="1163" t="s">
        <v>2462</v>
      </c>
      <c r="D2205" s="2421"/>
      <c r="E2205" s="1431">
        <f>(G2205-F2205)/G2205</f>
        <v>0.1372549019607843</v>
      </c>
      <c r="F2205" s="3057">
        <v>1.32</v>
      </c>
      <c r="G2205" s="881">
        <v>1.53</v>
      </c>
    </row>
    <row r="2206" spans="1:7" ht="15.75" thickBot="1">
      <c r="A2206" s="2923"/>
      <c r="B2206" s="2924"/>
      <c r="C2206" s="2938"/>
      <c r="D2206" s="2915"/>
      <c r="E2206" s="2936"/>
      <c r="F2206" s="3011"/>
      <c r="G2206" s="2917"/>
    </row>
    <row r="2207" spans="1:7" ht="15.75" thickBot="1">
      <c r="B2207" s="2885"/>
    </row>
    <row r="2208" spans="1:7">
      <c r="A2208" s="3614" t="s">
        <v>0</v>
      </c>
      <c r="B2208" s="3518" t="s">
        <v>1</v>
      </c>
      <c r="C2208" s="3518" t="s">
        <v>2</v>
      </c>
      <c r="D2208" s="3518" t="s">
        <v>3</v>
      </c>
      <c r="E2208" s="3518" t="s">
        <v>4</v>
      </c>
      <c r="F2208" s="3518" t="s">
        <v>5</v>
      </c>
      <c r="G2208" s="3522" t="s">
        <v>3504</v>
      </c>
    </row>
    <row r="2209" spans="1:7" ht="15.75" thickBot="1">
      <c r="A2209" s="3555"/>
      <c r="B2209" s="3550"/>
      <c r="C2209" s="3550"/>
      <c r="D2209" s="3550"/>
      <c r="E2209" s="3550"/>
      <c r="F2209" s="3550"/>
      <c r="G2209" s="3551"/>
    </row>
    <row r="2210" spans="1:7">
      <c r="A2210" s="1675" t="s">
        <v>3848</v>
      </c>
      <c r="B2210" s="2887" t="s">
        <v>1414</v>
      </c>
      <c r="C2210" s="3235" t="s">
        <v>1950</v>
      </c>
      <c r="D2210" s="2887"/>
      <c r="E2210" s="3059">
        <f t="shared" ref="E2210:E2221" si="24">(G2210-F2210)/G2210</f>
        <v>0.22115384615384612</v>
      </c>
      <c r="F2210" s="3229">
        <v>0.81</v>
      </c>
      <c r="G2210" s="3230">
        <v>1.04</v>
      </c>
    </row>
    <row r="2211" spans="1:7">
      <c r="A2211" s="2894"/>
      <c r="B2211" s="2895" t="s">
        <v>1415</v>
      </c>
      <c r="C2211" s="3233" t="s">
        <v>3317</v>
      </c>
      <c r="D2211" s="2895"/>
      <c r="E2211" s="2912">
        <f t="shared" si="24"/>
        <v>0.22115384615384612</v>
      </c>
      <c r="F2211" s="3231">
        <v>0.81</v>
      </c>
      <c r="G2211" s="3232">
        <v>1.04</v>
      </c>
    </row>
    <row r="2212" spans="1:7">
      <c r="A2212" s="3062"/>
      <c r="B2212" s="2895"/>
      <c r="C2212" s="3233" t="s">
        <v>1949</v>
      </c>
      <c r="D2212" s="2895"/>
      <c r="E2212" s="2912">
        <f t="shared" si="24"/>
        <v>0.22115384615384612</v>
      </c>
      <c r="F2212" s="3231">
        <v>0.81</v>
      </c>
      <c r="G2212" s="3232">
        <v>1.04</v>
      </c>
    </row>
    <row r="2213" spans="1:7">
      <c r="A2213" s="3062"/>
      <c r="B2213" s="2898"/>
      <c r="C2213" s="3233" t="s">
        <v>3316</v>
      </c>
      <c r="D2213" s="2898"/>
      <c r="E2213" s="2912">
        <f t="shared" si="24"/>
        <v>0.22115384615384612</v>
      </c>
      <c r="F2213" s="3234">
        <v>0.81</v>
      </c>
      <c r="G2213" s="3232">
        <v>1.04</v>
      </c>
    </row>
    <row r="2214" spans="1:7">
      <c r="A2214" s="2897"/>
      <c r="B2214" s="2898"/>
      <c r="C2214" s="3233" t="s">
        <v>2827</v>
      </c>
      <c r="D2214" s="2898"/>
      <c r="E2214" s="3185">
        <f t="shared" si="24"/>
        <v>0.22404371584699462</v>
      </c>
      <c r="F2214" s="2898">
        <v>1.42</v>
      </c>
      <c r="G2214" s="3236">
        <v>1.83</v>
      </c>
    </row>
    <row r="2215" spans="1:7">
      <c r="A2215" s="2897"/>
      <c r="B2215" s="2898"/>
      <c r="C2215" s="3233" t="s">
        <v>2115</v>
      </c>
      <c r="D2215" s="2898"/>
      <c r="E2215" s="3185">
        <f t="shared" si="24"/>
        <v>0.22404371584699462</v>
      </c>
      <c r="F2215" s="2898">
        <v>1.42</v>
      </c>
      <c r="G2215" s="3236">
        <v>1.83</v>
      </c>
    </row>
    <row r="2216" spans="1:7">
      <c r="A2216" s="2897"/>
      <c r="B2216" s="2898"/>
      <c r="C2216" s="3233" t="s">
        <v>2890</v>
      </c>
      <c r="D2216" s="2898"/>
      <c r="E2216" s="3185">
        <f t="shared" si="24"/>
        <v>0.22404371584699462</v>
      </c>
      <c r="F2216" s="2898">
        <v>1.42</v>
      </c>
      <c r="G2216" s="3236">
        <v>1.83</v>
      </c>
    </row>
    <row r="2217" spans="1:7">
      <c r="A2217" s="2897"/>
      <c r="B2217" s="2898"/>
      <c r="C2217" s="3233" t="s">
        <v>2116</v>
      </c>
      <c r="D2217" s="2898"/>
      <c r="E2217" s="3185">
        <f t="shared" si="24"/>
        <v>0.22404371584699462</v>
      </c>
      <c r="F2217" s="2898">
        <v>1.42</v>
      </c>
      <c r="G2217" s="3236">
        <v>1.83</v>
      </c>
    </row>
    <row r="2218" spans="1:7">
      <c r="A2218" s="2897"/>
      <c r="B2218" s="2898"/>
      <c r="C2218" s="3233" t="s">
        <v>2871</v>
      </c>
      <c r="D2218" s="2898"/>
      <c r="E2218" s="3185">
        <f t="shared" si="24"/>
        <v>0.22404371584699462</v>
      </c>
      <c r="F2218" s="2898">
        <v>1.42</v>
      </c>
      <c r="G2218" s="3236">
        <v>1.83</v>
      </c>
    </row>
    <row r="2219" spans="1:7">
      <c r="A2219" s="2897"/>
      <c r="B2219" s="2898"/>
      <c r="C2219" s="3233" t="s">
        <v>2066</v>
      </c>
      <c r="D2219" s="2898"/>
      <c r="E2219" s="3185">
        <f t="shared" si="24"/>
        <v>0.22404371584699462</v>
      </c>
      <c r="F2219" s="2898">
        <v>1.42</v>
      </c>
      <c r="G2219" s="3236">
        <v>1.83</v>
      </c>
    </row>
    <row r="2220" spans="1:7">
      <c r="A2220" s="2897"/>
      <c r="B2220" s="2898"/>
      <c r="C2220" s="3233" t="s">
        <v>858</v>
      </c>
      <c r="D2220" s="2898"/>
      <c r="E2220" s="3185">
        <f t="shared" si="24"/>
        <v>0.13157894736842099</v>
      </c>
      <c r="F2220" s="2898">
        <v>0.99</v>
      </c>
      <c r="G2220" s="3236">
        <v>1.1399999999999999</v>
      </c>
    </row>
    <row r="2221" spans="1:7" ht="15.75" thickBot="1">
      <c r="A2221" s="2889"/>
      <c r="B2221" s="2893"/>
      <c r="C2221" s="3237" t="s">
        <v>730</v>
      </c>
      <c r="D2221" s="2893"/>
      <c r="E2221" s="3187">
        <f t="shared" si="24"/>
        <v>0.20999999999999996</v>
      </c>
      <c r="F2221" s="2893">
        <v>0.79</v>
      </c>
      <c r="G2221" s="3238">
        <v>1</v>
      </c>
    </row>
    <row r="2222" spans="1:7" ht="15.75" thickBot="1"/>
    <row r="2223" spans="1:7">
      <c r="A2223" s="3614" t="s">
        <v>0</v>
      </c>
      <c r="B2223" s="3518" t="s">
        <v>1</v>
      </c>
      <c r="C2223" s="3518" t="s">
        <v>2</v>
      </c>
      <c r="D2223" s="3518" t="s">
        <v>3</v>
      </c>
      <c r="E2223" s="3518" t="s">
        <v>4</v>
      </c>
      <c r="F2223" s="3518" t="s">
        <v>5</v>
      </c>
      <c r="G2223" s="3522" t="s">
        <v>3504</v>
      </c>
    </row>
    <row r="2224" spans="1:7" ht="15.75" thickBot="1">
      <c r="A2224" s="3555"/>
      <c r="B2224" s="3550"/>
      <c r="C2224" s="3550"/>
      <c r="D2224" s="3550"/>
      <c r="E2224" s="3550"/>
      <c r="F2224" s="3550"/>
      <c r="G2224" s="4033"/>
    </row>
    <row r="2225" spans="1:7">
      <c r="A2225" s="1675" t="s">
        <v>3855</v>
      </c>
      <c r="B2225" s="2420" t="s">
        <v>409</v>
      </c>
      <c r="C2225" s="3235" t="s">
        <v>1820</v>
      </c>
      <c r="D2225" s="2887"/>
      <c r="E2225" s="3059" t="e">
        <f t="shared" ref="E2225:E2227" si="25">(G2225-F2225)/G2225</f>
        <v>#VALUE!</v>
      </c>
      <c r="F2225" s="3229">
        <v>1.32</v>
      </c>
      <c r="G2225" s="3230" t="s">
        <v>3817</v>
      </c>
    </row>
    <row r="2226" spans="1:7">
      <c r="A2226" s="2894"/>
      <c r="B2226" s="2895"/>
      <c r="C2226" s="3233" t="s">
        <v>3679</v>
      </c>
      <c r="D2226" s="2895"/>
      <c r="E2226" s="2912" t="e">
        <f t="shared" si="25"/>
        <v>#VALUE!</v>
      </c>
      <c r="F2226" s="3231">
        <v>1.32</v>
      </c>
      <c r="G2226" s="3232" t="s">
        <v>3817</v>
      </c>
    </row>
    <row r="2227" spans="1:7" ht="15.75" thickBot="1">
      <c r="A2227" s="3065"/>
      <c r="B2227" s="2987"/>
      <c r="C2227" s="3237" t="s">
        <v>623</v>
      </c>
      <c r="D2227" s="2987"/>
      <c r="E2227" s="2916">
        <f t="shared" si="25"/>
        <v>0.20942408376963348</v>
      </c>
      <c r="F2227" s="3245">
        <v>1.51</v>
      </c>
      <c r="G2227" s="3246">
        <v>1.91</v>
      </c>
    </row>
    <row r="2228" spans="1:7" ht="15.75" thickBot="1"/>
    <row r="2229" spans="1:7">
      <c r="A2229" s="3614" t="s">
        <v>0</v>
      </c>
      <c r="B2229" s="3518" t="s">
        <v>1</v>
      </c>
      <c r="C2229" s="3518" t="s">
        <v>2</v>
      </c>
      <c r="D2229" s="3518" t="s">
        <v>3</v>
      </c>
      <c r="E2229" s="3518" t="s">
        <v>4</v>
      </c>
      <c r="F2229" s="3518" t="s">
        <v>5</v>
      </c>
      <c r="G2229" s="3522" t="s">
        <v>3504</v>
      </c>
    </row>
    <row r="2230" spans="1:7" ht="15.75" thickBot="1">
      <c r="A2230" s="3555"/>
      <c r="B2230" s="3550"/>
      <c r="C2230" s="3550"/>
      <c r="D2230" s="3550"/>
      <c r="E2230" s="3550"/>
      <c r="F2230" s="3550"/>
      <c r="G2230" s="3551"/>
    </row>
    <row r="2231" spans="1:7">
      <c r="A2231" s="1675" t="s">
        <v>3862</v>
      </c>
      <c r="B2231" s="2887" t="s">
        <v>1414</v>
      </c>
      <c r="C2231" s="3235" t="s">
        <v>1891</v>
      </c>
      <c r="D2231" s="2887"/>
      <c r="E2231" s="3059">
        <f t="shared" ref="E2231:E2232" si="26">(G2231-F2231)/G2231</f>
        <v>0.35658914728682173</v>
      </c>
      <c r="F2231" s="3229">
        <v>0.83</v>
      </c>
      <c r="G2231" s="3230">
        <v>1.29</v>
      </c>
    </row>
    <row r="2232" spans="1:7">
      <c r="A2232" s="2894"/>
      <c r="B2232" s="2895" t="s">
        <v>1415</v>
      </c>
      <c r="C2232" s="3233" t="s">
        <v>1892</v>
      </c>
      <c r="D2232" s="2895"/>
      <c r="E2232" s="2912">
        <f t="shared" si="26"/>
        <v>0.35658914728682173</v>
      </c>
      <c r="F2232" s="3231">
        <v>0.83</v>
      </c>
      <c r="G2232" s="3232">
        <v>1.29</v>
      </c>
    </row>
    <row r="2233" spans="1:7" ht="15.75" thickBot="1"/>
    <row r="2234" spans="1:7">
      <c r="A2234" s="3614" t="s">
        <v>0</v>
      </c>
      <c r="B2234" s="3518" t="s">
        <v>1</v>
      </c>
      <c r="C2234" s="3518" t="s">
        <v>2</v>
      </c>
      <c r="D2234" s="3518" t="s">
        <v>3</v>
      </c>
      <c r="E2234" s="3518" t="s">
        <v>4</v>
      </c>
      <c r="F2234" s="3518" t="s">
        <v>5</v>
      </c>
      <c r="G2234" s="3522" t="s">
        <v>3504</v>
      </c>
    </row>
    <row r="2235" spans="1:7" ht="15.75" thickBot="1">
      <c r="A2235" s="3555"/>
      <c r="B2235" s="3550"/>
      <c r="C2235" s="3550"/>
      <c r="D2235" s="3550"/>
      <c r="E2235" s="3550"/>
      <c r="F2235" s="3550"/>
      <c r="G2235" s="4033"/>
    </row>
    <row r="2236" spans="1:7">
      <c r="A2236" s="1675" t="s">
        <v>3868</v>
      </c>
      <c r="B2236" s="2420" t="s">
        <v>409</v>
      </c>
      <c r="C2236" s="3235" t="s">
        <v>2425</v>
      </c>
      <c r="D2236" s="2887"/>
      <c r="E2236" s="3059" t="e">
        <f t="shared" ref="E2236:E2237" si="27">(G2236-F2236)/G2236</f>
        <v>#VALUE!</v>
      </c>
      <c r="F2236" s="3229">
        <v>1.65</v>
      </c>
      <c r="G2236" s="3230" t="s">
        <v>3817</v>
      </c>
    </row>
    <row r="2237" spans="1:7" ht="15.75" thickBot="1">
      <c r="A2237" s="3255"/>
      <c r="B2237" s="2987"/>
      <c r="C2237" s="3237" t="s">
        <v>2426</v>
      </c>
      <c r="D2237" s="2987"/>
      <c r="E2237" s="2916" t="e">
        <f t="shared" si="27"/>
        <v>#VALUE!</v>
      </c>
      <c r="F2237" s="3245">
        <v>1.65</v>
      </c>
      <c r="G2237" s="3246" t="s">
        <v>3817</v>
      </c>
    </row>
    <row r="2238" spans="1:7" ht="15.75" thickBot="1"/>
    <row r="2239" spans="1:7">
      <c r="A2239" s="3614" t="s">
        <v>0</v>
      </c>
      <c r="B2239" s="3518" t="s">
        <v>1</v>
      </c>
      <c r="C2239" s="3518" t="s">
        <v>2</v>
      </c>
      <c r="D2239" s="3518" t="s">
        <v>3</v>
      </c>
      <c r="E2239" s="3518" t="s">
        <v>4</v>
      </c>
      <c r="F2239" s="3518" t="s">
        <v>5</v>
      </c>
      <c r="G2239" s="3522" t="s">
        <v>3504</v>
      </c>
    </row>
    <row r="2240" spans="1:7" ht="15.75" thickBot="1">
      <c r="A2240" s="3555"/>
      <c r="B2240" s="3550"/>
      <c r="C2240" s="3550"/>
      <c r="D2240" s="3550"/>
      <c r="E2240" s="3550"/>
      <c r="F2240" s="3550"/>
      <c r="G2240" s="3551"/>
    </row>
    <row r="2241" spans="1:7">
      <c r="A2241" s="1675" t="s">
        <v>3889</v>
      </c>
      <c r="B2241" s="2887" t="s">
        <v>1414</v>
      </c>
      <c r="C2241" s="3235" t="s">
        <v>2999</v>
      </c>
      <c r="D2241" s="2887"/>
      <c r="E2241" s="3059">
        <f t="shared" ref="E2241:E2243" si="28">(G2241-F2241)/G2241</f>
        <v>0.2318181818181819</v>
      </c>
      <c r="F2241" s="3229">
        <v>1.69</v>
      </c>
      <c r="G2241" s="3230">
        <v>2.2000000000000002</v>
      </c>
    </row>
    <row r="2242" spans="1:7">
      <c r="A2242" s="2894"/>
      <c r="B2242" s="2895" t="s">
        <v>1415</v>
      </c>
      <c r="C2242" s="3233" t="s">
        <v>3785</v>
      </c>
      <c r="D2242" s="2895"/>
      <c r="E2242" s="2912">
        <f t="shared" si="28"/>
        <v>0.23195876288659792</v>
      </c>
      <c r="F2242" s="3231">
        <v>1.49</v>
      </c>
      <c r="G2242" s="3232">
        <v>1.94</v>
      </c>
    </row>
    <row r="2243" spans="1:7" ht="15.75" thickBot="1">
      <c r="A2243" s="2914"/>
      <c r="B2243" s="2915"/>
      <c r="C2243" s="2915" t="s">
        <v>3786</v>
      </c>
      <c r="D2243" s="2915"/>
      <c r="E2243" s="2916">
        <f t="shared" si="28"/>
        <v>0.23195876288659792</v>
      </c>
      <c r="F2243" s="3245">
        <v>1.49</v>
      </c>
      <c r="G2243" s="2917">
        <v>1.94</v>
      </c>
    </row>
    <row r="2244" spans="1:7" ht="15.75" thickBot="1"/>
    <row r="2245" spans="1:7">
      <c r="A2245" s="3614" t="s">
        <v>0</v>
      </c>
      <c r="B2245" s="3518" t="s">
        <v>1</v>
      </c>
      <c r="C2245" s="3518" t="s">
        <v>2</v>
      </c>
      <c r="D2245" s="3518" t="s">
        <v>3</v>
      </c>
      <c r="E2245" s="3518" t="s">
        <v>4</v>
      </c>
      <c r="F2245" s="3518" t="s">
        <v>5</v>
      </c>
      <c r="G2245" s="3522" t="s">
        <v>3504</v>
      </c>
    </row>
    <row r="2246" spans="1:7" ht="15.75" thickBot="1">
      <c r="A2246" s="3555"/>
      <c r="B2246" s="3550"/>
      <c r="C2246" s="3550"/>
      <c r="D2246" s="3550"/>
      <c r="E2246" s="3550"/>
      <c r="F2246" s="3550"/>
      <c r="G2246" s="4033"/>
    </row>
    <row r="2247" spans="1:7">
      <c r="A2247" s="1675" t="s">
        <v>3895</v>
      </c>
      <c r="B2247" s="2420" t="s">
        <v>409</v>
      </c>
      <c r="C2247" s="3235" t="s">
        <v>3315</v>
      </c>
      <c r="D2247" s="2887"/>
      <c r="E2247" s="3059">
        <f t="shared" ref="E2247:E2252" si="29">(G2247-F2247)/G2247</f>
        <v>0.22641509433962273</v>
      </c>
      <c r="F2247" s="3229">
        <v>0.82</v>
      </c>
      <c r="G2247" s="3230">
        <v>1.06</v>
      </c>
    </row>
    <row r="2248" spans="1:7">
      <c r="A2248" s="2894"/>
      <c r="B2248" s="2895"/>
      <c r="C2248" s="3233" t="s">
        <v>3316</v>
      </c>
      <c r="D2248" s="2895"/>
      <c r="E2248" s="2912">
        <f t="shared" si="29"/>
        <v>0.22641509433962273</v>
      </c>
      <c r="F2248" s="3231">
        <v>0.82</v>
      </c>
      <c r="G2248" s="3232">
        <v>1.06</v>
      </c>
    </row>
    <row r="2249" spans="1:7">
      <c r="A2249" s="2910"/>
      <c r="B2249" s="2911"/>
      <c r="C2249" s="2911" t="s">
        <v>3317</v>
      </c>
      <c r="D2249" s="2911"/>
      <c r="E2249" s="2912">
        <f t="shared" si="29"/>
        <v>0.22641509433962273</v>
      </c>
      <c r="F2249" s="2911">
        <v>0.82</v>
      </c>
      <c r="G2249" s="2913">
        <v>1.06</v>
      </c>
    </row>
    <row r="2250" spans="1:7">
      <c r="A2250" s="2910"/>
      <c r="B2250" s="2911"/>
      <c r="C2250" s="2911" t="s">
        <v>2462</v>
      </c>
      <c r="D2250" s="2911"/>
      <c r="E2250" s="2912">
        <f t="shared" si="29"/>
        <v>0.1372549019607843</v>
      </c>
      <c r="F2250" s="2911">
        <v>1.32</v>
      </c>
      <c r="G2250" s="2913">
        <v>1.53</v>
      </c>
    </row>
    <row r="2251" spans="1:7">
      <c r="A2251" s="2910"/>
      <c r="B2251" s="2911"/>
      <c r="C2251" s="2911" t="s">
        <v>2251</v>
      </c>
      <c r="D2251" s="2911"/>
      <c r="E2251" s="2912">
        <f t="shared" si="29"/>
        <v>0.26877470355731214</v>
      </c>
      <c r="F2251" s="2911">
        <v>1.85</v>
      </c>
      <c r="G2251" s="2913">
        <v>2.5299999999999998</v>
      </c>
    </row>
    <row r="2252" spans="1:7" ht="15.75" thickBot="1">
      <c r="A2252" s="2914"/>
      <c r="B2252" s="2915"/>
      <c r="C2252" s="2915" t="s">
        <v>3894</v>
      </c>
      <c r="D2252" s="2915"/>
      <c r="E2252" s="2916">
        <f t="shared" si="29"/>
        <v>0.26923076923076927</v>
      </c>
      <c r="F2252" s="3011">
        <v>1.9</v>
      </c>
      <c r="G2252" s="3144">
        <v>2.6</v>
      </c>
    </row>
    <row r="2253" spans="1:7" ht="15.75" thickBot="1"/>
    <row r="2254" spans="1:7">
      <c r="A2254" s="3614" t="s">
        <v>0</v>
      </c>
      <c r="B2254" s="3518" t="s">
        <v>1</v>
      </c>
      <c r="C2254" s="3518" t="s">
        <v>2</v>
      </c>
      <c r="D2254" s="3518" t="s">
        <v>3</v>
      </c>
      <c r="E2254" s="3518" t="s">
        <v>4</v>
      </c>
      <c r="F2254" s="3522" t="s">
        <v>5</v>
      </c>
      <c r="G2254" s="3522" t="s">
        <v>3504</v>
      </c>
    </row>
    <row r="2255" spans="1:7" ht="15.75" thickBot="1">
      <c r="A2255" s="4032"/>
      <c r="B2255" s="3550"/>
      <c r="C2255" s="3550"/>
      <c r="D2255" s="3550"/>
      <c r="E2255" s="3550"/>
      <c r="F2255" s="4033"/>
      <c r="G2255" s="4033"/>
    </row>
    <row r="2256" spans="1:7" ht="15.75" thickBot="1">
      <c r="A2256" s="2287" t="s">
        <v>3898</v>
      </c>
      <c r="B2256" s="3283" t="s">
        <v>200</v>
      </c>
      <c r="C2256" s="3284" t="s">
        <v>623</v>
      </c>
      <c r="D2256" s="3285"/>
      <c r="E2256" s="3286">
        <f>(G2256-F2256)/G2256</f>
        <v>0.35609756097560968</v>
      </c>
      <c r="F2256" s="3138">
        <v>1.32</v>
      </c>
      <c r="G2256" s="3287">
        <v>2.0499999999999998</v>
      </c>
    </row>
    <row r="2257" spans="1:7" ht="15.75" thickBot="1"/>
    <row r="2258" spans="1:7">
      <c r="A2258" s="3614" t="s">
        <v>0</v>
      </c>
      <c r="B2258" s="3518" t="s">
        <v>1</v>
      </c>
      <c r="C2258" s="3518" t="s">
        <v>2</v>
      </c>
      <c r="D2258" s="3518" t="s">
        <v>3</v>
      </c>
      <c r="E2258" s="3518" t="s">
        <v>4</v>
      </c>
      <c r="F2258" s="3518" t="s">
        <v>5</v>
      </c>
      <c r="G2258" s="3522" t="s">
        <v>3504</v>
      </c>
    </row>
    <row r="2259" spans="1:7" ht="15.75" thickBot="1">
      <c r="A2259" s="3555"/>
      <c r="B2259" s="3550"/>
      <c r="C2259" s="3550"/>
      <c r="D2259" s="3550"/>
      <c r="E2259" s="3550"/>
      <c r="F2259" s="3550"/>
      <c r="G2259" s="4033"/>
    </row>
    <row r="2260" spans="1:7">
      <c r="A2260" s="1675" t="s">
        <v>3901</v>
      </c>
      <c r="B2260" s="2420" t="s">
        <v>409</v>
      </c>
      <c r="C2260" s="3235" t="s">
        <v>2115</v>
      </c>
      <c r="D2260" s="2887"/>
      <c r="E2260" s="3059">
        <f t="shared" ref="E2260:E2263" si="30">(G2260-F2260)/G2260</f>
        <v>0.25925925925925924</v>
      </c>
      <c r="F2260" s="3229">
        <v>1.4</v>
      </c>
      <c r="G2260" s="3230">
        <v>1.89</v>
      </c>
    </row>
    <row r="2261" spans="1:7">
      <c r="A2261" s="3295"/>
      <c r="B2261" s="3296"/>
      <c r="C2261" s="3297" t="s">
        <v>2116</v>
      </c>
      <c r="D2261" s="3296"/>
      <c r="E2261" s="3298">
        <f t="shared" si="30"/>
        <v>0.25925925925925924</v>
      </c>
      <c r="F2261" s="3299">
        <v>1.4</v>
      </c>
      <c r="G2261" s="3300">
        <v>1.89</v>
      </c>
    </row>
    <row r="2262" spans="1:7">
      <c r="A2262" s="3275"/>
      <c r="B2262" s="3276"/>
      <c r="C2262" s="3276" t="s">
        <v>2066</v>
      </c>
      <c r="D2262" s="3276"/>
      <c r="E2262" s="3298">
        <f t="shared" si="30"/>
        <v>0.25925925925925924</v>
      </c>
      <c r="F2262" s="3301">
        <v>1.4</v>
      </c>
      <c r="G2262" s="3302">
        <v>1.89</v>
      </c>
    </row>
    <row r="2263" spans="1:7" ht="15.75" thickBot="1">
      <c r="A2263" s="3279"/>
      <c r="B2263" s="3280"/>
      <c r="C2263" s="3280" t="s">
        <v>623</v>
      </c>
      <c r="D2263" s="3280"/>
      <c r="E2263" s="3303">
        <f t="shared" si="30"/>
        <v>0.20942408376963348</v>
      </c>
      <c r="F2263" s="3304">
        <v>1.51</v>
      </c>
      <c r="G2263" s="3305">
        <v>1.91</v>
      </c>
    </row>
    <row r="2264" spans="1:7" ht="15.75" thickBot="1"/>
    <row r="2265" spans="1:7">
      <c r="A2265" s="3614" t="s">
        <v>0</v>
      </c>
      <c r="B2265" s="3518" t="s">
        <v>1</v>
      </c>
      <c r="C2265" s="3518" t="s">
        <v>2</v>
      </c>
      <c r="D2265" s="3518" t="s">
        <v>3</v>
      </c>
      <c r="E2265" s="3518" t="s">
        <v>4</v>
      </c>
      <c r="F2265" s="3518" t="s">
        <v>5</v>
      </c>
      <c r="G2265" s="3522" t="s">
        <v>3504</v>
      </c>
    </row>
    <row r="2266" spans="1:7" ht="15.75" thickBot="1">
      <c r="A2266" s="3897"/>
      <c r="B2266" s="3550"/>
      <c r="C2266" s="3550"/>
      <c r="D2266" s="3550"/>
      <c r="E2266" s="3550"/>
      <c r="F2266" s="3550"/>
      <c r="G2266" s="3523"/>
    </row>
    <row r="2267" spans="1:7" ht="15.75" thickBot="1">
      <c r="A2267" s="3133" t="s">
        <v>3912</v>
      </c>
      <c r="B2267" s="3348" t="s">
        <v>409</v>
      </c>
      <c r="C2267" s="3349" t="s">
        <v>554</v>
      </c>
      <c r="D2267" s="3134"/>
      <c r="E2267" s="3350">
        <f t="shared" ref="E2267" si="31">(G2267-F2267)/G2267</f>
        <v>0.23448275862068957</v>
      </c>
      <c r="F2267" s="3351">
        <v>1.1100000000000001</v>
      </c>
      <c r="G2267" s="3352">
        <v>1.45</v>
      </c>
    </row>
    <row r="2268" spans="1:7" ht="15.75" thickBot="1"/>
    <row r="2269" spans="1:7">
      <c r="A2269" s="3614" t="s">
        <v>0</v>
      </c>
      <c r="B2269" s="3518" t="s">
        <v>1</v>
      </c>
      <c r="C2269" s="3518" t="s">
        <v>2</v>
      </c>
      <c r="D2269" s="3518" t="s">
        <v>3</v>
      </c>
      <c r="E2269" s="3518" t="s">
        <v>4</v>
      </c>
      <c r="F2269" s="3518" t="s">
        <v>5</v>
      </c>
      <c r="G2269" s="3522" t="s">
        <v>3504</v>
      </c>
    </row>
    <row r="2270" spans="1:7" ht="15.75" thickBot="1">
      <c r="A2270" s="3555"/>
      <c r="B2270" s="3550"/>
      <c r="C2270" s="3550"/>
      <c r="D2270" s="3550"/>
      <c r="E2270" s="3550"/>
      <c r="F2270" s="3550"/>
      <c r="G2270" s="3551"/>
    </row>
    <row r="2271" spans="1:7">
      <c r="A2271" s="1675" t="s">
        <v>3920</v>
      </c>
      <c r="B2271" s="2887" t="s">
        <v>1414</v>
      </c>
      <c r="C2271" s="3235" t="s">
        <v>2115</v>
      </c>
      <c r="D2271" s="2887"/>
      <c r="E2271" s="3059">
        <f t="shared" ref="E2271:E2275" si="32">(G2271-F2271)/G2271</f>
        <v>0.21857923497267767</v>
      </c>
      <c r="F2271" s="3229">
        <v>1.43</v>
      </c>
      <c r="G2271" s="3230">
        <v>1.83</v>
      </c>
    </row>
    <row r="2272" spans="1:7">
      <c r="A2272" s="3335"/>
      <c r="B2272" s="3336" t="s">
        <v>1415</v>
      </c>
      <c r="C2272" s="3386" t="s">
        <v>2116</v>
      </c>
      <c r="D2272" s="3336"/>
      <c r="E2272" s="3338">
        <f t="shared" si="32"/>
        <v>0.21857923497267767</v>
      </c>
      <c r="F2272" s="3387">
        <v>1.43</v>
      </c>
      <c r="G2272" s="3388">
        <v>1.83</v>
      </c>
    </row>
    <row r="2273" spans="1:7" ht="15.75" thickBot="1">
      <c r="A2273" s="3327"/>
      <c r="B2273" s="3328"/>
      <c r="C2273" s="3328" t="s">
        <v>2066</v>
      </c>
      <c r="D2273" s="3328"/>
      <c r="E2273" s="3341">
        <f t="shared" si="32"/>
        <v>0.21857923497267767</v>
      </c>
      <c r="F2273" s="3389">
        <v>1.43</v>
      </c>
      <c r="G2273" s="3390">
        <v>1.83</v>
      </c>
    </row>
    <row r="2274" spans="1:7">
      <c r="A2274" s="879" t="s">
        <v>3921</v>
      </c>
      <c r="B2274" s="2421"/>
      <c r="C2274" s="2421" t="s">
        <v>554</v>
      </c>
      <c r="D2274" s="2421"/>
      <c r="E2274" s="1198">
        <f t="shared" si="32"/>
        <v>0.27659574468085102</v>
      </c>
      <c r="F2274" s="2421">
        <v>1.02</v>
      </c>
      <c r="G2274" s="3391">
        <v>1.41</v>
      </c>
    </row>
    <row r="2275" spans="1:7" ht="15.75" thickBot="1">
      <c r="A2275" s="3327"/>
      <c r="B2275" s="3328"/>
      <c r="C2275" s="3328" t="s">
        <v>730</v>
      </c>
      <c r="D2275" s="3328"/>
      <c r="E2275" s="3341">
        <f t="shared" si="32"/>
        <v>0.27</v>
      </c>
      <c r="F2275" s="3328">
        <v>0.73</v>
      </c>
      <c r="G2275" s="3392">
        <v>1</v>
      </c>
    </row>
    <row r="2276" spans="1:7" ht="15.75" thickBot="1"/>
    <row r="2277" spans="1:7">
      <c r="A2277" s="3614" t="s">
        <v>0</v>
      </c>
      <c r="B2277" s="3518" t="s">
        <v>1</v>
      </c>
      <c r="C2277" s="3518" t="s">
        <v>2</v>
      </c>
      <c r="D2277" s="3518" t="s">
        <v>3</v>
      </c>
      <c r="E2277" s="3518" t="s">
        <v>4</v>
      </c>
      <c r="F2277" s="3518" t="s">
        <v>5</v>
      </c>
      <c r="G2277" s="3522" t="s">
        <v>3504</v>
      </c>
    </row>
    <row r="2278" spans="1:7" ht="15.75" thickBot="1">
      <c r="A2278" s="3555"/>
      <c r="B2278" s="3550"/>
      <c r="C2278" s="3550"/>
      <c r="D2278" s="3550"/>
      <c r="E2278" s="3550"/>
      <c r="F2278" s="3550"/>
      <c r="G2278" s="3551"/>
    </row>
    <row r="2279" spans="1:7">
      <c r="A2279" s="1675" t="s">
        <v>3932</v>
      </c>
      <c r="B2279" s="2887" t="s">
        <v>1414</v>
      </c>
      <c r="C2279" s="3235" t="s">
        <v>3315</v>
      </c>
      <c r="D2279" s="2887"/>
      <c r="E2279" s="3059">
        <f t="shared" ref="E2279:E2281" si="33">(G2279-F2279)/G2279</f>
        <v>0.23076923076923075</v>
      </c>
      <c r="F2279" s="3229">
        <v>0.8</v>
      </c>
      <c r="G2279" s="3230">
        <v>1.04</v>
      </c>
    </row>
    <row r="2280" spans="1:7">
      <c r="A2280" s="3335"/>
      <c r="B2280" s="3336" t="s">
        <v>1415</v>
      </c>
      <c r="C2280" s="3386" t="s">
        <v>3316</v>
      </c>
      <c r="D2280" s="3336"/>
      <c r="E2280" s="3338">
        <f t="shared" si="33"/>
        <v>0.23076923076923075</v>
      </c>
      <c r="F2280" s="3387">
        <v>0.8</v>
      </c>
      <c r="G2280" s="3388">
        <v>1.04</v>
      </c>
    </row>
    <row r="2281" spans="1:7" ht="15.75" thickBot="1">
      <c r="A2281" s="3327"/>
      <c r="B2281" s="3328"/>
      <c r="C2281" s="3328" t="s">
        <v>3317</v>
      </c>
      <c r="D2281" s="3328"/>
      <c r="E2281" s="3341">
        <f t="shared" si="33"/>
        <v>0.23076923076923075</v>
      </c>
      <c r="F2281" s="3389">
        <v>0.8</v>
      </c>
      <c r="G2281" s="3390">
        <v>1.04</v>
      </c>
    </row>
    <row r="2282" spans="1:7" ht="15.75" thickBot="1"/>
    <row r="2283" spans="1:7">
      <c r="A2283" s="3614" t="s">
        <v>0</v>
      </c>
      <c r="B2283" s="3518" t="s">
        <v>1</v>
      </c>
      <c r="C2283" s="3518" t="s">
        <v>2</v>
      </c>
      <c r="D2283" s="3518" t="s">
        <v>3</v>
      </c>
      <c r="E2283" s="3518" t="s">
        <v>4</v>
      </c>
      <c r="F2283" s="3522" t="s">
        <v>5</v>
      </c>
      <c r="G2283" s="3522" t="s">
        <v>3504</v>
      </c>
    </row>
    <row r="2284" spans="1:7">
      <c r="A2284" s="3532"/>
      <c r="B2284" s="3519"/>
      <c r="C2284" s="3519"/>
      <c r="D2284" s="3519"/>
      <c r="E2284" s="3519"/>
      <c r="F2284" s="3523"/>
      <c r="G2284" s="3523"/>
    </row>
    <row r="2285" spans="1:7">
      <c r="A2285" s="3411" t="s">
        <v>3933</v>
      </c>
      <c r="B2285" s="3379" t="s">
        <v>200</v>
      </c>
      <c r="C2285" s="3409" t="s">
        <v>2602</v>
      </c>
      <c r="D2285" s="3379"/>
      <c r="E2285" s="3410">
        <f>(G2285-F2285)/G2285</f>
        <v>0.19931271477663232</v>
      </c>
      <c r="F2285" s="3319">
        <v>2.33</v>
      </c>
      <c r="G2285" s="3323">
        <v>2.91</v>
      </c>
    </row>
    <row r="2286" spans="1:7">
      <c r="A2286" s="3324"/>
      <c r="B2286" s="3319"/>
      <c r="C2286" s="3319" t="s">
        <v>2603</v>
      </c>
      <c r="D2286" s="3319"/>
      <c r="E2286" s="3410">
        <f t="shared" ref="E2286:E2287" si="34">(G2286-F2286)/G2286</f>
        <v>0.19931271477663232</v>
      </c>
      <c r="F2286" s="3319">
        <v>2.33</v>
      </c>
      <c r="G2286" s="3323">
        <v>2.91</v>
      </c>
    </row>
    <row r="2287" spans="1:7" ht="15.75" thickBot="1">
      <c r="A2287" s="3327"/>
      <c r="B2287" s="3328"/>
      <c r="C2287" s="3328" t="s">
        <v>2558</v>
      </c>
      <c r="D2287" s="3328"/>
      <c r="E2287" s="3412">
        <f t="shared" si="34"/>
        <v>0.19931271477663232</v>
      </c>
      <c r="F2287" s="3328">
        <v>2.33</v>
      </c>
      <c r="G2287" s="3334">
        <v>2.91</v>
      </c>
    </row>
    <row r="2288" spans="1:7" ht="15.75" thickBot="1"/>
    <row r="2289" spans="1:7">
      <c r="A2289" s="3614" t="s">
        <v>0</v>
      </c>
      <c r="B2289" s="3518" t="s">
        <v>1</v>
      </c>
      <c r="C2289" s="3518" t="s">
        <v>2</v>
      </c>
      <c r="D2289" s="3518" t="s">
        <v>3</v>
      </c>
      <c r="E2289" s="3518" t="s">
        <v>4</v>
      </c>
      <c r="F2289" s="3518" t="s">
        <v>5</v>
      </c>
      <c r="G2289" s="3522" t="s">
        <v>3504</v>
      </c>
    </row>
    <row r="2290" spans="1:7" ht="15.75" thickBot="1">
      <c r="A2290" s="3532"/>
      <c r="B2290" s="3519"/>
      <c r="C2290" s="3519"/>
      <c r="D2290" s="3519"/>
      <c r="E2290" s="3519"/>
      <c r="F2290" s="3519"/>
      <c r="G2290" s="3523"/>
    </row>
    <row r="2291" spans="1:7">
      <c r="A2291" s="1675" t="s">
        <v>3941</v>
      </c>
      <c r="B2291" s="2420" t="s">
        <v>409</v>
      </c>
      <c r="C2291" s="3235" t="s">
        <v>1892</v>
      </c>
      <c r="D2291" s="2887"/>
      <c r="E2291" s="3059">
        <f t="shared" ref="E2291:E2293" si="35">(G2291-F2291)/G2291</f>
        <v>0.33870967741935487</v>
      </c>
      <c r="F2291" s="3229">
        <v>0.82</v>
      </c>
      <c r="G2291" s="3230">
        <v>1.24</v>
      </c>
    </row>
    <row r="2292" spans="1:7">
      <c r="A2292" s="3335"/>
      <c r="B2292" s="3336"/>
      <c r="C2292" s="3386" t="s">
        <v>1891</v>
      </c>
      <c r="D2292" s="3336"/>
      <c r="E2292" s="3338">
        <f t="shared" si="35"/>
        <v>0.35937500000000006</v>
      </c>
      <c r="F2292" s="3387">
        <v>0.82</v>
      </c>
      <c r="G2292" s="3388">
        <v>1.28</v>
      </c>
    </row>
    <row r="2293" spans="1:7" ht="15.75" thickBot="1">
      <c r="A2293" s="3327"/>
      <c r="B2293" s="3328"/>
      <c r="C2293" s="3328" t="s">
        <v>2743</v>
      </c>
      <c r="D2293" s="3328"/>
      <c r="E2293" s="3341">
        <f t="shared" si="35"/>
        <v>0.23376623376623382</v>
      </c>
      <c r="F2293" s="3343">
        <v>0.59</v>
      </c>
      <c r="G2293" s="3334">
        <v>0.77</v>
      </c>
    </row>
    <row r="2294" spans="1:7" ht="15.75" thickBot="1"/>
    <row r="2295" spans="1:7">
      <c r="A2295" s="3614" t="s">
        <v>0</v>
      </c>
      <c r="B2295" s="3518" t="s">
        <v>1</v>
      </c>
      <c r="C2295" s="3518" t="s">
        <v>2</v>
      </c>
      <c r="D2295" s="3518" t="s">
        <v>3</v>
      </c>
      <c r="E2295" s="3518" t="s">
        <v>4</v>
      </c>
      <c r="F2295" s="3518" t="s">
        <v>5</v>
      </c>
      <c r="G2295" s="3522" t="s">
        <v>3504</v>
      </c>
    </row>
    <row r="2296" spans="1:7" ht="15.75" thickBot="1">
      <c r="A2296" s="3532"/>
      <c r="B2296" s="3519"/>
      <c r="C2296" s="3519"/>
      <c r="D2296" s="3519"/>
      <c r="E2296" s="3519"/>
      <c r="F2296" s="3519"/>
      <c r="G2296" s="3523"/>
    </row>
    <row r="2297" spans="1:7">
      <c r="A2297" s="1675" t="s">
        <v>3953</v>
      </c>
      <c r="B2297" s="2420" t="s">
        <v>409</v>
      </c>
      <c r="C2297" s="3235" t="s">
        <v>2042</v>
      </c>
      <c r="D2297" s="2887"/>
      <c r="E2297" s="3059">
        <f t="shared" ref="E2297:E2298" si="36">(G2297-F2297)/G2297</f>
        <v>0.32</v>
      </c>
      <c r="F2297" s="3229">
        <v>0.85</v>
      </c>
      <c r="G2297" s="3230">
        <v>1.25</v>
      </c>
    </row>
    <row r="2298" spans="1:7" ht="15.75" thickBot="1">
      <c r="A2298" s="3424"/>
      <c r="B2298" s="3425"/>
      <c r="C2298" s="3426" t="s">
        <v>387</v>
      </c>
      <c r="D2298" s="3425"/>
      <c r="E2298" s="3341">
        <f t="shared" si="36"/>
        <v>0.32</v>
      </c>
      <c r="F2298" s="3389">
        <v>0.85</v>
      </c>
      <c r="G2298" s="3390">
        <v>1.25</v>
      </c>
    </row>
    <row r="2299" spans="1:7" ht="15.75" thickBot="1"/>
    <row r="2300" spans="1:7">
      <c r="A2300" s="3614" t="s">
        <v>0</v>
      </c>
      <c r="B2300" s="3518" t="s">
        <v>1</v>
      </c>
      <c r="C2300" s="3518" t="s">
        <v>2</v>
      </c>
      <c r="D2300" s="3518" t="s">
        <v>3</v>
      </c>
      <c r="E2300" s="3518" t="s">
        <v>4</v>
      </c>
      <c r="F2300" s="3518" t="s">
        <v>5</v>
      </c>
      <c r="G2300" s="3522" t="s">
        <v>3504</v>
      </c>
    </row>
    <row r="2301" spans="1:7" ht="15.75" thickBot="1">
      <c r="A2301" s="3532"/>
      <c r="B2301" s="3519"/>
      <c r="C2301" s="3519"/>
      <c r="D2301" s="3519"/>
      <c r="E2301" s="3519"/>
      <c r="F2301" s="3519"/>
      <c r="G2301" s="3523"/>
    </row>
    <row r="2302" spans="1:7">
      <c r="A2302" s="1675" t="s">
        <v>3956</v>
      </c>
      <c r="B2302" s="2420" t="s">
        <v>409</v>
      </c>
      <c r="C2302" s="3235" t="s">
        <v>1058</v>
      </c>
      <c r="D2302" s="2887"/>
      <c r="E2302" s="3059">
        <f t="shared" ref="E2302:E2304" si="37">(G2302-F2302)/G2302</f>
        <v>0.2307692307692307</v>
      </c>
      <c r="F2302" s="3229">
        <v>1.8</v>
      </c>
      <c r="G2302" s="3230">
        <v>2.34</v>
      </c>
    </row>
    <row r="2303" spans="1:7">
      <c r="A2303" s="3335"/>
      <c r="B2303" s="3336"/>
      <c r="C2303" s="3386" t="s">
        <v>858</v>
      </c>
      <c r="D2303" s="3336"/>
      <c r="E2303" s="3338">
        <f t="shared" si="37"/>
        <v>0.22881355932203384</v>
      </c>
      <c r="F2303" s="3387">
        <v>0.91</v>
      </c>
      <c r="G2303" s="3388">
        <v>1.18</v>
      </c>
    </row>
    <row r="2304" spans="1:7" ht="15.75" thickBot="1">
      <c r="A2304" s="3327"/>
      <c r="B2304" s="3328"/>
      <c r="C2304" s="3328" t="s">
        <v>730</v>
      </c>
      <c r="D2304" s="3328"/>
      <c r="E2304" s="3341">
        <f t="shared" si="37"/>
        <v>0.22549019607843135</v>
      </c>
      <c r="F2304" s="3343">
        <v>0.79</v>
      </c>
      <c r="G2304" s="3334">
        <v>1.02</v>
      </c>
    </row>
    <row r="2305" spans="1:7" ht="15.75" thickBot="1"/>
    <row r="2306" spans="1:7">
      <c r="A2306" s="3614" t="s">
        <v>0</v>
      </c>
      <c r="B2306" s="3518" t="s">
        <v>1</v>
      </c>
      <c r="C2306" s="3518" t="s">
        <v>2</v>
      </c>
      <c r="D2306" s="3518" t="s">
        <v>3</v>
      </c>
      <c r="E2306" s="3518" t="s">
        <v>4</v>
      </c>
      <c r="F2306" s="3522" t="s">
        <v>5</v>
      </c>
      <c r="G2306" s="3522" t="s">
        <v>3504</v>
      </c>
    </row>
    <row r="2307" spans="1:7" ht="15.75" thickBot="1">
      <c r="A2307" s="3555"/>
      <c r="B2307" s="3550"/>
      <c r="C2307" s="3550"/>
      <c r="D2307" s="3550"/>
      <c r="E2307" s="3550"/>
      <c r="F2307" s="3551"/>
      <c r="G2307" s="3551"/>
    </row>
    <row r="2308" spans="1:7">
      <c r="A2308" s="2886" t="s">
        <v>3987</v>
      </c>
      <c r="B2308" s="2887" t="s">
        <v>2438</v>
      </c>
      <c r="C2308" s="3208" t="s">
        <v>3988</v>
      </c>
      <c r="D2308" s="2887"/>
      <c r="E2308" s="2888" t="e">
        <f>(G2308-F2308)/G2308</f>
        <v>#VALUE!</v>
      </c>
      <c r="F2308" s="3073">
        <v>0.64</v>
      </c>
      <c r="G2308" s="3074" t="s">
        <v>1903</v>
      </c>
    </row>
    <row r="2309" spans="1:7">
      <c r="A2309" s="3335"/>
      <c r="B2309" s="3336" t="s">
        <v>2448</v>
      </c>
      <c r="C2309" s="3443" t="s">
        <v>3989</v>
      </c>
      <c r="D2309" s="3336"/>
      <c r="E2309" s="3317" t="e">
        <f t="shared" ref="E2309:E2310" si="38">(G2309-F2309)/G2309</f>
        <v>#VALUE!</v>
      </c>
      <c r="F2309" s="3442">
        <v>1.08</v>
      </c>
      <c r="G2309" s="3444" t="s">
        <v>1903</v>
      </c>
    </row>
    <row r="2310" spans="1:7">
      <c r="A2310" s="3335"/>
      <c r="B2310" s="3336" t="s">
        <v>2403</v>
      </c>
      <c r="C2310" s="3443" t="s">
        <v>3990</v>
      </c>
      <c r="D2310" s="3336"/>
      <c r="E2310" s="3317" t="e">
        <f t="shared" si="38"/>
        <v>#VALUE!</v>
      </c>
      <c r="F2310" s="3442">
        <v>1.08</v>
      </c>
      <c r="G2310" s="3444" t="s">
        <v>1903</v>
      </c>
    </row>
    <row r="2311" spans="1:7">
      <c r="A2311" s="3445"/>
      <c r="B2311" s="3441" t="s">
        <v>2451</v>
      </c>
      <c r="C2311" s="3409"/>
      <c r="D2311" s="3441"/>
      <c r="E2311" s="3317"/>
      <c r="F2311" s="3442"/>
      <c r="G2311" s="3446"/>
    </row>
    <row r="2312" spans="1:7">
      <c r="A2312" s="3445"/>
      <c r="B2312" s="3441" t="s">
        <v>2185</v>
      </c>
      <c r="C2312" s="3409"/>
      <c r="D2312" s="3441"/>
      <c r="E2312" s="3317"/>
      <c r="F2312" s="3442"/>
      <c r="G2312" s="3446"/>
    </row>
    <row r="2313" spans="1:7">
      <c r="A2313" s="3324"/>
      <c r="B2313" s="3319" t="s">
        <v>2447</v>
      </c>
      <c r="C2313" s="3319"/>
      <c r="D2313" s="3319"/>
      <c r="E2313" s="3319"/>
      <c r="F2313" s="3319"/>
      <c r="G2313" s="3323"/>
    </row>
    <row r="2314" spans="1:7" ht="15.75" thickBot="1">
      <c r="A2314" s="3327"/>
      <c r="B2314" s="3328" t="s">
        <v>2449</v>
      </c>
      <c r="C2314" s="3328"/>
      <c r="D2314" s="3328"/>
      <c r="E2314" s="3328"/>
      <c r="F2314" s="3328"/>
      <c r="G2314" s="3334"/>
    </row>
    <row r="2315" spans="1:7" ht="15.75" thickBot="1"/>
    <row r="2316" spans="1:7">
      <c r="A2316" s="3614" t="s">
        <v>0</v>
      </c>
      <c r="B2316" s="3518" t="s">
        <v>1</v>
      </c>
      <c r="C2316" s="3518" t="s">
        <v>2</v>
      </c>
      <c r="D2316" s="3518" t="s">
        <v>3</v>
      </c>
      <c r="E2316" s="3518" t="s">
        <v>4</v>
      </c>
      <c r="F2316" s="3518" t="s">
        <v>5</v>
      </c>
      <c r="G2316" s="3522" t="s">
        <v>3504</v>
      </c>
    </row>
    <row r="2317" spans="1:7" ht="15.75" thickBot="1">
      <c r="A2317" s="3532"/>
      <c r="B2317" s="3519"/>
      <c r="C2317" s="3519"/>
      <c r="D2317" s="3519"/>
      <c r="E2317" s="3519"/>
      <c r="F2317" s="3519"/>
      <c r="G2317" s="3523"/>
    </row>
    <row r="2318" spans="1:7">
      <c r="A2318" s="1675" t="s">
        <v>3991</v>
      </c>
      <c r="B2318" s="2420" t="s">
        <v>409</v>
      </c>
      <c r="C2318" s="3235" t="s">
        <v>3990</v>
      </c>
      <c r="D2318" s="2887"/>
      <c r="E2318" s="3059" t="e">
        <f t="shared" ref="E2318:E2319" si="39">(G2318-F2318)/G2318</f>
        <v>#VALUE!</v>
      </c>
      <c r="F2318" s="3229">
        <v>1.08</v>
      </c>
      <c r="G2318" s="3447" t="s">
        <v>1903</v>
      </c>
    </row>
    <row r="2319" spans="1:7" ht="15.75" thickBot="1">
      <c r="A2319" s="3424"/>
      <c r="B2319" s="3425"/>
      <c r="C2319" s="3426" t="s">
        <v>3992</v>
      </c>
      <c r="D2319" s="3425"/>
      <c r="E2319" s="3341" t="e">
        <f t="shared" si="39"/>
        <v>#VALUE!</v>
      </c>
      <c r="F2319" s="3389">
        <v>1.08</v>
      </c>
      <c r="G2319" s="3448" t="s">
        <v>1903</v>
      </c>
    </row>
    <row r="2320" spans="1:7" ht="15.75" thickBot="1"/>
    <row r="2321" spans="1:7">
      <c r="A2321" s="3614" t="s">
        <v>0</v>
      </c>
      <c r="B2321" s="3518" t="s">
        <v>1</v>
      </c>
      <c r="C2321" s="3518" t="s">
        <v>2</v>
      </c>
      <c r="D2321" s="3518" t="s">
        <v>3</v>
      </c>
      <c r="E2321" s="3518" t="s">
        <v>4</v>
      </c>
      <c r="F2321" s="3518" t="s">
        <v>5</v>
      </c>
      <c r="G2321" s="3522" t="s">
        <v>3504</v>
      </c>
    </row>
    <row r="2322" spans="1:7" ht="15.75" thickBot="1">
      <c r="A2322" s="3532"/>
      <c r="B2322" s="3519"/>
      <c r="C2322" s="3519"/>
      <c r="D2322" s="3519"/>
      <c r="E2322" s="3519"/>
      <c r="F2322" s="3519"/>
      <c r="G2322" s="3523"/>
    </row>
    <row r="2323" spans="1:7">
      <c r="A2323" s="1675" t="s">
        <v>4016</v>
      </c>
      <c r="B2323" s="2420" t="s">
        <v>409</v>
      </c>
      <c r="C2323" s="3235" t="s">
        <v>3988</v>
      </c>
      <c r="D2323" s="2887"/>
      <c r="E2323" s="3059" t="e">
        <f t="shared" ref="E2323:E2324" si="40">(G2323-F2323)/G2323</f>
        <v>#VALUE!</v>
      </c>
      <c r="F2323" s="3229">
        <v>0.64</v>
      </c>
      <c r="G2323" s="3447" t="s">
        <v>1903</v>
      </c>
    </row>
    <row r="2324" spans="1:7" ht="15.75" thickBot="1">
      <c r="A2324" s="3424"/>
      <c r="B2324" s="3425"/>
      <c r="C2324" s="3426" t="s">
        <v>4017</v>
      </c>
      <c r="D2324" s="3425"/>
      <c r="E2324" s="3341" t="e">
        <f t="shared" si="40"/>
        <v>#VALUE!</v>
      </c>
      <c r="F2324" s="3389">
        <v>1.08</v>
      </c>
      <c r="G2324" s="3448" t="s">
        <v>1903</v>
      </c>
    </row>
    <row r="2325" spans="1:7" ht="15.75" thickBot="1"/>
    <row r="2326" spans="1:7">
      <c r="A2326" s="3614" t="s">
        <v>0</v>
      </c>
      <c r="B2326" s="3518" t="s">
        <v>1</v>
      </c>
      <c r="C2326" s="3518" t="s">
        <v>2</v>
      </c>
      <c r="D2326" s="3518" t="s">
        <v>3</v>
      </c>
      <c r="E2326" s="3518" t="s">
        <v>4</v>
      </c>
      <c r="F2326" s="3522" t="s">
        <v>5</v>
      </c>
      <c r="G2326" s="3522" t="s">
        <v>3504</v>
      </c>
    </row>
    <row r="2327" spans="1:7">
      <c r="A2327" s="4031"/>
      <c r="B2327" s="3519"/>
      <c r="C2327" s="3519"/>
      <c r="D2327" s="3519"/>
      <c r="E2327" s="3519"/>
      <c r="F2327" s="3523"/>
      <c r="G2327" s="3523"/>
    </row>
    <row r="2328" spans="1:7">
      <c r="A2328" s="3411" t="s">
        <v>4052</v>
      </c>
      <c r="B2328" s="3379" t="s">
        <v>200</v>
      </c>
      <c r="C2328" s="3409" t="s">
        <v>2602</v>
      </c>
      <c r="D2328" s="3379"/>
      <c r="E2328" s="3410">
        <f>(G2328-F2328)/G2328</f>
        <v>0.20000000000000004</v>
      </c>
      <c r="F2328" s="3319">
        <v>2.56</v>
      </c>
      <c r="G2328" s="3323">
        <v>3.2</v>
      </c>
    </row>
    <row r="2329" spans="1:7">
      <c r="A2329" s="3324"/>
      <c r="B2329" s="3319"/>
      <c r="C2329" s="3319" t="s">
        <v>2603</v>
      </c>
      <c r="D2329" s="3319"/>
      <c r="E2329" s="3410">
        <f t="shared" ref="E2329:E2330" si="41">(G2329-F2329)/G2329</f>
        <v>0.20000000000000004</v>
      </c>
      <c r="F2329" s="3319">
        <v>2.56</v>
      </c>
      <c r="G2329" s="3323">
        <v>3.2</v>
      </c>
    </row>
    <row r="2330" spans="1:7" ht="15.75" thickBot="1">
      <c r="A2330" s="3327"/>
      <c r="B2330" s="3328"/>
      <c r="C2330" s="3328" t="s">
        <v>2558</v>
      </c>
      <c r="D2330" s="3328"/>
      <c r="E2330" s="3412">
        <f t="shared" si="41"/>
        <v>0.20000000000000004</v>
      </c>
      <c r="F2330" s="3328">
        <v>2.56</v>
      </c>
      <c r="G2330" s="3334">
        <v>3.2</v>
      </c>
    </row>
  </sheetData>
  <mergeCells count="1326">
    <mergeCell ref="D2048:D2049"/>
    <mergeCell ref="E2048:E2049"/>
    <mergeCell ref="F2048:F2049"/>
    <mergeCell ref="A2122:A2123"/>
    <mergeCell ref="B2122:B2123"/>
    <mergeCell ref="C2122:C2123"/>
    <mergeCell ref="D2122:D2123"/>
    <mergeCell ref="E2122:E2123"/>
    <mergeCell ref="F2122:F2123"/>
    <mergeCell ref="A2086:A2087"/>
    <mergeCell ref="B2086:B2087"/>
    <mergeCell ref="C2086:C2087"/>
    <mergeCell ref="D2086:D2087"/>
    <mergeCell ref="A2283:A2284"/>
    <mergeCell ref="B2283:B2284"/>
    <mergeCell ref="C2283:C2284"/>
    <mergeCell ref="D2283:D2284"/>
    <mergeCell ref="E2283:E2284"/>
    <mergeCell ref="F2283:F2284"/>
    <mergeCell ref="A2141:A2142"/>
    <mergeCell ref="B2141:B2142"/>
    <mergeCell ref="C2141:C2142"/>
    <mergeCell ref="D2141:D2142"/>
    <mergeCell ref="E2141:E2142"/>
    <mergeCell ref="F2141:F2142"/>
    <mergeCell ref="A2151:A2152"/>
    <mergeCell ref="B2151:B2152"/>
    <mergeCell ref="C2151:C2152"/>
    <mergeCell ref="D2151:D2152"/>
    <mergeCell ref="E2151:E2152"/>
    <mergeCell ref="F2151:F2152"/>
    <mergeCell ref="E2135:E2136"/>
    <mergeCell ref="G2141:G2142"/>
    <mergeCell ref="A2128:A2129"/>
    <mergeCell ref="B2128:B2129"/>
    <mergeCell ref="G2128:G2129"/>
    <mergeCell ref="C2110:C2111"/>
    <mergeCell ref="D2110:D2111"/>
    <mergeCell ref="E2110:E2111"/>
    <mergeCell ref="F2110:F2111"/>
    <mergeCell ref="G2110:G2111"/>
    <mergeCell ref="A2110:A2111"/>
    <mergeCell ref="B2110:B2111"/>
    <mergeCell ref="A2135:A2136"/>
    <mergeCell ref="G2151:G2152"/>
    <mergeCell ref="G2075:G2076"/>
    <mergeCell ref="C2061:C2062"/>
    <mergeCell ref="D2061:D2062"/>
    <mergeCell ref="E2061:E2062"/>
    <mergeCell ref="F2061:F2062"/>
    <mergeCell ref="A2068:A2069"/>
    <mergeCell ref="B2068:B2069"/>
    <mergeCell ref="C2068:C2069"/>
    <mergeCell ref="D2068:D2069"/>
    <mergeCell ref="E2068:E2069"/>
    <mergeCell ref="F2068:F2069"/>
    <mergeCell ref="A2061:A2062"/>
    <mergeCell ref="B2061:B2062"/>
    <mergeCell ref="C2099:C2100"/>
    <mergeCell ref="D2099:D2100"/>
    <mergeCell ref="G2122:G2123"/>
    <mergeCell ref="B2135:B2136"/>
    <mergeCell ref="C2135:C2136"/>
    <mergeCell ref="D2135:D2136"/>
    <mergeCell ref="G2135:G2136"/>
    <mergeCell ref="E2099:E2100"/>
    <mergeCell ref="F2099:F2100"/>
    <mergeCell ref="F2135:F2136"/>
    <mergeCell ref="F1902:F1903"/>
    <mergeCell ref="C1868:C1869"/>
    <mergeCell ref="C1881:C1882"/>
    <mergeCell ref="D1881:D1882"/>
    <mergeCell ref="E1881:E1882"/>
    <mergeCell ref="F1881:F1882"/>
    <mergeCell ref="C2128:C2129"/>
    <mergeCell ref="D2128:D2129"/>
    <mergeCell ref="E2128:E2129"/>
    <mergeCell ref="F2128:F2129"/>
    <mergeCell ref="A1997:A1998"/>
    <mergeCell ref="B1997:B1998"/>
    <mergeCell ref="C1997:C1998"/>
    <mergeCell ref="D1997:D1998"/>
    <mergeCell ref="E1997:E1998"/>
    <mergeCell ref="F1997:F1998"/>
    <mergeCell ref="A1971:A1972"/>
    <mergeCell ref="B1971:B1972"/>
    <mergeCell ref="C1971:C1972"/>
    <mergeCell ref="A1979:A1981"/>
    <mergeCell ref="B1977:B1978"/>
    <mergeCell ref="C1977:C1978"/>
    <mergeCell ref="D1977:D1978"/>
    <mergeCell ref="E1977:E1978"/>
    <mergeCell ref="A1881:A1882"/>
    <mergeCell ref="B1881:B1882"/>
    <mergeCell ref="D1971:D1972"/>
    <mergeCell ref="E1971:E1972"/>
    <mergeCell ref="F1971:F1972"/>
    <mergeCell ref="A1977:A1978"/>
    <mergeCell ref="F1977:F1978"/>
    <mergeCell ref="B1942:B1943"/>
    <mergeCell ref="A1862:A1863"/>
    <mergeCell ref="B1862:B1863"/>
    <mergeCell ref="F1862:F1863"/>
    <mergeCell ref="A1864:A1866"/>
    <mergeCell ref="A1965:A1969"/>
    <mergeCell ref="A1955:A1956"/>
    <mergeCell ref="B1955:B1956"/>
    <mergeCell ref="A1848:A1849"/>
    <mergeCell ref="B1848:B1849"/>
    <mergeCell ref="C1862:C1863"/>
    <mergeCell ref="D1862:D1863"/>
    <mergeCell ref="E1862:E1863"/>
    <mergeCell ref="B1874:B1875"/>
    <mergeCell ref="C1874:C1875"/>
    <mergeCell ref="D1874:D1875"/>
    <mergeCell ref="E1874:E1875"/>
    <mergeCell ref="C1955:C1956"/>
    <mergeCell ref="D1955:D1956"/>
    <mergeCell ref="E1955:E1956"/>
    <mergeCell ref="F1955:F1956"/>
    <mergeCell ref="A1914:A1915"/>
    <mergeCell ref="B1914:B1915"/>
    <mergeCell ref="F1874:F1875"/>
    <mergeCell ref="A1868:A1869"/>
    <mergeCell ref="B1868:B1869"/>
    <mergeCell ref="A1902:A1903"/>
    <mergeCell ref="B1902:B1903"/>
    <mergeCell ref="C1902:C1903"/>
    <mergeCell ref="D1902:D1903"/>
    <mergeCell ref="C1914:C1915"/>
    <mergeCell ref="A1942:A1943"/>
    <mergeCell ref="E1902:E1903"/>
    <mergeCell ref="B1825:B1826"/>
    <mergeCell ref="C1825:C1826"/>
    <mergeCell ref="D1825:D1826"/>
    <mergeCell ref="E1825:E1826"/>
    <mergeCell ref="F1825:F1826"/>
    <mergeCell ref="A1807:A1808"/>
    <mergeCell ref="B1807:B1808"/>
    <mergeCell ref="C1807:C1808"/>
    <mergeCell ref="D1807:D1808"/>
    <mergeCell ref="E1807:E1808"/>
    <mergeCell ref="F1807:F1808"/>
    <mergeCell ref="C1848:C1849"/>
    <mergeCell ref="C1854:C1855"/>
    <mergeCell ref="A1827:A1829"/>
    <mergeCell ref="A1813:A1814"/>
    <mergeCell ref="B1813:B1814"/>
    <mergeCell ref="C1813:C1814"/>
    <mergeCell ref="D1813:D1814"/>
    <mergeCell ref="E1813:E1814"/>
    <mergeCell ref="F1832:F1833"/>
    <mergeCell ref="D1854:D1855"/>
    <mergeCell ref="E1854:E1855"/>
    <mergeCell ref="D1848:D1849"/>
    <mergeCell ref="E1848:E1849"/>
    <mergeCell ref="A1834:A1836"/>
    <mergeCell ref="A1839:A1840"/>
    <mergeCell ref="B1839:B1840"/>
    <mergeCell ref="C1839:C1840"/>
    <mergeCell ref="D1839:D1840"/>
    <mergeCell ref="E1839:E1840"/>
    <mergeCell ref="F1839:F1840"/>
    <mergeCell ref="F1848:F1849"/>
    <mergeCell ref="F1741:F1742"/>
    <mergeCell ref="A1832:A1833"/>
    <mergeCell ref="B1832:B1833"/>
    <mergeCell ref="C1832:C1833"/>
    <mergeCell ref="D1832:D1833"/>
    <mergeCell ref="E1832:E1833"/>
    <mergeCell ref="A1854:A1855"/>
    <mergeCell ref="B1854:B1855"/>
    <mergeCell ref="C1769:C1770"/>
    <mergeCell ref="D1769:D1770"/>
    <mergeCell ref="A1791:A1796"/>
    <mergeCell ref="A1781:A1782"/>
    <mergeCell ref="B1781:B1782"/>
    <mergeCell ref="C1781:C1782"/>
    <mergeCell ref="D1781:D1782"/>
    <mergeCell ref="E1781:E1782"/>
    <mergeCell ref="F1781:F1782"/>
    <mergeCell ref="A1783:A1787"/>
    <mergeCell ref="A1798:A1799"/>
    <mergeCell ref="B1798:B1799"/>
    <mergeCell ref="C1798:C1799"/>
    <mergeCell ref="D1798:D1799"/>
    <mergeCell ref="E1798:E1799"/>
    <mergeCell ref="F1798:F1799"/>
    <mergeCell ref="E1789:E1790"/>
    <mergeCell ref="F1789:F1790"/>
    <mergeCell ref="E1769:E1770"/>
    <mergeCell ref="F1769:F1770"/>
    <mergeCell ref="A1774:A1775"/>
    <mergeCell ref="B1774:B1775"/>
    <mergeCell ref="C1774:C1775"/>
    <mergeCell ref="D1774:D1775"/>
    <mergeCell ref="F1658:F1659"/>
    <mergeCell ref="F1668:F1669"/>
    <mergeCell ref="F1675:F1676"/>
    <mergeCell ref="A1690:A1692"/>
    <mergeCell ref="A1681:A1682"/>
    <mergeCell ref="B1681:B1682"/>
    <mergeCell ref="E1681:E1682"/>
    <mergeCell ref="F1640:F1641"/>
    <mergeCell ref="A1646:A1647"/>
    <mergeCell ref="B1646:B1647"/>
    <mergeCell ref="A1670:A1673"/>
    <mergeCell ref="B1670:B1673"/>
    <mergeCell ref="A1675:A1676"/>
    <mergeCell ref="B1675:B1676"/>
    <mergeCell ref="A1677:A1679"/>
    <mergeCell ref="A1640:A1641"/>
    <mergeCell ref="B1640:B1641"/>
    <mergeCell ref="E1646:E1647"/>
    <mergeCell ref="B1652:B1653"/>
    <mergeCell ref="A1652:A1653"/>
    <mergeCell ref="D1615:D1616"/>
    <mergeCell ref="E1615:E1616"/>
    <mergeCell ref="E1628:E1629"/>
    <mergeCell ref="C1652:C1653"/>
    <mergeCell ref="D1652:D1653"/>
    <mergeCell ref="E1652:E1653"/>
    <mergeCell ref="D1640:D1641"/>
    <mergeCell ref="E1640:E1641"/>
    <mergeCell ref="A1628:A1629"/>
    <mergeCell ref="B1628:B1629"/>
    <mergeCell ref="C1628:C1629"/>
    <mergeCell ref="D1628:D1629"/>
    <mergeCell ref="C1646:C1647"/>
    <mergeCell ref="D1646:D1647"/>
    <mergeCell ref="A1658:A1659"/>
    <mergeCell ref="B1658:B1659"/>
    <mergeCell ref="C1658:C1659"/>
    <mergeCell ref="D1658:D1659"/>
    <mergeCell ref="E1658:E1659"/>
    <mergeCell ref="F1628:F1629"/>
    <mergeCell ref="C1640:C1641"/>
    <mergeCell ref="F1602:F1603"/>
    <mergeCell ref="A1608:A1609"/>
    <mergeCell ref="B1608:B1609"/>
    <mergeCell ref="C1608:C1609"/>
    <mergeCell ref="D1608:D1609"/>
    <mergeCell ref="E1608:E1609"/>
    <mergeCell ref="F1608:F1609"/>
    <mergeCell ref="A1596:A1597"/>
    <mergeCell ref="B1596:B1597"/>
    <mergeCell ref="C1596:C1597"/>
    <mergeCell ref="D1596:D1597"/>
    <mergeCell ref="E1596:E1597"/>
    <mergeCell ref="F1596:F1597"/>
    <mergeCell ref="A1602:A1603"/>
    <mergeCell ref="B1602:B1603"/>
    <mergeCell ref="C1602:C1603"/>
    <mergeCell ref="D1602:D1603"/>
    <mergeCell ref="E1602:E1603"/>
    <mergeCell ref="F1615:F1616"/>
    <mergeCell ref="A1617:A1619"/>
    <mergeCell ref="B1617:B1619"/>
    <mergeCell ref="A1621:A1622"/>
    <mergeCell ref="B1621:B1622"/>
    <mergeCell ref="C1621:C1622"/>
    <mergeCell ref="D1621:D1622"/>
    <mergeCell ref="E1621:E1622"/>
    <mergeCell ref="F1621:F1622"/>
    <mergeCell ref="A1615:A1616"/>
    <mergeCell ref="B1615:B1616"/>
    <mergeCell ref="C1615:C1616"/>
    <mergeCell ref="A1557:A1558"/>
    <mergeCell ref="B1557:B1558"/>
    <mergeCell ref="C1557:C1558"/>
    <mergeCell ref="D1557:D1558"/>
    <mergeCell ref="E1557:E1558"/>
    <mergeCell ref="F1557:F1558"/>
    <mergeCell ref="A1564:A1565"/>
    <mergeCell ref="B1564:B1565"/>
    <mergeCell ref="C1564:C1565"/>
    <mergeCell ref="D1564:D1565"/>
    <mergeCell ref="E1564:E1565"/>
    <mergeCell ref="F1564:F1565"/>
    <mergeCell ref="A1588:A1589"/>
    <mergeCell ref="B1588:B1589"/>
    <mergeCell ref="C1588:C1589"/>
    <mergeCell ref="D1588:D1589"/>
    <mergeCell ref="E1588:E1589"/>
    <mergeCell ref="F1588:F1589"/>
    <mergeCell ref="A1576:A1577"/>
    <mergeCell ref="B1576:B1577"/>
    <mergeCell ref="C1576:C1577"/>
    <mergeCell ref="D1576:D1577"/>
    <mergeCell ref="E1576:E1577"/>
    <mergeCell ref="F1576:F1577"/>
    <mergeCell ref="A1513:A1514"/>
    <mergeCell ref="B1513:B1514"/>
    <mergeCell ref="C1513:C1514"/>
    <mergeCell ref="D1513:D1514"/>
    <mergeCell ref="E1513:E1514"/>
    <mergeCell ref="F1513:F1514"/>
    <mergeCell ref="A1545:A1546"/>
    <mergeCell ref="B1545:B1546"/>
    <mergeCell ref="C1545:C1546"/>
    <mergeCell ref="D1545:D1546"/>
    <mergeCell ref="E1545:E1546"/>
    <mergeCell ref="F1545:F1546"/>
    <mergeCell ref="A1519:A1520"/>
    <mergeCell ref="B1519:B1520"/>
    <mergeCell ref="C1519:C1520"/>
    <mergeCell ref="D1519:D1520"/>
    <mergeCell ref="E1519:E1520"/>
    <mergeCell ref="F1519:F1520"/>
    <mergeCell ref="A1531:A1532"/>
    <mergeCell ref="B1531:B1532"/>
    <mergeCell ref="C1531:C1532"/>
    <mergeCell ref="D1531:D1532"/>
    <mergeCell ref="E1531:E1532"/>
    <mergeCell ref="F1531:F1532"/>
    <mergeCell ref="A1487:A1488"/>
    <mergeCell ref="B1487:B1488"/>
    <mergeCell ref="C1487:C1488"/>
    <mergeCell ref="D1487:D1488"/>
    <mergeCell ref="E1487:E1488"/>
    <mergeCell ref="F1487:F1488"/>
    <mergeCell ref="A1494:A1495"/>
    <mergeCell ref="B1494:B1495"/>
    <mergeCell ref="C1494:C1495"/>
    <mergeCell ref="D1494:D1495"/>
    <mergeCell ref="E1494:E1495"/>
    <mergeCell ref="F1494:F1495"/>
    <mergeCell ref="A1505:A1506"/>
    <mergeCell ref="B1505:B1506"/>
    <mergeCell ref="C1505:C1506"/>
    <mergeCell ref="D1505:D1506"/>
    <mergeCell ref="E1505:E1506"/>
    <mergeCell ref="F1505:F1506"/>
    <mergeCell ref="A1463:A1464"/>
    <mergeCell ref="B1463:B1464"/>
    <mergeCell ref="C1463:C1464"/>
    <mergeCell ref="D1463:D1464"/>
    <mergeCell ref="E1463:E1464"/>
    <mergeCell ref="F1463:F1464"/>
    <mergeCell ref="A1480:A1481"/>
    <mergeCell ref="B1480:B1481"/>
    <mergeCell ref="C1480:C1481"/>
    <mergeCell ref="D1480:D1481"/>
    <mergeCell ref="E1480:E1481"/>
    <mergeCell ref="F1480:F1481"/>
    <mergeCell ref="A1469:A1470"/>
    <mergeCell ref="B1469:B1470"/>
    <mergeCell ref="C1469:C1470"/>
    <mergeCell ref="D1469:D1470"/>
    <mergeCell ref="E1469:E1470"/>
    <mergeCell ref="F1469:F1470"/>
    <mergeCell ref="A1412:A1413"/>
    <mergeCell ref="B1412:B1413"/>
    <mergeCell ref="C1412:C1413"/>
    <mergeCell ref="D1412:D1413"/>
    <mergeCell ref="E1412:E1413"/>
    <mergeCell ref="F1412:F1413"/>
    <mergeCell ref="A1424:A1425"/>
    <mergeCell ref="B1424:B1425"/>
    <mergeCell ref="C1424:C1425"/>
    <mergeCell ref="D1424:D1425"/>
    <mergeCell ref="E1424:E1425"/>
    <mergeCell ref="F1424:F1425"/>
    <mergeCell ref="A1451:A1452"/>
    <mergeCell ref="B1451:B1452"/>
    <mergeCell ref="C1451:C1452"/>
    <mergeCell ref="D1451:D1452"/>
    <mergeCell ref="E1451:E1452"/>
    <mergeCell ref="F1451:F1452"/>
    <mergeCell ref="A1436:A1437"/>
    <mergeCell ref="B1436:B1437"/>
    <mergeCell ref="C1436:C1437"/>
    <mergeCell ref="D1436:D1437"/>
    <mergeCell ref="E1436:E1437"/>
    <mergeCell ref="F1436:F1437"/>
    <mergeCell ref="A1442:A1443"/>
    <mergeCell ref="B1442:B1443"/>
    <mergeCell ref="C1442:C1443"/>
    <mergeCell ref="D1442:D1443"/>
    <mergeCell ref="E1442:E1443"/>
    <mergeCell ref="F1442:F1443"/>
    <mergeCell ref="A1370:A1371"/>
    <mergeCell ref="B1370:B1371"/>
    <mergeCell ref="C1370:C1371"/>
    <mergeCell ref="D1370:D1371"/>
    <mergeCell ref="E1370:E1371"/>
    <mergeCell ref="F1370:F1371"/>
    <mergeCell ref="A1392:A1393"/>
    <mergeCell ref="B1392:B1393"/>
    <mergeCell ref="C1392:C1393"/>
    <mergeCell ref="D1392:D1393"/>
    <mergeCell ref="E1392:E1393"/>
    <mergeCell ref="F1392:F1393"/>
    <mergeCell ref="A1381:A1382"/>
    <mergeCell ref="B1381:B1382"/>
    <mergeCell ref="C1381:C1382"/>
    <mergeCell ref="D1381:D1382"/>
    <mergeCell ref="E1381:E1382"/>
    <mergeCell ref="F1381:F1382"/>
    <mergeCell ref="A1284:A1285"/>
    <mergeCell ref="B1284:B1285"/>
    <mergeCell ref="C1284:C1285"/>
    <mergeCell ref="D1284:D1285"/>
    <mergeCell ref="E1284:E1285"/>
    <mergeCell ref="F1284:F1285"/>
    <mergeCell ref="A1300:A1301"/>
    <mergeCell ref="B1300:B1301"/>
    <mergeCell ref="C1300:C1301"/>
    <mergeCell ref="D1300:D1301"/>
    <mergeCell ref="E1300:E1301"/>
    <mergeCell ref="F1300:F1301"/>
    <mergeCell ref="A1363:A1364"/>
    <mergeCell ref="B1363:B1364"/>
    <mergeCell ref="C1363:C1364"/>
    <mergeCell ref="D1363:D1364"/>
    <mergeCell ref="E1363:E1364"/>
    <mergeCell ref="F1363:F1364"/>
    <mergeCell ref="A1350:A1351"/>
    <mergeCell ref="B1350:B1351"/>
    <mergeCell ref="C1350:C1351"/>
    <mergeCell ref="D1350:D1351"/>
    <mergeCell ref="E1350:E1351"/>
    <mergeCell ref="F1350:F1351"/>
    <mergeCell ref="C1320:C1321"/>
    <mergeCell ref="D1320:D1321"/>
    <mergeCell ref="E1320:E1321"/>
    <mergeCell ref="F1320:F1321"/>
    <mergeCell ref="A1344:A1345"/>
    <mergeCell ref="B1344:B1345"/>
    <mergeCell ref="C1344:C1345"/>
    <mergeCell ref="D1344:D1345"/>
    <mergeCell ref="A1221:A1222"/>
    <mergeCell ref="B1221:B1222"/>
    <mergeCell ref="C1221:C1222"/>
    <mergeCell ref="D1221:D1222"/>
    <mergeCell ref="E1221:E1222"/>
    <mergeCell ref="F1221:F1222"/>
    <mergeCell ref="A1206:A1207"/>
    <mergeCell ref="B1206:B1207"/>
    <mergeCell ref="C1206:C1207"/>
    <mergeCell ref="D1206:D1207"/>
    <mergeCell ref="A1268:A1269"/>
    <mergeCell ref="B1268:B1269"/>
    <mergeCell ref="C1268:C1269"/>
    <mergeCell ref="D1268:D1269"/>
    <mergeCell ref="E1268:E1269"/>
    <mergeCell ref="F1268:F1269"/>
    <mergeCell ref="A1237:A1238"/>
    <mergeCell ref="B1237:B1238"/>
    <mergeCell ref="C1237:C1238"/>
    <mergeCell ref="D1237:D1238"/>
    <mergeCell ref="E1237:E1238"/>
    <mergeCell ref="F1237:F1238"/>
    <mergeCell ref="A1252:A1253"/>
    <mergeCell ref="B1252:B1253"/>
    <mergeCell ref="C1252:C1253"/>
    <mergeCell ref="D1252:D1253"/>
    <mergeCell ref="E1252:E1253"/>
    <mergeCell ref="F1252:F1253"/>
    <mergeCell ref="C1129:C1130"/>
    <mergeCell ref="D1129:D1130"/>
    <mergeCell ref="E1129:E1130"/>
    <mergeCell ref="F1129:F1130"/>
    <mergeCell ref="A1114:A1115"/>
    <mergeCell ref="B1114:B1115"/>
    <mergeCell ref="C1114:C1115"/>
    <mergeCell ref="D1114:D1115"/>
    <mergeCell ref="E1114:E1115"/>
    <mergeCell ref="F1114:F1115"/>
    <mergeCell ref="E1206:E1207"/>
    <mergeCell ref="F1206:F1207"/>
    <mergeCell ref="A1175:A1176"/>
    <mergeCell ref="B1175:B1176"/>
    <mergeCell ref="C1175:C1176"/>
    <mergeCell ref="D1175:D1176"/>
    <mergeCell ref="E1175:E1176"/>
    <mergeCell ref="F1175:F1176"/>
    <mergeCell ref="A1191:A1192"/>
    <mergeCell ref="B1191:B1192"/>
    <mergeCell ref="C1191:C1192"/>
    <mergeCell ref="D1191:D1192"/>
    <mergeCell ref="E1191:E1192"/>
    <mergeCell ref="F1191:F1192"/>
    <mergeCell ref="A828:A829"/>
    <mergeCell ref="B828:B829"/>
    <mergeCell ref="A858:A859"/>
    <mergeCell ref="B858:B859"/>
    <mergeCell ref="C858:C859"/>
    <mergeCell ref="D858:D859"/>
    <mergeCell ref="C843:C844"/>
    <mergeCell ref="D843:D844"/>
    <mergeCell ref="E843:E844"/>
    <mergeCell ref="F843:F844"/>
    <mergeCell ref="B903:B904"/>
    <mergeCell ref="C903:C904"/>
    <mergeCell ref="A1099:A1100"/>
    <mergeCell ref="B1099:B1100"/>
    <mergeCell ref="C1099:C1100"/>
    <mergeCell ref="D1099:D1100"/>
    <mergeCell ref="E1099:E1100"/>
    <mergeCell ref="F1099:F1100"/>
    <mergeCell ref="F903:F904"/>
    <mergeCell ref="A888:A889"/>
    <mergeCell ref="B888:B889"/>
    <mergeCell ref="C888:C889"/>
    <mergeCell ref="D888:D889"/>
    <mergeCell ref="E888:E889"/>
    <mergeCell ref="F888:F889"/>
    <mergeCell ref="A843:A844"/>
    <mergeCell ref="B843:B844"/>
    <mergeCell ref="A993:A994"/>
    <mergeCell ref="B993:B994"/>
    <mergeCell ref="C993:C994"/>
    <mergeCell ref="D993:D994"/>
    <mergeCell ref="E993:E994"/>
    <mergeCell ref="A783:A784"/>
    <mergeCell ref="B783:B784"/>
    <mergeCell ref="C783:C784"/>
    <mergeCell ref="D783:D784"/>
    <mergeCell ref="E783:E784"/>
    <mergeCell ref="F783:F784"/>
    <mergeCell ref="A798:A799"/>
    <mergeCell ref="B798:B799"/>
    <mergeCell ref="C798:C799"/>
    <mergeCell ref="D798:D799"/>
    <mergeCell ref="E798:E799"/>
    <mergeCell ref="F798:F799"/>
    <mergeCell ref="A813:A814"/>
    <mergeCell ref="B813:B814"/>
    <mergeCell ref="C813:C814"/>
    <mergeCell ref="D813:D814"/>
    <mergeCell ref="E813:E814"/>
    <mergeCell ref="F813:F814"/>
    <mergeCell ref="A753:A754"/>
    <mergeCell ref="B753:B754"/>
    <mergeCell ref="C753:C754"/>
    <mergeCell ref="D753:D754"/>
    <mergeCell ref="E753:E754"/>
    <mergeCell ref="F753:F754"/>
    <mergeCell ref="A737:A738"/>
    <mergeCell ref="B737:B738"/>
    <mergeCell ref="C737:C738"/>
    <mergeCell ref="D737:D738"/>
    <mergeCell ref="E737:E738"/>
    <mergeCell ref="F737:F738"/>
    <mergeCell ref="A768:A769"/>
    <mergeCell ref="B768:B769"/>
    <mergeCell ref="C768:C769"/>
    <mergeCell ref="D768:D769"/>
    <mergeCell ref="E768:E769"/>
    <mergeCell ref="F768:F769"/>
    <mergeCell ref="A692:A693"/>
    <mergeCell ref="B692:B693"/>
    <mergeCell ref="C692:C693"/>
    <mergeCell ref="D692:D693"/>
    <mergeCell ref="E692:E693"/>
    <mergeCell ref="F692:F693"/>
    <mergeCell ref="A677:A678"/>
    <mergeCell ref="B677:B678"/>
    <mergeCell ref="C677:C678"/>
    <mergeCell ref="D677:D678"/>
    <mergeCell ref="E677:E678"/>
    <mergeCell ref="F677:F678"/>
    <mergeCell ref="A722:A723"/>
    <mergeCell ref="B722:B723"/>
    <mergeCell ref="C722:C723"/>
    <mergeCell ref="D722:D723"/>
    <mergeCell ref="E722:E723"/>
    <mergeCell ref="F722:F723"/>
    <mergeCell ref="A707:A708"/>
    <mergeCell ref="B707:B708"/>
    <mergeCell ref="C707:C708"/>
    <mergeCell ref="D707:D708"/>
    <mergeCell ref="E707:E708"/>
    <mergeCell ref="F707:F708"/>
    <mergeCell ref="A632:A633"/>
    <mergeCell ref="B632:B633"/>
    <mergeCell ref="C632:C633"/>
    <mergeCell ref="D632:D633"/>
    <mergeCell ref="E632:E633"/>
    <mergeCell ref="F632:F633"/>
    <mergeCell ref="A617:A618"/>
    <mergeCell ref="B617:B618"/>
    <mergeCell ref="C617:C618"/>
    <mergeCell ref="D617:D618"/>
    <mergeCell ref="E617:E618"/>
    <mergeCell ref="F617:F618"/>
    <mergeCell ref="A662:A663"/>
    <mergeCell ref="B662:B663"/>
    <mergeCell ref="C662:C663"/>
    <mergeCell ref="D662:D663"/>
    <mergeCell ref="E662:E663"/>
    <mergeCell ref="F662:F663"/>
    <mergeCell ref="A647:A648"/>
    <mergeCell ref="B647:B648"/>
    <mergeCell ref="C647:C648"/>
    <mergeCell ref="D647:D648"/>
    <mergeCell ref="E647:E648"/>
    <mergeCell ref="F647:F648"/>
    <mergeCell ref="E77:E78"/>
    <mergeCell ref="F77:F78"/>
    <mergeCell ref="A62:A63"/>
    <mergeCell ref="B62:B63"/>
    <mergeCell ref="C62:C63"/>
    <mergeCell ref="D62:D63"/>
    <mergeCell ref="E62:E63"/>
    <mergeCell ref="F62:F63"/>
    <mergeCell ref="C482:C483"/>
    <mergeCell ref="D482:D483"/>
    <mergeCell ref="E482:E483"/>
    <mergeCell ref="F482:F483"/>
    <mergeCell ref="A512:A513"/>
    <mergeCell ref="B512:B513"/>
    <mergeCell ref="C512:C513"/>
    <mergeCell ref="D512:D513"/>
    <mergeCell ref="E512:E513"/>
    <mergeCell ref="F512:F513"/>
    <mergeCell ref="A92:A93"/>
    <mergeCell ref="B92:B93"/>
    <mergeCell ref="C92:C93"/>
    <mergeCell ref="D92:D93"/>
    <mergeCell ref="E92:E93"/>
    <mergeCell ref="F92:F93"/>
    <mergeCell ref="A77:A78"/>
    <mergeCell ref="B77:B78"/>
    <mergeCell ref="A137:A138"/>
    <mergeCell ref="B137:B138"/>
    <mergeCell ref="C137:C138"/>
    <mergeCell ref="D137:D138"/>
    <mergeCell ref="A497:A498"/>
    <mergeCell ref="B497:B498"/>
    <mergeCell ref="A152:A153"/>
    <mergeCell ref="B152:B153"/>
    <mergeCell ref="C152:C153"/>
    <mergeCell ref="D152:D153"/>
    <mergeCell ref="E152:E153"/>
    <mergeCell ref="F152:F153"/>
    <mergeCell ref="A2:A3"/>
    <mergeCell ref="B2:B3"/>
    <mergeCell ref="C2:C3"/>
    <mergeCell ref="D2:D3"/>
    <mergeCell ref="E2:E3"/>
    <mergeCell ref="F2:F3"/>
    <mergeCell ref="A47:A48"/>
    <mergeCell ref="B47:B48"/>
    <mergeCell ref="C47:C48"/>
    <mergeCell ref="D47:D48"/>
    <mergeCell ref="E47:E48"/>
    <mergeCell ref="F47:F48"/>
    <mergeCell ref="A32:A33"/>
    <mergeCell ref="B32:B33"/>
    <mergeCell ref="C32:C33"/>
    <mergeCell ref="D32:D33"/>
    <mergeCell ref="E32:E33"/>
    <mergeCell ref="F32:F33"/>
    <mergeCell ref="A17:A18"/>
    <mergeCell ref="B17:B18"/>
    <mergeCell ref="C17:C18"/>
    <mergeCell ref="D17:D18"/>
    <mergeCell ref="E17:E18"/>
    <mergeCell ref="F17:F18"/>
    <mergeCell ref="C77:C78"/>
    <mergeCell ref="D77:D78"/>
    <mergeCell ref="A197:A198"/>
    <mergeCell ref="B197:B198"/>
    <mergeCell ref="C197:C198"/>
    <mergeCell ref="D197:D198"/>
    <mergeCell ref="E197:E198"/>
    <mergeCell ref="F197:F19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07:A108"/>
    <mergeCell ref="B107:B108"/>
    <mergeCell ref="C107:C108"/>
    <mergeCell ref="D107:D108"/>
    <mergeCell ref="E107:E108"/>
    <mergeCell ref="F107:F108"/>
    <mergeCell ref="A182:A183"/>
    <mergeCell ref="B182:B183"/>
    <mergeCell ref="C182:C183"/>
    <mergeCell ref="D182:D183"/>
    <mergeCell ref="E182:E183"/>
    <mergeCell ref="F182:F183"/>
    <mergeCell ref="A167:A168"/>
    <mergeCell ref="B167:B168"/>
    <mergeCell ref="C167:C168"/>
    <mergeCell ref="D167:D168"/>
    <mergeCell ref="E167:E168"/>
    <mergeCell ref="F167:F168"/>
    <mergeCell ref="A242:A243"/>
    <mergeCell ref="B242:B243"/>
    <mergeCell ref="C242:C243"/>
    <mergeCell ref="D242:D243"/>
    <mergeCell ref="E242:E243"/>
    <mergeCell ref="F242:F243"/>
    <mergeCell ref="A227:A228"/>
    <mergeCell ref="B227:B228"/>
    <mergeCell ref="C227:C228"/>
    <mergeCell ref="D227:D228"/>
    <mergeCell ref="E227:E228"/>
    <mergeCell ref="F227:F228"/>
    <mergeCell ref="A212:A213"/>
    <mergeCell ref="B212:B213"/>
    <mergeCell ref="C212:C213"/>
    <mergeCell ref="D212:D213"/>
    <mergeCell ref="E212:E213"/>
    <mergeCell ref="F212:F213"/>
    <mergeCell ref="A287:A288"/>
    <mergeCell ref="B287:B288"/>
    <mergeCell ref="C287:C288"/>
    <mergeCell ref="D287:D288"/>
    <mergeCell ref="E287:E288"/>
    <mergeCell ref="F287:F288"/>
    <mergeCell ref="A272:A273"/>
    <mergeCell ref="B272:B273"/>
    <mergeCell ref="C272:C273"/>
    <mergeCell ref="D272:D273"/>
    <mergeCell ref="E272:E273"/>
    <mergeCell ref="F272:F273"/>
    <mergeCell ref="A257:A258"/>
    <mergeCell ref="B257:B258"/>
    <mergeCell ref="C257:C258"/>
    <mergeCell ref="D257:D258"/>
    <mergeCell ref="E257:E258"/>
    <mergeCell ref="F257:F258"/>
    <mergeCell ref="A332:A333"/>
    <mergeCell ref="B332:B333"/>
    <mergeCell ref="C332:C333"/>
    <mergeCell ref="D332:D333"/>
    <mergeCell ref="E332:E333"/>
    <mergeCell ref="F332:F333"/>
    <mergeCell ref="A317:A318"/>
    <mergeCell ref="B317:B318"/>
    <mergeCell ref="C317:C318"/>
    <mergeCell ref="D317:D318"/>
    <mergeCell ref="E317:E318"/>
    <mergeCell ref="F317:F318"/>
    <mergeCell ref="A302:A303"/>
    <mergeCell ref="B302:B303"/>
    <mergeCell ref="C302:C303"/>
    <mergeCell ref="D302:D303"/>
    <mergeCell ref="E302:E303"/>
    <mergeCell ref="F302:F303"/>
    <mergeCell ref="A377:A378"/>
    <mergeCell ref="B377:B378"/>
    <mergeCell ref="C377:C378"/>
    <mergeCell ref="D377:D378"/>
    <mergeCell ref="E377:E378"/>
    <mergeCell ref="F377:F378"/>
    <mergeCell ref="A362:A363"/>
    <mergeCell ref="B362:B363"/>
    <mergeCell ref="C362:C363"/>
    <mergeCell ref="D362:D363"/>
    <mergeCell ref="E362:E363"/>
    <mergeCell ref="F362:F363"/>
    <mergeCell ref="A347:A348"/>
    <mergeCell ref="B347:B348"/>
    <mergeCell ref="C347:C348"/>
    <mergeCell ref="D347:D348"/>
    <mergeCell ref="E347:E348"/>
    <mergeCell ref="F347:F348"/>
    <mergeCell ref="A407:A408"/>
    <mergeCell ref="B407:B408"/>
    <mergeCell ref="C407:C408"/>
    <mergeCell ref="D407:D408"/>
    <mergeCell ref="E407:E408"/>
    <mergeCell ref="F407:F408"/>
    <mergeCell ref="A392:A393"/>
    <mergeCell ref="B392:B393"/>
    <mergeCell ref="C392:C393"/>
    <mergeCell ref="D392:D393"/>
    <mergeCell ref="E392:E393"/>
    <mergeCell ref="F392:F393"/>
    <mergeCell ref="C527:C528"/>
    <mergeCell ref="D527:D528"/>
    <mergeCell ref="E527:E528"/>
    <mergeCell ref="F527:F528"/>
    <mergeCell ref="C497:C498"/>
    <mergeCell ref="D497:D498"/>
    <mergeCell ref="E497:E498"/>
    <mergeCell ref="F497:F498"/>
    <mergeCell ref="A422:A423"/>
    <mergeCell ref="B422:B423"/>
    <mergeCell ref="C422:C423"/>
    <mergeCell ref="D422:D423"/>
    <mergeCell ref="E422:E423"/>
    <mergeCell ref="F422:F423"/>
    <mergeCell ref="A452:A453"/>
    <mergeCell ref="B452:B453"/>
    <mergeCell ref="C452:C453"/>
    <mergeCell ref="D452:D453"/>
    <mergeCell ref="E452:E453"/>
    <mergeCell ref="F452:F453"/>
    <mergeCell ref="A437:A438"/>
    <mergeCell ref="B437:B438"/>
    <mergeCell ref="C437:C438"/>
    <mergeCell ref="D437:D438"/>
    <mergeCell ref="E437:E438"/>
    <mergeCell ref="F437:F438"/>
    <mergeCell ref="C542:C543"/>
    <mergeCell ref="F873:F874"/>
    <mergeCell ref="D542:D543"/>
    <mergeCell ref="E542:E543"/>
    <mergeCell ref="F542:F543"/>
    <mergeCell ref="B963:B964"/>
    <mergeCell ref="C963:C964"/>
    <mergeCell ref="D963:D964"/>
    <mergeCell ref="E963:E964"/>
    <mergeCell ref="F963:F964"/>
    <mergeCell ref="A527:A528"/>
    <mergeCell ref="B527:B528"/>
    <mergeCell ref="A572:A573"/>
    <mergeCell ref="B572:B573"/>
    <mergeCell ref="C572:C573"/>
    <mergeCell ref="D572:D573"/>
    <mergeCell ref="E572:E573"/>
    <mergeCell ref="F572:F573"/>
    <mergeCell ref="A557:A558"/>
    <mergeCell ref="B557:B558"/>
    <mergeCell ref="C557:C558"/>
    <mergeCell ref="D557:D558"/>
    <mergeCell ref="E557:E558"/>
    <mergeCell ref="F557:F558"/>
    <mergeCell ref="E587:E588"/>
    <mergeCell ref="F587:F588"/>
    <mergeCell ref="F993:F994"/>
    <mergeCell ref="A467:A468"/>
    <mergeCell ref="B467:B468"/>
    <mergeCell ref="C467:C468"/>
    <mergeCell ref="D467:D468"/>
    <mergeCell ref="E467:E468"/>
    <mergeCell ref="F467:F468"/>
    <mergeCell ref="A482:A483"/>
    <mergeCell ref="B482:B483"/>
    <mergeCell ref="A542:A543"/>
    <mergeCell ref="B542:B543"/>
    <mergeCell ref="C918:C919"/>
    <mergeCell ref="D918:D919"/>
    <mergeCell ref="E918:E919"/>
    <mergeCell ref="F918:F919"/>
    <mergeCell ref="C828:C829"/>
    <mergeCell ref="D828:D829"/>
    <mergeCell ref="E828:E829"/>
    <mergeCell ref="F828:F829"/>
    <mergeCell ref="A903:A904"/>
    <mergeCell ref="D903:D904"/>
    <mergeCell ref="E903:E904"/>
    <mergeCell ref="A602:A603"/>
    <mergeCell ref="B602:B603"/>
    <mergeCell ref="C602:C603"/>
    <mergeCell ref="D602:D603"/>
    <mergeCell ref="E602:E603"/>
    <mergeCell ref="F602:F603"/>
    <mergeCell ref="A587:A588"/>
    <mergeCell ref="B587:B588"/>
    <mergeCell ref="C587:C588"/>
    <mergeCell ref="D587:D588"/>
    <mergeCell ref="E1023:E1024"/>
    <mergeCell ref="F1023:F1024"/>
    <mergeCell ref="A1160:A1161"/>
    <mergeCell ref="B1160:B1161"/>
    <mergeCell ref="E858:E859"/>
    <mergeCell ref="F858:F859"/>
    <mergeCell ref="A948:A949"/>
    <mergeCell ref="B948:B949"/>
    <mergeCell ref="C948:C949"/>
    <mergeCell ref="D948:D949"/>
    <mergeCell ref="E948:E949"/>
    <mergeCell ref="F948:F949"/>
    <mergeCell ref="A933:A934"/>
    <mergeCell ref="B933:B934"/>
    <mergeCell ref="C933:C934"/>
    <mergeCell ref="D933:D934"/>
    <mergeCell ref="E933:E934"/>
    <mergeCell ref="F933:F934"/>
    <mergeCell ref="A918:A919"/>
    <mergeCell ref="B918:B919"/>
    <mergeCell ref="A978:A979"/>
    <mergeCell ref="B978:B979"/>
    <mergeCell ref="C978:C979"/>
    <mergeCell ref="D978:D979"/>
    <mergeCell ref="E978:E979"/>
    <mergeCell ref="F978:F979"/>
    <mergeCell ref="A873:A874"/>
    <mergeCell ref="B873:B874"/>
    <mergeCell ref="C873:C874"/>
    <mergeCell ref="D873:D874"/>
    <mergeCell ref="E873:E874"/>
    <mergeCell ref="A963:A964"/>
    <mergeCell ref="A1008:A1009"/>
    <mergeCell ref="B1008:B1009"/>
    <mergeCell ref="D1688:D1689"/>
    <mergeCell ref="E1688:E1689"/>
    <mergeCell ref="C1688:C1689"/>
    <mergeCell ref="C1681:C1682"/>
    <mergeCell ref="A1312:A1313"/>
    <mergeCell ref="B1312:B1313"/>
    <mergeCell ref="C1312:C1313"/>
    <mergeCell ref="D1312:D1313"/>
    <mergeCell ref="E1312:E1313"/>
    <mergeCell ref="F1312:F1313"/>
    <mergeCell ref="A1337:A1338"/>
    <mergeCell ref="B1337:B1338"/>
    <mergeCell ref="C1337:C1338"/>
    <mergeCell ref="D1337:D1338"/>
    <mergeCell ref="E1337:E1338"/>
    <mergeCell ref="F1337:F1338"/>
    <mergeCell ref="A1320:A1321"/>
    <mergeCell ref="B1320:B1321"/>
    <mergeCell ref="C1008:C1009"/>
    <mergeCell ref="D1008:D1009"/>
    <mergeCell ref="E1008:E1009"/>
    <mergeCell ref="F1008:F1009"/>
    <mergeCell ref="A1023:A1024"/>
    <mergeCell ref="B1023:B1024"/>
    <mergeCell ref="C1023:C1024"/>
    <mergeCell ref="A1053:A1054"/>
    <mergeCell ref="B1053:B1054"/>
    <mergeCell ref="C1053:C1054"/>
    <mergeCell ref="D1053:D1054"/>
    <mergeCell ref="D1023:D1024"/>
    <mergeCell ref="E1053:E1054"/>
    <mergeCell ref="F1053:F1054"/>
    <mergeCell ref="A1038:A1039"/>
    <mergeCell ref="B1038:B1039"/>
    <mergeCell ref="C1038:C1039"/>
    <mergeCell ref="D1038:D1039"/>
    <mergeCell ref="E1038:E1039"/>
    <mergeCell ref="F1038:F1039"/>
    <mergeCell ref="C1160:C1161"/>
    <mergeCell ref="D1160:D1161"/>
    <mergeCell ref="E1160:E1161"/>
    <mergeCell ref="F1160:F1161"/>
    <mergeCell ref="A1145:A1146"/>
    <mergeCell ref="B1145:B1146"/>
    <mergeCell ref="C1145:C1146"/>
    <mergeCell ref="D1145:D1146"/>
    <mergeCell ref="E1145:E1146"/>
    <mergeCell ref="F1145:F1146"/>
    <mergeCell ref="A1084:A1085"/>
    <mergeCell ref="B1084:B1085"/>
    <mergeCell ref="C1084:C1085"/>
    <mergeCell ref="D1084:D1085"/>
    <mergeCell ref="E1084:E1085"/>
    <mergeCell ref="F1084:F1085"/>
    <mergeCell ref="A1069:A1070"/>
    <mergeCell ref="B1069:B1070"/>
    <mergeCell ref="C1069:C1070"/>
    <mergeCell ref="D1069:D1070"/>
    <mergeCell ref="E1069:E1070"/>
    <mergeCell ref="F1069:F1070"/>
    <mergeCell ref="A1129:A1130"/>
    <mergeCell ref="B1129:B1130"/>
    <mergeCell ref="E1344:E1345"/>
    <mergeCell ref="F1344:F1345"/>
    <mergeCell ref="A1399:A1400"/>
    <mergeCell ref="A1741:A1742"/>
    <mergeCell ref="B1741:B1742"/>
    <mergeCell ref="C1741:C1742"/>
    <mergeCell ref="D1681:D1682"/>
    <mergeCell ref="F1652:F1653"/>
    <mergeCell ref="F1646:F1647"/>
    <mergeCell ref="B1728:B1729"/>
    <mergeCell ref="C1728:C1729"/>
    <mergeCell ref="D1728:D1729"/>
    <mergeCell ref="E1728:E1729"/>
    <mergeCell ref="F1728:F1729"/>
    <mergeCell ref="A1730:A1732"/>
    <mergeCell ref="A1668:A1669"/>
    <mergeCell ref="B1668:B1669"/>
    <mergeCell ref="C1668:C1669"/>
    <mergeCell ref="D1668:D1669"/>
    <mergeCell ref="E1668:E1669"/>
    <mergeCell ref="F1681:F1682"/>
    <mergeCell ref="A1683:A1686"/>
    <mergeCell ref="B1683:B1686"/>
    <mergeCell ref="B1399:B1400"/>
    <mergeCell ref="C1399:C1400"/>
    <mergeCell ref="D1399:D1400"/>
    <mergeCell ref="E1399:E1400"/>
    <mergeCell ref="F1399:F1400"/>
    <mergeCell ref="E1716:E1717"/>
    <mergeCell ref="C1675:C1676"/>
    <mergeCell ref="D1675:D1676"/>
    <mergeCell ref="E1675:E1676"/>
    <mergeCell ref="B1722:B1723"/>
    <mergeCell ref="C1722:C1723"/>
    <mergeCell ref="A1736:A1739"/>
    <mergeCell ref="A1728:A1729"/>
    <mergeCell ref="B1688:B1689"/>
    <mergeCell ref="E1734:E1735"/>
    <mergeCell ref="F1734:F1735"/>
    <mergeCell ref="A1734:A1735"/>
    <mergeCell ref="D1722:D1723"/>
    <mergeCell ref="E1722:E1723"/>
    <mergeCell ref="A1716:A1717"/>
    <mergeCell ref="B1716:B1717"/>
    <mergeCell ref="F1688:F1689"/>
    <mergeCell ref="F1716:F1717"/>
    <mergeCell ref="B1734:B1735"/>
    <mergeCell ref="C1734:C1735"/>
    <mergeCell ref="D1734:D1735"/>
    <mergeCell ref="A1704:A1705"/>
    <mergeCell ref="B1704:B1705"/>
    <mergeCell ref="A1695:A1696"/>
    <mergeCell ref="B1695:B1696"/>
    <mergeCell ref="C1695:C1696"/>
    <mergeCell ref="D1695:D1696"/>
    <mergeCell ref="E1695:E1696"/>
    <mergeCell ref="F1695:F1696"/>
    <mergeCell ref="C1704:C1705"/>
    <mergeCell ref="D1704:D1705"/>
    <mergeCell ref="E1704:E1705"/>
    <mergeCell ref="F1704:F1705"/>
    <mergeCell ref="F1722:F1723"/>
    <mergeCell ref="A1688:A1689"/>
    <mergeCell ref="D1741:D1742"/>
    <mergeCell ref="E1741:E1742"/>
    <mergeCell ref="A1722:A1723"/>
    <mergeCell ref="C1716:C1717"/>
    <mergeCell ref="D1716:D1717"/>
    <mergeCell ref="F1748:F1749"/>
    <mergeCell ref="A1750:A1752"/>
    <mergeCell ref="A1754:A1755"/>
    <mergeCell ref="B1754:B1755"/>
    <mergeCell ref="C1754:C1755"/>
    <mergeCell ref="D1754:D1755"/>
    <mergeCell ref="E1754:E1755"/>
    <mergeCell ref="F1754:F1755"/>
    <mergeCell ref="A1789:A1790"/>
    <mergeCell ref="A1908:A1909"/>
    <mergeCell ref="B1908:B1909"/>
    <mergeCell ref="C1908:C1909"/>
    <mergeCell ref="D1908:D1909"/>
    <mergeCell ref="E1908:E1909"/>
    <mergeCell ref="F1908:F1909"/>
    <mergeCell ref="C1893:C1894"/>
    <mergeCell ref="D1893:D1894"/>
    <mergeCell ref="E1893:E1894"/>
    <mergeCell ref="F1893:F1894"/>
    <mergeCell ref="A1895:A1899"/>
    <mergeCell ref="A1893:A1894"/>
    <mergeCell ref="B1893:B1894"/>
    <mergeCell ref="A1748:A1749"/>
    <mergeCell ref="B1748:B1749"/>
    <mergeCell ref="C1748:C1749"/>
    <mergeCell ref="D1748:D1749"/>
    <mergeCell ref="E1748:E1749"/>
    <mergeCell ref="B1789:B1790"/>
    <mergeCell ref="C1789:C1790"/>
    <mergeCell ref="D1789:D1790"/>
    <mergeCell ref="A1769:A1770"/>
    <mergeCell ref="B1769:B1770"/>
    <mergeCell ref="D1942:D1943"/>
    <mergeCell ref="A1944:A1946"/>
    <mergeCell ref="D1914:D1915"/>
    <mergeCell ref="E1914:E1915"/>
    <mergeCell ref="F1914:F1915"/>
    <mergeCell ref="A1916:A1918"/>
    <mergeCell ref="A1963:A1964"/>
    <mergeCell ref="B1963:B1964"/>
    <mergeCell ref="C1963:C1964"/>
    <mergeCell ref="D1963:D1964"/>
    <mergeCell ref="E1963:E1964"/>
    <mergeCell ref="F1963:F1964"/>
    <mergeCell ref="F1774:F1775"/>
    <mergeCell ref="E1774:E1775"/>
    <mergeCell ref="E1942:E1943"/>
    <mergeCell ref="F1942:F1943"/>
    <mergeCell ref="A1883:A1885"/>
    <mergeCell ref="D1868:D1869"/>
    <mergeCell ref="E1868:E1869"/>
    <mergeCell ref="F1868:F1869"/>
    <mergeCell ref="A1874:A1875"/>
    <mergeCell ref="A1800:A1805"/>
    <mergeCell ref="F1854:F1855"/>
    <mergeCell ref="A1856:A1859"/>
    <mergeCell ref="F1813:F1814"/>
    <mergeCell ref="A1815:A1817"/>
    <mergeCell ref="A1825:A1826"/>
    <mergeCell ref="C1942:C1943"/>
    <mergeCell ref="A2025:A2026"/>
    <mergeCell ref="B2025:B2026"/>
    <mergeCell ref="C2025:C2026"/>
    <mergeCell ref="D2025:D2026"/>
    <mergeCell ref="E2025:E2026"/>
    <mergeCell ref="F2025:F2026"/>
    <mergeCell ref="A2032:A2033"/>
    <mergeCell ref="B2032:B2033"/>
    <mergeCell ref="C2032:C2033"/>
    <mergeCell ref="D2032:D2033"/>
    <mergeCell ref="E2032:E2033"/>
    <mergeCell ref="F2032:F2033"/>
    <mergeCell ref="A1984:A1985"/>
    <mergeCell ref="B1984:B1985"/>
    <mergeCell ref="C1984:C1985"/>
    <mergeCell ref="D1984:D1985"/>
    <mergeCell ref="E1984:E1985"/>
    <mergeCell ref="F1984:F1985"/>
    <mergeCell ref="A1986:A1988"/>
    <mergeCell ref="A2003:A2004"/>
    <mergeCell ref="B2003:B2004"/>
    <mergeCell ref="C2003:C2004"/>
    <mergeCell ref="D2003:D2004"/>
    <mergeCell ref="E2003:E2004"/>
    <mergeCell ref="F2003:F2004"/>
    <mergeCell ref="A2005:A2007"/>
    <mergeCell ref="A2009:A2010"/>
    <mergeCell ref="B2009:B2010"/>
    <mergeCell ref="C2009:C2010"/>
    <mergeCell ref="D2009:D2010"/>
    <mergeCell ref="E2009:E2010"/>
    <mergeCell ref="F2009:F2010"/>
    <mergeCell ref="A2018:A2019"/>
    <mergeCell ref="B2018:B2019"/>
    <mergeCell ref="C2018:C2019"/>
    <mergeCell ref="D2018:D2019"/>
    <mergeCell ref="E2018:E2019"/>
    <mergeCell ref="F2018:F2019"/>
    <mergeCell ref="A2055:A2056"/>
    <mergeCell ref="B2055:B2056"/>
    <mergeCell ref="C2055:C2056"/>
    <mergeCell ref="D2055:D2056"/>
    <mergeCell ref="E2055:E2056"/>
    <mergeCell ref="E2086:E2087"/>
    <mergeCell ref="A2099:A2100"/>
    <mergeCell ref="B2099:B2100"/>
    <mergeCell ref="E2039:E2040"/>
    <mergeCell ref="F2039:F2040"/>
    <mergeCell ref="A2075:A2076"/>
    <mergeCell ref="B2075:B2076"/>
    <mergeCell ref="C2075:C2076"/>
    <mergeCell ref="D2075:D2076"/>
    <mergeCell ref="E2075:E2076"/>
    <mergeCell ref="F2075:F2076"/>
    <mergeCell ref="A2039:A2040"/>
    <mergeCell ref="B2039:B2040"/>
    <mergeCell ref="C2039:C2040"/>
    <mergeCell ref="D2039:D2040"/>
    <mergeCell ref="F2086:F2087"/>
    <mergeCell ref="F2055:F2056"/>
    <mergeCell ref="A2048:A2049"/>
    <mergeCell ref="B2048:B2049"/>
    <mergeCell ref="C2048:C2049"/>
    <mergeCell ref="A2167:A2168"/>
    <mergeCell ref="B2167:B2168"/>
    <mergeCell ref="C2167:C2168"/>
    <mergeCell ref="D2167:D2168"/>
    <mergeCell ref="E2167:E2168"/>
    <mergeCell ref="F2167:F2168"/>
    <mergeCell ref="G2167:G2168"/>
    <mergeCell ref="A2179:A2180"/>
    <mergeCell ref="B2179:B2180"/>
    <mergeCell ref="C2179:C2180"/>
    <mergeCell ref="D2179:D2180"/>
    <mergeCell ref="E2179:E2180"/>
    <mergeCell ref="F2179:F2180"/>
    <mergeCell ref="G2179:G2180"/>
    <mergeCell ref="G2158:G2159"/>
    <mergeCell ref="A2174:A2175"/>
    <mergeCell ref="B2174:B2175"/>
    <mergeCell ref="C2174:C2175"/>
    <mergeCell ref="D2174:D2175"/>
    <mergeCell ref="E2174:E2175"/>
    <mergeCell ref="F2174:F2175"/>
    <mergeCell ref="G2174:G2175"/>
    <mergeCell ref="A2158:A2159"/>
    <mergeCell ref="B2158:B2159"/>
    <mergeCell ref="C2158:C2159"/>
    <mergeCell ref="D2158:D2159"/>
    <mergeCell ref="E2158:E2159"/>
    <mergeCell ref="F2158:F2159"/>
    <mergeCell ref="A2208:A2209"/>
    <mergeCell ref="B2208:B2209"/>
    <mergeCell ref="C2208:C2209"/>
    <mergeCell ref="D2208:D2209"/>
    <mergeCell ref="E2208:E2209"/>
    <mergeCell ref="F2208:F2209"/>
    <mergeCell ref="G2208:G2209"/>
    <mergeCell ref="A2203:A2204"/>
    <mergeCell ref="B2203:B2204"/>
    <mergeCell ref="C2203:C2204"/>
    <mergeCell ref="D2203:D2204"/>
    <mergeCell ref="E2203:E2204"/>
    <mergeCell ref="F2203:F2204"/>
    <mergeCell ref="G2203:G2204"/>
    <mergeCell ref="A2186:A2187"/>
    <mergeCell ref="B2186:B2187"/>
    <mergeCell ref="C2186:C2187"/>
    <mergeCell ref="D2186:D2187"/>
    <mergeCell ref="E2186:E2187"/>
    <mergeCell ref="F2186:F2187"/>
    <mergeCell ref="G2186:G2187"/>
    <mergeCell ref="A2194:A2195"/>
    <mergeCell ref="B2194:B2195"/>
    <mergeCell ref="C2194:C2195"/>
    <mergeCell ref="D2194:D2195"/>
    <mergeCell ref="E2194:E2195"/>
    <mergeCell ref="F2194:F2195"/>
    <mergeCell ref="G2194:G2195"/>
    <mergeCell ref="A2239:A2240"/>
    <mergeCell ref="B2239:B2240"/>
    <mergeCell ref="C2239:C2240"/>
    <mergeCell ref="D2239:D2240"/>
    <mergeCell ref="E2239:E2240"/>
    <mergeCell ref="F2239:F2240"/>
    <mergeCell ref="G2239:G2240"/>
    <mergeCell ref="A2229:A2230"/>
    <mergeCell ref="B2229:B2230"/>
    <mergeCell ref="C2229:C2230"/>
    <mergeCell ref="D2229:D2230"/>
    <mergeCell ref="E2229:E2230"/>
    <mergeCell ref="F2229:F2230"/>
    <mergeCell ref="G2229:G2230"/>
    <mergeCell ref="A2223:A2224"/>
    <mergeCell ref="B2223:B2224"/>
    <mergeCell ref="C2223:C2224"/>
    <mergeCell ref="D2223:D2224"/>
    <mergeCell ref="E2223:E2224"/>
    <mergeCell ref="F2223:F2224"/>
    <mergeCell ref="G2223:G2224"/>
    <mergeCell ref="A2234:A2235"/>
    <mergeCell ref="B2234:B2235"/>
    <mergeCell ref="C2234:C2235"/>
    <mergeCell ref="D2234:D2235"/>
    <mergeCell ref="E2234:E2235"/>
    <mergeCell ref="F2234:F2235"/>
    <mergeCell ref="G2234:G2235"/>
    <mergeCell ref="A2245:A2246"/>
    <mergeCell ref="B2245:B2246"/>
    <mergeCell ref="C2245:C2246"/>
    <mergeCell ref="D2245:D2246"/>
    <mergeCell ref="E2245:E2246"/>
    <mergeCell ref="F2245:F2246"/>
    <mergeCell ref="G2245:G2246"/>
    <mergeCell ref="A2265:A2266"/>
    <mergeCell ref="B2265:B2266"/>
    <mergeCell ref="C2265:C2266"/>
    <mergeCell ref="D2265:D2266"/>
    <mergeCell ref="E2265:E2266"/>
    <mergeCell ref="F2265:F2266"/>
    <mergeCell ref="G2265:G2266"/>
    <mergeCell ref="A2258:A2259"/>
    <mergeCell ref="B2258:B2259"/>
    <mergeCell ref="C2258:C2259"/>
    <mergeCell ref="D2258:D2259"/>
    <mergeCell ref="E2258:E2259"/>
    <mergeCell ref="F2258:F2259"/>
    <mergeCell ref="G2258:G2259"/>
    <mergeCell ref="A2269:A2270"/>
    <mergeCell ref="B2269:B2270"/>
    <mergeCell ref="C2269:C2270"/>
    <mergeCell ref="D2269:D2270"/>
    <mergeCell ref="E2269:E2270"/>
    <mergeCell ref="F2269:F2270"/>
    <mergeCell ref="G2269:G2270"/>
    <mergeCell ref="A2289:A2290"/>
    <mergeCell ref="B2289:B2290"/>
    <mergeCell ref="C2289:C2290"/>
    <mergeCell ref="D2289:D2290"/>
    <mergeCell ref="E2289:E2290"/>
    <mergeCell ref="F2289:F2290"/>
    <mergeCell ref="G2289:G2290"/>
    <mergeCell ref="G2283:G2284"/>
    <mergeCell ref="A2254:A2255"/>
    <mergeCell ref="B2254:B2255"/>
    <mergeCell ref="C2254:C2255"/>
    <mergeCell ref="D2254:D2255"/>
    <mergeCell ref="E2254:E2255"/>
    <mergeCell ref="F2254:F2255"/>
    <mergeCell ref="G2254:G2255"/>
    <mergeCell ref="A2295:A2296"/>
    <mergeCell ref="B2295:B2296"/>
    <mergeCell ref="C2295:C2296"/>
    <mergeCell ref="D2295:D2296"/>
    <mergeCell ref="E2295:E2296"/>
    <mergeCell ref="F2295:F2296"/>
    <mergeCell ref="G2295:G2296"/>
    <mergeCell ref="A2306:A2307"/>
    <mergeCell ref="B2306:B2307"/>
    <mergeCell ref="C2306:C2307"/>
    <mergeCell ref="D2306:D2307"/>
    <mergeCell ref="E2306:E2307"/>
    <mergeCell ref="F2306:F2307"/>
    <mergeCell ref="G2306:G2307"/>
    <mergeCell ref="A2277:A2278"/>
    <mergeCell ref="B2277:B2278"/>
    <mergeCell ref="C2277:C2278"/>
    <mergeCell ref="D2277:D2278"/>
    <mergeCell ref="E2277:E2278"/>
    <mergeCell ref="F2277:F2278"/>
    <mergeCell ref="G2277:G2278"/>
    <mergeCell ref="A2326:A2327"/>
    <mergeCell ref="B2326:B2327"/>
    <mergeCell ref="C2326:C2327"/>
    <mergeCell ref="D2326:D2327"/>
    <mergeCell ref="E2326:E2327"/>
    <mergeCell ref="F2326:F2327"/>
    <mergeCell ref="G2326:G2327"/>
    <mergeCell ref="A2316:A2317"/>
    <mergeCell ref="B2316:B2317"/>
    <mergeCell ref="C2316:C2317"/>
    <mergeCell ref="D2316:D2317"/>
    <mergeCell ref="E2316:E2317"/>
    <mergeCell ref="F2316:F2317"/>
    <mergeCell ref="G2316:G2317"/>
    <mergeCell ref="A2300:A2301"/>
    <mergeCell ref="B2300:B2301"/>
    <mergeCell ref="C2300:C2301"/>
    <mergeCell ref="D2300:D2301"/>
    <mergeCell ref="E2300:E2301"/>
    <mergeCell ref="F2300:F2301"/>
    <mergeCell ref="G2300:G2301"/>
    <mergeCell ref="A2321:A2322"/>
    <mergeCell ref="B2321:B2322"/>
    <mergeCell ref="C2321:C2322"/>
    <mergeCell ref="D2321:D2322"/>
    <mergeCell ref="E2321:E2322"/>
    <mergeCell ref="F2321:F2322"/>
    <mergeCell ref="G2321:G2322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O4048"/>
  <sheetViews>
    <sheetView showGridLines="0" tabSelected="1" topLeftCell="A4007" zoomScale="85" zoomScaleNormal="85" workbookViewId="0">
      <selection activeCell="C4043" sqref="C4043"/>
    </sheetView>
  </sheetViews>
  <sheetFormatPr defaultRowHeight="15" outlineLevelRow="2"/>
  <cols>
    <col min="1" max="1" width="20.28515625" bestFit="1" customWidth="1"/>
    <col min="2" max="2" width="40.7109375" bestFit="1" customWidth="1"/>
    <col min="3" max="3" width="71.140625" customWidth="1"/>
    <col min="5" max="5" width="9.85546875" customWidth="1"/>
    <col min="6" max="6" width="12" customWidth="1"/>
    <col min="9" max="9" width="10.28515625" bestFit="1" customWidth="1"/>
  </cols>
  <sheetData>
    <row r="1" spans="1:7" ht="15.75" customHeight="1" outlineLevel="1" thickTop="1">
      <c r="A1" s="3782" t="s">
        <v>0</v>
      </c>
      <c r="B1" s="3781" t="s">
        <v>1</v>
      </c>
      <c r="C1" s="3781" t="s">
        <v>2</v>
      </c>
      <c r="D1" s="3781" t="s">
        <v>3</v>
      </c>
      <c r="E1" s="3781" t="s">
        <v>4</v>
      </c>
      <c r="F1" s="3765" t="s">
        <v>5</v>
      </c>
    </row>
    <row r="2" spans="1:7" ht="15.75" customHeight="1" outlineLevel="1" thickBot="1">
      <c r="A2" s="4179"/>
      <c r="B2" s="4066"/>
      <c r="C2" s="4066"/>
      <c r="D2" s="4066"/>
      <c r="E2" s="4066"/>
      <c r="F2" s="4180"/>
    </row>
    <row r="3" spans="1:7" ht="15.75" outlineLevel="1" thickTop="1">
      <c r="A3" s="289" t="s">
        <v>1788</v>
      </c>
      <c r="B3" s="288" t="s">
        <v>120</v>
      </c>
      <c r="C3" s="739" t="s">
        <v>1301</v>
      </c>
      <c r="D3" s="288"/>
      <c r="E3" s="290">
        <f>(G3-F3)/G3</f>
        <v>8.421052631578943E-2</v>
      </c>
      <c r="F3" s="391">
        <v>0.87</v>
      </c>
      <c r="G3" s="32">
        <v>0.95</v>
      </c>
    </row>
    <row r="4" spans="1:7" outlineLevel="1">
      <c r="A4" s="8"/>
      <c r="B4" s="739" t="s">
        <v>121</v>
      </c>
      <c r="C4" s="739" t="s">
        <v>554</v>
      </c>
      <c r="D4" s="288"/>
      <c r="E4" s="290">
        <f t="shared" ref="E4:E11" si="0">(G4-F4)/G4</f>
        <v>0.20338983050847459</v>
      </c>
      <c r="F4" s="391">
        <v>0.94</v>
      </c>
      <c r="G4" s="32">
        <v>1.18</v>
      </c>
    </row>
    <row r="5" spans="1:7" outlineLevel="1">
      <c r="A5" s="8"/>
      <c r="B5" s="739" t="s">
        <v>123</v>
      </c>
      <c r="C5" s="739" t="s">
        <v>730</v>
      </c>
      <c r="D5" s="288"/>
      <c r="E5" s="290">
        <f t="shared" si="0"/>
        <v>0.19512195121951212</v>
      </c>
      <c r="F5" s="391">
        <v>0.66</v>
      </c>
      <c r="G5" s="32">
        <v>0.82</v>
      </c>
    </row>
    <row r="6" spans="1:7" outlineLevel="1">
      <c r="A6" s="8"/>
      <c r="B6" s="739" t="s">
        <v>122</v>
      </c>
      <c r="C6" s="739" t="s">
        <v>228</v>
      </c>
      <c r="D6" s="288"/>
      <c r="E6" s="290">
        <f t="shared" si="0"/>
        <v>0.10465116279069764</v>
      </c>
      <c r="F6" s="391">
        <v>0.77</v>
      </c>
      <c r="G6" s="32">
        <v>0.86</v>
      </c>
    </row>
    <row r="7" spans="1:7" outlineLevel="1">
      <c r="A7" s="8"/>
      <c r="B7" s="739"/>
      <c r="C7" s="739" t="s">
        <v>1317</v>
      </c>
      <c r="D7" s="288"/>
      <c r="E7" s="290">
        <f t="shared" si="0"/>
        <v>0.19736842105263161</v>
      </c>
      <c r="F7" s="391">
        <v>1.22</v>
      </c>
      <c r="G7" s="32">
        <v>1.52</v>
      </c>
    </row>
    <row r="8" spans="1:7" outlineLevel="1">
      <c r="A8" s="8"/>
      <c r="B8" s="739"/>
      <c r="C8" s="739" t="s">
        <v>905</v>
      </c>
      <c r="D8" s="288"/>
      <c r="E8" s="290">
        <f t="shared" si="0"/>
        <v>0.20512820512820515</v>
      </c>
      <c r="F8" s="391">
        <v>0.62</v>
      </c>
      <c r="G8" s="32">
        <v>0.78</v>
      </c>
    </row>
    <row r="9" spans="1:7" outlineLevel="1">
      <c r="A9" s="8"/>
      <c r="B9" s="739"/>
      <c r="C9" s="739" t="s">
        <v>1141</v>
      </c>
      <c r="D9" s="288"/>
      <c r="E9" s="290">
        <f t="shared" si="0"/>
        <v>9.9999999999999978E-2</v>
      </c>
      <c r="F9" s="391">
        <v>0.45</v>
      </c>
      <c r="G9" s="32">
        <v>0.5</v>
      </c>
    </row>
    <row r="10" spans="1:7" outlineLevel="1">
      <c r="A10" s="8"/>
      <c r="B10" s="739"/>
      <c r="C10" s="739" t="s">
        <v>1789</v>
      </c>
      <c r="D10" s="288"/>
      <c r="E10" s="290">
        <f t="shared" si="0"/>
        <v>0.10256410256410266</v>
      </c>
      <c r="F10" s="391">
        <v>0.35</v>
      </c>
      <c r="G10" s="32">
        <v>0.39</v>
      </c>
    </row>
    <row r="11" spans="1:7" outlineLevel="1">
      <c r="A11" s="8"/>
      <c r="B11" s="739"/>
      <c r="C11" s="739" t="s">
        <v>685</v>
      </c>
      <c r="D11" s="288"/>
      <c r="E11" s="290">
        <f t="shared" si="0"/>
        <v>0.20388349514563114</v>
      </c>
      <c r="F11" s="391">
        <v>0.82</v>
      </c>
      <c r="G11" s="32">
        <v>1.03</v>
      </c>
    </row>
    <row r="12" spans="1:7" outlineLevel="1">
      <c r="A12" s="8"/>
      <c r="B12" s="739"/>
      <c r="C12" s="739"/>
      <c r="D12" s="739"/>
      <c r="E12" s="740"/>
      <c r="F12" s="291"/>
    </row>
    <row r="13" spans="1:7" outlineLevel="1">
      <c r="A13" s="8"/>
      <c r="B13" s="741"/>
      <c r="C13" s="741"/>
      <c r="D13" s="741"/>
      <c r="E13" s="740"/>
      <c r="F13" s="742"/>
    </row>
    <row r="14" spans="1:7" ht="15.75" outlineLevel="1" thickBot="1">
      <c r="A14" s="9"/>
      <c r="B14" s="743"/>
      <c r="C14" s="743"/>
      <c r="D14" s="743"/>
      <c r="E14" s="743"/>
      <c r="F14" s="744"/>
    </row>
    <row r="15" spans="1:7" ht="15.75" outlineLevel="1" thickTop="1"/>
    <row r="16" spans="1:7" ht="15.75" outlineLevel="1" thickBot="1"/>
    <row r="17" spans="1:7" ht="15.75" customHeight="1" outlineLevel="1" thickTop="1">
      <c r="A17" s="3782" t="s">
        <v>0</v>
      </c>
      <c r="B17" s="3781" t="s">
        <v>1</v>
      </c>
      <c r="C17" s="3781" t="s">
        <v>2</v>
      </c>
      <c r="D17" s="3781" t="s">
        <v>3</v>
      </c>
      <c r="E17" s="3781" t="s">
        <v>4</v>
      </c>
      <c r="F17" s="3765" t="s">
        <v>5</v>
      </c>
    </row>
    <row r="18" spans="1:7" ht="15.75" customHeight="1" outlineLevel="1" thickBot="1">
      <c r="A18" s="4179"/>
      <c r="B18" s="4066"/>
      <c r="C18" s="4066"/>
      <c r="D18" s="4066"/>
      <c r="E18" s="4066"/>
      <c r="F18" s="4180"/>
    </row>
    <row r="19" spans="1:7" ht="15.75" outlineLevel="1" thickTop="1">
      <c r="A19" s="289" t="s">
        <v>1790</v>
      </c>
      <c r="B19" s="288" t="s">
        <v>1708</v>
      </c>
      <c r="C19" s="739" t="s">
        <v>1345</v>
      </c>
      <c r="D19" s="288"/>
      <c r="E19" s="290">
        <f>(G19-F19)/G19</f>
        <v>0.15028901734104047</v>
      </c>
      <c r="F19" s="391">
        <v>1.47</v>
      </c>
      <c r="G19">
        <v>1.73</v>
      </c>
    </row>
    <row r="20" spans="1:7" outlineLevel="1">
      <c r="A20" s="8"/>
      <c r="B20" s="739"/>
      <c r="C20" s="739" t="s">
        <v>1413</v>
      </c>
      <c r="D20" s="288"/>
      <c r="E20" s="290">
        <f t="shared" ref="E20:E28" si="1">(G20-F20)/G20</f>
        <v>0.15028901734104047</v>
      </c>
      <c r="F20" s="391">
        <v>1.47</v>
      </c>
      <c r="G20">
        <v>1.73</v>
      </c>
    </row>
    <row r="21" spans="1:7" outlineLevel="1">
      <c r="A21" s="8"/>
      <c r="B21" s="739"/>
      <c r="C21" s="739" t="s">
        <v>1355</v>
      </c>
      <c r="D21" s="288"/>
      <c r="E21" s="290">
        <f t="shared" si="1"/>
        <v>0.15028901734104047</v>
      </c>
      <c r="F21" s="391">
        <v>1.47</v>
      </c>
      <c r="G21">
        <v>1.73</v>
      </c>
    </row>
    <row r="22" spans="1:7" outlineLevel="1">
      <c r="A22" s="8"/>
      <c r="B22" s="739"/>
      <c r="C22" s="739" t="s">
        <v>1429</v>
      </c>
      <c r="D22" s="288"/>
      <c r="E22" s="290">
        <f t="shared" si="1"/>
        <v>0.15028901734104047</v>
      </c>
      <c r="F22" s="391">
        <v>1.47</v>
      </c>
      <c r="G22">
        <v>1.73</v>
      </c>
    </row>
    <row r="23" spans="1:7" outlineLevel="1">
      <c r="A23" s="8"/>
      <c r="B23" s="739"/>
      <c r="C23" s="739" t="s">
        <v>1791</v>
      </c>
      <c r="D23" s="288"/>
      <c r="E23" s="290">
        <f t="shared" si="1"/>
        <v>0.15137614678899083</v>
      </c>
      <c r="F23" s="391">
        <v>1.85</v>
      </c>
      <c r="G23">
        <v>2.1800000000000002</v>
      </c>
    </row>
    <row r="24" spans="1:7" outlineLevel="1">
      <c r="A24" s="8"/>
      <c r="B24" s="739"/>
      <c r="C24" s="739" t="s">
        <v>1376</v>
      </c>
      <c r="D24" s="288"/>
      <c r="E24" s="290">
        <f t="shared" si="1"/>
        <v>0.15000000000000011</v>
      </c>
      <c r="F24" s="391">
        <v>5.27</v>
      </c>
      <c r="G24">
        <v>6.2</v>
      </c>
    </row>
    <row r="25" spans="1:7" outlineLevel="1">
      <c r="A25" s="8"/>
      <c r="B25" s="739"/>
      <c r="C25" s="739" t="s">
        <v>1362</v>
      </c>
      <c r="D25" s="288"/>
      <c r="E25" s="290">
        <f t="shared" si="1"/>
        <v>0.15000000000000011</v>
      </c>
      <c r="F25" s="391">
        <v>5.27</v>
      </c>
      <c r="G25">
        <v>6.2</v>
      </c>
    </row>
    <row r="26" spans="1:7" outlineLevel="1">
      <c r="A26" s="8"/>
      <c r="B26" s="739"/>
      <c r="C26" s="739" t="s">
        <v>1363</v>
      </c>
      <c r="D26" s="288"/>
      <c r="E26" s="290">
        <f t="shared" si="1"/>
        <v>0.15000000000000011</v>
      </c>
      <c r="F26" s="391">
        <v>5.27</v>
      </c>
      <c r="G26">
        <v>6.2</v>
      </c>
    </row>
    <row r="27" spans="1:7" outlineLevel="1">
      <c r="A27" s="8"/>
      <c r="B27" s="739"/>
      <c r="C27" s="739" t="s">
        <v>1283</v>
      </c>
      <c r="D27" s="288"/>
      <c r="E27" s="290">
        <f t="shared" si="1"/>
        <v>0.14772727272727273</v>
      </c>
      <c r="F27" s="391">
        <v>1.5</v>
      </c>
      <c r="G27">
        <v>1.76</v>
      </c>
    </row>
    <row r="28" spans="1:7" outlineLevel="1">
      <c r="A28" s="8"/>
      <c r="B28" s="739"/>
      <c r="C28" s="739" t="s">
        <v>517</v>
      </c>
      <c r="D28" s="739"/>
      <c r="E28" s="290">
        <f t="shared" si="1"/>
        <v>0.14876033057851235</v>
      </c>
      <c r="F28" s="291">
        <v>1.03</v>
      </c>
      <c r="G28">
        <v>1.21</v>
      </c>
    </row>
    <row r="29" spans="1:7" outlineLevel="1">
      <c r="A29" s="8"/>
      <c r="B29" s="741"/>
      <c r="C29" s="741"/>
      <c r="D29" s="741"/>
      <c r="E29" s="740"/>
      <c r="F29" s="742"/>
    </row>
    <row r="30" spans="1:7" ht="15.75" outlineLevel="1" thickBot="1">
      <c r="A30" s="9"/>
      <c r="B30" s="743"/>
      <c r="C30" s="743"/>
      <c r="D30" s="743"/>
      <c r="E30" s="743"/>
      <c r="F30" s="744"/>
    </row>
    <row r="31" spans="1:7" ht="15.75" outlineLevel="1" thickTop="1"/>
    <row r="32" spans="1:7" outlineLevel="1"/>
    <row r="33" spans="1:7" ht="15.75" outlineLevel="1" thickBot="1"/>
    <row r="34" spans="1:7" ht="15.75" customHeight="1" outlineLevel="1" thickTop="1">
      <c r="A34" s="3782" t="s">
        <v>0</v>
      </c>
      <c r="B34" s="3781" t="s">
        <v>1</v>
      </c>
      <c r="C34" s="3781" t="s">
        <v>2</v>
      </c>
      <c r="D34" s="3781" t="s">
        <v>3</v>
      </c>
      <c r="E34" s="3781" t="s">
        <v>4</v>
      </c>
      <c r="F34" s="3765" t="s">
        <v>5</v>
      </c>
    </row>
    <row r="35" spans="1:7" ht="15.75" customHeight="1" outlineLevel="1" thickBot="1">
      <c r="A35" s="4179"/>
      <c r="B35" s="4066"/>
      <c r="C35" s="4066"/>
      <c r="D35" s="4066"/>
      <c r="E35" s="4066"/>
      <c r="F35" s="4180"/>
    </row>
    <row r="36" spans="1:7" ht="15.75" outlineLevel="1" thickTop="1">
      <c r="A36" s="289" t="s">
        <v>2008</v>
      </c>
      <c r="B36" s="288" t="s">
        <v>460</v>
      </c>
      <c r="C36" s="739" t="s">
        <v>2009</v>
      </c>
      <c r="D36" s="288"/>
      <c r="E36" s="290">
        <f>(G36-F36)/G36</f>
        <v>0.15217391304347827</v>
      </c>
      <c r="F36" s="291">
        <v>0.78</v>
      </c>
      <c r="G36">
        <v>0.92</v>
      </c>
    </row>
    <row r="37" spans="1:7" outlineLevel="1">
      <c r="A37" s="292"/>
      <c r="B37" s="739"/>
      <c r="C37" s="739" t="s">
        <v>2010</v>
      </c>
      <c r="D37" s="288"/>
      <c r="E37" s="290">
        <f>(G37-F37)/G37</f>
        <v>0.15231788079470199</v>
      </c>
      <c r="F37" s="291">
        <v>1.28</v>
      </c>
      <c r="G37">
        <v>1.51</v>
      </c>
    </row>
    <row r="38" spans="1:7" outlineLevel="1">
      <c r="A38" s="292"/>
      <c r="B38" s="739"/>
      <c r="C38" s="739" t="s">
        <v>470</v>
      </c>
      <c r="D38" s="288"/>
      <c r="E38" s="290">
        <f>(G38-F38)/G38</f>
        <v>0.14772727272727273</v>
      </c>
      <c r="F38" s="291">
        <v>0.75</v>
      </c>
      <c r="G38">
        <v>0.88</v>
      </c>
    </row>
    <row r="39" spans="1:7" outlineLevel="1">
      <c r="A39" s="292"/>
      <c r="B39" s="739"/>
      <c r="C39" s="739"/>
      <c r="D39" s="288"/>
      <c r="E39" s="290"/>
      <c r="F39" s="291"/>
    </row>
    <row r="40" spans="1:7" outlineLevel="1">
      <c r="A40" s="292"/>
      <c r="B40" s="739"/>
      <c r="C40" s="739"/>
      <c r="D40" s="288"/>
      <c r="E40" s="290"/>
      <c r="F40" s="291"/>
    </row>
    <row r="41" spans="1:7" outlineLevel="1">
      <c r="A41" s="292"/>
      <c r="B41" s="739"/>
      <c r="C41" s="739"/>
      <c r="D41" s="288"/>
      <c r="E41" s="290"/>
      <c r="F41" s="291"/>
    </row>
    <row r="42" spans="1:7" outlineLevel="1">
      <c r="A42" s="292"/>
      <c r="B42" s="739"/>
      <c r="C42" s="739"/>
      <c r="D42" s="288"/>
      <c r="E42" s="290"/>
      <c r="F42" s="291"/>
    </row>
    <row r="43" spans="1:7" outlineLevel="1">
      <c r="A43" s="292"/>
      <c r="B43" s="739"/>
      <c r="C43" s="739"/>
      <c r="D43" s="288"/>
      <c r="E43" s="290"/>
      <c r="F43" s="291"/>
    </row>
    <row r="44" spans="1:7" outlineLevel="1">
      <c r="A44" s="292"/>
      <c r="B44" s="739"/>
      <c r="C44" s="739"/>
      <c r="D44" s="288"/>
      <c r="E44" s="290"/>
      <c r="F44" s="291"/>
    </row>
    <row r="45" spans="1:7" outlineLevel="1">
      <c r="A45" s="292"/>
      <c r="B45" s="739"/>
      <c r="C45" s="739"/>
      <c r="D45" s="739"/>
      <c r="E45" s="739"/>
      <c r="F45" s="291"/>
    </row>
    <row r="46" spans="1:7" outlineLevel="1">
      <c r="A46" s="292"/>
      <c r="B46" s="739"/>
      <c r="C46" s="739"/>
      <c r="D46" s="739"/>
      <c r="E46" s="739"/>
      <c r="F46" s="745"/>
    </row>
    <row r="47" spans="1:7" ht="15.75" outlineLevel="1" thickBot="1">
      <c r="A47" s="382"/>
      <c r="B47" s="746"/>
      <c r="C47" s="746"/>
      <c r="D47" s="746"/>
      <c r="E47" s="746"/>
      <c r="F47" s="747"/>
    </row>
    <row r="48" spans="1:7" ht="15.75" outlineLevel="1" thickTop="1"/>
    <row r="49" spans="1:7" ht="15.75" outlineLevel="1" thickBot="1"/>
    <row r="50" spans="1:7" ht="15.75" customHeight="1" outlineLevel="1" thickTop="1">
      <c r="A50" s="3782" t="s">
        <v>0</v>
      </c>
      <c r="B50" s="3781" t="s">
        <v>1</v>
      </c>
      <c r="C50" s="3781" t="s">
        <v>2</v>
      </c>
      <c r="D50" s="3781" t="s">
        <v>3</v>
      </c>
      <c r="E50" s="3781" t="s">
        <v>4</v>
      </c>
      <c r="F50" s="3765" t="s">
        <v>5</v>
      </c>
    </row>
    <row r="51" spans="1:7" ht="15.75" customHeight="1" outlineLevel="1" thickBot="1">
      <c r="A51" s="4179"/>
      <c r="B51" s="4066"/>
      <c r="C51" s="4066"/>
      <c r="D51" s="4066"/>
      <c r="E51" s="4066"/>
      <c r="F51" s="4180"/>
    </row>
    <row r="52" spans="1:7" ht="15.75" outlineLevel="1" thickTop="1">
      <c r="A52" s="289" t="s">
        <v>1818</v>
      </c>
      <c r="B52" s="288" t="s">
        <v>120</v>
      </c>
      <c r="C52" s="748" t="s">
        <v>1355</v>
      </c>
      <c r="D52" s="288"/>
      <c r="E52" s="290">
        <f>(G52-F52)/G52</f>
        <v>0.15000000000000005</v>
      </c>
      <c r="F52" s="749">
        <v>1.4704999999999999</v>
      </c>
      <c r="G52">
        <v>1.73</v>
      </c>
    </row>
    <row r="53" spans="1:7" outlineLevel="1">
      <c r="A53" s="8"/>
      <c r="B53" s="739" t="s">
        <v>121</v>
      </c>
      <c r="C53" s="748" t="s">
        <v>465</v>
      </c>
      <c r="D53" s="288"/>
      <c r="E53" s="290">
        <f t="shared" ref="E53:E58" si="2">(G53-F53)/G53</f>
        <v>0.15000000000000002</v>
      </c>
      <c r="F53" s="749">
        <v>1.1984999999999999</v>
      </c>
      <c r="G53">
        <v>1.41</v>
      </c>
    </row>
    <row r="54" spans="1:7" outlineLevel="1">
      <c r="A54" s="8"/>
      <c r="B54" s="739" t="s">
        <v>123</v>
      </c>
      <c r="C54" s="748" t="s">
        <v>1819</v>
      </c>
      <c r="D54" s="288"/>
      <c r="E54" s="290">
        <f t="shared" si="2"/>
        <v>0.14999999999999997</v>
      </c>
      <c r="F54" s="749">
        <v>0.51</v>
      </c>
      <c r="G54">
        <v>0.6</v>
      </c>
    </row>
    <row r="55" spans="1:7" outlineLevel="1">
      <c r="A55" s="8"/>
      <c r="B55" s="739" t="s">
        <v>122</v>
      </c>
      <c r="C55" s="748" t="s">
        <v>1820</v>
      </c>
      <c r="D55" s="288"/>
      <c r="E55" s="290">
        <f t="shared" si="2"/>
        <v>0.14999999999999997</v>
      </c>
      <c r="F55" s="749">
        <v>1.5555000000000001</v>
      </c>
      <c r="G55">
        <v>1.83</v>
      </c>
    </row>
    <row r="56" spans="1:7" outlineLevel="1">
      <c r="A56" s="8"/>
      <c r="B56" s="739"/>
      <c r="C56" s="748" t="s">
        <v>1555</v>
      </c>
      <c r="D56" s="288"/>
      <c r="E56" s="290">
        <f t="shared" si="2"/>
        <v>0.15000000000000008</v>
      </c>
      <c r="F56" s="749">
        <v>18.895499999999998</v>
      </c>
      <c r="G56">
        <v>22.23</v>
      </c>
    </row>
    <row r="57" spans="1:7" outlineLevel="1">
      <c r="A57" s="8"/>
      <c r="B57" s="739"/>
      <c r="C57" s="748" t="s">
        <v>1556</v>
      </c>
      <c r="D57" s="288"/>
      <c r="E57" s="290">
        <f t="shared" si="2"/>
        <v>0.15000000000000008</v>
      </c>
      <c r="F57" s="749">
        <v>18.895499999999998</v>
      </c>
      <c r="G57">
        <v>22.23</v>
      </c>
    </row>
    <row r="58" spans="1:7" outlineLevel="1">
      <c r="A58" s="8"/>
      <c r="B58" s="739"/>
      <c r="C58" s="748" t="s">
        <v>1763</v>
      </c>
      <c r="D58" s="288"/>
      <c r="E58" s="290">
        <f t="shared" si="2"/>
        <v>0.15000000000000008</v>
      </c>
      <c r="F58" s="749">
        <v>18.895499999999998</v>
      </c>
      <c r="G58">
        <v>22.23</v>
      </c>
    </row>
    <row r="59" spans="1:7" outlineLevel="1">
      <c r="A59" s="8"/>
      <c r="B59" s="739"/>
      <c r="C59" s="739"/>
      <c r="D59" s="288"/>
      <c r="E59" s="290"/>
      <c r="F59" s="391"/>
    </row>
    <row r="60" spans="1:7" outlineLevel="1">
      <c r="A60" s="8"/>
      <c r="B60" s="739"/>
      <c r="C60" s="739"/>
      <c r="D60" s="288"/>
      <c r="E60" s="290"/>
      <c r="F60" s="391"/>
    </row>
    <row r="61" spans="1:7" outlineLevel="1">
      <c r="A61" s="8"/>
      <c r="B61" s="739"/>
      <c r="C61" s="739"/>
      <c r="D61" s="739"/>
      <c r="E61" s="740"/>
      <c r="F61" s="291"/>
    </row>
    <row r="62" spans="1:7" outlineLevel="1">
      <c r="A62" s="8"/>
      <c r="B62" s="741"/>
      <c r="C62" s="741"/>
      <c r="D62" s="741"/>
      <c r="E62" s="740"/>
      <c r="F62" s="742"/>
    </row>
    <row r="63" spans="1:7" ht="15.75" outlineLevel="1" thickBot="1">
      <c r="A63" s="9"/>
      <c r="B63" s="743"/>
      <c r="C63" s="743"/>
      <c r="D63" s="743"/>
      <c r="E63" s="743"/>
      <c r="F63" s="744"/>
    </row>
    <row r="64" spans="1:7" ht="15.75" outlineLevel="1" thickTop="1"/>
    <row r="65" spans="1:7" ht="15.75" outlineLevel="1" thickBot="1"/>
    <row r="66" spans="1:7" ht="15" customHeight="1" outlineLevel="1">
      <c r="A66" s="3614" t="s">
        <v>0</v>
      </c>
      <c r="B66" s="3693" t="s">
        <v>1</v>
      </c>
      <c r="C66" s="3693" t="s">
        <v>2</v>
      </c>
      <c r="D66" s="3693" t="s">
        <v>3</v>
      </c>
      <c r="E66" s="3693" t="s">
        <v>4</v>
      </c>
      <c r="F66" s="3522" t="s">
        <v>5</v>
      </c>
    </row>
    <row r="67" spans="1:7" ht="15.75" customHeight="1" outlineLevel="1" thickBot="1">
      <c r="A67" s="4060"/>
      <c r="B67" s="4066"/>
      <c r="C67" s="4066"/>
      <c r="D67" s="4066"/>
      <c r="E67" s="4066"/>
      <c r="F67" s="4067"/>
    </row>
    <row r="68" spans="1:7" ht="15.75" outlineLevel="1" thickTop="1">
      <c r="A68" s="412" t="s">
        <v>2011</v>
      </c>
      <c r="B68" s="288" t="s">
        <v>460</v>
      </c>
      <c r="C68" s="750" t="s">
        <v>471</v>
      </c>
      <c r="D68" s="288"/>
      <c r="E68" s="290">
        <f>(G68-F68)/G68</f>
        <v>0.14772727272727273</v>
      </c>
      <c r="F68" s="751">
        <v>0.75</v>
      </c>
      <c r="G68">
        <v>0.88</v>
      </c>
    </row>
    <row r="69" spans="1:7" outlineLevel="1">
      <c r="A69" s="413"/>
      <c r="B69" s="739"/>
      <c r="C69" s="752" t="s">
        <v>1374</v>
      </c>
      <c r="D69" s="288"/>
      <c r="E69" s="290">
        <f>(G69-F69)/G69</f>
        <v>0.15000000000000002</v>
      </c>
      <c r="F69" s="753">
        <v>0.85</v>
      </c>
      <c r="G69" s="39">
        <v>1</v>
      </c>
    </row>
    <row r="70" spans="1:7" outlineLevel="1">
      <c r="A70" s="413"/>
      <c r="B70" s="739"/>
      <c r="C70" s="752" t="s">
        <v>1301</v>
      </c>
      <c r="D70" s="288"/>
      <c r="E70" s="290">
        <f>(G70-F70)/G70</f>
        <v>0.15000000000000002</v>
      </c>
      <c r="F70" s="753">
        <v>0.85</v>
      </c>
      <c r="G70" s="39">
        <v>1</v>
      </c>
    </row>
    <row r="71" spans="1:7" outlineLevel="1">
      <c r="A71" s="413"/>
      <c r="B71" s="739"/>
      <c r="C71" s="752" t="s">
        <v>522</v>
      </c>
      <c r="D71" s="288"/>
      <c r="E71" s="290">
        <f>(G71-F71)/G71</f>
        <v>0.15000000000000002</v>
      </c>
      <c r="F71" s="753">
        <v>0.85</v>
      </c>
      <c r="G71" s="39">
        <v>1</v>
      </c>
    </row>
    <row r="72" spans="1:7" outlineLevel="1">
      <c r="A72" s="413"/>
      <c r="B72" s="739"/>
      <c r="C72" s="739"/>
      <c r="D72" s="288"/>
      <c r="E72" s="290"/>
      <c r="F72" s="399"/>
    </row>
    <row r="73" spans="1:7" outlineLevel="1">
      <c r="A73" s="413"/>
      <c r="B73" s="739"/>
      <c r="C73" s="739"/>
      <c r="D73" s="288"/>
      <c r="E73" s="290"/>
      <c r="F73" s="399"/>
    </row>
    <row r="74" spans="1:7" outlineLevel="1">
      <c r="A74" s="413"/>
      <c r="B74" s="739"/>
      <c r="C74" s="739"/>
      <c r="D74" s="288"/>
      <c r="E74" s="290"/>
      <c r="F74" s="399"/>
    </row>
    <row r="75" spans="1:7" outlineLevel="1">
      <c r="A75" s="413"/>
      <c r="B75" s="739"/>
      <c r="C75" s="739"/>
      <c r="D75" s="288"/>
      <c r="E75" s="290"/>
      <c r="F75" s="399"/>
    </row>
    <row r="76" spans="1:7" outlineLevel="1">
      <c r="A76" s="413"/>
      <c r="B76" s="739"/>
      <c r="C76" s="739"/>
      <c r="D76" s="288"/>
      <c r="E76" s="290"/>
      <c r="F76" s="399"/>
    </row>
    <row r="77" spans="1:7" outlineLevel="1">
      <c r="A77" s="413"/>
      <c r="B77" s="739"/>
      <c r="C77" s="739"/>
      <c r="D77" s="739"/>
      <c r="E77" s="739"/>
      <c r="F77" s="399"/>
    </row>
    <row r="78" spans="1:7" outlineLevel="1">
      <c r="A78" s="413"/>
      <c r="B78" s="739"/>
      <c r="C78" s="739"/>
      <c r="D78" s="739"/>
      <c r="E78" s="739"/>
      <c r="F78" s="754"/>
    </row>
    <row r="79" spans="1:7" ht="15.75" outlineLevel="1" thickBot="1">
      <c r="A79" s="415"/>
      <c r="B79" s="755"/>
      <c r="C79" s="755"/>
      <c r="D79" s="755"/>
      <c r="E79" s="755"/>
      <c r="F79" s="756"/>
    </row>
    <row r="80" spans="1:7" outlineLevel="1"/>
    <row r="81" spans="1:8" ht="15.75" outlineLevel="1" thickBot="1"/>
    <row r="82" spans="1:8" outlineLevel="1">
      <c r="A82" s="3614" t="s">
        <v>0</v>
      </c>
      <c r="B82" s="3693" t="s">
        <v>1</v>
      </c>
      <c r="C82" s="3693" t="s">
        <v>2</v>
      </c>
      <c r="D82" s="3693" t="s">
        <v>3</v>
      </c>
      <c r="E82" s="3693" t="s">
        <v>4</v>
      </c>
      <c r="F82" s="3522" t="s">
        <v>5</v>
      </c>
    </row>
    <row r="83" spans="1:8" ht="15.75" outlineLevel="1" thickBot="1">
      <c r="A83" s="4060"/>
      <c r="B83" s="4066"/>
      <c r="C83" s="4066"/>
      <c r="D83" s="4066"/>
      <c r="E83" s="4066"/>
      <c r="F83" s="4067"/>
      <c r="G83" t="s">
        <v>2012</v>
      </c>
      <c r="H83" t="s">
        <v>2013</v>
      </c>
    </row>
    <row r="84" spans="1:8" ht="15.75" outlineLevel="1" thickTop="1">
      <c r="A84" s="412" t="s">
        <v>2014</v>
      </c>
      <c r="B84" s="288" t="s">
        <v>1708</v>
      </c>
      <c r="C84" s="741" t="s">
        <v>226</v>
      </c>
      <c r="D84" s="288"/>
      <c r="E84" s="290">
        <f>(G84-F84)/G84</f>
        <v>0.15</v>
      </c>
      <c r="F84" s="757">
        <v>0.73099999999999998</v>
      </c>
      <c r="G84">
        <v>0.86</v>
      </c>
    </row>
    <row r="85" spans="1:8" outlineLevel="1">
      <c r="A85" s="302"/>
      <c r="B85" s="739"/>
      <c r="C85" s="741" t="s">
        <v>227</v>
      </c>
      <c r="D85" s="288"/>
      <c r="E85" s="290">
        <f t="shared" ref="E85:E95" si="3">(G85-F85)/G85</f>
        <v>0.15</v>
      </c>
      <c r="F85" s="757">
        <v>0.73099999999999998</v>
      </c>
      <c r="G85">
        <v>0.86</v>
      </c>
    </row>
    <row r="86" spans="1:8" outlineLevel="1">
      <c r="A86" s="302"/>
      <c r="B86" s="739"/>
      <c r="C86" s="741" t="s">
        <v>228</v>
      </c>
      <c r="D86" s="288"/>
      <c r="E86" s="290">
        <f t="shared" si="3"/>
        <v>0.15</v>
      </c>
      <c r="F86" s="757">
        <v>0.73099999999999998</v>
      </c>
      <c r="G86">
        <v>0.86</v>
      </c>
    </row>
    <row r="87" spans="1:8" outlineLevel="1">
      <c r="A87" s="302"/>
      <c r="B87" s="739"/>
      <c r="C87" s="741" t="s">
        <v>1315</v>
      </c>
      <c r="D87" s="288"/>
      <c r="E87" s="290">
        <f t="shared" si="3"/>
        <v>0.15</v>
      </c>
      <c r="F87" s="757">
        <v>1.292</v>
      </c>
      <c r="G87" s="33">
        <v>1.52</v>
      </c>
    </row>
    <row r="88" spans="1:8" outlineLevel="1">
      <c r="A88" s="302"/>
      <c r="B88" s="739"/>
      <c r="C88" s="741" t="s">
        <v>1316</v>
      </c>
      <c r="D88" s="288"/>
      <c r="E88" s="290">
        <f t="shared" si="3"/>
        <v>0.15</v>
      </c>
      <c r="F88" s="757">
        <v>1.292</v>
      </c>
      <c r="G88" s="33">
        <v>1.52</v>
      </c>
    </row>
    <row r="89" spans="1:8" outlineLevel="1">
      <c r="A89" s="302"/>
      <c r="B89" s="739"/>
      <c r="C89" s="741" t="s">
        <v>1317</v>
      </c>
      <c r="D89" s="288"/>
      <c r="E89" s="290">
        <f t="shared" si="3"/>
        <v>0.15</v>
      </c>
      <c r="F89" s="757">
        <v>1.292</v>
      </c>
      <c r="G89" s="33">
        <v>1.52</v>
      </c>
    </row>
    <row r="90" spans="1:8" outlineLevel="1">
      <c r="A90" s="302"/>
      <c r="B90" s="739"/>
      <c r="C90" s="5" t="s">
        <v>920</v>
      </c>
      <c r="D90" s="288"/>
      <c r="E90" s="290">
        <f t="shared" si="3"/>
        <v>0.15189873417721517</v>
      </c>
      <c r="F90" s="758">
        <v>0.67</v>
      </c>
      <c r="G90" s="33">
        <v>0.79</v>
      </c>
    </row>
    <row r="91" spans="1:8" outlineLevel="1">
      <c r="A91" s="302"/>
      <c r="B91" s="739"/>
      <c r="C91" s="5" t="s">
        <v>1301</v>
      </c>
      <c r="D91" s="288"/>
      <c r="E91" s="290">
        <f t="shared" si="3"/>
        <v>0.24509803921568626</v>
      </c>
      <c r="F91" s="757">
        <v>0.77</v>
      </c>
      <c r="G91" s="33">
        <v>1.02</v>
      </c>
      <c r="H91">
        <v>0.87</v>
      </c>
    </row>
    <row r="92" spans="1:8" outlineLevel="1">
      <c r="A92" s="302"/>
      <c r="B92" s="739"/>
      <c r="C92" s="5" t="s">
        <v>1374</v>
      </c>
      <c r="D92" s="288"/>
      <c r="E92" s="290">
        <f t="shared" si="3"/>
        <v>0.24509803921568626</v>
      </c>
      <c r="F92" s="757">
        <v>0.77</v>
      </c>
      <c r="G92" s="33">
        <v>1.02</v>
      </c>
      <c r="H92">
        <v>0.87</v>
      </c>
    </row>
    <row r="93" spans="1:8" outlineLevel="1">
      <c r="A93" s="302"/>
      <c r="B93" s="739"/>
      <c r="C93" s="5" t="s">
        <v>1440</v>
      </c>
      <c r="D93" s="739"/>
      <c r="E93" s="290">
        <f t="shared" si="3"/>
        <v>0.24509803921568626</v>
      </c>
      <c r="F93" s="757">
        <v>0.77</v>
      </c>
      <c r="G93" s="33">
        <v>1.02</v>
      </c>
      <c r="H93">
        <v>0.87</v>
      </c>
    </row>
    <row r="94" spans="1:8" outlineLevel="1">
      <c r="A94" s="302"/>
      <c r="B94" s="741"/>
      <c r="C94" s="759" t="s">
        <v>1521</v>
      </c>
      <c r="D94" s="741"/>
      <c r="E94" s="290">
        <f t="shared" si="3"/>
        <v>0.24516129032258072</v>
      </c>
      <c r="F94" s="758">
        <v>4.68</v>
      </c>
      <c r="G94" s="33">
        <v>6.2</v>
      </c>
    </row>
    <row r="95" spans="1:8" ht="15.75" outlineLevel="1" thickBot="1">
      <c r="A95" s="460"/>
      <c r="B95" s="760"/>
      <c r="C95" s="463" t="s">
        <v>1923</v>
      </c>
      <c r="D95" s="760"/>
      <c r="E95" s="593">
        <f t="shared" si="3"/>
        <v>0.24516129032258072</v>
      </c>
      <c r="F95" s="761">
        <v>4.68</v>
      </c>
      <c r="G95">
        <v>6.2</v>
      </c>
    </row>
    <row r="96" spans="1:8" outlineLevel="1"/>
    <row r="97" spans="1:7" ht="15.75" outlineLevel="1" thickBot="1"/>
    <row r="98" spans="1:7" ht="15.75" customHeight="1" outlineLevel="1" thickTop="1">
      <c r="A98" s="3782" t="s">
        <v>0</v>
      </c>
      <c r="B98" s="3781" t="s">
        <v>1</v>
      </c>
      <c r="C98" s="3781" t="s">
        <v>2</v>
      </c>
      <c r="D98" s="3781" t="s">
        <v>3</v>
      </c>
      <c r="E98" s="3781" t="s">
        <v>4</v>
      </c>
      <c r="F98" s="3765" t="s">
        <v>5</v>
      </c>
    </row>
    <row r="99" spans="1:7" ht="15.75" customHeight="1" outlineLevel="1" thickBot="1">
      <c r="A99" s="4179"/>
      <c r="B99" s="4066"/>
      <c r="C99" s="4066"/>
      <c r="D99" s="4066"/>
      <c r="E99" s="4066"/>
      <c r="F99" s="4180"/>
    </row>
    <row r="100" spans="1:7" ht="15.75" outlineLevel="1" thickTop="1">
      <c r="A100" s="289" t="s">
        <v>1850</v>
      </c>
      <c r="B100" s="288" t="s">
        <v>120</v>
      </c>
      <c r="C100" s="748" t="s">
        <v>1851</v>
      </c>
      <c r="D100" s="288"/>
      <c r="E100" s="290">
        <f t="shared" ref="E100:E105" si="4">(G100-F100)/G100</f>
        <v>0.15000000000000008</v>
      </c>
      <c r="F100" s="749">
        <v>0.92649999999999999</v>
      </c>
      <c r="G100">
        <v>1.0900000000000001</v>
      </c>
    </row>
    <row r="101" spans="1:7" outlineLevel="1">
      <c r="A101" s="8"/>
      <c r="B101" s="739" t="s">
        <v>121</v>
      </c>
      <c r="C101" s="748" t="s">
        <v>1852</v>
      </c>
      <c r="D101" s="288"/>
      <c r="E101" s="290">
        <f t="shared" si="4"/>
        <v>0.15000000000000005</v>
      </c>
      <c r="F101" s="749">
        <v>0.67149999999999999</v>
      </c>
      <c r="G101">
        <v>0.79</v>
      </c>
    </row>
    <row r="102" spans="1:7" outlineLevel="1">
      <c r="A102" s="8"/>
      <c r="B102" s="739" t="s">
        <v>123</v>
      </c>
      <c r="C102" s="748" t="s">
        <v>436</v>
      </c>
      <c r="D102" s="288"/>
      <c r="E102" s="290">
        <f t="shared" si="4"/>
        <v>0.15</v>
      </c>
      <c r="F102" s="749">
        <v>1.292</v>
      </c>
      <c r="G102">
        <v>1.52</v>
      </c>
    </row>
    <row r="103" spans="1:7" outlineLevel="1">
      <c r="A103" s="8"/>
      <c r="B103" s="739" t="s">
        <v>122</v>
      </c>
      <c r="C103" s="748" t="s">
        <v>153</v>
      </c>
      <c r="D103" s="288"/>
      <c r="E103" s="290">
        <f t="shared" si="4"/>
        <v>0.15000000000000002</v>
      </c>
      <c r="F103" s="749">
        <v>0.93500000000000005</v>
      </c>
      <c r="G103" s="33">
        <v>1.1000000000000001</v>
      </c>
    </row>
    <row r="104" spans="1:7" outlineLevel="1">
      <c r="A104" s="8"/>
      <c r="B104" s="739"/>
      <c r="C104" s="748" t="s">
        <v>472</v>
      </c>
      <c r="D104" s="288"/>
      <c r="E104" s="290">
        <f t="shared" si="4"/>
        <v>0.15000000000000008</v>
      </c>
      <c r="F104" s="749">
        <v>0.77349999999999997</v>
      </c>
      <c r="G104" s="33">
        <v>0.91</v>
      </c>
    </row>
    <row r="105" spans="1:7" outlineLevel="1">
      <c r="A105" s="8"/>
      <c r="B105" s="739"/>
      <c r="C105" s="748" t="s">
        <v>1413</v>
      </c>
      <c r="D105" s="288"/>
      <c r="E105" s="290">
        <f t="shared" si="4"/>
        <v>0.15000000000000005</v>
      </c>
      <c r="F105" s="749">
        <v>1.4704999999999999</v>
      </c>
      <c r="G105" s="33">
        <v>1.73</v>
      </c>
    </row>
    <row r="106" spans="1:7" outlineLevel="1">
      <c r="A106" s="8"/>
      <c r="B106" s="739"/>
      <c r="C106" s="748"/>
      <c r="D106" s="288"/>
      <c r="E106" s="290"/>
      <c r="F106" s="749"/>
    </row>
    <row r="107" spans="1:7" outlineLevel="1">
      <c r="A107" s="8"/>
      <c r="B107" s="739"/>
      <c r="C107" s="739"/>
      <c r="D107" s="288"/>
      <c r="E107" s="290"/>
      <c r="F107" s="391"/>
    </row>
    <row r="108" spans="1:7" outlineLevel="1">
      <c r="A108" s="8"/>
      <c r="B108" s="739"/>
      <c r="C108" s="739"/>
      <c r="D108" s="288"/>
      <c r="E108" s="290"/>
      <c r="F108" s="391"/>
    </row>
    <row r="109" spans="1:7" outlineLevel="1">
      <c r="A109" s="8"/>
      <c r="B109" s="739"/>
      <c r="C109" s="739"/>
      <c r="D109" s="739"/>
      <c r="E109" s="740"/>
      <c r="F109" s="291"/>
    </row>
    <row r="110" spans="1:7" outlineLevel="1">
      <c r="A110" s="8"/>
      <c r="B110" s="741"/>
      <c r="C110" s="741"/>
      <c r="D110" s="741"/>
      <c r="E110" s="740"/>
      <c r="F110" s="742"/>
    </row>
    <row r="111" spans="1:7" ht="15.75" outlineLevel="1" thickBot="1">
      <c r="A111" s="9"/>
      <c r="B111" s="743"/>
      <c r="C111" s="743"/>
      <c r="D111" s="743"/>
      <c r="E111" s="743"/>
      <c r="F111" s="744"/>
    </row>
    <row r="112" spans="1:7" ht="15.75" outlineLevel="1" thickTop="1"/>
    <row r="113" spans="1:7" ht="15.75" outlineLevel="1" thickBot="1"/>
    <row r="114" spans="1:7" ht="15.75" customHeight="1" outlineLevel="1" thickTop="1">
      <c r="A114" s="3782" t="s">
        <v>0</v>
      </c>
      <c r="B114" s="3781" t="s">
        <v>1</v>
      </c>
      <c r="C114" s="3781" t="s">
        <v>2</v>
      </c>
      <c r="D114" s="3781" t="s">
        <v>3</v>
      </c>
      <c r="E114" s="3781" t="s">
        <v>4</v>
      </c>
      <c r="F114" s="3765" t="s">
        <v>5</v>
      </c>
    </row>
    <row r="115" spans="1:7" ht="15.75" customHeight="1" outlineLevel="1" thickBot="1">
      <c r="A115" s="4179"/>
      <c r="B115" s="4066"/>
      <c r="C115" s="4066"/>
      <c r="D115" s="4066"/>
      <c r="E115" s="4066"/>
      <c r="F115" s="4180"/>
    </row>
    <row r="116" spans="1:7" ht="15.75" outlineLevel="1" thickTop="1">
      <c r="A116" s="289" t="s">
        <v>2015</v>
      </c>
      <c r="B116" s="288" t="s">
        <v>2016</v>
      </c>
      <c r="C116" s="762" t="s">
        <v>1301</v>
      </c>
      <c r="D116" s="538"/>
      <c r="E116" s="539">
        <f>(G116-F116)/G116</f>
        <v>9.6774193548387177E-2</v>
      </c>
      <c r="F116" s="763">
        <v>0.84</v>
      </c>
      <c r="G116" s="541">
        <v>0.93</v>
      </c>
    </row>
    <row r="117" spans="1:7" outlineLevel="1">
      <c r="A117" s="8"/>
      <c r="B117" s="739"/>
      <c r="C117" s="762" t="s">
        <v>1317</v>
      </c>
      <c r="D117" s="538"/>
      <c r="E117" s="539">
        <f t="shared" ref="E117:E124" si="5">(G117-F117)/G117</f>
        <v>0.1496598639455782</v>
      </c>
      <c r="F117" s="763">
        <v>1.25</v>
      </c>
      <c r="G117" s="541">
        <v>1.47</v>
      </c>
    </row>
    <row r="118" spans="1:7" outlineLevel="1">
      <c r="A118" s="8"/>
      <c r="B118" s="739"/>
      <c r="C118" s="762" t="s">
        <v>53</v>
      </c>
      <c r="D118" s="538"/>
      <c r="E118" s="539">
        <f t="shared" si="5"/>
        <v>0.15217391304347827</v>
      </c>
      <c r="F118" s="763">
        <v>0.78</v>
      </c>
      <c r="G118" s="541">
        <v>0.92</v>
      </c>
    </row>
    <row r="119" spans="1:7" outlineLevel="1">
      <c r="A119" s="8"/>
      <c r="B119" s="739"/>
      <c r="C119" s="762" t="s">
        <v>730</v>
      </c>
      <c r="D119" s="538"/>
      <c r="E119" s="539">
        <f t="shared" si="5"/>
        <v>0.15</v>
      </c>
      <c r="F119" s="763">
        <v>0.68</v>
      </c>
      <c r="G119" s="545">
        <v>0.8</v>
      </c>
    </row>
    <row r="120" spans="1:7" outlineLevel="1">
      <c r="A120" s="8"/>
      <c r="B120" s="739"/>
      <c r="C120" s="762" t="s">
        <v>238</v>
      </c>
      <c r="D120" s="538"/>
      <c r="E120" s="539">
        <f t="shared" si="5"/>
        <v>9.9635479951397363E-2</v>
      </c>
      <c r="F120" s="763">
        <v>7.41</v>
      </c>
      <c r="G120" s="545">
        <v>8.23</v>
      </c>
    </row>
    <row r="121" spans="1:7" outlineLevel="1">
      <c r="A121" s="8"/>
      <c r="B121" s="739"/>
      <c r="C121" s="762" t="s">
        <v>239</v>
      </c>
      <c r="D121" s="538"/>
      <c r="E121" s="539">
        <f t="shared" si="5"/>
        <v>9.9635479951397363E-2</v>
      </c>
      <c r="F121" s="763">
        <v>7.41</v>
      </c>
      <c r="G121" s="545">
        <v>8.23</v>
      </c>
    </row>
    <row r="122" spans="1:7" outlineLevel="1">
      <c r="A122" s="8"/>
      <c r="B122" s="739"/>
      <c r="C122" s="762" t="s">
        <v>240</v>
      </c>
      <c r="D122" s="538"/>
      <c r="E122" s="539">
        <f t="shared" si="5"/>
        <v>9.9635479951397363E-2</v>
      </c>
      <c r="F122" s="763">
        <v>7.41</v>
      </c>
      <c r="G122" s="545">
        <v>8.23</v>
      </c>
    </row>
    <row r="123" spans="1:7" outlineLevel="1">
      <c r="A123" s="8"/>
      <c r="B123" s="739"/>
      <c r="C123" s="764" t="s">
        <v>868</v>
      </c>
      <c r="D123" s="538"/>
      <c r="E123" s="539">
        <f t="shared" si="5"/>
        <v>9.9635479951397363E-2</v>
      </c>
      <c r="F123" s="763">
        <v>7.41</v>
      </c>
      <c r="G123" s="545">
        <v>8.23</v>
      </c>
    </row>
    <row r="124" spans="1:7" outlineLevel="1">
      <c r="A124" s="8"/>
      <c r="B124" s="739"/>
      <c r="C124" s="764" t="s">
        <v>1141</v>
      </c>
      <c r="D124" s="538"/>
      <c r="E124" s="539">
        <f t="shared" si="5"/>
        <v>0.20408163265306117</v>
      </c>
      <c r="F124" s="765">
        <v>0.39</v>
      </c>
      <c r="G124" s="545">
        <v>0.49</v>
      </c>
    </row>
    <row r="125" spans="1:7" outlineLevel="1">
      <c r="A125" s="8"/>
      <c r="B125" s="739"/>
      <c r="C125" s="739"/>
      <c r="D125" s="739"/>
      <c r="E125" s="740"/>
      <c r="F125" s="291"/>
    </row>
    <row r="126" spans="1:7" outlineLevel="1">
      <c r="A126" s="8"/>
      <c r="B126" s="741"/>
      <c r="C126" s="741"/>
      <c r="D126" s="741"/>
      <c r="E126" s="740"/>
      <c r="F126" s="742"/>
    </row>
    <row r="127" spans="1:7" ht="15.75" outlineLevel="1" thickBot="1">
      <c r="A127" s="9"/>
      <c r="B127" s="743"/>
      <c r="C127" s="743"/>
      <c r="D127" s="743"/>
      <c r="E127" s="743"/>
      <c r="F127" s="744"/>
    </row>
    <row r="128" spans="1:7" ht="15.75" outlineLevel="1" thickTop="1"/>
    <row r="129" spans="1:7" ht="15.75" outlineLevel="1" thickBot="1"/>
    <row r="130" spans="1:7" ht="15.75" customHeight="1" outlineLevel="1" thickTop="1">
      <c r="A130" s="3782" t="s">
        <v>0</v>
      </c>
      <c r="B130" s="3781" t="s">
        <v>1</v>
      </c>
      <c r="C130" s="3781" t="s">
        <v>2</v>
      </c>
      <c r="D130" s="3781" t="s">
        <v>3</v>
      </c>
      <c r="E130" s="3781" t="s">
        <v>4</v>
      </c>
      <c r="F130" s="3765" t="s">
        <v>5</v>
      </c>
    </row>
    <row r="131" spans="1:7" ht="15.75" customHeight="1" outlineLevel="1" thickBot="1">
      <c r="A131" s="4179"/>
      <c r="B131" s="4066"/>
      <c r="C131" s="4066"/>
      <c r="D131" s="4066"/>
      <c r="E131" s="4066"/>
      <c r="F131" s="4180"/>
    </row>
    <row r="132" spans="1:7" ht="15.75" outlineLevel="1" thickTop="1">
      <c r="A132" s="289" t="s">
        <v>2017</v>
      </c>
      <c r="B132" s="288" t="s">
        <v>1593</v>
      </c>
      <c r="C132" s="762" t="s">
        <v>1316</v>
      </c>
      <c r="D132" s="538"/>
      <c r="E132" s="539">
        <f>(G132-F132)/G132</f>
        <v>0.32903225806451614</v>
      </c>
      <c r="F132" s="763">
        <v>1.04</v>
      </c>
      <c r="G132" s="541">
        <v>1.55</v>
      </c>
    </row>
    <row r="133" spans="1:7" outlineLevel="1">
      <c r="A133" s="8"/>
      <c r="B133" s="739"/>
      <c r="C133" s="762" t="s">
        <v>1317</v>
      </c>
      <c r="D133" s="538"/>
      <c r="E133" s="539">
        <f t="shared" ref="E133:E140" si="6">(G133-F133)/G133</f>
        <v>0.32903225806451614</v>
      </c>
      <c r="F133" s="763">
        <v>1.04</v>
      </c>
      <c r="G133" s="541">
        <v>1.55</v>
      </c>
    </row>
    <row r="134" spans="1:7" outlineLevel="1">
      <c r="A134" s="8"/>
      <c r="B134" s="739"/>
      <c r="C134" s="762" t="s">
        <v>522</v>
      </c>
      <c r="D134" s="538"/>
      <c r="E134" s="539">
        <f t="shared" si="6"/>
        <v>0.10416666666666664</v>
      </c>
      <c r="F134" s="763">
        <v>0.86</v>
      </c>
      <c r="G134" s="541">
        <v>0.96</v>
      </c>
    </row>
    <row r="135" spans="1:7" outlineLevel="1">
      <c r="A135" s="8"/>
      <c r="B135" s="739"/>
      <c r="C135" s="762" t="s">
        <v>1440</v>
      </c>
      <c r="D135" s="538"/>
      <c r="E135" s="539">
        <f t="shared" si="6"/>
        <v>0.10416666666666664</v>
      </c>
      <c r="F135" s="763">
        <v>0.86</v>
      </c>
      <c r="G135" s="528">
        <v>0.96</v>
      </c>
    </row>
    <row r="136" spans="1:7" outlineLevel="1">
      <c r="A136" s="8"/>
      <c r="B136" s="739"/>
      <c r="C136" s="762"/>
      <c r="D136" s="538"/>
      <c r="E136" s="539" t="e">
        <f t="shared" si="6"/>
        <v>#DIV/0!</v>
      </c>
      <c r="F136" s="763"/>
      <c r="G136" s="545"/>
    </row>
    <row r="137" spans="1:7" outlineLevel="1">
      <c r="A137" s="8"/>
      <c r="B137" s="739"/>
      <c r="C137" s="762"/>
      <c r="D137" s="538"/>
      <c r="E137" s="539" t="e">
        <f t="shared" si="6"/>
        <v>#DIV/0!</v>
      </c>
      <c r="F137" s="763"/>
      <c r="G137" s="545"/>
    </row>
    <row r="138" spans="1:7" outlineLevel="1">
      <c r="A138" s="8"/>
      <c r="B138" s="739"/>
      <c r="C138" s="762"/>
      <c r="D138" s="538"/>
      <c r="E138" s="539" t="e">
        <f t="shared" si="6"/>
        <v>#DIV/0!</v>
      </c>
      <c r="F138" s="763"/>
      <c r="G138" s="545"/>
    </row>
    <row r="139" spans="1:7" outlineLevel="1">
      <c r="A139" s="8"/>
      <c r="B139" s="739"/>
      <c r="C139" s="764"/>
      <c r="D139" s="538"/>
      <c r="E139" s="539" t="e">
        <f t="shared" si="6"/>
        <v>#DIV/0!</v>
      </c>
      <c r="F139" s="763"/>
      <c r="G139" s="545"/>
    </row>
    <row r="140" spans="1:7" outlineLevel="1">
      <c r="A140" s="8"/>
      <c r="B140" s="739"/>
      <c r="C140" s="764"/>
      <c r="D140" s="538"/>
      <c r="E140" s="539" t="e">
        <f t="shared" si="6"/>
        <v>#DIV/0!</v>
      </c>
      <c r="F140" s="765"/>
      <c r="G140" s="545"/>
    </row>
    <row r="141" spans="1:7" outlineLevel="1">
      <c r="A141" s="8"/>
      <c r="B141" s="739"/>
      <c r="C141" s="739"/>
      <c r="D141" s="739"/>
      <c r="E141" s="740"/>
      <c r="F141" s="291"/>
    </row>
    <row r="142" spans="1:7" outlineLevel="1">
      <c r="A142" s="8"/>
      <c r="B142" s="741"/>
      <c r="C142" s="741"/>
      <c r="D142" s="741"/>
      <c r="E142" s="740"/>
      <c r="F142" s="742"/>
    </row>
    <row r="143" spans="1:7" ht="15.75" outlineLevel="1" thickBot="1">
      <c r="A143" s="9"/>
      <c r="B143" s="743"/>
      <c r="C143" s="743"/>
      <c r="D143" s="743"/>
      <c r="E143" s="743"/>
      <c r="F143" s="744"/>
    </row>
    <row r="144" spans="1:7" ht="15.75" outlineLevel="1" thickTop="1"/>
    <row r="145" spans="1:11" ht="15.75" outlineLevel="1" thickBot="1"/>
    <row r="146" spans="1:11" ht="15" customHeight="1" outlineLevel="1">
      <c r="A146" s="3614" t="s">
        <v>0</v>
      </c>
      <c r="B146" s="3693" t="s">
        <v>1</v>
      </c>
      <c r="C146" s="3693" t="s">
        <v>2</v>
      </c>
      <c r="D146" s="3693" t="s">
        <v>3</v>
      </c>
      <c r="E146" s="3693" t="s">
        <v>4</v>
      </c>
      <c r="F146" s="3522" t="s">
        <v>5</v>
      </c>
    </row>
    <row r="147" spans="1:11" ht="15.75" customHeight="1" outlineLevel="1" thickBot="1">
      <c r="A147" s="4060"/>
      <c r="B147" s="4066"/>
      <c r="C147" s="4066"/>
      <c r="D147" s="4066"/>
      <c r="E147" s="4066"/>
      <c r="F147" s="4067"/>
    </row>
    <row r="148" spans="1:11" ht="15.75" outlineLevel="1" thickTop="1">
      <c r="A148" s="412" t="s">
        <v>1885</v>
      </c>
      <c r="B148" s="288" t="s">
        <v>120</v>
      </c>
      <c r="C148" s="766" t="s">
        <v>1886</v>
      </c>
      <c r="D148" s="538"/>
      <c r="E148" s="539">
        <f>(G148-F148)/G148</f>
        <v>0.15624999999999997</v>
      </c>
      <c r="F148" s="767">
        <v>0.54</v>
      </c>
      <c r="G148" s="541">
        <v>0.64</v>
      </c>
      <c r="J148">
        <v>1499</v>
      </c>
      <c r="K148">
        <f>(G148-F148)*J148</f>
        <v>149.89999999999998</v>
      </c>
    </row>
    <row r="149" spans="1:11" outlineLevel="1">
      <c r="A149" s="302"/>
      <c r="B149" s="739" t="s">
        <v>121</v>
      </c>
      <c r="C149" s="766" t="s">
        <v>1887</v>
      </c>
      <c r="D149" s="538"/>
      <c r="E149" s="539">
        <f t="shared" ref="E149:E156" si="7">(G149-F149)/G149</f>
        <v>0.15000000000000002</v>
      </c>
      <c r="F149" s="767">
        <v>0.88400000000000001</v>
      </c>
      <c r="G149" s="541">
        <v>1.04</v>
      </c>
    </row>
    <row r="150" spans="1:11" outlineLevel="1">
      <c r="A150" s="302"/>
      <c r="B150" s="739" t="s">
        <v>123</v>
      </c>
      <c r="C150" s="766" t="s">
        <v>227</v>
      </c>
      <c r="D150" s="538"/>
      <c r="E150" s="539">
        <f t="shared" si="7"/>
        <v>0.15</v>
      </c>
      <c r="F150" s="767">
        <v>0.73099999999999998</v>
      </c>
      <c r="G150" s="541">
        <v>0.86</v>
      </c>
    </row>
    <row r="151" spans="1:11" outlineLevel="1">
      <c r="A151" s="302"/>
      <c r="B151" s="739" t="s">
        <v>122</v>
      </c>
      <c r="C151" s="766" t="s">
        <v>1695</v>
      </c>
      <c r="D151" s="538"/>
      <c r="E151" s="539">
        <f t="shared" si="7"/>
        <v>0.14999999999999997</v>
      </c>
      <c r="F151" s="767">
        <v>0.56100000000000005</v>
      </c>
      <c r="G151" s="528">
        <v>0.66</v>
      </c>
    </row>
    <row r="152" spans="1:11" outlineLevel="1">
      <c r="A152" s="302"/>
      <c r="B152" s="739"/>
      <c r="C152" s="766" t="s">
        <v>1120</v>
      </c>
      <c r="D152" s="538"/>
      <c r="E152" s="539">
        <f t="shared" si="7"/>
        <v>0.15000000000000002</v>
      </c>
      <c r="F152" s="767">
        <v>0.42499999999999999</v>
      </c>
      <c r="G152" s="528">
        <v>0.5</v>
      </c>
    </row>
    <row r="153" spans="1:11" outlineLevel="1">
      <c r="A153" s="302"/>
      <c r="B153" s="739"/>
      <c r="C153" s="766" t="s">
        <v>985</v>
      </c>
      <c r="D153" s="538"/>
      <c r="E153" s="539">
        <f t="shared" si="7"/>
        <v>0.15</v>
      </c>
      <c r="F153" s="767">
        <v>1.0285</v>
      </c>
      <c r="G153" s="528">
        <v>1.21</v>
      </c>
    </row>
    <row r="154" spans="1:11" outlineLevel="1">
      <c r="A154" s="302"/>
      <c r="B154" s="739"/>
      <c r="C154" s="766" t="s">
        <v>1888</v>
      </c>
      <c r="D154" s="538"/>
      <c r="E154" s="539">
        <f t="shared" si="7"/>
        <v>0.15000000000000002</v>
      </c>
      <c r="F154" s="767">
        <v>0.86699999999999999</v>
      </c>
      <c r="G154" s="528">
        <v>1.02</v>
      </c>
    </row>
    <row r="155" spans="1:11" outlineLevel="1">
      <c r="A155" s="302"/>
      <c r="B155" s="739"/>
      <c r="C155" s="764"/>
      <c r="D155" s="538"/>
      <c r="E155" s="539" t="e">
        <f t="shared" si="7"/>
        <v>#DIV/0!</v>
      </c>
      <c r="F155" s="768"/>
      <c r="G155" s="545"/>
    </row>
    <row r="156" spans="1:11" ht="15.75" outlineLevel="1" thickBot="1">
      <c r="A156" s="460"/>
      <c r="B156" s="755"/>
      <c r="C156" s="769"/>
      <c r="D156" s="548"/>
      <c r="E156" s="549" t="e">
        <f t="shared" si="7"/>
        <v>#DIV/0!</v>
      </c>
      <c r="F156" s="550"/>
      <c r="G156" s="545"/>
    </row>
    <row r="157" spans="1:11" outlineLevel="1"/>
    <row r="158" spans="1:11" ht="15.75" outlineLevel="1" thickBot="1"/>
    <row r="159" spans="1:11" ht="15" customHeight="1" outlineLevel="1">
      <c r="A159" s="3614" t="s">
        <v>0</v>
      </c>
      <c r="B159" s="3693" t="s">
        <v>1</v>
      </c>
      <c r="C159" s="3693" t="s">
        <v>2</v>
      </c>
      <c r="D159" s="3693" t="s">
        <v>3</v>
      </c>
      <c r="E159" s="3693" t="s">
        <v>4</v>
      </c>
      <c r="F159" s="3522" t="s">
        <v>5</v>
      </c>
    </row>
    <row r="160" spans="1:11" ht="15.75" customHeight="1" outlineLevel="1" thickBot="1">
      <c r="A160" s="4060"/>
      <c r="B160" s="4066"/>
      <c r="C160" s="4066"/>
      <c r="D160" s="4066"/>
      <c r="E160" s="4066"/>
      <c r="F160" s="4067"/>
    </row>
    <row r="161" spans="1:11" ht="15.75" outlineLevel="1" thickTop="1">
      <c r="A161" s="412" t="s">
        <v>2018</v>
      </c>
      <c r="B161" s="288" t="s">
        <v>460</v>
      </c>
      <c r="C161" s="770" t="s">
        <v>985</v>
      </c>
      <c r="D161" s="288"/>
      <c r="E161" s="290">
        <f>(G161-F161)/G161</f>
        <v>0.1538461538461538</v>
      </c>
      <c r="F161" s="751">
        <v>0.99</v>
      </c>
      <c r="G161">
        <v>1.17</v>
      </c>
    </row>
    <row r="162" spans="1:11" outlineLevel="1">
      <c r="A162" s="413"/>
      <c r="B162" s="739"/>
      <c r="C162" s="771" t="s">
        <v>2019</v>
      </c>
      <c r="D162" s="288"/>
      <c r="E162" s="290">
        <f>(G162-F162)/G162</f>
        <v>0.14991762767710051</v>
      </c>
      <c r="F162" s="753">
        <v>5.16</v>
      </c>
      <c r="G162" s="39">
        <v>6.07</v>
      </c>
    </row>
    <row r="163" spans="1:11" outlineLevel="1">
      <c r="A163" s="413"/>
      <c r="B163" s="739"/>
      <c r="C163" s="752"/>
      <c r="D163" s="288"/>
      <c r="E163" s="290" t="e">
        <f>(G163-F163)/G163</f>
        <v>#DIV/0!</v>
      </c>
      <c r="F163" s="753"/>
      <c r="G163" s="39"/>
    </row>
    <row r="164" spans="1:11" ht="15.75" outlineLevel="1" thickBot="1">
      <c r="A164" s="415"/>
      <c r="B164" s="755"/>
      <c r="C164" s="772"/>
      <c r="D164" s="592"/>
      <c r="E164" s="593" t="e">
        <f>(G164-F164)/G164</f>
        <v>#DIV/0!</v>
      </c>
      <c r="F164" s="773"/>
      <c r="G164" s="39"/>
    </row>
    <row r="165" spans="1:11" outlineLevel="1"/>
    <row r="166" spans="1:11" ht="15.75" outlineLevel="1" thickBot="1"/>
    <row r="167" spans="1:11" ht="15" customHeight="1" outlineLevel="1">
      <c r="A167" s="3614" t="s">
        <v>0</v>
      </c>
      <c r="B167" s="3693" t="s">
        <v>1</v>
      </c>
      <c r="C167" s="3693" t="s">
        <v>2</v>
      </c>
      <c r="D167" s="3693" t="s">
        <v>3</v>
      </c>
      <c r="E167" s="3693" t="s">
        <v>4</v>
      </c>
      <c r="F167" s="3522" t="s">
        <v>5</v>
      </c>
    </row>
    <row r="168" spans="1:11" ht="15.75" customHeight="1" outlineLevel="1" thickBot="1">
      <c r="A168" s="4060"/>
      <c r="B168" s="4066"/>
      <c r="C168" s="4066"/>
      <c r="D168" s="4066"/>
      <c r="E168" s="4066"/>
      <c r="F168" s="4067"/>
    </row>
    <row r="169" spans="1:11" ht="15.75" outlineLevel="1" thickTop="1">
      <c r="A169" s="412" t="s">
        <v>1889</v>
      </c>
      <c r="B169" s="288" t="s">
        <v>120</v>
      </c>
      <c r="C169" s="762" t="s">
        <v>1374</v>
      </c>
      <c r="D169" s="538"/>
      <c r="E169" s="539">
        <f>(G169-F169)/G169</f>
        <v>0.12999999999999995</v>
      </c>
      <c r="F169" s="749">
        <v>0.82650000000000001</v>
      </c>
      <c r="G169" s="541">
        <v>0.95</v>
      </c>
    </row>
    <row r="170" spans="1:11" outlineLevel="1">
      <c r="A170" s="302"/>
      <c r="B170" s="739" t="s">
        <v>121</v>
      </c>
      <c r="C170" s="762" t="s">
        <v>1890</v>
      </c>
      <c r="D170" s="538"/>
      <c r="E170" s="539">
        <f t="shared" ref="E170:E177" si="8">(G170-F170)/G170</f>
        <v>0.15000000000000005</v>
      </c>
      <c r="F170" s="749">
        <v>0.6885</v>
      </c>
      <c r="G170" s="541">
        <v>0.81</v>
      </c>
    </row>
    <row r="171" spans="1:11" outlineLevel="1">
      <c r="A171" s="302"/>
      <c r="B171" s="739" t="s">
        <v>123</v>
      </c>
      <c r="C171" s="762" t="s">
        <v>1891</v>
      </c>
      <c r="D171" s="538"/>
      <c r="E171" s="539">
        <f t="shared" si="8"/>
        <v>0.15094339622641512</v>
      </c>
      <c r="F171" s="749">
        <v>0.9</v>
      </c>
      <c r="G171" s="429">
        <v>1.06</v>
      </c>
      <c r="J171">
        <v>1300</v>
      </c>
      <c r="K171">
        <f>(G171-F171)*J171</f>
        <v>208.00000000000003</v>
      </c>
    </row>
    <row r="172" spans="1:11" outlineLevel="1">
      <c r="A172" s="302"/>
      <c r="B172" s="739" t="s">
        <v>122</v>
      </c>
      <c r="C172" s="762" t="s">
        <v>1892</v>
      </c>
      <c r="D172" s="538"/>
      <c r="E172" s="539">
        <f t="shared" si="8"/>
        <v>0.15238095238095239</v>
      </c>
      <c r="F172" s="749">
        <v>0.89</v>
      </c>
      <c r="G172" s="528">
        <v>1.05</v>
      </c>
      <c r="J172">
        <v>2042</v>
      </c>
      <c r="K172">
        <f>(G172-F172)*J172</f>
        <v>326.72000000000008</v>
      </c>
    </row>
    <row r="173" spans="1:11" outlineLevel="1">
      <c r="A173" s="302"/>
      <c r="B173" s="739"/>
      <c r="C173" s="762" t="s">
        <v>1345</v>
      </c>
      <c r="D173" s="538"/>
      <c r="E173" s="539">
        <f t="shared" si="8"/>
        <v>0.15000000000000005</v>
      </c>
      <c r="F173" s="749">
        <v>1.4704999999999999</v>
      </c>
      <c r="G173" s="528">
        <v>1.73</v>
      </c>
    </row>
    <row r="174" spans="1:11" outlineLevel="1">
      <c r="A174" s="302"/>
      <c r="B174" s="739"/>
      <c r="C174" s="762" t="s">
        <v>920</v>
      </c>
      <c r="D174" s="538"/>
      <c r="E174" s="539">
        <f t="shared" si="8"/>
        <v>0.15000000000000005</v>
      </c>
      <c r="F174" s="749">
        <v>0.67149999999999999</v>
      </c>
      <c r="G174" s="528">
        <v>0.79</v>
      </c>
    </row>
    <row r="175" spans="1:11" outlineLevel="1">
      <c r="A175" s="302"/>
      <c r="B175" s="739"/>
      <c r="C175" s="762" t="s">
        <v>1893</v>
      </c>
      <c r="D175" s="538"/>
      <c r="E175" s="539">
        <f t="shared" si="8"/>
        <v>0.15000000000000002</v>
      </c>
      <c r="F175" s="749">
        <v>0.42499999999999999</v>
      </c>
      <c r="G175" s="528">
        <v>0.5</v>
      </c>
    </row>
    <row r="176" spans="1:11" outlineLevel="1">
      <c r="A176" s="302"/>
      <c r="B176" s="739"/>
      <c r="C176" s="762" t="s">
        <v>1894</v>
      </c>
      <c r="D176" s="538"/>
      <c r="E176" s="539">
        <f t="shared" si="8"/>
        <v>9.9999999999999908E-2</v>
      </c>
      <c r="F176" s="749">
        <v>0.54</v>
      </c>
      <c r="G176" s="528">
        <v>0.6</v>
      </c>
    </row>
    <row r="177" spans="1:12" ht="15.75" outlineLevel="1" thickBot="1">
      <c r="A177" s="460"/>
      <c r="B177" s="755"/>
      <c r="C177" s="769"/>
      <c r="D177" s="548"/>
      <c r="E177" s="549" t="e">
        <f t="shared" si="8"/>
        <v>#DIV/0!</v>
      </c>
      <c r="F177" s="550"/>
      <c r="G177" s="545"/>
    </row>
    <row r="178" spans="1:12" outlineLevel="1"/>
    <row r="179" spans="1:12" ht="15.75" outlineLevel="1" thickBot="1"/>
    <row r="180" spans="1:12" ht="15" customHeight="1" outlineLevel="1">
      <c r="A180" s="3614" t="s">
        <v>0</v>
      </c>
      <c r="B180" s="3693" t="s">
        <v>1</v>
      </c>
      <c r="C180" s="3693" t="s">
        <v>2</v>
      </c>
      <c r="D180" s="3693" t="s">
        <v>3</v>
      </c>
      <c r="E180" s="3693" t="s">
        <v>4</v>
      </c>
      <c r="F180" s="3522" t="s">
        <v>5</v>
      </c>
    </row>
    <row r="181" spans="1:12" ht="15.75" customHeight="1" outlineLevel="1" thickBot="1">
      <c r="A181" s="4060"/>
      <c r="B181" s="4066"/>
      <c r="C181" s="4066"/>
      <c r="D181" s="4066"/>
      <c r="E181" s="4066"/>
      <c r="F181" s="4067"/>
    </row>
    <row r="182" spans="1:12" ht="15.75" outlineLevel="1" thickTop="1">
      <c r="A182" s="412" t="s">
        <v>2020</v>
      </c>
      <c r="B182" s="288" t="s">
        <v>1708</v>
      </c>
      <c r="C182" s="5" t="s">
        <v>1345</v>
      </c>
      <c r="D182" s="288"/>
      <c r="E182" s="290">
        <f>(G182-F182)/G182</f>
        <v>0.15028901734104047</v>
      </c>
      <c r="F182" s="774">
        <v>1.47</v>
      </c>
      <c r="G182">
        <v>1.73</v>
      </c>
    </row>
    <row r="183" spans="1:12" outlineLevel="1">
      <c r="A183" s="302"/>
      <c r="B183" s="739"/>
      <c r="C183" s="5" t="s">
        <v>1355</v>
      </c>
      <c r="D183" s="288"/>
      <c r="E183" s="290">
        <f t="shared" ref="E183:E193" si="9">(G183-F183)/G183</f>
        <v>0.15028901734104047</v>
      </c>
      <c r="F183" s="774">
        <v>1.47</v>
      </c>
      <c r="G183">
        <v>1.73</v>
      </c>
    </row>
    <row r="184" spans="1:12" outlineLevel="1">
      <c r="A184" s="302"/>
      <c r="B184" s="739"/>
      <c r="C184" s="5" t="s">
        <v>1413</v>
      </c>
      <c r="D184" s="288"/>
      <c r="E184" s="290">
        <f t="shared" si="9"/>
        <v>0.15028901734104047</v>
      </c>
      <c r="F184" s="774">
        <v>1.47</v>
      </c>
      <c r="G184">
        <v>1.73</v>
      </c>
    </row>
    <row r="185" spans="1:12" outlineLevel="1">
      <c r="A185" s="302"/>
      <c r="B185" s="739"/>
      <c r="C185" s="5" t="s">
        <v>1429</v>
      </c>
      <c r="D185" s="288"/>
      <c r="E185" s="290">
        <f t="shared" si="9"/>
        <v>0.15028901734104047</v>
      </c>
      <c r="F185" s="774">
        <v>1.47</v>
      </c>
      <c r="G185">
        <v>1.73</v>
      </c>
    </row>
    <row r="186" spans="1:12" outlineLevel="1">
      <c r="A186" s="302"/>
      <c r="B186" s="739"/>
      <c r="C186" s="5" t="s">
        <v>1058</v>
      </c>
      <c r="D186" s="288"/>
      <c r="E186" s="290">
        <f t="shared" si="9"/>
        <v>0.20098039215686281</v>
      </c>
      <c r="F186" s="774">
        <v>1.63</v>
      </c>
      <c r="G186" s="33">
        <v>2.04</v>
      </c>
    </row>
    <row r="187" spans="1:12" outlineLevel="1">
      <c r="A187" s="302"/>
      <c r="B187" s="739"/>
      <c r="C187" s="759" t="s">
        <v>1904</v>
      </c>
      <c r="D187" s="288"/>
      <c r="E187" s="290">
        <f t="shared" si="9"/>
        <v>0.16129032258064516</v>
      </c>
      <c r="F187" s="774">
        <v>1.3</v>
      </c>
      <c r="G187" s="33">
        <v>1.55</v>
      </c>
      <c r="J187">
        <v>2372</v>
      </c>
      <c r="K187" s="893">
        <f>(G187-F187)*J187</f>
        <v>593</v>
      </c>
      <c r="L187">
        <f>J187*0.25</f>
        <v>593</v>
      </c>
    </row>
    <row r="188" spans="1:12" outlineLevel="1">
      <c r="A188" s="302"/>
      <c r="B188" s="739"/>
      <c r="C188" s="759" t="s">
        <v>2021</v>
      </c>
      <c r="D188" s="288"/>
      <c r="E188" s="290">
        <f t="shared" si="9"/>
        <v>0.16129032258064516</v>
      </c>
      <c r="F188" s="774">
        <v>1.3</v>
      </c>
      <c r="G188" s="33">
        <v>1.55</v>
      </c>
    </row>
    <row r="189" spans="1:12" outlineLevel="1">
      <c r="A189" s="302"/>
      <c r="B189" s="739"/>
      <c r="C189" s="759" t="s">
        <v>1905</v>
      </c>
      <c r="D189" s="288"/>
      <c r="E189" s="290">
        <f t="shared" si="9"/>
        <v>0.16129032258064516</v>
      </c>
      <c r="F189" s="774">
        <v>1.3</v>
      </c>
      <c r="G189" s="33">
        <v>1.55</v>
      </c>
    </row>
    <row r="190" spans="1:12" outlineLevel="1">
      <c r="A190" s="302"/>
      <c r="B190" s="739"/>
      <c r="C190" s="5"/>
      <c r="D190" s="288"/>
      <c r="E190" s="290" t="e">
        <f t="shared" si="9"/>
        <v>#DIV/0!</v>
      </c>
      <c r="F190" s="757"/>
      <c r="G190" s="33"/>
    </row>
    <row r="191" spans="1:12" outlineLevel="1">
      <c r="A191" s="302"/>
      <c r="B191" s="739"/>
      <c r="C191" s="5"/>
      <c r="D191" s="739"/>
      <c r="E191" s="290" t="e">
        <f t="shared" si="9"/>
        <v>#DIV/0!</v>
      </c>
      <c r="F191" s="757"/>
      <c r="G191" s="33"/>
    </row>
    <row r="192" spans="1:12" outlineLevel="1">
      <c r="A192" s="302"/>
      <c r="B192" s="741"/>
      <c r="C192" s="759"/>
      <c r="D192" s="741"/>
      <c r="E192" s="290" t="e">
        <f t="shared" si="9"/>
        <v>#DIV/0!</v>
      </c>
      <c r="F192" s="758"/>
      <c r="G192" s="33"/>
    </row>
    <row r="193" spans="1:11" ht="15.75" outlineLevel="1" thickBot="1">
      <c r="A193" s="460"/>
      <c r="B193" s="760"/>
      <c r="C193" s="463"/>
      <c r="D193" s="760"/>
      <c r="E193" s="593" t="e">
        <f t="shared" si="9"/>
        <v>#DIV/0!</v>
      </c>
      <c r="F193" s="761"/>
    </row>
    <row r="194" spans="1:11" outlineLevel="1"/>
    <row r="195" spans="1:11" ht="15.75" outlineLevel="1" thickBot="1"/>
    <row r="196" spans="1:11" ht="15" customHeight="1" outlineLevel="1">
      <c r="A196" s="3614" t="s">
        <v>0</v>
      </c>
      <c r="B196" s="3693" t="s">
        <v>1</v>
      </c>
      <c r="C196" s="3693" t="s">
        <v>2</v>
      </c>
      <c r="D196" s="3693" t="s">
        <v>3</v>
      </c>
      <c r="E196" s="3693" t="s">
        <v>4</v>
      </c>
      <c r="F196" s="3522" t="s">
        <v>5</v>
      </c>
    </row>
    <row r="197" spans="1:11" ht="15.75" customHeight="1" outlineLevel="1" thickBot="1">
      <c r="A197" s="4060"/>
      <c r="B197" s="4066"/>
      <c r="C197" s="4066"/>
      <c r="D197" s="4066"/>
      <c r="E197" s="4066"/>
      <c r="F197" s="4067"/>
    </row>
    <row r="198" spans="1:11" ht="15.75" outlineLevel="1" thickTop="1">
      <c r="A198" s="412" t="s">
        <v>2022</v>
      </c>
      <c r="B198" s="288" t="s">
        <v>1249</v>
      </c>
      <c r="C198" s="770" t="s">
        <v>623</v>
      </c>
      <c r="D198" s="288"/>
      <c r="E198" s="290">
        <f>(G198-F198)/G198</f>
        <v>0.1496598639455782</v>
      </c>
      <c r="F198" s="775">
        <v>1.25</v>
      </c>
      <c r="G198" s="429">
        <v>1.47</v>
      </c>
    </row>
    <row r="199" spans="1:11" outlineLevel="1">
      <c r="A199" s="413"/>
      <c r="B199" s="739"/>
      <c r="C199" s="771" t="s">
        <v>1250</v>
      </c>
      <c r="D199" s="288"/>
      <c r="E199" s="290">
        <f>(G199-F199)/G199</f>
        <v>0.13636363636363635</v>
      </c>
      <c r="F199" s="776">
        <v>0.19</v>
      </c>
      <c r="G199" s="436">
        <v>0.22</v>
      </c>
    </row>
    <row r="200" spans="1:11" outlineLevel="1">
      <c r="A200" s="413"/>
      <c r="B200" s="739"/>
      <c r="C200" s="752"/>
      <c r="D200" s="288"/>
      <c r="E200" s="290" t="e">
        <f>(G200-F200)/G200</f>
        <v>#DIV/0!</v>
      </c>
      <c r="F200" s="753"/>
      <c r="G200" s="39"/>
    </row>
    <row r="201" spans="1:11" ht="15.75" outlineLevel="1" thickBot="1">
      <c r="A201" s="415"/>
      <c r="B201" s="755"/>
      <c r="C201" s="772"/>
      <c r="D201" s="592"/>
      <c r="E201" s="593" t="e">
        <f>(G201-F201)/G201</f>
        <v>#DIV/0!</v>
      </c>
      <c r="F201" s="773"/>
      <c r="G201" s="39"/>
    </row>
    <row r="202" spans="1:11" outlineLevel="1"/>
    <row r="203" spans="1:11" ht="15.75" outlineLevel="1" thickBot="1"/>
    <row r="204" spans="1:11" ht="15" customHeight="1" outlineLevel="1">
      <c r="A204" s="3614" t="s">
        <v>0</v>
      </c>
      <c r="B204" s="3693" t="s">
        <v>1</v>
      </c>
      <c r="C204" s="3693" t="s">
        <v>2</v>
      </c>
      <c r="D204" s="3693" t="s">
        <v>3</v>
      </c>
      <c r="E204" s="3693" t="s">
        <v>4</v>
      </c>
      <c r="F204" s="3522" t="s">
        <v>5</v>
      </c>
    </row>
    <row r="205" spans="1:11" ht="15.75" customHeight="1" outlineLevel="1" thickBot="1">
      <c r="A205" s="4060"/>
      <c r="B205" s="4066"/>
      <c r="C205" s="4066"/>
      <c r="D205" s="4066"/>
      <c r="E205" s="4066"/>
      <c r="F205" s="4067"/>
    </row>
    <row r="206" spans="1:11" ht="15.75" outlineLevel="1" thickTop="1">
      <c r="A206" s="412" t="s">
        <v>2023</v>
      </c>
      <c r="B206" s="288" t="s">
        <v>1593</v>
      </c>
      <c r="C206" s="762" t="s">
        <v>1316</v>
      </c>
      <c r="D206" s="538"/>
      <c r="E206" s="539">
        <f>(G206-F206)/G206</f>
        <v>0.29677419354838708</v>
      </c>
      <c r="F206" s="768">
        <v>1.0900000000000001</v>
      </c>
      <c r="G206" s="541">
        <v>1.55</v>
      </c>
    </row>
    <row r="207" spans="1:11" outlineLevel="1">
      <c r="A207" s="302"/>
      <c r="B207" s="739"/>
      <c r="C207" s="762" t="s">
        <v>1317</v>
      </c>
      <c r="D207" s="538"/>
      <c r="E207" s="539">
        <f>(G207-F207)/G207</f>
        <v>0.29677419354838708</v>
      </c>
      <c r="F207" s="768">
        <v>1.0900000000000001</v>
      </c>
      <c r="G207" s="541">
        <v>1.55</v>
      </c>
    </row>
    <row r="208" spans="1:11" ht="15.75" outlineLevel="1" thickBot="1">
      <c r="A208" s="460"/>
      <c r="B208" s="755"/>
      <c r="C208" s="777" t="s">
        <v>2024</v>
      </c>
      <c r="D208" s="548"/>
      <c r="E208" s="549">
        <f>(G208-F208)/G208</f>
        <v>0.1538461538461538</v>
      </c>
      <c r="F208" s="778">
        <v>0.55000000000000004</v>
      </c>
      <c r="G208" s="541">
        <v>0.65</v>
      </c>
      <c r="J208">
        <v>1050</v>
      </c>
      <c r="K208">
        <f>J208*0.1</f>
        <v>105</v>
      </c>
    </row>
    <row r="209" spans="1:7" outlineLevel="1"/>
    <row r="210" spans="1:7" ht="15.75" outlineLevel="1" thickBot="1"/>
    <row r="211" spans="1:7" ht="15" customHeight="1" outlineLevel="1">
      <c r="A211" s="3614" t="s">
        <v>0</v>
      </c>
      <c r="B211" s="3693" t="s">
        <v>1</v>
      </c>
      <c r="C211" s="3693" t="s">
        <v>2</v>
      </c>
      <c r="D211" s="3693" t="s">
        <v>3</v>
      </c>
      <c r="E211" s="3693" t="s">
        <v>4</v>
      </c>
      <c r="F211" s="3522" t="s">
        <v>5</v>
      </c>
    </row>
    <row r="212" spans="1:7" ht="15.75" customHeight="1" outlineLevel="1" thickBot="1">
      <c r="A212" s="4060"/>
      <c r="B212" s="4066"/>
      <c r="C212" s="4066"/>
      <c r="D212" s="4066"/>
      <c r="E212" s="4066"/>
      <c r="F212" s="4067"/>
    </row>
    <row r="213" spans="1:7" ht="15.75" outlineLevel="1" thickTop="1">
      <c r="A213" s="412" t="s">
        <v>2025</v>
      </c>
      <c r="B213" s="288" t="s">
        <v>2026</v>
      </c>
      <c r="C213" s="762" t="s">
        <v>1316</v>
      </c>
      <c r="D213" s="538"/>
      <c r="E213" s="539">
        <f>(G213-F213)/G213</f>
        <v>0.33734939759036137</v>
      </c>
      <c r="F213" s="768">
        <v>1.1000000000000001</v>
      </c>
      <c r="G213" s="541">
        <v>1.66</v>
      </c>
    </row>
    <row r="214" spans="1:7" outlineLevel="1">
      <c r="A214" s="302"/>
      <c r="B214" s="739"/>
      <c r="C214" s="762" t="s">
        <v>1317</v>
      </c>
      <c r="D214" s="538"/>
      <c r="E214" s="539">
        <f>(G214-F214)/G214</f>
        <v>0.33734939759036137</v>
      </c>
      <c r="F214" s="768">
        <v>1.1000000000000001</v>
      </c>
      <c r="G214" s="541">
        <v>1.66</v>
      </c>
    </row>
    <row r="215" spans="1:7" ht="15.75" outlineLevel="1" thickBot="1">
      <c r="A215" s="460"/>
      <c r="B215" s="755"/>
      <c r="C215" s="777"/>
      <c r="D215" s="548"/>
      <c r="E215" s="549"/>
      <c r="F215" s="778"/>
      <c r="G215" s="541"/>
    </row>
    <row r="216" spans="1:7" outlineLevel="1"/>
    <row r="217" spans="1:7" ht="15.75" outlineLevel="1" thickBot="1"/>
    <row r="218" spans="1:7" ht="15" customHeight="1" outlineLevel="1">
      <c r="A218" s="3572" t="s">
        <v>0</v>
      </c>
      <c r="B218" s="3636" t="s">
        <v>1</v>
      </c>
      <c r="C218" s="3636" t="s">
        <v>2</v>
      </c>
      <c r="D218" s="3636" t="s">
        <v>3</v>
      </c>
      <c r="E218" s="3636" t="s">
        <v>4</v>
      </c>
      <c r="F218" s="3559" t="s">
        <v>5</v>
      </c>
      <c r="G218" s="429"/>
    </row>
    <row r="219" spans="1:7" ht="15.75" outlineLevel="1" thickBot="1">
      <c r="A219" s="4178"/>
      <c r="B219" s="3718"/>
      <c r="C219" s="3718"/>
      <c r="D219" s="3718"/>
      <c r="E219" s="3718"/>
      <c r="F219" s="3727"/>
      <c r="G219" s="429"/>
    </row>
    <row r="220" spans="1:7" ht="15.75" outlineLevel="1" thickTop="1">
      <c r="A220" s="636" t="s">
        <v>2027</v>
      </c>
      <c r="B220" s="388" t="s">
        <v>120</v>
      </c>
      <c r="C220" s="779" t="s">
        <v>1317</v>
      </c>
      <c r="D220" s="388"/>
      <c r="E220" s="638">
        <f>(G220-F220)/G220</f>
        <v>0.15</v>
      </c>
      <c r="F220" s="780">
        <v>1.292</v>
      </c>
      <c r="G220" s="429">
        <v>1.52</v>
      </c>
    </row>
    <row r="221" spans="1:7" outlineLevel="1">
      <c r="A221" s="491"/>
      <c r="B221" s="781" t="s">
        <v>121</v>
      </c>
      <c r="C221" s="779" t="s">
        <v>226</v>
      </c>
      <c r="D221" s="388"/>
      <c r="E221" s="638">
        <f t="shared" ref="E221:E228" si="10">(G221-F221)/G221</f>
        <v>0.15</v>
      </c>
      <c r="F221" s="780">
        <v>0.73099999999999998</v>
      </c>
      <c r="G221" s="429">
        <v>0.86</v>
      </c>
    </row>
    <row r="222" spans="1:7" outlineLevel="1">
      <c r="A222" s="491"/>
      <c r="B222" s="781" t="s">
        <v>123</v>
      </c>
      <c r="C222" s="779" t="s">
        <v>436</v>
      </c>
      <c r="D222" s="388"/>
      <c r="E222" s="638">
        <f t="shared" si="10"/>
        <v>0.19999999999999987</v>
      </c>
      <c r="F222" s="780">
        <v>1.2160000000000002</v>
      </c>
      <c r="G222" s="429">
        <v>1.52</v>
      </c>
    </row>
    <row r="223" spans="1:7" outlineLevel="1">
      <c r="A223" s="491"/>
      <c r="B223" s="781" t="s">
        <v>122</v>
      </c>
      <c r="C223" s="779" t="s">
        <v>1913</v>
      </c>
      <c r="D223" s="388"/>
      <c r="E223" s="638">
        <f t="shared" si="10"/>
        <v>0.25</v>
      </c>
      <c r="F223" s="780">
        <v>0.75</v>
      </c>
      <c r="G223" s="528">
        <v>1</v>
      </c>
    </row>
    <row r="224" spans="1:7" outlineLevel="1">
      <c r="A224" s="491"/>
      <c r="B224" s="781"/>
      <c r="C224" s="779" t="s">
        <v>472</v>
      </c>
      <c r="D224" s="388"/>
      <c r="E224" s="638">
        <f t="shared" si="10"/>
        <v>9.9999999999999964E-2</v>
      </c>
      <c r="F224" s="780">
        <v>0.81900000000000006</v>
      </c>
      <c r="G224" s="528">
        <v>0.91</v>
      </c>
    </row>
    <row r="225" spans="1:11" outlineLevel="1">
      <c r="A225" s="491"/>
      <c r="B225" s="781"/>
      <c r="C225" s="779" t="s">
        <v>1904</v>
      </c>
      <c r="D225" s="388"/>
      <c r="E225" s="638">
        <f t="shared" si="10"/>
        <v>0.15000000000000011</v>
      </c>
      <c r="F225" s="780">
        <v>1.3174999999999999</v>
      </c>
      <c r="G225" s="528">
        <v>1.55</v>
      </c>
      <c r="I225">
        <v>1602</v>
      </c>
      <c r="J225">
        <f>(G225-F225)*I225</f>
        <v>372.46500000000026</v>
      </c>
    </row>
    <row r="226" spans="1:11" outlineLevel="1">
      <c r="A226" s="491"/>
      <c r="B226" s="781"/>
      <c r="C226" s="762" t="s">
        <v>1914</v>
      </c>
      <c r="D226" s="388"/>
      <c r="E226" s="638">
        <f t="shared" si="10"/>
        <v>0.25</v>
      </c>
      <c r="F226" s="780">
        <v>0.75</v>
      </c>
      <c r="G226" s="528">
        <v>1</v>
      </c>
    </row>
    <row r="227" spans="1:11" outlineLevel="1">
      <c r="A227" s="302"/>
      <c r="B227" s="739"/>
      <c r="C227" s="762"/>
      <c r="D227" s="538"/>
      <c r="E227" s="539" t="e">
        <f t="shared" si="10"/>
        <v>#DIV/0!</v>
      </c>
      <c r="F227" s="749"/>
      <c r="G227" s="528"/>
    </row>
    <row r="228" spans="1:11" ht="15.75" outlineLevel="1" thickBot="1">
      <c r="A228" s="460"/>
      <c r="B228" s="755"/>
      <c r="C228" s="769"/>
      <c r="D228" s="548"/>
      <c r="E228" s="549" t="e">
        <f t="shared" si="10"/>
        <v>#DIV/0!</v>
      </c>
      <c r="F228" s="550"/>
      <c r="G228" s="545"/>
    </row>
    <row r="229" spans="1:11" outlineLevel="1"/>
    <row r="230" spans="1:11" ht="15.75" outlineLevel="1" thickBot="1"/>
    <row r="231" spans="1:11" ht="15" customHeight="1" outlineLevel="1">
      <c r="A231" s="3614" t="s">
        <v>0</v>
      </c>
      <c r="B231" s="3693" t="s">
        <v>1</v>
      </c>
      <c r="C231" s="3693" t="s">
        <v>2</v>
      </c>
      <c r="D231" s="3693" t="s">
        <v>3</v>
      </c>
      <c r="E231" s="3693" t="s">
        <v>4</v>
      </c>
      <c r="F231" s="3522" t="s">
        <v>5</v>
      </c>
    </row>
    <row r="232" spans="1:11" ht="15.75" customHeight="1" outlineLevel="1" thickBot="1">
      <c r="A232" s="4060"/>
      <c r="B232" s="4066"/>
      <c r="C232" s="4066"/>
      <c r="D232" s="4066"/>
      <c r="E232" s="4066"/>
      <c r="F232" s="4067"/>
    </row>
    <row r="233" spans="1:11" ht="15.75" outlineLevel="1" thickTop="1">
      <c r="A233" s="412" t="s">
        <v>2028</v>
      </c>
      <c r="B233" s="288" t="s">
        <v>2029</v>
      </c>
      <c r="C233" s="770" t="s">
        <v>1892</v>
      </c>
      <c r="D233" s="288"/>
      <c r="E233" s="290">
        <f>(G233-F233)/G233</f>
        <v>0.15217391304347827</v>
      </c>
      <c r="F233" s="751">
        <v>0.78</v>
      </c>
      <c r="G233">
        <v>0.92</v>
      </c>
      <c r="J233">
        <v>3388</v>
      </c>
      <c r="K233">
        <f>(G233-F233)*J233</f>
        <v>474.32000000000005</v>
      </c>
    </row>
    <row r="234" spans="1:11" outlineLevel="1">
      <c r="A234" s="413"/>
      <c r="B234" s="739"/>
      <c r="C234" s="771" t="s">
        <v>1904</v>
      </c>
      <c r="D234" s="288"/>
      <c r="E234" s="290">
        <f>(G234-F234)/G234</f>
        <v>0.14893617021276595</v>
      </c>
      <c r="F234" s="753">
        <v>1.2</v>
      </c>
      <c r="G234" s="39">
        <v>1.41</v>
      </c>
      <c r="J234">
        <v>1568</v>
      </c>
      <c r="K234">
        <f>(G234-F234)*J234</f>
        <v>329.28</v>
      </c>
    </row>
    <row r="235" spans="1:11" outlineLevel="1">
      <c r="A235" s="413"/>
      <c r="B235" s="739"/>
      <c r="C235" s="770" t="s">
        <v>1891</v>
      </c>
      <c r="D235" s="288"/>
      <c r="E235" s="290">
        <f>(G235-F235)/G235</f>
        <v>0.15053763440860216</v>
      </c>
      <c r="F235" s="753">
        <v>0.79</v>
      </c>
      <c r="G235" s="39">
        <v>0.93</v>
      </c>
      <c r="J235">
        <v>1434</v>
      </c>
      <c r="K235">
        <f>(G235-F235)*J235</f>
        <v>200.76000000000002</v>
      </c>
    </row>
    <row r="236" spans="1:11" ht="15.75" outlineLevel="1" thickBot="1">
      <c r="A236" s="415"/>
      <c r="B236" s="755"/>
      <c r="C236" s="772"/>
      <c r="D236" s="592"/>
      <c r="E236" s="593" t="e">
        <f>(G236-F236)/G236</f>
        <v>#DIV/0!</v>
      </c>
      <c r="F236" s="773"/>
      <c r="G236" s="39"/>
    </row>
    <row r="237" spans="1:11" outlineLevel="1"/>
    <row r="238" spans="1:11" ht="15.75" outlineLevel="1" thickBot="1"/>
    <row r="239" spans="1:11" ht="15" customHeight="1" outlineLevel="1">
      <c r="A239" s="3614" t="s">
        <v>0</v>
      </c>
      <c r="B239" s="3693" t="s">
        <v>1</v>
      </c>
      <c r="C239" s="3693" t="s">
        <v>2</v>
      </c>
      <c r="D239" s="3693" t="s">
        <v>3</v>
      </c>
      <c r="E239" s="3693" t="s">
        <v>4</v>
      </c>
      <c r="F239" s="3522" t="s">
        <v>5</v>
      </c>
    </row>
    <row r="240" spans="1:11" ht="15.75" customHeight="1" outlineLevel="1" thickBot="1">
      <c r="A240" s="4060"/>
      <c r="B240" s="4066"/>
      <c r="C240" s="4066"/>
      <c r="D240" s="4066"/>
      <c r="E240" s="4066"/>
      <c r="F240" s="4067"/>
    </row>
    <row r="241" spans="1:11" ht="15.75" outlineLevel="1" thickTop="1">
      <c r="A241" s="412" t="s">
        <v>2030</v>
      </c>
      <c r="B241" s="288" t="s">
        <v>2016</v>
      </c>
      <c r="C241" s="779" t="s">
        <v>623</v>
      </c>
      <c r="D241" s="538"/>
      <c r="E241" s="638">
        <f>(G241-F241)/G241</f>
        <v>0.10000000000000003</v>
      </c>
      <c r="F241" s="782">
        <v>1.7009999999999998</v>
      </c>
      <c r="G241" s="783">
        <v>1.89</v>
      </c>
    </row>
    <row r="242" spans="1:11" outlineLevel="1">
      <c r="A242" s="302"/>
      <c r="B242" s="739"/>
      <c r="C242" s="779" t="s">
        <v>1904</v>
      </c>
      <c r="D242" s="538"/>
      <c r="E242" s="638">
        <f t="shared" ref="E242:E249" si="11">(G242-F242)/G242</f>
        <v>0.15</v>
      </c>
      <c r="F242" s="782">
        <v>1.292</v>
      </c>
      <c r="G242" s="783">
        <v>1.52</v>
      </c>
      <c r="J242">
        <v>1560</v>
      </c>
      <c r="K242">
        <f>(G242-F242)*J242</f>
        <v>355.67999999999995</v>
      </c>
    </row>
    <row r="243" spans="1:11" outlineLevel="1">
      <c r="A243" s="302"/>
      <c r="B243" s="739"/>
      <c r="C243" s="779" t="s">
        <v>1975</v>
      </c>
      <c r="D243" s="538"/>
      <c r="E243" s="638">
        <f t="shared" si="11"/>
        <v>0.15</v>
      </c>
      <c r="F243" s="782">
        <v>1.3260000000000001</v>
      </c>
      <c r="G243" s="783">
        <v>1.56</v>
      </c>
      <c r="J243">
        <v>575</v>
      </c>
      <c r="K243">
        <f>(G243-F243)*J243</f>
        <v>134.54999999999998</v>
      </c>
    </row>
    <row r="244" spans="1:11" outlineLevel="1">
      <c r="A244" s="302"/>
      <c r="B244" s="739"/>
      <c r="C244" s="779" t="s">
        <v>2024</v>
      </c>
      <c r="D244" s="538"/>
      <c r="E244" s="638">
        <f t="shared" si="11"/>
        <v>0.15000000000000005</v>
      </c>
      <c r="F244" s="782">
        <v>0.53549999999999998</v>
      </c>
      <c r="G244" s="783">
        <v>0.63</v>
      </c>
      <c r="J244">
        <v>1460</v>
      </c>
      <c r="K244">
        <f>(G244-F244)*J244</f>
        <v>137.97000000000003</v>
      </c>
    </row>
    <row r="245" spans="1:11" outlineLevel="1">
      <c r="A245" s="302"/>
      <c r="B245" s="739"/>
      <c r="C245" s="779" t="s">
        <v>1413</v>
      </c>
      <c r="D245" s="538"/>
      <c r="E245" s="638">
        <f t="shared" si="11"/>
        <v>0.14999999999999997</v>
      </c>
      <c r="F245" s="782">
        <v>1.4195</v>
      </c>
      <c r="G245" s="783">
        <v>1.67</v>
      </c>
    </row>
    <row r="246" spans="1:11" outlineLevel="1">
      <c r="A246" s="302"/>
      <c r="B246" s="739"/>
      <c r="C246" s="779" t="s">
        <v>1429</v>
      </c>
      <c r="D246" s="538"/>
      <c r="E246" s="638">
        <f t="shared" si="11"/>
        <v>0.14999999999999997</v>
      </c>
      <c r="F246" s="782">
        <v>1.4195</v>
      </c>
      <c r="G246" s="783">
        <v>1.67</v>
      </c>
    </row>
    <row r="247" spans="1:11" outlineLevel="1">
      <c r="A247" s="302"/>
      <c r="B247" s="739"/>
      <c r="C247" s="779" t="s">
        <v>226</v>
      </c>
      <c r="D247" s="538"/>
      <c r="E247" s="638">
        <f t="shared" si="11"/>
        <v>9.9999999999999964E-2</v>
      </c>
      <c r="F247" s="782">
        <v>0.747</v>
      </c>
      <c r="G247" s="783">
        <v>0.83</v>
      </c>
    </row>
    <row r="248" spans="1:11" outlineLevel="1">
      <c r="A248" s="302"/>
      <c r="B248" s="739"/>
      <c r="C248" s="779" t="s">
        <v>554</v>
      </c>
      <c r="D248" s="538"/>
      <c r="E248" s="638">
        <f t="shared" si="11"/>
        <v>0.15000000000000005</v>
      </c>
      <c r="F248" s="782">
        <v>0.96899999999999986</v>
      </c>
      <c r="G248" s="783">
        <v>1.1399999999999999</v>
      </c>
    </row>
    <row r="249" spans="1:11" ht="15.75" outlineLevel="1" thickBot="1">
      <c r="A249" s="460"/>
      <c r="B249" s="755"/>
      <c r="C249" s="784" t="s">
        <v>730</v>
      </c>
      <c r="D249" s="548"/>
      <c r="E249" s="785">
        <f t="shared" si="11"/>
        <v>0.15</v>
      </c>
      <c r="F249" s="786">
        <v>0.68</v>
      </c>
      <c r="G249" s="787">
        <v>0.8</v>
      </c>
    </row>
    <row r="250" spans="1:11" outlineLevel="1">
      <c r="C250" s="429"/>
    </row>
    <row r="251" spans="1:11" ht="15.75" outlineLevel="1" thickBot="1"/>
    <row r="252" spans="1:11" ht="15" customHeight="1" outlineLevel="1">
      <c r="A252" s="3614" t="s">
        <v>0</v>
      </c>
      <c r="B252" s="3693" t="s">
        <v>1</v>
      </c>
      <c r="C252" s="3693" t="s">
        <v>2</v>
      </c>
      <c r="D252" s="3693" t="s">
        <v>3</v>
      </c>
      <c r="E252" s="3693" t="s">
        <v>4</v>
      </c>
      <c r="F252" s="3522" t="s">
        <v>5</v>
      </c>
    </row>
    <row r="253" spans="1:11" ht="15.75" customHeight="1" outlineLevel="1" thickBot="1">
      <c r="A253" s="4060"/>
      <c r="B253" s="4066"/>
      <c r="C253" s="4066"/>
      <c r="D253" s="4066"/>
      <c r="E253" s="4066"/>
      <c r="F253" s="4067"/>
    </row>
    <row r="254" spans="1:11" ht="15.75" outlineLevel="1" thickTop="1">
      <c r="A254" s="412" t="s">
        <v>2031</v>
      </c>
      <c r="B254" s="288" t="s">
        <v>460</v>
      </c>
      <c r="C254" s="788" t="s">
        <v>1892</v>
      </c>
      <c r="D254" s="288"/>
      <c r="E254" s="290">
        <f t="shared" ref="E254:E260" si="12">(G254-F254)/G254</f>
        <v>0.14563106796116507</v>
      </c>
      <c r="F254" s="789">
        <v>0.88</v>
      </c>
      <c r="G254">
        <v>1.03</v>
      </c>
    </row>
    <row r="255" spans="1:11" outlineLevel="1">
      <c r="A255" s="413"/>
      <c r="B255" s="739"/>
      <c r="C255" s="788" t="s">
        <v>1891</v>
      </c>
      <c r="D255" s="288"/>
      <c r="E255" s="290">
        <f t="shared" si="12"/>
        <v>0.15384615384615388</v>
      </c>
      <c r="F255" s="789">
        <v>0.88</v>
      </c>
      <c r="G255" s="39">
        <v>1.04</v>
      </c>
    </row>
    <row r="256" spans="1:11" outlineLevel="1">
      <c r="A256" s="413"/>
      <c r="B256" s="739"/>
      <c r="C256" s="790" t="s">
        <v>1959</v>
      </c>
      <c r="D256" s="288"/>
      <c r="E256" s="290">
        <f t="shared" si="12"/>
        <v>0.15286624203821655</v>
      </c>
      <c r="F256" s="789">
        <v>1.33</v>
      </c>
      <c r="G256" s="39">
        <v>1.57</v>
      </c>
    </row>
    <row r="257" spans="1:7" outlineLevel="1">
      <c r="A257" s="413"/>
      <c r="B257" s="739"/>
      <c r="C257" s="791" t="s">
        <v>1522</v>
      </c>
      <c r="D257" s="288"/>
      <c r="E257" s="290">
        <f t="shared" si="12"/>
        <v>0.10101010101010099</v>
      </c>
      <c r="F257" s="789">
        <v>0.89</v>
      </c>
      <c r="G257" s="39">
        <v>0.99</v>
      </c>
    </row>
    <row r="258" spans="1:7" outlineLevel="1">
      <c r="A258" s="413"/>
      <c r="B258" s="739"/>
      <c r="C258" s="791" t="s">
        <v>388</v>
      </c>
      <c r="D258" s="288"/>
      <c r="E258" s="290">
        <f t="shared" si="12"/>
        <v>0.10101010101010099</v>
      </c>
      <c r="F258" s="789">
        <v>0.89</v>
      </c>
      <c r="G258" s="792">
        <v>0.99</v>
      </c>
    </row>
    <row r="259" spans="1:7" outlineLevel="1">
      <c r="A259" s="413"/>
      <c r="B259" s="739"/>
      <c r="C259" s="790" t="s">
        <v>476</v>
      </c>
      <c r="D259" s="288"/>
      <c r="E259" s="290">
        <f t="shared" si="12"/>
        <v>0.10227272727272724</v>
      </c>
      <c r="F259" s="789">
        <v>0.79</v>
      </c>
      <c r="G259" s="792">
        <v>0.88</v>
      </c>
    </row>
    <row r="260" spans="1:7" outlineLevel="1">
      <c r="A260" s="413"/>
      <c r="B260" s="739"/>
      <c r="C260" s="790" t="s">
        <v>473</v>
      </c>
      <c r="D260" s="288"/>
      <c r="E260" s="290">
        <f t="shared" si="12"/>
        <v>0.10227272727272724</v>
      </c>
      <c r="F260" s="793">
        <v>0.79</v>
      </c>
      <c r="G260" s="792">
        <v>0.88</v>
      </c>
    </row>
    <row r="261" spans="1:7" outlineLevel="1">
      <c r="A261" s="413"/>
      <c r="B261" s="739"/>
      <c r="C261" s="739"/>
      <c r="D261" s="288"/>
      <c r="E261" s="290"/>
      <c r="F261" s="399"/>
    </row>
    <row r="262" spans="1:7" outlineLevel="1">
      <c r="A262" s="413"/>
      <c r="B262" s="739"/>
      <c r="C262" s="739"/>
      <c r="D262" s="288"/>
      <c r="E262" s="290"/>
      <c r="F262" s="399"/>
    </row>
    <row r="263" spans="1:7" outlineLevel="1">
      <c r="A263" s="413"/>
      <c r="B263" s="739"/>
      <c r="C263" s="739"/>
      <c r="D263" s="739"/>
      <c r="E263" s="739"/>
      <c r="F263" s="399"/>
    </row>
    <row r="264" spans="1:7" outlineLevel="1">
      <c r="A264" s="413"/>
      <c r="B264" s="739"/>
      <c r="C264" s="739"/>
      <c r="D264" s="739"/>
      <c r="E264" s="739"/>
      <c r="F264" s="754"/>
    </row>
    <row r="265" spans="1:7" ht="15.75" outlineLevel="1" thickBot="1">
      <c r="A265" s="415"/>
      <c r="B265" s="755"/>
      <c r="C265" s="755"/>
      <c r="D265" s="755"/>
      <c r="E265" s="755"/>
      <c r="F265" s="756"/>
    </row>
    <row r="266" spans="1:7" outlineLevel="1"/>
    <row r="267" spans="1:7" ht="15.75" outlineLevel="1" thickBot="1"/>
    <row r="268" spans="1:7" ht="15" customHeight="1" outlineLevel="1">
      <c r="A268" s="3614" t="s">
        <v>0</v>
      </c>
      <c r="B268" s="3693" t="s">
        <v>1</v>
      </c>
      <c r="C268" s="3693" t="s">
        <v>2</v>
      </c>
      <c r="D268" s="3693" t="s">
        <v>3</v>
      </c>
      <c r="E268" s="3693" t="s">
        <v>4</v>
      </c>
      <c r="F268" s="3522" t="s">
        <v>5</v>
      </c>
    </row>
    <row r="269" spans="1:7" ht="15.75" customHeight="1" outlineLevel="1" thickBot="1">
      <c r="A269" s="4060"/>
      <c r="B269" s="4066"/>
      <c r="C269" s="4066"/>
      <c r="D269" s="4066"/>
      <c r="E269" s="4066"/>
      <c r="F269" s="4067"/>
    </row>
    <row r="270" spans="1:7" ht="15.75" outlineLevel="1" thickTop="1">
      <c r="A270" s="412" t="s">
        <v>2032</v>
      </c>
      <c r="B270" s="288" t="s">
        <v>1708</v>
      </c>
      <c r="C270" s="5" t="s">
        <v>1058</v>
      </c>
      <c r="D270" s="288"/>
      <c r="E270" s="290">
        <f>(G270-F270)/G270</f>
        <v>0.20098039215686281</v>
      </c>
      <c r="F270" s="758">
        <v>1.63</v>
      </c>
      <c r="G270">
        <v>2.04</v>
      </c>
    </row>
    <row r="271" spans="1:7" outlineLevel="1">
      <c r="A271" s="302"/>
      <c r="B271" s="739"/>
      <c r="C271" s="741" t="s">
        <v>226</v>
      </c>
      <c r="D271" s="288"/>
      <c r="E271" s="290">
        <f t="shared" ref="E271:E279" si="13">(G271-F271)/G271</f>
        <v>0.20930232558139528</v>
      </c>
      <c r="F271" s="758">
        <v>0.68</v>
      </c>
      <c r="G271">
        <v>0.86</v>
      </c>
    </row>
    <row r="272" spans="1:7" outlineLevel="1">
      <c r="A272" s="302"/>
      <c r="B272" s="739"/>
      <c r="C272" s="741" t="s">
        <v>227</v>
      </c>
      <c r="D272" s="288"/>
      <c r="E272" s="290">
        <f t="shared" si="13"/>
        <v>0.20930232558139528</v>
      </c>
      <c r="F272" s="758">
        <v>0.68</v>
      </c>
      <c r="G272">
        <v>0.86</v>
      </c>
    </row>
    <row r="273" spans="1:7" outlineLevel="1">
      <c r="A273" s="302"/>
      <c r="B273" s="739"/>
      <c r="C273" s="741" t="s">
        <v>228</v>
      </c>
      <c r="D273" s="288"/>
      <c r="E273" s="290">
        <f t="shared" si="13"/>
        <v>0.20930232558139528</v>
      </c>
      <c r="F273" s="758">
        <v>0.68</v>
      </c>
      <c r="G273">
        <v>0.86</v>
      </c>
    </row>
    <row r="274" spans="1:7" outlineLevel="2">
      <c r="A274" s="302"/>
      <c r="B274" s="739"/>
      <c r="C274" s="741" t="s">
        <v>1949</v>
      </c>
      <c r="D274" s="288"/>
      <c r="E274" s="290">
        <f t="shared" si="13"/>
        <v>0.20930232558139528</v>
      </c>
      <c r="F274" s="758">
        <v>0.68</v>
      </c>
      <c r="G274">
        <v>0.86</v>
      </c>
    </row>
    <row r="275" spans="1:7" outlineLevel="2">
      <c r="A275" s="302"/>
      <c r="B275" s="739"/>
      <c r="C275" s="741" t="s">
        <v>1950</v>
      </c>
      <c r="D275" s="288"/>
      <c r="E275" s="290">
        <f t="shared" si="13"/>
        <v>0.20930232558139528</v>
      </c>
      <c r="F275" s="758">
        <v>0.68</v>
      </c>
      <c r="G275">
        <v>0.86</v>
      </c>
    </row>
    <row r="276" spans="1:7" outlineLevel="2">
      <c r="A276" s="302"/>
      <c r="B276" s="739"/>
      <c r="C276" s="741" t="s">
        <v>1315</v>
      </c>
      <c r="D276" s="288"/>
      <c r="E276" s="290">
        <f t="shared" si="13"/>
        <v>0.19736842105263161</v>
      </c>
      <c r="F276" s="758">
        <v>1.22</v>
      </c>
      <c r="G276" s="33">
        <v>1.52</v>
      </c>
    </row>
    <row r="277" spans="1:7" outlineLevel="2">
      <c r="A277" s="302"/>
      <c r="B277" s="739"/>
      <c r="C277" s="741" t="s">
        <v>1316</v>
      </c>
      <c r="D277" s="288"/>
      <c r="E277" s="290">
        <f t="shared" si="13"/>
        <v>0.19736842105263161</v>
      </c>
      <c r="F277" s="758">
        <v>1.22</v>
      </c>
      <c r="G277" s="33">
        <v>1.52</v>
      </c>
    </row>
    <row r="278" spans="1:7" outlineLevel="2">
      <c r="A278" s="302"/>
      <c r="B278" s="739"/>
      <c r="C278" s="741" t="s">
        <v>1317</v>
      </c>
      <c r="D278" s="288"/>
      <c r="E278" s="290">
        <f t="shared" si="13"/>
        <v>0.19736842105263161</v>
      </c>
      <c r="F278" s="758">
        <v>1.22</v>
      </c>
      <c r="G278" s="33">
        <v>1.52</v>
      </c>
    </row>
    <row r="279" spans="1:7" ht="15.75" outlineLevel="2" thickBot="1">
      <c r="A279" s="460"/>
      <c r="B279" s="755"/>
      <c r="C279" s="794"/>
      <c r="D279" s="592"/>
      <c r="E279" s="593" t="e">
        <f t="shared" si="13"/>
        <v>#DIV/0!</v>
      </c>
      <c r="F279" s="761"/>
      <c r="G279" s="33"/>
    </row>
    <row r="280" spans="1:7" outlineLevel="2"/>
    <row r="281" spans="1:7" ht="15.75" outlineLevel="2" thickBot="1"/>
    <row r="282" spans="1:7" ht="15" customHeight="1" outlineLevel="2">
      <c r="A282" s="3572" t="s">
        <v>2033</v>
      </c>
      <c r="B282" s="3636" t="s">
        <v>1</v>
      </c>
      <c r="C282" s="3636" t="s">
        <v>2</v>
      </c>
      <c r="D282" s="3636" t="s">
        <v>3</v>
      </c>
      <c r="E282" s="3636" t="s">
        <v>4</v>
      </c>
      <c r="F282" s="3559" t="s">
        <v>5</v>
      </c>
      <c r="G282" s="429"/>
    </row>
    <row r="283" spans="1:7" ht="15.75" outlineLevel="2" thickBot="1">
      <c r="A283" s="4178"/>
      <c r="B283" s="3718"/>
      <c r="C283" s="3718"/>
      <c r="D283" s="3718"/>
      <c r="E283" s="3718"/>
      <c r="F283" s="3727"/>
      <c r="G283" s="429"/>
    </row>
    <row r="284" spans="1:7" ht="15.75" outlineLevel="2" thickTop="1">
      <c r="A284" s="636" t="s">
        <v>1951</v>
      </c>
      <c r="B284" s="388" t="s">
        <v>120</v>
      </c>
      <c r="C284" s="766" t="s">
        <v>1952</v>
      </c>
      <c r="D284" s="388"/>
      <c r="E284" s="638">
        <f>(G284-F284)/G284</f>
        <v>9.9999999999999936E-2</v>
      </c>
      <c r="F284" s="749">
        <v>0.63900000000000001</v>
      </c>
      <c r="G284" s="429">
        <v>0.71</v>
      </c>
    </row>
    <row r="285" spans="1:7" outlineLevel="2">
      <c r="A285" s="491"/>
      <c r="B285" s="781" t="s">
        <v>121</v>
      </c>
      <c r="C285" s="766" t="s">
        <v>1695</v>
      </c>
      <c r="D285" s="388"/>
      <c r="E285" s="638">
        <f t="shared" ref="E285:E292" si="14">(G285-F285)/G285</f>
        <v>0.14999999999999997</v>
      </c>
      <c r="F285" s="749">
        <v>0.56100000000000005</v>
      </c>
      <c r="G285" s="429">
        <v>0.66</v>
      </c>
    </row>
    <row r="286" spans="1:7" outlineLevel="1">
      <c r="A286" s="491"/>
      <c r="B286" s="781" t="s">
        <v>123</v>
      </c>
      <c r="C286" s="766" t="s">
        <v>905</v>
      </c>
      <c r="D286" s="388"/>
      <c r="E286" s="638">
        <f t="shared" si="14"/>
        <v>0.15</v>
      </c>
      <c r="F286" s="749">
        <v>0.66300000000000003</v>
      </c>
      <c r="G286" s="429">
        <v>0.78</v>
      </c>
    </row>
    <row r="287" spans="1:7" outlineLevel="1">
      <c r="A287" s="491"/>
      <c r="B287" s="781" t="s">
        <v>122</v>
      </c>
      <c r="C287" s="766" t="s">
        <v>465</v>
      </c>
      <c r="D287" s="388"/>
      <c r="E287" s="638">
        <f t="shared" si="14"/>
        <v>0.10000000000000002</v>
      </c>
      <c r="F287" s="749">
        <v>1.2689999999999999</v>
      </c>
      <c r="G287" s="528">
        <v>1.41</v>
      </c>
    </row>
    <row r="288" spans="1:7" outlineLevel="1">
      <c r="A288" s="491"/>
      <c r="B288" s="781"/>
      <c r="C288" s="766" t="s">
        <v>730</v>
      </c>
      <c r="D288" s="388"/>
      <c r="E288" s="638">
        <f t="shared" si="14"/>
        <v>0.15</v>
      </c>
      <c r="F288" s="795">
        <v>0.69699999999999995</v>
      </c>
      <c r="G288" s="528">
        <v>0.82</v>
      </c>
    </row>
    <row r="289" spans="1:11" outlineLevel="1">
      <c r="A289" s="491"/>
      <c r="B289" s="781"/>
      <c r="C289" s="766" t="s">
        <v>985</v>
      </c>
      <c r="D289" s="388"/>
      <c r="E289" s="638">
        <f t="shared" si="14"/>
        <v>0.1</v>
      </c>
      <c r="F289" s="795">
        <v>1.089</v>
      </c>
      <c r="G289" s="528">
        <v>1.21</v>
      </c>
    </row>
    <row r="290" spans="1:11" outlineLevel="1">
      <c r="A290" s="491"/>
      <c r="B290" s="781"/>
      <c r="C290" s="766" t="s">
        <v>385</v>
      </c>
      <c r="D290" s="388"/>
      <c r="E290" s="638">
        <f t="shared" si="14"/>
        <v>0.15000000000000002</v>
      </c>
      <c r="F290" s="795">
        <v>0.86699999999999999</v>
      </c>
      <c r="G290" s="528">
        <v>1.02</v>
      </c>
    </row>
    <row r="291" spans="1:11" outlineLevel="1">
      <c r="A291" s="302"/>
      <c r="B291" s="739"/>
      <c r="C291" s="766" t="s">
        <v>1301</v>
      </c>
      <c r="D291" s="538"/>
      <c r="E291" s="539">
        <f t="shared" si="14"/>
        <v>9.9999999999999978E-2</v>
      </c>
      <c r="F291" s="795">
        <v>0.85499999999999998</v>
      </c>
      <c r="G291" s="528">
        <v>0.95</v>
      </c>
    </row>
    <row r="292" spans="1:11" ht="15.75" outlineLevel="1" thickBot="1">
      <c r="A292" s="460"/>
      <c r="B292" s="755"/>
      <c r="C292" s="769"/>
      <c r="D292" s="548"/>
      <c r="E292" s="549" t="e">
        <f t="shared" si="14"/>
        <v>#DIV/0!</v>
      </c>
      <c r="F292" s="550"/>
      <c r="G292" s="545"/>
    </row>
    <row r="293" spans="1:11" outlineLevel="1"/>
    <row r="294" spans="1:11" ht="15.75" outlineLevel="1" thickBot="1"/>
    <row r="295" spans="1:11" ht="15" customHeight="1" outlineLevel="1">
      <c r="A295" s="3614" t="s">
        <v>0</v>
      </c>
      <c r="B295" s="3693" t="s">
        <v>1</v>
      </c>
      <c r="C295" s="3693" t="s">
        <v>2</v>
      </c>
      <c r="D295" s="3693" t="s">
        <v>3</v>
      </c>
      <c r="E295" s="3693" t="s">
        <v>4</v>
      </c>
      <c r="F295" s="3522" t="s">
        <v>5</v>
      </c>
    </row>
    <row r="296" spans="1:11" ht="15.75" customHeight="1" outlineLevel="1" thickBot="1">
      <c r="A296" s="4060"/>
      <c r="B296" s="4066"/>
      <c r="C296" s="4066"/>
      <c r="D296" s="4066"/>
      <c r="E296" s="4066"/>
      <c r="F296" s="4067"/>
    </row>
    <row r="297" spans="1:11" ht="15.75" outlineLevel="1" thickTop="1">
      <c r="A297" s="412" t="s">
        <v>2034</v>
      </c>
      <c r="B297" s="288" t="s">
        <v>1593</v>
      </c>
      <c r="C297" s="762" t="s">
        <v>522</v>
      </c>
      <c r="D297" s="538"/>
      <c r="E297" s="539">
        <f>(G297-F297)/G297</f>
        <v>0.10416666666666664</v>
      </c>
      <c r="F297" s="768">
        <v>0.86</v>
      </c>
      <c r="G297" s="541">
        <v>0.96</v>
      </c>
    </row>
    <row r="298" spans="1:11" outlineLevel="1">
      <c r="A298" s="302"/>
      <c r="B298" s="739"/>
      <c r="C298" s="762" t="s">
        <v>1440</v>
      </c>
      <c r="D298" s="538"/>
      <c r="E298" s="539">
        <f>(G298-F298)/G298</f>
        <v>0.10416666666666664</v>
      </c>
      <c r="F298" s="768">
        <v>0.86</v>
      </c>
      <c r="G298" s="541">
        <v>0.96</v>
      </c>
    </row>
    <row r="299" spans="1:11" ht="15.75" outlineLevel="1" thickBot="1">
      <c r="A299" s="460"/>
      <c r="B299" s="755"/>
      <c r="C299" s="770" t="s">
        <v>1892</v>
      </c>
      <c r="D299" s="548"/>
      <c r="E299" s="549">
        <f>(G299-F299)/G299</f>
        <v>0.15094339622641512</v>
      </c>
      <c r="F299" s="778">
        <v>0.9</v>
      </c>
      <c r="G299" s="541">
        <v>1.06</v>
      </c>
      <c r="J299">
        <v>2544</v>
      </c>
      <c r="K299">
        <f>(G299-F299)*J299</f>
        <v>407.04000000000008</v>
      </c>
    </row>
    <row r="300" spans="1:11" outlineLevel="1"/>
    <row r="301" spans="1:11" ht="15.75" outlineLevel="1" thickBot="1"/>
    <row r="302" spans="1:11" ht="15" customHeight="1" outlineLevel="1">
      <c r="A302" s="3714" t="s">
        <v>0</v>
      </c>
      <c r="B302" s="3693" t="s">
        <v>1</v>
      </c>
      <c r="C302" s="3693" t="s">
        <v>2</v>
      </c>
      <c r="D302" s="3693" t="s">
        <v>3</v>
      </c>
      <c r="E302" s="3693" t="s">
        <v>4</v>
      </c>
      <c r="F302" s="3522" t="s">
        <v>5</v>
      </c>
    </row>
    <row r="303" spans="1:11" ht="15.75" customHeight="1" outlineLevel="1" thickBot="1">
      <c r="A303" s="4066"/>
      <c r="B303" s="4066"/>
      <c r="C303" s="4066"/>
      <c r="D303" s="4066"/>
      <c r="E303" s="4066"/>
      <c r="F303" s="4067"/>
    </row>
    <row r="304" spans="1:11" ht="15.75" outlineLevel="1" thickTop="1">
      <c r="A304" s="796" t="s">
        <v>2035</v>
      </c>
      <c r="B304" s="288" t="s">
        <v>460</v>
      </c>
      <c r="C304" s="788" t="s">
        <v>1892</v>
      </c>
      <c r="D304" s="288"/>
      <c r="E304" s="290">
        <f>(G304-F304)/G304</f>
        <v>0.14563106796116507</v>
      </c>
      <c r="F304" s="789">
        <v>0.88</v>
      </c>
      <c r="G304" s="741">
        <v>1.03</v>
      </c>
      <c r="J304">
        <v>2816</v>
      </c>
      <c r="K304">
        <f>(G304-F304)*J304</f>
        <v>422.40000000000009</v>
      </c>
    </row>
    <row r="305" spans="1:11" outlineLevel="1">
      <c r="A305" s="797"/>
      <c r="B305" s="739"/>
      <c r="C305" s="788" t="s">
        <v>1891</v>
      </c>
      <c r="D305" s="288"/>
      <c r="E305" s="290">
        <f>(G305-F305)/G305</f>
        <v>0.15384615384615388</v>
      </c>
      <c r="F305" s="789">
        <v>0.88</v>
      </c>
      <c r="G305" s="798">
        <v>1.04</v>
      </c>
      <c r="J305">
        <v>1632</v>
      </c>
      <c r="K305">
        <f>(G305-F305)*J305</f>
        <v>261.12000000000006</v>
      </c>
    </row>
    <row r="306" spans="1:11" outlineLevel="1">
      <c r="A306" s="797"/>
      <c r="B306" s="739"/>
      <c r="C306" s="799"/>
      <c r="D306" s="288"/>
      <c r="E306" s="290"/>
      <c r="F306" s="800"/>
      <c r="G306" s="800"/>
    </row>
    <row r="307" spans="1:11" outlineLevel="1">
      <c r="A307" s="797"/>
      <c r="B307" s="739"/>
      <c r="C307" s="799"/>
      <c r="D307" s="288"/>
      <c r="E307" s="290"/>
      <c r="F307" s="800"/>
      <c r="G307" s="800"/>
    </row>
    <row r="308" spans="1:11" outlineLevel="1">
      <c r="A308" s="797"/>
      <c r="B308" s="739"/>
      <c r="C308" s="799"/>
      <c r="D308" s="288"/>
      <c r="E308" s="290"/>
      <c r="F308" s="800"/>
      <c r="G308" s="800"/>
      <c r="H308" s="33"/>
    </row>
    <row r="309" spans="1:11" outlineLevel="1">
      <c r="A309" s="797"/>
      <c r="B309" s="739"/>
      <c r="C309" s="799"/>
      <c r="D309" s="288"/>
      <c r="E309" s="290"/>
      <c r="F309" s="800"/>
      <c r="G309" s="800"/>
      <c r="H309" s="33"/>
    </row>
    <row r="310" spans="1:11" outlineLevel="1">
      <c r="A310" s="797"/>
      <c r="B310" s="739"/>
      <c r="C310" s="799"/>
      <c r="D310" s="288"/>
      <c r="E310" s="290"/>
      <c r="F310" s="800"/>
      <c r="G310" s="800"/>
      <c r="H310" s="33"/>
    </row>
    <row r="311" spans="1:11" outlineLevel="1">
      <c r="A311" s="797"/>
      <c r="B311" s="739"/>
      <c r="C311" s="752"/>
      <c r="D311" s="288"/>
      <c r="E311" s="290"/>
      <c r="F311" s="800"/>
      <c r="G311" s="800"/>
      <c r="H311" s="33"/>
    </row>
    <row r="312" spans="1:11" outlineLevel="1">
      <c r="A312" s="797"/>
      <c r="B312" s="739"/>
      <c r="C312" s="799"/>
      <c r="D312" s="288"/>
      <c r="E312" s="290"/>
      <c r="F312" s="800"/>
      <c r="G312" s="800"/>
      <c r="H312" s="33"/>
    </row>
    <row r="313" spans="1:11" outlineLevel="1">
      <c r="A313" s="797"/>
      <c r="B313" s="801"/>
      <c r="C313" s="799"/>
      <c r="D313" s="288"/>
      <c r="E313" s="290"/>
      <c r="F313" s="800"/>
      <c r="G313" s="800"/>
      <c r="H313" s="33"/>
    </row>
    <row r="314" spans="1:11" outlineLevel="1">
      <c r="A314" s="802"/>
      <c r="B314" s="739"/>
      <c r="C314" s="799"/>
      <c r="D314" s="739"/>
      <c r="E314" s="740"/>
      <c r="F314" s="800"/>
      <c r="G314" s="800"/>
      <c r="H314" s="33"/>
    </row>
    <row r="315" spans="1:11" outlineLevel="1">
      <c r="A315" s="741"/>
      <c r="B315" s="741"/>
      <c r="C315" s="799"/>
      <c r="D315" s="741"/>
      <c r="E315" s="740"/>
      <c r="F315" s="800"/>
      <c r="G315" s="800"/>
      <c r="H315" s="33"/>
    </row>
    <row r="316" spans="1:11" outlineLevel="1">
      <c r="A316" s="741"/>
      <c r="B316" s="741"/>
      <c r="C316" s="799"/>
      <c r="D316" s="741"/>
      <c r="E316" s="740"/>
      <c r="F316" s="800"/>
      <c r="G316" s="800"/>
      <c r="H316" s="33"/>
    </row>
    <row r="317" spans="1:11" outlineLevel="1">
      <c r="A317" s="741"/>
      <c r="B317" s="741"/>
      <c r="C317" s="799"/>
      <c r="D317" s="741"/>
      <c r="E317" s="740"/>
      <c r="F317" s="800"/>
      <c r="G317" s="800"/>
      <c r="H317" s="33"/>
    </row>
    <row r="318" spans="1:11" outlineLevel="1">
      <c r="A318" s="741"/>
      <c r="B318" s="741"/>
      <c r="C318" s="799"/>
      <c r="D318" s="741"/>
      <c r="E318" s="740"/>
      <c r="F318" s="800"/>
      <c r="G318" s="800"/>
      <c r="H318" s="33"/>
    </row>
    <row r="319" spans="1:11" ht="15.75" outlineLevel="1" thickBot="1"/>
    <row r="320" spans="1:11" outlineLevel="1">
      <c r="A320" s="3572" t="s">
        <v>0</v>
      </c>
      <c r="B320" s="3636" t="s">
        <v>1</v>
      </c>
      <c r="C320" s="3636" t="s">
        <v>2</v>
      </c>
      <c r="D320" s="3636" t="s">
        <v>3</v>
      </c>
      <c r="E320" s="3636" t="s">
        <v>4</v>
      </c>
      <c r="F320" s="3559" t="s">
        <v>5</v>
      </c>
      <c r="G320" s="429"/>
    </row>
    <row r="321" spans="1:10" ht="15.75" outlineLevel="1" thickBot="1">
      <c r="A321" s="3696"/>
      <c r="B321" s="3718"/>
      <c r="C321" s="3718"/>
      <c r="D321" s="3718"/>
      <c r="E321" s="3718"/>
      <c r="F321" s="3727"/>
      <c r="G321" s="429"/>
    </row>
    <row r="322" spans="1:10" ht="15.75" outlineLevel="1" thickTop="1">
      <c r="A322" s="803" t="s">
        <v>1981</v>
      </c>
      <c r="B322" s="388" t="s">
        <v>120</v>
      </c>
      <c r="C322" s="766" t="s">
        <v>452</v>
      </c>
      <c r="D322" s="388"/>
      <c r="E322" s="638">
        <f>(G322-F322)/G322</f>
        <v>0.2711864406779661</v>
      </c>
      <c r="F322" s="749">
        <v>0.86</v>
      </c>
      <c r="G322" s="429">
        <v>1.18</v>
      </c>
    </row>
    <row r="323" spans="1:10" outlineLevel="1">
      <c r="A323" s="534"/>
      <c r="B323" s="781" t="s">
        <v>121</v>
      </c>
      <c r="C323" s="766" t="s">
        <v>150</v>
      </c>
      <c r="D323" s="388"/>
      <c r="E323" s="638">
        <f t="shared" ref="E323:E333" si="15">(G323-F323)/G323</f>
        <v>0.25925925925925936</v>
      </c>
      <c r="F323" s="749">
        <v>0.6</v>
      </c>
      <c r="G323" s="429">
        <v>0.81</v>
      </c>
    </row>
    <row r="324" spans="1:10" outlineLevel="1">
      <c r="A324" s="534"/>
      <c r="B324" s="781" t="s">
        <v>123</v>
      </c>
      <c r="C324" s="766" t="s">
        <v>1891</v>
      </c>
      <c r="D324" s="388"/>
      <c r="E324" s="638">
        <f t="shared" si="15"/>
        <v>0.15094339622641512</v>
      </c>
      <c r="F324" s="749">
        <v>0.9</v>
      </c>
      <c r="G324" s="429">
        <v>1.06</v>
      </c>
      <c r="I324">
        <v>1052</v>
      </c>
      <c r="J324">
        <f>(G324-F324)*I324</f>
        <v>168.32000000000002</v>
      </c>
    </row>
    <row r="325" spans="1:10" outlineLevel="1">
      <c r="A325" s="534"/>
      <c r="B325" s="781" t="s">
        <v>122</v>
      </c>
      <c r="C325" s="766" t="s">
        <v>1892</v>
      </c>
      <c r="D325" s="388"/>
      <c r="E325" s="638">
        <f t="shared" si="15"/>
        <v>0.15238095238095239</v>
      </c>
      <c r="F325" s="749">
        <v>0.89</v>
      </c>
      <c r="G325" s="528">
        <v>1.05</v>
      </c>
      <c r="I325">
        <v>2024</v>
      </c>
      <c r="J325">
        <f>(G325-F325)*I325</f>
        <v>323.84000000000009</v>
      </c>
    </row>
    <row r="326" spans="1:10" outlineLevel="1">
      <c r="A326" s="534"/>
      <c r="B326" s="781"/>
      <c r="C326" s="766" t="s">
        <v>732</v>
      </c>
      <c r="D326" s="388"/>
      <c r="E326" s="638">
        <f t="shared" si="15"/>
        <v>0.14457831325301204</v>
      </c>
      <c r="F326" s="795">
        <v>0.71</v>
      </c>
      <c r="G326" s="528">
        <v>0.83</v>
      </c>
    </row>
    <row r="327" spans="1:10" outlineLevel="1">
      <c r="A327" s="534"/>
      <c r="B327" s="781"/>
      <c r="C327" s="766" t="s">
        <v>1413</v>
      </c>
      <c r="D327" s="388"/>
      <c r="E327" s="638">
        <f t="shared" si="15"/>
        <v>0.15028901734104047</v>
      </c>
      <c r="F327" s="795">
        <v>1.47</v>
      </c>
      <c r="G327" s="528">
        <v>1.73</v>
      </c>
    </row>
    <row r="328" spans="1:10" outlineLevel="1">
      <c r="A328" s="534"/>
      <c r="B328" s="781"/>
      <c r="C328" s="766" t="s">
        <v>1555</v>
      </c>
      <c r="D328" s="388"/>
      <c r="E328" s="539">
        <f t="shared" si="15"/>
        <v>0.1394511920827711</v>
      </c>
      <c r="F328" s="795">
        <v>19.13</v>
      </c>
      <c r="G328" s="528">
        <v>22.23</v>
      </c>
    </row>
    <row r="329" spans="1:10" outlineLevel="1">
      <c r="A329" s="534"/>
      <c r="B329" s="781"/>
      <c r="C329" s="766" t="s">
        <v>1763</v>
      </c>
      <c r="D329" s="388"/>
      <c r="E329" s="539">
        <f t="shared" si="15"/>
        <v>0.1394511920827711</v>
      </c>
      <c r="F329" s="795">
        <v>19.13</v>
      </c>
      <c r="G329" s="528">
        <v>22.23</v>
      </c>
    </row>
    <row r="330" spans="1:10" outlineLevel="1">
      <c r="A330" s="534"/>
      <c r="B330" s="781"/>
      <c r="C330" s="766" t="s">
        <v>1556</v>
      </c>
      <c r="D330" s="388"/>
      <c r="E330" s="539">
        <f t="shared" si="15"/>
        <v>0.1394511920827711</v>
      </c>
      <c r="F330" s="795">
        <v>19.13</v>
      </c>
      <c r="G330" s="528">
        <v>22.23</v>
      </c>
    </row>
    <row r="331" spans="1:10" outlineLevel="1">
      <c r="A331" s="534"/>
      <c r="B331" s="781"/>
      <c r="C331" s="766" t="s">
        <v>1557</v>
      </c>
      <c r="D331" s="388"/>
      <c r="E331" s="539">
        <f t="shared" si="15"/>
        <v>0.1394511920827711</v>
      </c>
      <c r="F331" s="795">
        <v>19.13</v>
      </c>
      <c r="G331" s="528">
        <v>22.23</v>
      </c>
    </row>
    <row r="332" spans="1:10" outlineLevel="1">
      <c r="A332" s="534"/>
      <c r="B332" s="781"/>
      <c r="C332" s="766" t="s">
        <v>1316</v>
      </c>
      <c r="D332" s="388"/>
      <c r="E332" s="539">
        <f t="shared" si="15"/>
        <v>0.32894736842105265</v>
      </c>
      <c r="F332" s="795">
        <v>1.02</v>
      </c>
      <c r="G332" s="528">
        <v>1.52</v>
      </c>
    </row>
    <row r="333" spans="1:10" outlineLevel="1">
      <c r="A333" s="534"/>
      <c r="B333" s="781"/>
      <c r="C333" s="766" t="s">
        <v>388</v>
      </c>
      <c r="D333" s="538"/>
      <c r="E333" s="539">
        <f t="shared" si="15"/>
        <v>0.33333333333333331</v>
      </c>
      <c r="F333" s="795">
        <v>0.68</v>
      </c>
      <c r="G333" s="528">
        <v>1.02</v>
      </c>
    </row>
    <row r="334" spans="1:10" outlineLevel="1">
      <c r="A334" s="804"/>
      <c r="B334" s="739"/>
    </row>
    <row r="335" spans="1:10" ht="15.75" outlineLevel="1" thickBot="1"/>
    <row r="336" spans="1:10" ht="15" customHeight="1" outlineLevel="1">
      <c r="A336" s="3614" t="s">
        <v>0</v>
      </c>
      <c r="B336" s="3693" t="s">
        <v>1</v>
      </c>
      <c r="C336" s="3693" t="s">
        <v>2</v>
      </c>
      <c r="D336" s="3693" t="s">
        <v>3</v>
      </c>
      <c r="E336" s="3693" t="s">
        <v>4</v>
      </c>
      <c r="F336" s="3522" t="s">
        <v>5</v>
      </c>
    </row>
    <row r="337" spans="1:7" ht="15.75" customHeight="1" outlineLevel="1" thickBot="1">
      <c r="A337" s="4060"/>
      <c r="B337" s="4066"/>
      <c r="C337" s="4066"/>
      <c r="D337" s="4066"/>
      <c r="E337" s="4066"/>
      <c r="F337" s="4067"/>
    </row>
    <row r="338" spans="1:7" ht="15.75" outlineLevel="1" thickTop="1">
      <c r="A338" s="412" t="s">
        <v>2036</v>
      </c>
      <c r="B338" s="288" t="s">
        <v>460</v>
      </c>
      <c r="C338" s="788" t="s">
        <v>452</v>
      </c>
      <c r="D338" s="288"/>
      <c r="E338" s="290">
        <f t="shared" ref="E338:E344" si="16">(G338-F338)/G338</f>
        <v>0.17910447761194029</v>
      </c>
      <c r="F338" s="805">
        <v>1.1000000000000001</v>
      </c>
      <c r="G338">
        <v>1.34</v>
      </c>
    </row>
    <row r="339" spans="1:7" outlineLevel="1">
      <c r="A339" s="413"/>
      <c r="B339" s="739"/>
      <c r="C339" s="788" t="s">
        <v>153</v>
      </c>
      <c r="D339" s="288"/>
      <c r="E339" s="290">
        <f t="shared" si="16"/>
        <v>0.17599999999999999</v>
      </c>
      <c r="F339" s="789">
        <v>1.03</v>
      </c>
      <c r="G339" s="39">
        <v>1.25</v>
      </c>
    </row>
    <row r="340" spans="1:7" outlineLevel="1">
      <c r="A340" s="413"/>
      <c r="B340" s="739"/>
      <c r="C340" s="790" t="s">
        <v>178</v>
      </c>
      <c r="D340" s="288"/>
      <c r="E340" s="290">
        <f t="shared" si="16"/>
        <v>0.17475728155339809</v>
      </c>
      <c r="F340" s="789">
        <v>0.85</v>
      </c>
      <c r="G340" s="39">
        <v>1.03</v>
      </c>
    </row>
    <row r="341" spans="1:7" outlineLevel="1">
      <c r="A341" s="413"/>
      <c r="B341" s="739"/>
      <c r="C341" s="791" t="s">
        <v>177</v>
      </c>
      <c r="D341" s="288"/>
      <c r="E341" s="290">
        <f t="shared" si="16"/>
        <v>0.17475728155339809</v>
      </c>
      <c r="F341" s="789">
        <v>0.85</v>
      </c>
      <c r="G341" s="39">
        <v>1.03</v>
      </c>
    </row>
    <row r="342" spans="1:7" outlineLevel="1">
      <c r="A342" s="413"/>
      <c r="B342" s="739"/>
      <c r="C342" s="791" t="s">
        <v>273</v>
      </c>
      <c r="D342" s="288"/>
      <c r="E342" s="290">
        <f t="shared" si="16"/>
        <v>0.17475728155339809</v>
      </c>
      <c r="F342" s="789">
        <v>0.85</v>
      </c>
      <c r="G342" s="792">
        <v>1.03</v>
      </c>
    </row>
    <row r="343" spans="1:7" outlineLevel="1">
      <c r="A343" s="413"/>
      <c r="B343" s="739"/>
      <c r="C343" s="790"/>
      <c r="D343" s="288"/>
      <c r="E343" s="290" t="e">
        <f t="shared" si="16"/>
        <v>#DIV/0!</v>
      </c>
      <c r="F343" s="789"/>
      <c r="G343" s="792"/>
    </row>
    <row r="344" spans="1:7" outlineLevel="1">
      <c r="A344" s="413"/>
      <c r="B344" s="739"/>
      <c r="C344" s="790"/>
      <c r="D344" s="288"/>
      <c r="E344" s="290" t="e">
        <f t="shared" si="16"/>
        <v>#DIV/0!</v>
      </c>
      <c r="F344" s="793"/>
      <c r="G344" s="792"/>
    </row>
    <row r="345" spans="1:7" outlineLevel="1">
      <c r="A345" s="413"/>
      <c r="B345" s="739"/>
      <c r="C345" s="739"/>
      <c r="D345" s="288"/>
      <c r="E345" s="290"/>
      <c r="F345" s="399"/>
    </row>
    <row r="346" spans="1:7" outlineLevel="1">
      <c r="A346" s="413"/>
      <c r="B346" s="739"/>
      <c r="C346" s="739"/>
      <c r="D346" s="288"/>
      <c r="E346" s="290"/>
      <c r="F346" s="399"/>
    </row>
    <row r="347" spans="1:7" outlineLevel="1">
      <c r="A347" s="413"/>
      <c r="B347" s="739"/>
      <c r="C347" s="739"/>
      <c r="D347" s="739"/>
      <c r="E347" s="739"/>
      <c r="F347" s="399"/>
    </row>
    <row r="348" spans="1:7" outlineLevel="1">
      <c r="A348" s="413"/>
      <c r="B348" s="739"/>
      <c r="C348" s="739"/>
      <c r="D348" s="739"/>
      <c r="E348" s="739"/>
      <c r="F348" s="754"/>
    </row>
    <row r="349" spans="1:7" ht="15.75" outlineLevel="1" thickBot="1">
      <c r="A349" s="415"/>
      <c r="B349" s="755"/>
      <c r="C349" s="755"/>
      <c r="D349" s="755"/>
      <c r="E349" s="755"/>
      <c r="F349" s="756"/>
    </row>
    <row r="350" spans="1:7" outlineLevel="1"/>
    <row r="351" spans="1:7" ht="15" customHeight="1" outlineLevel="1">
      <c r="A351" s="3714" t="s">
        <v>0</v>
      </c>
      <c r="B351" s="3714" t="s">
        <v>1</v>
      </c>
      <c r="C351" s="3714" t="s">
        <v>2</v>
      </c>
      <c r="D351" s="3714" t="s">
        <v>3</v>
      </c>
      <c r="E351" s="3714" t="s">
        <v>4</v>
      </c>
      <c r="F351" s="3714" t="s">
        <v>5</v>
      </c>
    </row>
    <row r="352" spans="1:7" ht="15.75" customHeight="1" outlineLevel="1" thickBot="1">
      <c r="A352" s="4066"/>
      <c r="B352" s="4066"/>
      <c r="C352" s="4066"/>
      <c r="D352" s="4066"/>
      <c r="E352" s="4066"/>
      <c r="F352" s="4066"/>
    </row>
    <row r="353" spans="1:11" ht="15.75" outlineLevel="1" thickTop="1">
      <c r="A353" s="796" t="s">
        <v>2037</v>
      </c>
      <c r="B353" s="288" t="s">
        <v>1708</v>
      </c>
      <c r="C353" s="5" t="s">
        <v>1904</v>
      </c>
      <c r="D353" s="288"/>
      <c r="E353" s="290">
        <f>(G353-F353)/G353</f>
        <v>0.20645161290322583</v>
      </c>
      <c r="F353" s="774">
        <v>1.23</v>
      </c>
      <c r="G353">
        <v>1.55</v>
      </c>
      <c r="J353">
        <v>1290</v>
      </c>
      <c r="K353">
        <f>(G353-F353)*J353</f>
        <v>412.80000000000007</v>
      </c>
    </row>
    <row r="354" spans="1:11" outlineLevel="1">
      <c r="A354" s="806"/>
      <c r="B354" s="739"/>
      <c r="C354" s="741" t="s">
        <v>2021</v>
      </c>
      <c r="D354" s="288"/>
      <c r="E354" s="290">
        <f t="shared" ref="E354:E361" si="17">(G354-F354)/G354</f>
        <v>0.20645161290322583</v>
      </c>
      <c r="F354" s="774">
        <v>1.23</v>
      </c>
      <c r="G354">
        <v>1.55</v>
      </c>
    </row>
    <row r="355" spans="1:11" outlineLevel="1">
      <c r="A355" s="806"/>
      <c r="B355" s="739"/>
      <c r="C355" s="741" t="s">
        <v>1905</v>
      </c>
      <c r="D355" s="288"/>
      <c r="E355" s="290">
        <f t="shared" si="17"/>
        <v>0.20645161290322583</v>
      </c>
      <c r="F355" s="774">
        <v>1.23</v>
      </c>
      <c r="G355">
        <v>1.55</v>
      </c>
    </row>
    <row r="356" spans="1:11" outlineLevel="1">
      <c r="A356" s="806"/>
      <c r="B356" s="739"/>
      <c r="C356" s="741" t="s">
        <v>920</v>
      </c>
      <c r="D356" s="288"/>
      <c r="E356" s="290">
        <f t="shared" si="17"/>
        <v>0.15189873417721517</v>
      </c>
      <c r="F356" s="774">
        <v>0.67</v>
      </c>
      <c r="G356">
        <v>0.79</v>
      </c>
    </row>
    <row r="357" spans="1:11" outlineLevel="1">
      <c r="A357" s="806"/>
      <c r="B357" s="739"/>
      <c r="C357" s="741" t="s">
        <v>1345</v>
      </c>
      <c r="D357" s="288"/>
      <c r="E357" s="290">
        <f t="shared" si="17"/>
        <v>0.15028901734104047</v>
      </c>
      <c r="F357" s="774">
        <v>1.47</v>
      </c>
      <c r="G357">
        <v>1.73</v>
      </c>
    </row>
    <row r="358" spans="1:11" outlineLevel="1">
      <c r="A358" s="806"/>
      <c r="B358" s="739"/>
      <c r="C358" s="741" t="s">
        <v>1355</v>
      </c>
      <c r="D358" s="288"/>
      <c r="E358" s="290">
        <f t="shared" si="17"/>
        <v>0.15028901734104047</v>
      </c>
      <c r="F358" s="774">
        <v>1.47</v>
      </c>
      <c r="G358">
        <v>1.73</v>
      </c>
    </row>
    <row r="359" spans="1:11" outlineLevel="1">
      <c r="A359" s="806"/>
      <c r="B359" s="739"/>
      <c r="C359" s="741" t="s">
        <v>1413</v>
      </c>
      <c r="D359" s="288"/>
      <c r="E359" s="290">
        <f t="shared" si="17"/>
        <v>0.15028901734104047</v>
      </c>
      <c r="F359" s="774">
        <v>1.47</v>
      </c>
      <c r="G359">
        <v>1.73</v>
      </c>
    </row>
    <row r="360" spans="1:11" outlineLevel="1">
      <c r="A360" s="806"/>
      <c r="B360" s="739"/>
      <c r="C360" s="741" t="s">
        <v>1429</v>
      </c>
      <c r="D360" s="288"/>
      <c r="E360" s="290">
        <f t="shared" si="17"/>
        <v>0.15028901734104047</v>
      </c>
      <c r="F360" s="774">
        <v>1.47</v>
      </c>
      <c r="G360">
        <v>1.73</v>
      </c>
    </row>
    <row r="361" spans="1:11" outlineLevel="1">
      <c r="A361" s="804"/>
      <c r="B361" s="739"/>
      <c r="C361" s="741" t="s">
        <v>1868</v>
      </c>
      <c r="D361" s="288"/>
      <c r="E361" s="290">
        <f t="shared" si="17"/>
        <v>0.20430107526881724</v>
      </c>
      <c r="F361" s="774">
        <v>0.74</v>
      </c>
      <c r="G361" s="33">
        <v>0.93</v>
      </c>
    </row>
    <row r="362" spans="1:11" ht="15.75" outlineLevel="1" thickBot="1"/>
    <row r="363" spans="1:11" ht="15" customHeight="1" outlineLevel="1">
      <c r="A363" s="3614" t="s">
        <v>0</v>
      </c>
      <c r="B363" s="3693" t="s">
        <v>1</v>
      </c>
      <c r="C363" s="3693" t="s">
        <v>2</v>
      </c>
      <c r="D363" s="3693" t="s">
        <v>3</v>
      </c>
      <c r="E363" s="3693" t="s">
        <v>4</v>
      </c>
      <c r="F363" s="3522" t="s">
        <v>5</v>
      </c>
    </row>
    <row r="364" spans="1:11" ht="15.75" customHeight="1" outlineLevel="1" thickBot="1">
      <c r="A364" s="4060"/>
      <c r="B364" s="4066"/>
      <c r="C364" s="4066"/>
      <c r="D364" s="4066"/>
      <c r="E364" s="4066"/>
      <c r="F364" s="4067"/>
    </row>
    <row r="365" spans="1:11" ht="15.75" outlineLevel="1" thickTop="1">
      <c r="A365" s="412" t="s">
        <v>2037</v>
      </c>
      <c r="B365" s="288" t="s">
        <v>2038</v>
      </c>
      <c r="C365" s="5" t="s">
        <v>1905</v>
      </c>
      <c r="D365" s="288"/>
      <c r="E365" s="290">
        <f>(G365-F365)/G365</f>
        <v>0.15131578947368421</v>
      </c>
      <c r="F365" s="758">
        <v>1.29</v>
      </c>
      <c r="G365">
        <v>1.52</v>
      </c>
      <c r="I365">
        <v>2572</v>
      </c>
      <c r="J365">
        <f>(G365-F365)*I365</f>
        <v>591.55999999999995</v>
      </c>
    </row>
    <row r="366" spans="1:11" outlineLevel="1">
      <c r="A366" s="302"/>
      <c r="B366" s="739"/>
      <c r="C366" s="741" t="s">
        <v>1892</v>
      </c>
      <c r="D366" s="288"/>
      <c r="E366" s="290">
        <f>(G366-F366)/G366</f>
        <v>0.14563106796116507</v>
      </c>
      <c r="F366" s="758">
        <v>0.88</v>
      </c>
      <c r="G366">
        <v>1.03</v>
      </c>
      <c r="I366">
        <v>3714</v>
      </c>
      <c r="J366">
        <f>(G366-F366)*I366</f>
        <v>557.10000000000014</v>
      </c>
    </row>
    <row r="367" spans="1:11" ht="15.75" outlineLevel="1" thickBot="1">
      <c r="A367" s="460"/>
      <c r="B367" s="755"/>
      <c r="C367" s="760" t="s">
        <v>1891</v>
      </c>
      <c r="D367" s="592"/>
      <c r="E367" s="593">
        <f>(G367-F367)/G367</f>
        <v>0.15384615384615388</v>
      </c>
      <c r="F367" s="761">
        <v>0.88</v>
      </c>
      <c r="G367">
        <v>1.04</v>
      </c>
      <c r="I367">
        <v>2159</v>
      </c>
      <c r="J367">
        <f>(G367-F367)*I367</f>
        <v>345.44000000000005</v>
      </c>
    </row>
    <row r="368" spans="1:11" outlineLevel="1"/>
    <row r="369" spans="1:10" ht="15.75" outlineLevel="1" thickBot="1"/>
    <row r="370" spans="1:10" outlineLevel="1">
      <c r="A370" s="3614" t="s">
        <v>0</v>
      </c>
      <c r="B370" s="3693" t="s">
        <v>1</v>
      </c>
      <c r="C370" s="3693" t="s">
        <v>2</v>
      </c>
      <c r="D370" s="3693" t="s">
        <v>3</v>
      </c>
      <c r="E370" s="3693" t="s">
        <v>4</v>
      </c>
      <c r="F370" s="3522" t="s">
        <v>5</v>
      </c>
    </row>
    <row r="371" spans="1:10" ht="15" customHeight="1" outlineLevel="1" thickBot="1">
      <c r="A371" s="4060"/>
      <c r="B371" s="4066"/>
      <c r="C371" s="4066"/>
      <c r="D371" s="4066"/>
      <c r="E371" s="4066"/>
      <c r="F371" s="4067"/>
    </row>
    <row r="372" spans="1:10" ht="15.75" customHeight="1" outlineLevel="1" thickTop="1">
      <c r="A372" s="412" t="s">
        <v>2075</v>
      </c>
      <c r="B372" s="288" t="s">
        <v>2016</v>
      </c>
      <c r="C372" s="5" t="s">
        <v>238</v>
      </c>
      <c r="D372" s="288"/>
      <c r="E372" s="290">
        <v>0.15</v>
      </c>
      <c r="F372" s="758">
        <v>6.9699999999999989</v>
      </c>
      <c r="G372">
        <v>8.23</v>
      </c>
    </row>
    <row r="373" spans="1:10" outlineLevel="1">
      <c r="A373" s="413"/>
      <c r="B373" s="288"/>
      <c r="C373" s="5" t="s">
        <v>239</v>
      </c>
      <c r="D373" s="288"/>
      <c r="E373" s="290">
        <v>0.15</v>
      </c>
      <c r="F373" s="758">
        <v>6.9699999999999989</v>
      </c>
      <c r="G373">
        <v>8.23</v>
      </c>
    </row>
    <row r="374" spans="1:10" outlineLevel="1">
      <c r="A374" s="302"/>
      <c r="B374" s="739"/>
      <c r="C374" s="741" t="s">
        <v>868</v>
      </c>
      <c r="D374" s="288"/>
      <c r="E374" s="290">
        <v>0.15</v>
      </c>
      <c r="F374" s="758">
        <v>6.9699999999999989</v>
      </c>
      <c r="G374">
        <v>8.23</v>
      </c>
    </row>
    <row r="375" spans="1:10" ht="15.75" outlineLevel="1" thickBot="1">
      <c r="A375" s="460"/>
      <c r="B375" s="755"/>
      <c r="C375" s="760" t="s">
        <v>53</v>
      </c>
      <c r="D375" s="592"/>
      <c r="E375" s="593">
        <f>(G375-F375)/G375</f>
        <v>0.15</v>
      </c>
      <c r="F375" s="761">
        <v>0.78200000000000003</v>
      </c>
      <c r="G375">
        <v>0.92</v>
      </c>
    </row>
    <row r="376" spans="1:10" outlineLevel="1"/>
    <row r="377" spans="1:10" ht="15.75" outlineLevel="1" thickBot="1"/>
    <row r="378" spans="1:10" outlineLevel="1">
      <c r="A378" s="3614" t="s">
        <v>0</v>
      </c>
      <c r="B378" s="3693" t="s">
        <v>1</v>
      </c>
      <c r="C378" s="3693" t="s">
        <v>2</v>
      </c>
      <c r="D378" s="3693" t="s">
        <v>3</v>
      </c>
      <c r="E378" s="3693" t="s">
        <v>4</v>
      </c>
      <c r="F378" s="3522" t="s">
        <v>5</v>
      </c>
    </row>
    <row r="379" spans="1:10" ht="15.75" outlineLevel="1" thickBot="1">
      <c r="A379" s="4060"/>
      <c r="B379" s="4066"/>
      <c r="C379" s="4066"/>
      <c r="D379" s="4066"/>
      <c r="E379" s="4066"/>
      <c r="F379" s="4067"/>
    </row>
    <row r="380" spans="1:10" ht="15" customHeight="1" outlineLevel="1" thickTop="1">
      <c r="A380" s="412" t="s">
        <v>2037</v>
      </c>
      <c r="B380" s="288" t="s">
        <v>2029</v>
      </c>
      <c r="C380" s="5" t="s">
        <v>1892</v>
      </c>
      <c r="D380" s="288"/>
      <c r="E380" s="290">
        <v>0.15217391304347827</v>
      </c>
      <c r="F380" s="758">
        <v>0.78</v>
      </c>
      <c r="G380">
        <v>0.92</v>
      </c>
      <c r="I380">
        <v>4390</v>
      </c>
      <c r="J380">
        <f>(G380-F380)*I380</f>
        <v>614.6</v>
      </c>
    </row>
    <row r="381" spans="1:10" ht="15.75" customHeight="1" outlineLevel="1">
      <c r="A381" s="302"/>
      <c r="B381" s="739"/>
      <c r="C381" s="741" t="s">
        <v>1891</v>
      </c>
      <c r="D381" s="288"/>
      <c r="E381" s="290">
        <v>0.15053763440860216</v>
      </c>
      <c r="F381" s="758">
        <v>0.79</v>
      </c>
      <c r="G381">
        <v>0.93</v>
      </c>
      <c r="I381">
        <v>1748</v>
      </c>
      <c r="J381">
        <f>(G381-F381)*I381</f>
        <v>244.72000000000003</v>
      </c>
    </row>
    <row r="382" spans="1:10" ht="15.75" outlineLevel="1" thickBot="1">
      <c r="A382" s="460"/>
      <c r="B382" s="755"/>
      <c r="C382" s="760"/>
      <c r="D382" s="592"/>
      <c r="E382" s="593"/>
      <c r="F382" s="761"/>
    </row>
    <row r="383" spans="1:10" outlineLevel="1"/>
    <row r="384" spans="1:10" ht="15.75" outlineLevel="1" thickBot="1"/>
    <row r="385" spans="1:7" outlineLevel="1">
      <c r="A385" s="3572" t="s">
        <v>0</v>
      </c>
      <c r="B385" s="3636" t="s">
        <v>1</v>
      </c>
      <c r="C385" s="3636" t="s">
        <v>2</v>
      </c>
      <c r="D385" s="3636" t="s">
        <v>3</v>
      </c>
      <c r="E385" s="3636" t="s">
        <v>4</v>
      </c>
      <c r="F385" s="3559" t="s">
        <v>5</v>
      </c>
      <c r="G385" s="429"/>
    </row>
    <row r="386" spans="1:7" ht="15.75" outlineLevel="1" thickBot="1">
      <c r="A386" s="3696"/>
      <c r="B386" s="3718"/>
      <c r="C386" s="3718"/>
      <c r="D386" s="3718"/>
      <c r="E386" s="3718"/>
      <c r="F386" s="3727"/>
      <c r="G386" s="429"/>
    </row>
    <row r="387" spans="1:7" ht="15.75" outlineLevel="1" thickTop="1">
      <c r="A387" s="813" t="s">
        <v>2053</v>
      </c>
      <c r="B387" s="388" t="s">
        <v>120</v>
      </c>
      <c r="C387" s="814" t="s">
        <v>623</v>
      </c>
      <c r="D387" s="388"/>
      <c r="E387" s="638">
        <f>(G387-F387)/G387</f>
        <v>0.15000000000000002</v>
      </c>
      <c r="F387" s="749">
        <v>1.6659999999999999</v>
      </c>
      <c r="G387" s="429">
        <v>1.96</v>
      </c>
    </row>
    <row r="388" spans="1:7" outlineLevel="1">
      <c r="A388" s="491"/>
      <c r="B388" s="781" t="s">
        <v>121</v>
      </c>
      <c r="C388" s="814" t="s">
        <v>2054</v>
      </c>
      <c r="D388" s="388"/>
      <c r="E388" s="638">
        <f t="shared" ref="E388:E398" si="18">(G388-F388)/G388</f>
        <v>0.19999999999999996</v>
      </c>
      <c r="F388" s="749">
        <v>0.43200000000000005</v>
      </c>
      <c r="G388" s="429">
        <v>0.54</v>
      </c>
    </row>
    <row r="389" spans="1:7" outlineLevel="1">
      <c r="A389" s="491"/>
      <c r="B389" s="781" t="s">
        <v>123</v>
      </c>
      <c r="C389" s="814" t="s">
        <v>2055</v>
      </c>
      <c r="D389" s="388"/>
      <c r="E389" s="638">
        <f t="shared" si="18"/>
        <v>0.19999999999999996</v>
      </c>
      <c r="F389" s="749">
        <v>0.43200000000000005</v>
      </c>
      <c r="G389" s="429">
        <v>0.54</v>
      </c>
    </row>
    <row r="390" spans="1:7" outlineLevel="1">
      <c r="A390" s="491"/>
      <c r="B390" s="781" t="s">
        <v>122</v>
      </c>
      <c r="C390" s="814" t="s">
        <v>2056</v>
      </c>
      <c r="D390" s="388"/>
      <c r="E390" s="638">
        <f t="shared" si="18"/>
        <v>0.19999999999999996</v>
      </c>
      <c r="F390" s="749">
        <v>0.88800000000000012</v>
      </c>
      <c r="G390" s="528">
        <v>1.1100000000000001</v>
      </c>
    </row>
    <row r="391" spans="1:7" outlineLevel="1">
      <c r="A391" s="491"/>
      <c r="B391" s="781" t="s">
        <v>2057</v>
      </c>
      <c r="C391" s="766"/>
      <c r="D391" s="388"/>
      <c r="E391" s="638" t="e">
        <f t="shared" si="18"/>
        <v>#DIV/0!</v>
      </c>
      <c r="F391" s="815"/>
      <c r="G391" s="528"/>
    </row>
    <row r="392" spans="1:7" outlineLevel="1">
      <c r="A392" s="491"/>
      <c r="B392" s="781"/>
      <c r="C392" s="766"/>
      <c r="D392" s="388"/>
      <c r="E392" s="638" t="e">
        <f t="shared" si="18"/>
        <v>#DIV/0!</v>
      </c>
      <c r="F392" s="815"/>
      <c r="G392" s="528"/>
    </row>
    <row r="393" spans="1:7" outlineLevel="1">
      <c r="A393" s="491"/>
      <c r="B393" s="781"/>
      <c r="C393" s="766"/>
      <c r="D393" s="388"/>
      <c r="E393" s="539" t="e">
        <f t="shared" si="18"/>
        <v>#DIV/0!</v>
      </c>
      <c r="F393" s="815"/>
      <c r="G393" s="528"/>
    </row>
    <row r="394" spans="1:7" outlineLevel="1">
      <c r="A394" s="491"/>
      <c r="B394" s="781"/>
      <c r="C394" s="766"/>
      <c r="D394" s="388"/>
      <c r="E394" s="539" t="e">
        <f t="shared" si="18"/>
        <v>#DIV/0!</v>
      </c>
      <c r="F394" s="815"/>
      <c r="G394" s="528"/>
    </row>
    <row r="395" spans="1:7" outlineLevel="1">
      <c r="A395" s="491"/>
      <c r="B395" s="781"/>
      <c r="C395" s="766"/>
      <c r="D395" s="388"/>
      <c r="E395" s="539" t="e">
        <f t="shared" si="18"/>
        <v>#DIV/0!</v>
      </c>
      <c r="F395" s="815"/>
      <c r="G395" s="528"/>
    </row>
    <row r="396" spans="1:7" outlineLevel="1">
      <c r="A396" s="491"/>
      <c r="B396" s="781"/>
      <c r="C396" s="766"/>
      <c r="D396" s="388"/>
      <c r="E396" s="539" t="e">
        <f t="shared" si="18"/>
        <v>#DIV/0!</v>
      </c>
      <c r="F396" s="815"/>
      <c r="G396" s="528"/>
    </row>
    <row r="397" spans="1:7" outlineLevel="1">
      <c r="A397" s="491"/>
      <c r="B397" s="781"/>
      <c r="C397" s="766"/>
      <c r="D397" s="388"/>
      <c r="E397" s="539" t="e">
        <f t="shared" si="18"/>
        <v>#DIV/0!</v>
      </c>
      <c r="F397" s="815"/>
      <c r="G397" s="528"/>
    </row>
    <row r="398" spans="1:7" ht="15.75" outlineLevel="1" thickBot="1">
      <c r="A398" s="500"/>
      <c r="B398" s="816"/>
      <c r="C398" s="817"/>
      <c r="D398" s="548"/>
      <c r="E398" s="549" t="e">
        <f t="shared" si="18"/>
        <v>#DIV/0!</v>
      </c>
      <c r="F398" s="818"/>
      <c r="G398" s="528"/>
    </row>
    <row r="399" spans="1:7" outlineLevel="1"/>
    <row r="400" spans="1:7" ht="15.75" outlineLevel="1" thickBot="1"/>
    <row r="401" spans="1:7" outlineLevel="1">
      <c r="A401" s="3614" t="s">
        <v>0</v>
      </c>
      <c r="B401" s="3693" t="s">
        <v>1</v>
      </c>
      <c r="C401" s="3693" t="s">
        <v>2</v>
      </c>
      <c r="D401" s="3693" t="s">
        <v>3</v>
      </c>
      <c r="E401" s="3693" t="s">
        <v>4</v>
      </c>
      <c r="F401" s="3522" t="s">
        <v>5</v>
      </c>
    </row>
    <row r="402" spans="1:7" ht="15.75" outlineLevel="1" thickBot="1">
      <c r="A402" s="4060"/>
      <c r="B402" s="4066"/>
      <c r="C402" s="4066"/>
      <c r="D402" s="4066"/>
      <c r="E402" s="4066"/>
      <c r="F402" s="4067"/>
    </row>
    <row r="403" spans="1:7" ht="15.75" outlineLevel="1" thickTop="1">
      <c r="A403" s="412" t="s">
        <v>2076</v>
      </c>
      <c r="B403" s="288" t="s">
        <v>1708</v>
      </c>
      <c r="C403" s="5" t="s">
        <v>2077</v>
      </c>
      <c r="D403" s="288"/>
      <c r="E403" s="290">
        <f>(G403-F403)/G403</f>
        <v>0.13953488372093023</v>
      </c>
      <c r="F403" s="758">
        <v>0.37</v>
      </c>
      <c r="G403">
        <v>0.43</v>
      </c>
    </row>
    <row r="404" spans="1:7" ht="15.75" outlineLevel="1" thickBot="1">
      <c r="A404" s="460"/>
      <c r="B404" s="755"/>
      <c r="C404" s="760" t="s">
        <v>1891</v>
      </c>
      <c r="D404" s="592"/>
      <c r="E404" s="593">
        <f>(G404-F404)/G404</f>
        <v>0.15094339622641512</v>
      </c>
      <c r="F404" s="761">
        <v>0.9</v>
      </c>
      <c r="G404">
        <v>1.06</v>
      </c>
    </row>
    <row r="405" spans="1:7" outlineLevel="1"/>
    <row r="406" spans="1:7" ht="15.75" outlineLevel="1" thickBot="1"/>
    <row r="407" spans="1:7" outlineLevel="1">
      <c r="A407" s="3614" t="s">
        <v>0</v>
      </c>
      <c r="B407" s="3693" t="s">
        <v>1</v>
      </c>
      <c r="C407" s="3693" t="s">
        <v>2</v>
      </c>
      <c r="D407" s="3693" t="s">
        <v>3</v>
      </c>
      <c r="E407" s="3693" t="s">
        <v>4</v>
      </c>
      <c r="F407" s="3522" t="s">
        <v>5</v>
      </c>
    </row>
    <row r="408" spans="1:7" ht="15.75" outlineLevel="1" thickBot="1">
      <c r="A408" s="4060"/>
      <c r="B408" s="4066"/>
      <c r="C408" s="4066"/>
      <c r="D408" s="4066"/>
      <c r="E408" s="4066"/>
      <c r="F408" s="4067"/>
    </row>
    <row r="409" spans="1:7" ht="15.75" outlineLevel="1" thickTop="1">
      <c r="A409" s="412" t="s">
        <v>2078</v>
      </c>
      <c r="B409" s="288" t="s">
        <v>1593</v>
      </c>
      <c r="C409" s="762" t="s">
        <v>522</v>
      </c>
      <c r="D409" s="538"/>
      <c r="E409" s="539">
        <f>(G409-F409)/G409</f>
        <v>0.10416666666666664</v>
      </c>
      <c r="F409" s="768">
        <v>0.86</v>
      </c>
      <c r="G409" s="541">
        <v>0.96</v>
      </c>
    </row>
    <row r="410" spans="1:7" ht="15.75" outlineLevel="1" thickBot="1">
      <c r="A410" s="460"/>
      <c r="B410" s="755"/>
      <c r="C410" s="777" t="s">
        <v>1440</v>
      </c>
      <c r="D410" s="548"/>
      <c r="E410" s="549">
        <f>(G410-F410)/G410</f>
        <v>0.10416666666666664</v>
      </c>
      <c r="F410" s="778">
        <v>0.86</v>
      </c>
      <c r="G410" s="541">
        <v>0.96</v>
      </c>
    </row>
    <row r="411" spans="1:7" outlineLevel="1"/>
    <row r="412" spans="1:7" outlineLevel="1"/>
    <row r="413" spans="1:7" outlineLevel="1">
      <c r="A413" s="3714" t="s">
        <v>0</v>
      </c>
      <c r="B413" s="3714" t="s">
        <v>1</v>
      </c>
      <c r="C413" s="3714" t="s">
        <v>2</v>
      </c>
      <c r="D413" s="3714" t="s">
        <v>3</v>
      </c>
      <c r="E413" s="3714" t="s">
        <v>4</v>
      </c>
      <c r="F413" s="3714" t="s">
        <v>5</v>
      </c>
    </row>
    <row r="414" spans="1:7" ht="15.75" outlineLevel="1" thickBot="1">
      <c r="A414" s="4066"/>
      <c r="B414" s="4066"/>
      <c r="C414" s="4066"/>
      <c r="D414" s="4066"/>
      <c r="E414" s="4066"/>
      <c r="F414" s="4066"/>
    </row>
    <row r="415" spans="1:7" ht="15.75" outlineLevel="1" thickTop="1">
      <c r="A415" s="796" t="s">
        <v>2079</v>
      </c>
      <c r="B415" s="288" t="s">
        <v>1708</v>
      </c>
      <c r="C415" s="5" t="s">
        <v>1315</v>
      </c>
      <c r="D415" s="288"/>
      <c r="E415" s="290">
        <f>(G415-F415)/G415</f>
        <v>0.19736842105263161</v>
      </c>
      <c r="F415" s="774">
        <v>1.22</v>
      </c>
      <c r="G415">
        <v>1.52</v>
      </c>
    </row>
    <row r="416" spans="1:7" outlineLevel="1">
      <c r="A416" s="806"/>
      <c r="B416" s="739"/>
      <c r="C416" s="741" t="s">
        <v>1316</v>
      </c>
      <c r="D416" s="288"/>
      <c r="E416" s="290">
        <f t="shared" ref="E416:E423" si="19">(G416-F416)/G416</f>
        <v>0.19736842105263161</v>
      </c>
      <c r="F416" s="774">
        <v>1.22</v>
      </c>
      <c r="G416">
        <v>1.52</v>
      </c>
    </row>
    <row r="417" spans="1:7" outlineLevel="1">
      <c r="A417" s="806"/>
      <c r="B417" s="739"/>
      <c r="C417" s="741" t="s">
        <v>2066</v>
      </c>
      <c r="D417" s="288"/>
      <c r="E417" s="290">
        <f t="shared" si="19"/>
        <v>0.19736842105263161</v>
      </c>
      <c r="F417" s="774">
        <v>1.22</v>
      </c>
      <c r="G417">
        <v>1.52</v>
      </c>
    </row>
    <row r="418" spans="1:7" outlineLevel="1">
      <c r="A418" s="806"/>
      <c r="B418" s="739"/>
      <c r="C418" s="741" t="s">
        <v>226</v>
      </c>
      <c r="D418" s="288"/>
      <c r="E418" s="290">
        <f t="shared" si="19"/>
        <v>0.19767441860465121</v>
      </c>
      <c r="F418" s="774">
        <v>0.69</v>
      </c>
      <c r="G418">
        <v>0.86</v>
      </c>
    </row>
    <row r="419" spans="1:7" outlineLevel="1">
      <c r="A419" s="806"/>
      <c r="B419" s="739"/>
      <c r="C419" s="741" t="s">
        <v>2080</v>
      </c>
      <c r="D419" s="288"/>
      <c r="E419" s="290">
        <f t="shared" si="19"/>
        <v>0.19767441860465121</v>
      </c>
      <c r="F419" s="774">
        <v>0.69</v>
      </c>
      <c r="G419">
        <v>0.86</v>
      </c>
    </row>
    <row r="420" spans="1:7" outlineLevel="1">
      <c r="A420" s="806"/>
      <c r="B420" s="739"/>
      <c r="C420" s="741" t="s">
        <v>1949</v>
      </c>
      <c r="D420" s="288"/>
      <c r="E420" s="290">
        <f t="shared" si="19"/>
        <v>0.19767441860465121</v>
      </c>
      <c r="F420" s="774">
        <v>0.69</v>
      </c>
      <c r="G420">
        <v>0.86</v>
      </c>
    </row>
    <row r="421" spans="1:7" outlineLevel="1">
      <c r="A421" s="806"/>
      <c r="B421" s="739"/>
      <c r="C421" s="741" t="s">
        <v>1950</v>
      </c>
      <c r="D421" s="288"/>
      <c r="E421" s="290">
        <f t="shared" si="19"/>
        <v>0.19767441860465121</v>
      </c>
      <c r="F421" s="774">
        <v>0.69</v>
      </c>
      <c r="G421">
        <v>0.86</v>
      </c>
    </row>
    <row r="422" spans="1:7" outlineLevel="1">
      <c r="A422" s="806"/>
      <c r="B422" s="739"/>
      <c r="C422" s="741" t="s">
        <v>920</v>
      </c>
      <c r="D422" s="288"/>
      <c r="E422" s="290">
        <f t="shared" si="19"/>
        <v>0.15189873417721517</v>
      </c>
      <c r="F422" s="774">
        <v>0.67</v>
      </c>
      <c r="G422">
        <v>0.79</v>
      </c>
    </row>
    <row r="423" spans="1:7" outlineLevel="1">
      <c r="A423" s="804"/>
      <c r="B423" s="739"/>
      <c r="C423" s="741"/>
      <c r="D423" s="288"/>
      <c r="E423" s="290" t="e">
        <f t="shared" si="19"/>
        <v>#DIV/0!</v>
      </c>
      <c r="F423" s="774"/>
      <c r="G423" s="33"/>
    </row>
    <row r="424" spans="1:7" ht="15.75" outlineLevel="1" thickBot="1"/>
    <row r="425" spans="1:7" outlineLevel="1">
      <c r="A425" s="3614" t="s">
        <v>0</v>
      </c>
      <c r="B425" s="3693" t="s">
        <v>1</v>
      </c>
      <c r="C425" s="3693" t="s">
        <v>2</v>
      </c>
      <c r="D425" s="3693" t="s">
        <v>3</v>
      </c>
      <c r="E425" s="3693" t="s">
        <v>4</v>
      </c>
      <c r="F425" s="3522" t="s">
        <v>5</v>
      </c>
    </row>
    <row r="426" spans="1:7" ht="15.75" outlineLevel="1" thickBot="1">
      <c r="A426" s="4060"/>
      <c r="B426" s="4066"/>
      <c r="C426" s="4066"/>
      <c r="D426" s="4066"/>
      <c r="E426" s="4066"/>
      <c r="F426" s="4067"/>
    </row>
    <row r="427" spans="1:7" ht="16.5" outlineLevel="1" thickTop="1">
      <c r="A427" s="412" t="s">
        <v>2081</v>
      </c>
      <c r="B427" s="288" t="s">
        <v>2082</v>
      </c>
      <c r="C427" s="838" t="s">
        <v>53</v>
      </c>
      <c r="D427" s="288"/>
      <c r="E427" s="290">
        <f>(G427-F427)/G427</f>
        <v>0.15217391304347827</v>
      </c>
      <c r="F427" s="758">
        <v>0.78</v>
      </c>
      <c r="G427">
        <v>0.92</v>
      </c>
    </row>
    <row r="428" spans="1:7" ht="15.75" outlineLevel="1">
      <c r="A428" s="302"/>
      <c r="B428" s="739"/>
      <c r="C428" s="838" t="s">
        <v>1058</v>
      </c>
      <c r="D428" s="288"/>
      <c r="E428" s="290">
        <f>(G428-F428)/G428</f>
        <v>0.19796954314720808</v>
      </c>
      <c r="F428" s="758">
        <v>1.58</v>
      </c>
      <c r="G428">
        <v>1.97</v>
      </c>
    </row>
    <row r="429" spans="1:7" ht="15.75" outlineLevel="1">
      <c r="A429" s="302"/>
      <c r="B429" s="801"/>
      <c r="C429" s="838" t="s">
        <v>2062</v>
      </c>
      <c r="D429" s="288"/>
      <c r="E429" s="290">
        <f>(G429-F429)/G429</f>
        <v>0.19796954314720808</v>
      </c>
      <c r="F429" s="839">
        <v>1.58</v>
      </c>
      <c r="G429">
        <v>1.97</v>
      </c>
    </row>
    <row r="430" spans="1:7" ht="15.75" outlineLevel="1">
      <c r="A430" s="302"/>
      <c r="B430" s="801"/>
      <c r="C430" s="838" t="s">
        <v>1316</v>
      </c>
      <c r="D430" s="288"/>
      <c r="E430" s="290">
        <f>(G430-F430)/G430</f>
        <v>0.34693877551020408</v>
      </c>
      <c r="F430" s="839">
        <v>0.96</v>
      </c>
      <c r="G430">
        <v>1.47</v>
      </c>
    </row>
    <row r="431" spans="1:7" ht="16.5" outlineLevel="1" thickBot="1">
      <c r="A431" s="460"/>
      <c r="B431" s="755"/>
      <c r="C431" s="840" t="s">
        <v>2066</v>
      </c>
      <c r="D431" s="592"/>
      <c r="E431" s="593">
        <f>(G431-F431)/G431</f>
        <v>0.34693877551020408</v>
      </c>
      <c r="F431" s="761">
        <v>0.96</v>
      </c>
      <c r="G431">
        <v>1.47</v>
      </c>
    </row>
    <row r="432" spans="1:7" ht="15.75" outlineLevel="1" thickBot="1"/>
    <row r="433" spans="1:7" outlineLevel="1">
      <c r="A433" s="3614" t="s">
        <v>0</v>
      </c>
      <c r="B433" s="3693" t="s">
        <v>1</v>
      </c>
      <c r="C433" s="3693" t="s">
        <v>2</v>
      </c>
      <c r="D433" s="3693" t="s">
        <v>3</v>
      </c>
      <c r="E433" s="3693" t="s">
        <v>4</v>
      </c>
      <c r="F433" s="3522" t="s">
        <v>5</v>
      </c>
    </row>
    <row r="434" spans="1:7" ht="15.75" outlineLevel="1" thickBot="1">
      <c r="A434" s="4079"/>
      <c r="B434" s="4058"/>
      <c r="C434" s="4058"/>
      <c r="D434" s="4058"/>
      <c r="E434" s="4058"/>
      <c r="F434" s="4059"/>
    </row>
    <row r="435" spans="1:7" outlineLevel="1">
      <c r="A435" s="841" t="s">
        <v>2083</v>
      </c>
      <c r="B435" s="288" t="s">
        <v>460</v>
      </c>
      <c r="C435" s="842" t="s">
        <v>1374</v>
      </c>
      <c r="D435" s="288"/>
      <c r="E435" s="290">
        <f>(G435-F435)/G435</f>
        <v>0.15789473684210517</v>
      </c>
      <c r="F435" s="843">
        <v>0.8</v>
      </c>
      <c r="G435">
        <v>0.95</v>
      </c>
    </row>
    <row r="436" spans="1:7" outlineLevel="1">
      <c r="A436" s="841"/>
      <c r="B436" s="739"/>
      <c r="C436" s="844" t="s">
        <v>1440</v>
      </c>
      <c r="D436" s="739"/>
      <c r="E436" s="740">
        <f>(G436-F436)/G436</f>
        <v>0.15789473684210517</v>
      </c>
      <c r="F436" s="845">
        <v>0.8</v>
      </c>
      <c r="G436" s="39">
        <v>0.95</v>
      </c>
    </row>
    <row r="437" spans="1:7" outlineLevel="1">
      <c r="A437" s="841"/>
      <c r="B437" s="739"/>
      <c r="C437" s="846" t="s">
        <v>1661</v>
      </c>
      <c r="D437" s="739"/>
      <c r="E437" s="740">
        <f>(G437-F437)/G437</f>
        <v>0.15104166666666669</v>
      </c>
      <c r="F437" s="845">
        <v>4.8899999999999997</v>
      </c>
      <c r="G437" s="39">
        <v>5.76</v>
      </c>
    </row>
    <row r="438" spans="1:7" outlineLevel="1">
      <c r="A438" s="841"/>
      <c r="B438" s="739"/>
      <c r="C438" s="847" t="s">
        <v>1521</v>
      </c>
      <c r="D438" s="739"/>
      <c r="E438" s="740">
        <f>(G438-F438)/G438</f>
        <v>0.15104166666666669</v>
      </c>
      <c r="F438" s="845">
        <v>4.8899999999999997</v>
      </c>
      <c r="G438" s="39">
        <v>5.76</v>
      </c>
    </row>
    <row r="439" spans="1:7" outlineLevel="1">
      <c r="A439" s="841"/>
      <c r="B439" s="739"/>
      <c r="C439" s="844" t="s">
        <v>1604</v>
      </c>
      <c r="D439" s="739"/>
      <c r="E439" s="740">
        <f t="shared" ref="E439:E445" si="20">(G439-F439)/G439</f>
        <v>0.11029411764705892</v>
      </c>
      <c r="F439" s="845">
        <v>1.21</v>
      </c>
      <c r="G439" s="792">
        <v>1.36</v>
      </c>
    </row>
    <row r="440" spans="1:7" outlineLevel="1">
      <c r="A440" s="841"/>
      <c r="B440" s="739"/>
      <c r="C440" s="844" t="s">
        <v>1140</v>
      </c>
      <c r="D440" s="739"/>
      <c r="E440" s="740">
        <f t="shared" si="20"/>
        <v>0.11029411764705892</v>
      </c>
      <c r="F440" s="845">
        <v>1.21</v>
      </c>
      <c r="G440" s="792">
        <v>1.36</v>
      </c>
    </row>
    <row r="441" spans="1:7" outlineLevel="1">
      <c r="A441" s="841"/>
      <c r="B441" s="739"/>
      <c r="C441" s="844" t="s">
        <v>487</v>
      </c>
      <c r="D441" s="739"/>
      <c r="E441" s="740">
        <f t="shared" si="20"/>
        <v>0.16363636363636366</v>
      </c>
      <c r="F441" s="848">
        <v>0.46</v>
      </c>
      <c r="G441" s="792">
        <v>0.55000000000000004</v>
      </c>
    </row>
    <row r="442" spans="1:7" outlineLevel="1">
      <c r="A442" s="841"/>
      <c r="B442" s="739"/>
      <c r="C442" s="741"/>
      <c r="D442" s="739"/>
      <c r="E442" s="740" t="e">
        <f t="shared" si="20"/>
        <v>#DIV/0!</v>
      </c>
      <c r="F442" s="849"/>
    </row>
    <row r="443" spans="1:7" outlineLevel="1">
      <c r="A443" s="841"/>
      <c r="B443" s="739"/>
      <c r="C443" s="741"/>
      <c r="D443" s="739"/>
      <c r="E443" s="740" t="e">
        <f t="shared" si="20"/>
        <v>#DIV/0!</v>
      </c>
      <c r="F443" s="849"/>
    </row>
    <row r="444" spans="1:7" outlineLevel="1">
      <c r="A444" s="841"/>
      <c r="B444" s="739"/>
      <c r="C444" s="741"/>
      <c r="D444" s="739"/>
      <c r="E444" s="740" t="e">
        <f t="shared" si="20"/>
        <v>#DIV/0!</v>
      </c>
      <c r="F444" s="849"/>
    </row>
    <row r="445" spans="1:7" ht="15.75" outlineLevel="1" thickBot="1">
      <c r="A445" s="590"/>
      <c r="B445" s="760"/>
      <c r="C445" s="760"/>
      <c r="D445" s="760"/>
      <c r="E445" s="850" t="e">
        <f t="shared" si="20"/>
        <v>#DIV/0!</v>
      </c>
      <c r="F445" s="851"/>
    </row>
    <row r="446" spans="1:7" ht="15.75" outlineLevel="1" thickBot="1"/>
    <row r="447" spans="1:7" outlineLevel="1">
      <c r="A447" s="3614" t="s">
        <v>0</v>
      </c>
      <c r="B447" s="3693" t="s">
        <v>1</v>
      </c>
      <c r="C447" s="3693" t="s">
        <v>2</v>
      </c>
      <c r="D447" s="3693" t="s">
        <v>3</v>
      </c>
      <c r="E447" s="3693" t="s">
        <v>4</v>
      </c>
      <c r="F447" s="3522" t="s">
        <v>5</v>
      </c>
    </row>
    <row r="448" spans="1:7" ht="15.75" outlineLevel="1" thickBot="1">
      <c r="A448" s="4060"/>
      <c r="B448" s="4066"/>
      <c r="C448" s="4066"/>
      <c r="D448" s="4066"/>
      <c r="E448" s="4066"/>
      <c r="F448" s="4067"/>
    </row>
    <row r="449" spans="1:7" ht="16.5" outlineLevel="1" thickTop="1" thickBot="1">
      <c r="A449" s="412" t="s">
        <v>2084</v>
      </c>
      <c r="B449" s="288" t="s">
        <v>2016</v>
      </c>
      <c r="C449" s="5" t="s">
        <v>1376</v>
      </c>
      <c r="D449" s="288"/>
      <c r="E449" s="593">
        <f>(G449-F449)/G449</f>
        <v>0.14867256637168152</v>
      </c>
      <c r="F449" s="758">
        <v>4.8099999999999996</v>
      </c>
      <c r="G449">
        <v>5.65</v>
      </c>
    </row>
    <row r="450" spans="1:7" ht="15.75" outlineLevel="1" thickBot="1">
      <c r="A450" s="413"/>
      <c r="B450" s="288"/>
      <c r="C450" s="5" t="s">
        <v>1362</v>
      </c>
      <c r="D450" s="288"/>
      <c r="E450" s="593">
        <f>(G450-F450)/G450</f>
        <v>0.14867256637168152</v>
      </c>
      <c r="F450" s="758">
        <v>4.8099999999999996</v>
      </c>
      <c r="G450">
        <v>5.65</v>
      </c>
    </row>
    <row r="451" spans="1:7" ht="15.75" outlineLevel="1" thickBot="1">
      <c r="A451" s="302"/>
      <c r="B451" s="739"/>
      <c r="C451" s="741" t="s">
        <v>730</v>
      </c>
      <c r="D451" s="288"/>
      <c r="E451" s="593">
        <f>(G451-F451)/G451</f>
        <v>0.15</v>
      </c>
      <c r="F451" s="758">
        <v>0.68</v>
      </c>
      <c r="G451">
        <v>0.8</v>
      </c>
    </row>
    <row r="452" spans="1:7" ht="15.75" outlineLevel="1" thickBot="1">
      <c r="A452" s="460"/>
      <c r="B452" s="755"/>
      <c r="C452" s="760"/>
      <c r="D452" s="592"/>
      <c r="E452" s="593" t="e">
        <f>(G452-F452)/G452</f>
        <v>#DIV/0!</v>
      </c>
      <c r="F452" s="761"/>
    </row>
    <row r="453" spans="1:7" outlineLevel="1"/>
    <row r="454" spans="1:7" ht="15.75" outlineLevel="1" thickBot="1"/>
    <row r="455" spans="1:7" outlineLevel="1">
      <c r="A455" s="3614" t="s">
        <v>0</v>
      </c>
      <c r="B455" s="3693" t="s">
        <v>1</v>
      </c>
      <c r="C455" s="3693" t="s">
        <v>2</v>
      </c>
      <c r="D455" s="3693" t="s">
        <v>3</v>
      </c>
      <c r="E455" s="3693" t="s">
        <v>4</v>
      </c>
      <c r="F455" s="3522" t="s">
        <v>5</v>
      </c>
    </row>
    <row r="456" spans="1:7" ht="15.75" outlineLevel="1" thickBot="1">
      <c r="A456" s="3681"/>
      <c r="B456" s="3715"/>
      <c r="C456" s="3715"/>
      <c r="D456" s="3715"/>
      <c r="E456" s="3715"/>
      <c r="F456" s="3717"/>
    </row>
    <row r="457" spans="1:7" outlineLevel="1">
      <c r="A457" s="879" t="s">
        <v>2101</v>
      </c>
      <c r="B457" s="178" t="s">
        <v>2102</v>
      </c>
      <c r="C457" s="178" t="s">
        <v>1810</v>
      </c>
      <c r="D457" s="178"/>
      <c r="E457" s="880">
        <v>0.25000000000000006</v>
      </c>
      <c r="F457" s="881">
        <v>16.47</v>
      </c>
      <c r="G457">
        <v>21.96</v>
      </c>
    </row>
    <row r="458" spans="1:7" outlineLevel="1">
      <c r="A458" s="830"/>
      <c r="B458" s="741"/>
      <c r="C458" s="741" t="s">
        <v>1556</v>
      </c>
      <c r="D458" s="741"/>
      <c r="E458" s="882">
        <v>0.13524590163934436</v>
      </c>
      <c r="F458" s="857">
        <v>18.989999999999998</v>
      </c>
      <c r="G458">
        <v>21.96</v>
      </c>
    </row>
    <row r="459" spans="1:7" outlineLevel="1">
      <c r="A459" s="830"/>
      <c r="B459" s="741"/>
      <c r="C459" s="741" t="s">
        <v>1557</v>
      </c>
      <c r="D459" s="741"/>
      <c r="E459" s="882">
        <v>0.13524590163934436</v>
      </c>
      <c r="F459" s="857">
        <v>18.989999999999998</v>
      </c>
      <c r="G459">
        <v>21.96</v>
      </c>
    </row>
    <row r="460" spans="1:7" outlineLevel="1">
      <c r="A460" s="830"/>
      <c r="B460" s="741"/>
      <c r="C460" s="741" t="s">
        <v>1763</v>
      </c>
      <c r="D460" s="741"/>
      <c r="E460" s="882">
        <v>0.13524590163934436</v>
      </c>
      <c r="F460" s="857">
        <v>18.989999999999998</v>
      </c>
      <c r="G460">
        <v>21.96</v>
      </c>
    </row>
    <row r="461" spans="1:7" ht="15.75" outlineLevel="1" thickBot="1">
      <c r="A461" s="832"/>
      <c r="B461" s="760"/>
      <c r="C461" s="760" t="s">
        <v>1555</v>
      </c>
      <c r="D461" s="760"/>
      <c r="E461" s="883">
        <v>0.13524590163934436</v>
      </c>
      <c r="F461" s="857">
        <v>18.989999999999998</v>
      </c>
      <c r="G461">
        <v>21.96</v>
      </c>
    </row>
    <row r="462" spans="1:7" outlineLevel="2">
      <c r="A462" s="3614" t="s">
        <v>0</v>
      </c>
      <c r="B462" s="3693" t="s">
        <v>1</v>
      </c>
      <c r="C462" s="3693" t="s">
        <v>2</v>
      </c>
      <c r="D462" s="3693" t="s">
        <v>3</v>
      </c>
      <c r="E462" s="3693" t="s">
        <v>4</v>
      </c>
      <c r="F462" s="3522" t="s">
        <v>5</v>
      </c>
    </row>
    <row r="463" spans="1:7" ht="15.75" outlineLevel="2" thickBot="1">
      <c r="A463" s="4079"/>
      <c r="B463" s="4058"/>
      <c r="C463" s="4058"/>
      <c r="D463" s="4058"/>
      <c r="E463" s="4058"/>
      <c r="F463" s="4059"/>
    </row>
    <row r="464" spans="1:7" outlineLevel="2">
      <c r="A464" s="841" t="s">
        <v>2098</v>
      </c>
      <c r="B464" s="288" t="s">
        <v>460</v>
      </c>
      <c r="C464" s="842" t="s">
        <v>1374</v>
      </c>
      <c r="D464" s="288"/>
      <c r="E464" s="290">
        <v>0.15789473684210517</v>
      </c>
      <c r="F464" s="843">
        <v>0.8</v>
      </c>
      <c r="G464">
        <v>0.95</v>
      </c>
    </row>
    <row r="465" spans="1:7" outlineLevel="2">
      <c r="A465" s="841"/>
      <c r="B465" s="739"/>
      <c r="C465" s="844" t="s">
        <v>1440</v>
      </c>
      <c r="D465" s="739"/>
      <c r="E465" s="740">
        <v>0.15789473684210517</v>
      </c>
      <c r="F465" s="845">
        <v>0.8</v>
      </c>
      <c r="G465" s="39">
        <v>0.95</v>
      </c>
    </row>
    <row r="466" spans="1:7" outlineLevel="2">
      <c r="A466" s="841"/>
      <c r="B466" s="739"/>
      <c r="C466" s="844" t="s">
        <v>1604</v>
      </c>
      <c r="D466" s="739"/>
      <c r="E466" s="740">
        <v>0.11029411764705892</v>
      </c>
      <c r="F466" s="845">
        <v>1.21</v>
      </c>
      <c r="G466" s="792">
        <v>1.36</v>
      </c>
    </row>
    <row r="467" spans="1:7" outlineLevel="2">
      <c r="A467" s="841"/>
      <c r="B467" s="739"/>
      <c r="C467" s="844" t="s">
        <v>1140</v>
      </c>
      <c r="D467" s="739"/>
      <c r="E467" s="740">
        <v>0.11029411764705892</v>
      </c>
      <c r="F467" s="845">
        <v>1.21</v>
      </c>
      <c r="G467" s="792">
        <v>1.36</v>
      </c>
    </row>
    <row r="468" spans="1:7" ht="15.75" outlineLevel="2" thickBot="1">
      <c r="A468" s="884"/>
      <c r="B468" s="755"/>
      <c r="C468" s="885" t="s">
        <v>487</v>
      </c>
      <c r="D468" s="755"/>
      <c r="E468" s="850">
        <v>0.16363636363636366</v>
      </c>
      <c r="F468" s="886">
        <v>0.46</v>
      </c>
      <c r="G468" s="792">
        <v>0.55000000000000004</v>
      </c>
    </row>
    <row r="469" spans="1:7" outlineLevel="2">
      <c r="A469" s="3614" t="s">
        <v>0</v>
      </c>
      <c r="B469" s="3693" t="s">
        <v>1</v>
      </c>
      <c r="C469" s="3693" t="s">
        <v>2</v>
      </c>
      <c r="D469" s="3693" t="s">
        <v>3</v>
      </c>
      <c r="E469" s="3693" t="s">
        <v>4</v>
      </c>
      <c r="F469" s="3522" t="s">
        <v>5</v>
      </c>
    </row>
    <row r="470" spans="1:7" ht="15.75" outlineLevel="1" thickBot="1">
      <c r="A470" s="4060"/>
      <c r="B470" s="4066"/>
      <c r="C470" s="4066"/>
      <c r="D470" s="4066"/>
      <c r="E470" s="4066"/>
      <c r="F470" s="4067"/>
    </row>
    <row r="471" spans="1:7" ht="15.75" outlineLevel="1" thickTop="1">
      <c r="A471" s="887" t="s">
        <v>2103</v>
      </c>
      <c r="B471" s="288" t="s">
        <v>1593</v>
      </c>
      <c r="C471" s="762" t="s">
        <v>522</v>
      </c>
      <c r="D471" s="538"/>
      <c r="E471" s="539">
        <v>0.14583333333333334</v>
      </c>
      <c r="F471" s="768">
        <v>0.82</v>
      </c>
      <c r="G471" s="541">
        <v>0.96</v>
      </c>
    </row>
    <row r="472" spans="1:7" ht="15.75" outlineLevel="1" thickBot="1">
      <c r="A472" s="460"/>
      <c r="B472" s="755"/>
      <c r="C472" s="777" t="s">
        <v>1440</v>
      </c>
      <c r="D472" s="548"/>
      <c r="E472" s="549">
        <v>0.14583333333333334</v>
      </c>
      <c r="F472" s="778">
        <v>0.82</v>
      </c>
      <c r="G472" s="541">
        <v>0.96</v>
      </c>
    </row>
    <row r="473" spans="1:7" ht="15.75" outlineLevel="2" thickBot="1"/>
    <row r="474" spans="1:7" outlineLevel="1">
      <c r="A474" s="3572" t="s">
        <v>0</v>
      </c>
      <c r="B474" s="3636" t="s">
        <v>1</v>
      </c>
      <c r="C474" s="3636" t="s">
        <v>2</v>
      </c>
      <c r="D474" s="3636" t="s">
        <v>3</v>
      </c>
      <c r="E474" s="3636" t="s">
        <v>4</v>
      </c>
      <c r="F474" s="3559" t="s">
        <v>5</v>
      </c>
      <c r="G474" s="429"/>
    </row>
    <row r="475" spans="1:7" ht="15.75" outlineLevel="1" thickBot="1">
      <c r="A475" s="3696"/>
      <c r="B475" s="3718"/>
      <c r="C475" s="3718"/>
      <c r="D475" s="3718"/>
      <c r="E475" s="3718"/>
      <c r="F475" s="3727"/>
      <c r="G475" s="429"/>
    </row>
    <row r="476" spans="1:7" ht="15.75" outlineLevel="1" thickTop="1">
      <c r="A476" s="813" t="s">
        <v>2123</v>
      </c>
      <c r="B476" s="388" t="s">
        <v>120</v>
      </c>
      <c r="C476" s="814" t="s">
        <v>1975</v>
      </c>
      <c r="D476" s="388"/>
      <c r="E476" s="638">
        <f>(G476-F476)/G476</f>
        <v>0.20125786163522016</v>
      </c>
      <c r="F476" s="749">
        <v>1.27</v>
      </c>
      <c r="G476" s="429">
        <v>1.59</v>
      </c>
    </row>
    <row r="477" spans="1:7" outlineLevel="1">
      <c r="A477" s="491"/>
      <c r="B477" s="781" t="s">
        <v>121</v>
      </c>
      <c r="C477" s="814" t="s">
        <v>2124</v>
      </c>
      <c r="D477" s="388"/>
      <c r="E477" s="638">
        <f t="shared" ref="E477:E487" si="21">(G477-F477)/G477</f>
        <v>0.20062695924764895</v>
      </c>
      <c r="F477" s="749">
        <v>2.5499999999999998</v>
      </c>
      <c r="G477" s="429">
        <v>3.19</v>
      </c>
    </row>
    <row r="478" spans="1:7" outlineLevel="1">
      <c r="A478" s="491"/>
      <c r="B478" s="781" t="s">
        <v>123</v>
      </c>
      <c r="C478" s="814" t="s">
        <v>2021</v>
      </c>
      <c r="D478" s="388"/>
      <c r="E478" s="638">
        <f t="shared" si="21"/>
        <v>0.20000000000000004</v>
      </c>
      <c r="F478" s="749">
        <v>1.24</v>
      </c>
      <c r="G478" s="429">
        <v>1.55</v>
      </c>
    </row>
    <row r="479" spans="1:7" ht="28.5" outlineLevel="1">
      <c r="A479" s="491"/>
      <c r="B479" s="781" t="s">
        <v>122</v>
      </c>
      <c r="C479" s="814" t="s">
        <v>2125</v>
      </c>
      <c r="D479" s="388"/>
      <c r="E479" s="638">
        <f t="shared" si="21"/>
        <v>0.15384615384615385</v>
      </c>
      <c r="F479" s="749">
        <v>0.77</v>
      </c>
      <c r="G479" s="528">
        <v>0.91</v>
      </c>
    </row>
    <row r="480" spans="1:7" outlineLevel="1">
      <c r="A480" s="491"/>
      <c r="B480" s="781" t="s">
        <v>2057</v>
      </c>
      <c r="C480" s="766" t="s">
        <v>2080</v>
      </c>
      <c r="D480" s="388"/>
      <c r="E480" s="638">
        <f t="shared" si="21"/>
        <v>0.15116279069767444</v>
      </c>
      <c r="F480" s="815">
        <v>0.73</v>
      </c>
      <c r="G480" s="528">
        <v>0.86</v>
      </c>
    </row>
    <row r="481" spans="1:7" outlineLevel="1">
      <c r="A481" s="491"/>
      <c r="B481" s="781"/>
      <c r="C481" s="766" t="s">
        <v>1949</v>
      </c>
      <c r="D481" s="388"/>
      <c r="E481" s="638">
        <f t="shared" si="21"/>
        <v>0.15116279069767444</v>
      </c>
      <c r="F481" s="815">
        <v>0.73</v>
      </c>
      <c r="G481" s="528">
        <v>0.86</v>
      </c>
    </row>
    <row r="482" spans="1:7" outlineLevel="1">
      <c r="A482" s="491"/>
      <c r="B482" s="781"/>
      <c r="C482" s="766" t="s">
        <v>1950</v>
      </c>
      <c r="D482" s="388"/>
      <c r="E482" s="539">
        <f t="shared" si="21"/>
        <v>0.15116279069767444</v>
      </c>
      <c r="F482" s="815">
        <v>0.73</v>
      </c>
      <c r="G482" s="528">
        <v>0.86</v>
      </c>
    </row>
    <row r="483" spans="1:7" outlineLevel="1">
      <c r="A483" s="491"/>
      <c r="B483" s="781"/>
      <c r="C483" s="766" t="s">
        <v>554</v>
      </c>
      <c r="D483" s="388"/>
      <c r="E483" s="539">
        <f t="shared" si="21"/>
        <v>0.15254237288135589</v>
      </c>
      <c r="F483" s="815">
        <v>1</v>
      </c>
      <c r="G483" s="528">
        <v>1.18</v>
      </c>
    </row>
    <row r="484" spans="1:7" outlineLevel="1">
      <c r="A484" s="491"/>
      <c r="B484" s="781"/>
      <c r="C484" s="766" t="s">
        <v>1429</v>
      </c>
      <c r="D484" s="388"/>
      <c r="E484" s="539">
        <f t="shared" si="21"/>
        <v>0.15028901734104047</v>
      </c>
      <c r="F484" s="815">
        <v>1.47</v>
      </c>
      <c r="G484" s="528">
        <v>1.73</v>
      </c>
    </row>
    <row r="485" spans="1:7" outlineLevel="1">
      <c r="A485" s="491"/>
      <c r="B485" s="781"/>
      <c r="C485" s="766"/>
      <c r="D485" s="388"/>
      <c r="E485" s="539" t="e">
        <f t="shared" si="21"/>
        <v>#DIV/0!</v>
      </c>
      <c r="F485" s="815"/>
      <c r="G485" s="528"/>
    </row>
    <row r="486" spans="1:7" outlineLevel="1">
      <c r="A486" s="491"/>
      <c r="B486" s="781"/>
      <c r="C486" s="766"/>
      <c r="D486" s="388"/>
      <c r="E486" s="539" t="e">
        <f t="shared" si="21"/>
        <v>#DIV/0!</v>
      </c>
      <c r="F486" s="815"/>
      <c r="G486" s="528"/>
    </row>
    <row r="487" spans="1:7" ht="15.75" outlineLevel="1" thickBot="1">
      <c r="A487" s="500"/>
      <c r="B487" s="816"/>
      <c r="C487" s="817"/>
      <c r="D487" s="548"/>
      <c r="E487" s="549" t="e">
        <f t="shared" si="21"/>
        <v>#DIV/0!</v>
      </c>
      <c r="F487" s="818"/>
      <c r="G487" s="528"/>
    </row>
    <row r="488" spans="1:7" outlineLevel="1"/>
    <row r="489" spans="1:7" ht="15.75" outlineLevel="1" thickBot="1"/>
    <row r="490" spans="1:7" outlineLevel="1">
      <c r="A490" s="3614" t="s">
        <v>0</v>
      </c>
      <c r="B490" s="3693" t="s">
        <v>1</v>
      </c>
      <c r="C490" s="3693" t="s">
        <v>2</v>
      </c>
      <c r="D490" s="3693" t="s">
        <v>3</v>
      </c>
      <c r="E490" s="3693" t="s">
        <v>4</v>
      </c>
      <c r="F490" s="3522" t="s">
        <v>5</v>
      </c>
    </row>
    <row r="491" spans="1:7" ht="15.75" outlineLevel="1" thickBot="1">
      <c r="A491" s="4060"/>
      <c r="B491" s="4066"/>
      <c r="C491" s="4066"/>
      <c r="D491" s="4066"/>
      <c r="E491" s="4066"/>
      <c r="F491" s="4067"/>
    </row>
    <row r="492" spans="1:7" ht="15.75" outlineLevel="1" thickTop="1">
      <c r="A492" s="412" t="s">
        <v>2138</v>
      </c>
      <c r="B492" s="288" t="s">
        <v>1708</v>
      </c>
      <c r="C492" s="5" t="s">
        <v>1345</v>
      </c>
      <c r="D492" s="288"/>
      <c r="E492" s="290">
        <f>(G492-F492)/G492</f>
        <v>0.15028901734104047</v>
      </c>
      <c r="F492" s="758">
        <v>1.47</v>
      </c>
      <c r="G492">
        <v>1.73</v>
      </c>
    </row>
    <row r="493" spans="1:7" outlineLevel="1">
      <c r="A493" s="302"/>
      <c r="B493" s="739"/>
      <c r="C493" s="741" t="s">
        <v>1355</v>
      </c>
      <c r="D493" s="288"/>
      <c r="E493" s="290">
        <f t="shared" ref="E493:E500" si="22">(G493-F493)/G493</f>
        <v>0.15028901734104047</v>
      </c>
      <c r="F493" s="758">
        <v>1.47</v>
      </c>
      <c r="G493">
        <v>1.73</v>
      </c>
    </row>
    <row r="494" spans="1:7" outlineLevel="1">
      <c r="A494" s="302"/>
      <c r="B494" s="739"/>
      <c r="C494" s="741" t="s">
        <v>1413</v>
      </c>
      <c r="D494" s="288"/>
      <c r="E494" s="290">
        <f t="shared" si="22"/>
        <v>0.15028901734104047</v>
      </c>
      <c r="F494" s="758">
        <v>1.47</v>
      </c>
      <c r="G494">
        <v>1.73</v>
      </c>
    </row>
    <row r="495" spans="1:7" outlineLevel="1">
      <c r="A495" s="302"/>
      <c r="B495" s="739"/>
      <c r="C495" s="741" t="s">
        <v>1429</v>
      </c>
      <c r="D495" s="288"/>
      <c r="E495" s="290">
        <f t="shared" si="22"/>
        <v>0.15028901734104047</v>
      </c>
      <c r="F495" s="758">
        <v>1.47</v>
      </c>
      <c r="G495">
        <v>1.73</v>
      </c>
    </row>
    <row r="496" spans="1:7" outlineLevel="1">
      <c r="A496" s="302"/>
      <c r="B496" s="739"/>
      <c r="C496" s="741" t="s">
        <v>2139</v>
      </c>
      <c r="D496" s="288"/>
      <c r="E496" s="290">
        <f t="shared" si="22"/>
        <v>0.14666666666666664</v>
      </c>
      <c r="F496" s="758">
        <v>1.28</v>
      </c>
      <c r="G496">
        <v>1.5</v>
      </c>
    </row>
    <row r="497" spans="1:7" outlineLevel="1">
      <c r="A497" s="302"/>
      <c r="B497" s="739"/>
      <c r="C497" s="741" t="s">
        <v>1904</v>
      </c>
      <c r="D497" s="288"/>
      <c r="E497" s="290">
        <f t="shared" si="22"/>
        <v>0.20261437908496735</v>
      </c>
      <c r="F497" s="758">
        <v>1.22</v>
      </c>
      <c r="G497">
        <v>1.53</v>
      </c>
    </row>
    <row r="498" spans="1:7" outlineLevel="1">
      <c r="A498" s="302"/>
      <c r="B498" s="739"/>
      <c r="C498" s="741" t="s">
        <v>2024</v>
      </c>
      <c r="D498" s="288"/>
      <c r="E498" s="290">
        <f t="shared" si="22"/>
        <v>0.203125</v>
      </c>
      <c r="F498" s="758">
        <v>0.51</v>
      </c>
      <c r="G498">
        <v>0.64</v>
      </c>
    </row>
    <row r="499" spans="1:7" outlineLevel="1">
      <c r="A499" s="302"/>
      <c r="B499" s="739"/>
      <c r="C499" s="741"/>
      <c r="D499" s="288"/>
      <c r="E499" s="290" t="e">
        <f t="shared" si="22"/>
        <v>#DIV/0!</v>
      </c>
      <c r="F499" s="758"/>
    </row>
    <row r="500" spans="1:7" ht="15.75" outlineLevel="1" thickBot="1">
      <c r="A500" s="460"/>
      <c r="B500" s="755"/>
      <c r="C500" s="760"/>
      <c r="D500" s="592"/>
      <c r="E500" s="593" t="e">
        <f t="shared" si="22"/>
        <v>#DIV/0!</v>
      </c>
      <c r="F500" s="761"/>
      <c r="G500" s="33"/>
    </row>
    <row r="501" spans="1:7" ht="15.75" outlineLevel="1" thickBot="1"/>
    <row r="502" spans="1:7" outlineLevel="1">
      <c r="A502" s="3614" t="s">
        <v>0</v>
      </c>
      <c r="B502" s="3693" t="s">
        <v>1</v>
      </c>
      <c r="C502" s="3693" t="s">
        <v>2</v>
      </c>
      <c r="D502" s="3693" t="s">
        <v>3</v>
      </c>
      <c r="E502" s="3693" t="s">
        <v>4</v>
      </c>
      <c r="F502" s="3522" t="s">
        <v>5</v>
      </c>
    </row>
    <row r="503" spans="1:7" ht="15.75" outlineLevel="1" thickBot="1">
      <c r="A503" s="4079"/>
      <c r="B503" s="4058"/>
      <c r="C503" s="4058"/>
      <c r="D503" s="4058"/>
      <c r="E503" s="4058"/>
      <c r="F503" s="4059"/>
    </row>
    <row r="504" spans="1:7" outlineLevel="1">
      <c r="A504" s="841" t="s">
        <v>2140</v>
      </c>
      <c r="B504" s="288" t="s">
        <v>460</v>
      </c>
      <c r="C504" s="842" t="s">
        <v>1820</v>
      </c>
      <c r="D504" s="288"/>
      <c r="E504" s="290">
        <f t="shared" ref="E504:E509" si="23">(G504-F504)/G504</f>
        <v>0.15254237288135594</v>
      </c>
      <c r="F504" s="843">
        <v>1.5</v>
      </c>
      <c r="G504">
        <v>1.77</v>
      </c>
    </row>
    <row r="505" spans="1:7" outlineLevel="1">
      <c r="A505" s="841"/>
      <c r="B505" s="739"/>
      <c r="C505" s="844" t="s">
        <v>2141</v>
      </c>
      <c r="D505" s="739"/>
      <c r="E505" s="740">
        <f t="shared" si="23"/>
        <v>0.15254237288135594</v>
      </c>
      <c r="F505" s="845">
        <v>1.5</v>
      </c>
      <c r="G505" s="39">
        <v>1.77</v>
      </c>
    </row>
    <row r="506" spans="1:7" outlineLevel="1">
      <c r="A506" s="841"/>
      <c r="B506" s="739"/>
      <c r="C506" s="844" t="s">
        <v>2142</v>
      </c>
      <c r="D506" s="739"/>
      <c r="E506" s="740">
        <f t="shared" si="23"/>
        <v>0.15231788079470199</v>
      </c>
      <c r="F506" s="845">
        <v>1.28</v>
      </c>
      <c r="G506" s="792">
        <v>1.51</v>
      </c>
    </row>
    <row r="507" spans="1:7" outlineLevel="1">
      <c r="A507" s="841"/>
      <c r="B507" s="739"/>
      <c r="C507" s="844" t="s">
        <v>860</v>
      </c>
      <c r="D507" s="739"/>
      <c r="E507" s="740">
        <f t="shared" si="23"/>
        <v>0.15231788079470199</v>
      </c>
      <c r="F507" s="845">
        <v>1.28</v>
      </c>
      <c r="G507" s="792">
        <v>1.51</v>
      </c>
    </row>
    <row r="508" spans="1:7" outlineLevel="1">
      <c r="A508" s="841"/>
      <c r="B508" s="801"/>
      <c r="C508" s="894" t="s">
        <v>1904</v>
      </c>
      <c r="D508" s="801"/>
      <c r="E508" s="740">
        <f t="shared" si="23"/>
        <v>0.15131578947368421</v>
      </c>
      <c r="F508" s="895">
        <v>1.29</v>
      </c>
      <c r="G508" s="792">
        <v>1.52</v>
      </c>
    </row>
    <row r="509" spans="1:7" ht="15.75" outlineLevel="1" thickBot="1">
      <c r="A509" s="884"/>
      <c r="B509" s="755"/>
      <c r="C509" s="885" t="s">
        <v>1975</v>
      </c>
      <c r="D509" s="755"/>
      <c r="E509" s="850">
        <f t="shared" si="23"/>
        <v>0.14743589743589741</v>
      </c>
      <c r="F509" s="886">
        <v>1.33</v>
      </c>
      <c r="G509" s="792">
        <v>1.56</v>
      </c>
    </row>
    <row r="510" spans="1:7" ht="15.75" outlineLevel="1" thickBot="1"/>
    <row r="511" spans="1:7" outlineLevel="1">
      <c r="A511" s="3614" t="s">
        <v>0</v>
      </c>
      <c r="B511" s="3693" t="s">
        <v>1</v>
      </c>
      <c r="C511" s="3693" t="s">
        <v>2</v>
      </c>
      <c r="D511" s="3693" t="s">
        <v>3</v>
      </c>
      <c r="E511" s="3693" t="s">
        <v>4</v>
      </c>
      <c r="F511" s="3522" t="s">
        <v>5</v>
      </c>
    </row>
    <row r="512" spans="1:7" ht="15.75" outlineLevel="1" thickBot="1">
      <c r="A512" s="4079"/>
      <c r="B512" s="4058"/>
      <c r="C512" s="4058"/>
      <c r="D512" s="4058"/>
      <c r="E512" s="4058"/>
      <c r="F512" s="4059"/>
    </row>
    <row r="513" spans="1:7" outlineLevel="1">
      <c r="A513" s="841" t="s">
        <v>2154</v>
      </c>
      <c r="B513" s="288" t="s">
        <v>2155</v>
      </c>
      <c r="C513" s="842" t="s">
        <v>906</v>
      </c>
      <c r="D513" s="288"/>
      <c r="E513" s="290">
        <f t="shared" ref="E513:E518" si="24">(G513-F513)/G513</f>
        <v>0.14545454545454556</v>
      </c>
      <c r="F513" s="843">
        <v>0.94</v>
      </c>
      <c r="G513">
        <v>1.1000000000000001</v>
      </c>
    </row>
    <row r="514" spans="1:7" outlineLevel="1">
      <c r="A514" s="841"/>
      <c r="B514" s="739"/>
      <c r="C514" s="844" t="s">
        <v>1300</v>
      </c>
      <c r="D514" s="739"/>
      <c r="E514" s="740">
        <f t="shared" si="24"/>
        <v>0.14492753623188404</v>
      </c>
      <c r="F514" s="845">
        <v>0.59</v>
      </c>
      <c r="G514" s="39">
        <v>0.69</v>
      </c>
    </row>
    <row r="515" spans="1:7" outlineLevel="1">
      <c r="A515" s="841"/>
      <c r="B515" s="739"/>
      <c r="C515" s="844" t="s">
        <v>2156</v>
      </c>
      <c r="D515" s="739"/>
      <c r="E515" s="740">
        <f t="shared" si="24"/>
        <v>0.19815668202764974</v>
      </c>
      <c r="F515" s="845">
        <v>1.74</v>
      </c>
      <c r="G515" s="792">
        <v>2.17</v>
      </c>
    </row>
    <row r="516" spans="1:7" outlineLevel="1">
      <c r="A516" s="841"/>
      <c r="B516" s="739"/>
      <c r="C516" s="844"/>
      <c r="D516" s="739"/>
      <c r="E516" s="740" t="e">
        <f t="shared" si="24"/>
        <v>#DIV/0!</v>
      </c>
      <c r="F516" s="845"/>
      <c r="G516" s="792"/>
    </row>
    <row r="517" spans="1:7" outlineLevel="1">
      <c r="A517" s="841"/>
      <c r="B517" s="801"/>
      <c r="C517" s="894"/>
      <c r="D517" s="801"/>
      <c r="E517" s="740" t="e">
        <f t="shared" si="24"/>
        <v>#DIV/0!</v>
      </c>
      <c r="F517" s="895"/>
      <c r="G517" s="792"/>
    </row>
    <row r="518" spans="1:7" ht="15.75" outlineLevel="1" thickBot="1">
      <c r="A518" s="884"/>
      <c r="B518" s="755"/>
      <c r="C518" s="885"/>
      <c r="D518" s="755"/>
      <c r="E518" s="850" t="e">
        <f t="shared" si="24"/>
        <v>#DIV/0!</v>
      </c>
      <c r="F518" s="886"/>
      <c r="G518" s="792"/>
    </row>
    <row r="519" spans="1:7" outlineLevel="1"/>
    <row r="520" spans="1:7" ht="15.75" outlineLevel="1" thickBot="1"/>
    <row r="521" spans="1:7" outlineLevel="1">
      <c r="A521" s="3572" t="s">
        <v>0</v>
      </c>
      <c r="B521" s="3636" t="s">
        <v>1</v>
      </c>
      <c r="C521" s="3636" t="s">
        <v>2</v>
      </c>
      <c r="D521" s="3636" t="s">
        <v>3</v>
      </c>
      <c r="E521" s="3636" t="s">
        <v>4</v>
      </c>
      <c r="F521" s="3559" t="s">
        <v>5</v>
      </c>
      <c r="G521" s="429"/>
    </row>
    <row r="522" spans="1:7" ht="15.75" outlineLevel="1" thickBot="1">
      <c r="A522" s="3696"/>
      <c r="B522" s="3718"/>
      <c r="C522" s="3718"/>
      <c r="D522" s="3718"/>
      <c r="E522" s="3718"/>
      <c r="F522" s="3727"/>
      <c r="G522" s="429"/>
    </row>
    <row r="523" spans="1:7" ht="15.75" outlineLevel="1" thickTop="1">
      <c r="A523" s="813" t="s">
        <v>2157</v>
      </c>
      <c r="B523" s="388" t="s">
        <v>120</v>
      </c>
      <c r="C523" s="1117" t="s">
        <v>1891</v>
      </c>
      <c r="D523" s="388"/>
      <c r="E523" s="638">
        <f>(G523-F523)/G523</f>
        <v>0.19811320754716988</v>
      </c>
      <c r="F523" s="872">
        <v>0.85</v>
      </c>
      <c r="G523" s="429">
        <v>1.06</v>
      </c>
    </row>
    <row r="524" spans="1:7" outlineLevel="1">
      <c r="A524" s="491"/>
      <c r="B524" s="781" t="s">
        <v>121</v>
      </c>
      <c r="C524" s="814"/>
      <c r="D524" s="388"/>
      <c r="E524" s="638"/>
      <c r="F524" s="872"/>
      <c r="G524" s="429"/>
    </row>
    <row r="525" spans="1:7" outlineLevel="1">
      <c r="A525" s="491"/>
      <c r="B525" s="781" t="s">
        <v>123</v>
      </c>
      <c r="C525" s="814"/>
      <c r="D525" s="388"/>
      <c r="E525" s="638"/>
      <c r="F525" s="872"/>
      <c r="G525" s="429"/>
    </row>
    <row r="526" spans="1:7" outlineLevel="1">
      <c r="A526" s="491"/>
      <c r="B526" s="781" t="s">
        <v>122</v>
      </c>
      <c r="C526" s="814"/>
      <c r="D526" s="388"/>
      <c r="E526" s="638"/>
      <c r="F526" s="872"/>
      <c r="G526" s="528"/>
    </row>
    <row r="527" spans="1:7" ht="15.75" outlineLevel="1" thickBot="1">
      <c r="A527" s="500"/>
      <c r="B527" s="816" t="s">
        <v>2057</v>
      </c>
      <c r="C527" s="817"/>
      <c r="D527" s="873"/>
      <c r="E527" s="785"/>
      <c r="F527" s="818"/>
      <c r="G527" s="528"/>
    </row>
    <row r="528" spans="1:7" outlineLevel="1"/>
    <row r="529" spans="1:7" outlineLevel="1"/>
    <row r="530" spans="1:7" ht="15.75" outlineLevel="1" thickBot="1"/>
    <row r="531" spans="1:7" ht="15.75" outlineLevel="1">
      <c r="A531" s="4138" t="s">
        <v>0</v>
      </c>
      <c r="B531" s="4134" t="s">
        <v>1</v>
      </c>
      <c r="C531" s="4134" t="s">
        <v>2</v>
      </c>
      <c r="D531" s="4134" t="s">
        <v>3</v>
      </c>
      <c r="E531" s="4134" t="s">
        <v>4</v>
      </c>
      <c r="F531" s="4136" t="s">
        <v>5</v>
      </c>
      <c r="G531" s="900"/>
    </row>
    <row r="532" spans="1:7" ht="16.5" outlineLevel="1" thickBot="1">
      <c r="A532" s="4167"/>
      <c r="B532" s="4168"/>
      <c r="C532" s="4168"/>
      <c r="D532" s="4168"/>
      <c r="E532" s="4168"/>
      <c r="F532" s="4177"/>
      <c r="G532" s="900"/>
    </row>
    <row r="533" spans="1:7" ht="16.5" outlineLevel="1" thickTop="1">
      <c r="A533" s="901" t="s">
        <v>2168</v>
      </c>
      <c r="B533" s="902" t="s">
        <v>1708</v>
      </c>
      <c r="C533" s="903" t="s">
        <v>2080</v>
      </c>
      <c r="D533" s="902"/>
      <c r="E533" s="904">
        <f>(G533-F533)/G533</f>
        <v>0.19767441860465121</v>
      </c>
      <c r="F533" s="905">
        <v>0.69</v>
      </c>
      <c r="G533" s="900">
        <v>0.86</v>
      </c>
    </row>
    <row r="534" spans="1:7" ht="15.75" outlineLevel="1">
      <c r="A534" s="4181"/>
      <c r="B534" s="906"/>
      <c r="C534" s="903" t="s">
        <v>1949</v>
      </c>
      <c r="D534" s="902"/>
      <c r="E534" s="904">
        <f t="shared" ref="E534:E544" si="25">(G534-F534)/G534</f>
        <v>0.19767441860465121</v>
      </c>
      <c r="F534" s="905">
        <v>0.69</v>
      </c>
      <c r="G534" s="900">
        <v>0.86</v>
      </c>
    </row>
    <row r="535" spans="1:7" ht="15.75" outlineLevel="1">
      <c r="A535" s="4181"/>
      <c r="B535" s="906"/>
      <c r="C535" s="903" t="s">
        <v>1950</v>
      </c>
      <c r="D535" s="902"/>
      <c r="E535" s="904">
        <f t="shared" si="25"/>
        <v>0.19767441860465121</v>
      </c>
      <c r="F535" s="905">
        <v>0.69</v>
      </c>
      <c r="G535" s="900">
        <v>0.86</v>
      </c>
    </row>
    <row r="536" spans="1:7" ht="15.75" outlineLevel="1">
      <c r="A536" s="4181"/>
      <c r="B536" s="906"/>
      <c r="C536" s="903" t="s">
        <v>2115</v>
      </c>
      <c r="D536" s="902"/>
      <c r="E536" s="904">
        <f t="shared" si="25"/>
        <v>0.19736842105263161</v>
      </c>
      <c r="F536" s="905">
        <v>1.22</v>
      </c>
      <c r="G536" s="907">
        <v>1.52</v>
      </c>
    </row>
    <row r="537" spans="1:7" ht="15.75" outlineLevel="1">
      <c r="A537" s="4181"/>
      <c r="B537" s="906"/>
      <c r="C537" s="903" t="s">
        <v>1315</v>
      </c>
      <c r="D537" s="902"/>
      <c r="E537" s="904">
        <f t="shared" si="25"/>
        <v>0.19736842105263161</v>
      </c>
      <c r="F537" s="905">
        <v>1.22</v>
      </c>
      <c r="G537" s="907">
        <v>1.52</v>
      </c>
    </row>
    <row r="538" spans="1:7" ht="15.75" outlineLevel="1">
      <c r="A538" s="4181"/>
      <c r="B538" s="906"/>
      <c r="C538" s="903" t="s">
        <v>2116</v>
      </c>
      <c r="D538" s="902"/>
      <c r="E538" s="904">
        <f t="shared" si="25"/>
        <v>0.19736842105263161</v>
      </c>
      <c r="F538" s="905">
        <v>1.22</v>
      </c>
      <c r="G538" s="907">
        <v>1.52</v>
      </c>
    </row>
    <row r="539" spans="1:7" ht="15.75" outlineLevel="1">
      <c r="A539" s="4181"/>
      <c r="B539" s="906"/>
      <c r="C539" s="903" t="s">
        <v>1316</v>
      </c>
      <c r="D539" s="902"/>
      <c r="E539" s="904">
        <f t="shared" si="25"/>
        <v>0.19736842105263161</v>
      </c>
      <c r="F539" s="905">
        <v>1.22</v>
      </c>
      <c r="G539" s="907">
        <v>1.52</v>
      </c>
    </row>
    <row r="540" spans="1:7" ht="15.75" outlineLevel="1">
      <c r="A540" s="4181"/>
      <c r="B540" s="908"/>
      <c r="C540" s="909" t="s">
        <v>2066</v>
      </c>
      <c r="D540" s="910"/>
      <c r="E540" s="911">
        <f t="shared" si="25"/>
        <v>0.19736842105263161</v>
      </c>
      <c r="F540" s="912">
        <v>1.22</v>
      </c>
      <c r="G540" s="907">
        <v>1.52</v>
      </c>
    </row>
    <row r="541" spans="1:7" ht="15.75" outlineLevel="1">
      <c r="A541" s="4181"/>
      <c r="B541" s="913"/>
      <c r="C541" s="914" t="s">
        <v>1317</v>
      </c>
      <c r="D541" s="913"/>
      <c r="E541" s="915">
        <f t="shared" si="25"/>
        <v>0.19736842105263161</v>
      </c>
      <c r="F541" s="916">
        <v>1.22</v>
      </c>
      <c r="G541" s="907">
        <v>1.52</v>
      </c>
    </row>
    <row r="542" spans="1:7" ht="15.75" outlineLevel="1">
      <c r="A542" s="4181"/>
      <c r="B542" s="917"/>
      <c r="C542" s="917" t="s">
        <v>1090</v>
      </c>
      <c r="D542" s="917"/>
      <c r="E542" s="915">
        <f t="shared" si="25"/>
        <v>0.34965034965034958</v>
      </c>
      <c r="F542" s="916">
        <v>0.93</v>
      </c>
      <c r="G542" s="907">
        <v>1.43</v>
      </c>
    </row>
    <row r="543" spans="1:7" ht="15.75" outlineLevel="1">
      <c r="A543" s="4181"/>
      <c r="B543" s="917"/>
      <c r="C543" s="917" t="s">
        <v>1091</v>
      </c>
      <c r="D543" s="917"/>
      <c r="E543" s="915">
        <f t="shared" si="25"/>
        <v>0.34965034965034958</v>
      </c>
      <c r="F543" s="916">
        <v>0.93</v>
      </c>
      <c r="G543" s="907">
        <v>1.43</v>
      </c>
    </row>
    <row r="544" spans="1:7" ht="15.75" outlineLevel="1">
      <c r="A544" s="4182"/>
      <c r="B544" s="917"/>
      <c r="C544" s="917" t="s">
        <v>1092</v>
      </c>
      <c r="D544" s="917"/>
      <c r="E544" s="915">
        <f t="shared" si="25"/>
        <v>0.34965034965034958</v>
      </c>
      <c r="F544" s="916">
        <v>0.93</v>
      </c>
      <c r="G544" s="907">
        <v>1.43</v>
      </c>
    </row>
    <row r="545" spans="1:7" outlineLevel="1"/>
    <row r="546" spans="1:7" ht="15.75" outlineLevel="1" thickBot="1"/>
    <row r="547" spans="1:7" outlineLevel="1">
      <c r="A547" s="3614" t="s">
        <v>0</v>
      </c>
      <c r="B547" s="3693" t="s">
        <v>1</v>
      </c>
      <c r="C547" s="3693" t="s">
        <v>2</v>
      </c>
      <c r="D547" s="3693" t="s">
        <v>3</v>
      </c>
      <c r="E547" s="3693" t="s">
        <v>4</v>
      </c>
      <c r="F547" s="3522" t="s">
        <v>5</v>
      </c>
    </row>
    <row r="548" spans="1:7" ht="15.75" outlineLevel="1" thickBot="1">
      <c r="A548" s="4079"/>
      <c r="B548" s="4058"/>
      <c r="C548" s="4058"/>
      <c r="D548" s="4058"/>
      <c r="E548" s="4058"/>
      <c r="F548" s="4059"/>
    </row>
    <row r="549" spans="1:7" ht="15.75" outlineLevel="1">
      <c r="A549" s="841" t="s">
        <v>2171</v>
      </c>
      <c r="B549" s="288" t="s">
        <v>460</v>
      </c>
      <c r="C549" s="1115" t="s">
        <v>1892</v>
      </c>
      <c r="D549" s="288"/>
      <c r="E549" s="904">
        <f>(G549-F549)/G549</f>
        <v>0.14563106796116507</v>
      </c>
      <c r="F549" s="843">
        <v>0.88</v>
      </c>
      <c r="G549">
        <v>1.03</v>
      </c>
    </row>
    <row r="550" spans="1:7" ht="16.5" outlineLevel="1" thickBot="1">
      <c r="A550" s="884"/>
      <c r="B550" s="755"/>
      <c r="C550" s="1116" t="s">
        <v>1891</v>
      </c>
      <c r="D550" s="755"/>
      <c r="E550" s="904">
        <f>(G550-F550)/G550</f>
        <v>0.15384615384615388</v>
      </c>
      <c r="F550" s="918">
        <v>0.88</v>
      </c>
      <c r="G550" s="39">
        <v>1.04</v>
      </c>
    </row>
    <row r="551" spans="1:7" ht="15.75" outlineLevel="1" thickBot="1"/>
    <row r="552" spans="1:7" outlineLevel="1">
      <c r="A552" s="3614" t="s">
        <v>0</v>
      </c>
      <c r="B552" s="3693" t="s">
        <v>1</v>
      </c>
      <c r="C552" s="3693" t="s">
        <v>2</v>
      </c>
      <c r="D552" s="3693" t="s">
        <v>3</v>
      </c>
      <c r="E552" s="3693" t="s">
        <v>4</v>
      </c>
      <c r="F552" s="3522" t="s">
        <v>5</v>
      </c>
    </row>
    <row r="553" spans="1:7" ht="15.75" outlineLevel="1" thickBot="1">
      <c r="A553" s="4060"/>
      <c r="B553" s="4066"/>
      <c r="C553" s="4066"/>
      <c r="D553" s="4066"/>
      <c r="E553" s="4066"/>
      <c r="F553" s="4067"/>
    </row>
    <row r="554" spans="1:7" ht="16.5" outlineLevel="1" thickTop="1">
      <c r="A554" s="412" t="s">
        <v>2173</v>
      </c>
      <c r="B554" s="288" t="s">
        <v>2082</v>
      </c>
      <c r="C554" s="838" t="s">
        <v>2115</v>
      </c>
      <c r="D554" s="288"/>
      <c r="E554" s="290">
        <f>(G554-F554)/G554</f>
        <v>0.1496598639455782</v>
      </c>
      <c r="F554" s="758">
        <v>1.25</v>
      </c>
      <c r="G554">
        <v>1.47</v>
      </c>
    </row>
    <row r="555" spans="1:7" ht="15.75" outlineLevel="1">
      <c r="A555" s="302"/>
      <c r="B555" s="923"/>
      <c r="C555" s="838" t="s">
        <v>1315</v>
      </c>
      <c r="D555" s="288"/>
      <c r="E555" s="290">
        <f>(G555-F555)/G555</f>
        <v>0.1496598639455782</v>
      </c>
      <c r="F555" s="758">
        <v>1.25</v>
      </c>
      <c r="G555">
        <v>1.47</v>
      </c>
    </row>
    <row r="556" spans="1:7" ht="16.5" outlineLevel="1" thickBot="1">
      <c r="A556" s="460"/>
      <c r="B556" s="755"/>
      <c r="C556" s="840" t="s">
        <v>2116</v>
      </c>
      <c r="D556" s="592"/>
      <c r="E556" s="593">
        <f>(G556-F556)/G556</f>
        <v>0.1496598639455782</v>
      </c>
      <c r="F556" s="761">
        <v>1.25</v>
      </c>
      <c r="G556">
        <v>1.47</v>
      </c>
    </row>
    <row r="557" spans="1:7" ht="15.75" outlineLevel="1" thickBot="1"/>
    <row r="558" spans="1:7" outlineLevel="1">
      <c r="A558" s="3614" t="s">
        <v>0</v>
      </c>
      <c r="B558" s="3693" t="s">
        <v>1</v>
      </c>
      <c r="C558" s="3693" t="s">
        <v>2</v>
      </c>
      <c r="D558" s="3693" t="s">
        <v>3</v>
      </c>
      <c r="E558" s="3693" t="s">
        <v>4</v>
      </c>
      <c r="F558" s="3522" t="s">
        <v>5</v>
      </c>
    </row>
    <row r="559" spans="1:7" outlineLevel="1">
      <c r="A559" s="3681"/>
      <c r="B559" s="4183"/>
      <c r="C559" s="4183"/>
      <c r="D559" s="4183"/>
      <c r="E559" s="4183"/>
      <c r="F559" s="3717"/>
    </row>
    <row r="560" spans="1:7" outlineLevel="1">
      <c r="A560" s="924" t="s">
        <v>2174</v>
      </c>
      <c r="B560" s="923" t="s">
        <v>2016</v>
      </c>
      <c r="C560" s="925" t="s">
        <v>554</v>
      </c>
      <c r="D560" s="923"/>
      <c r="E560" s="926">
        <f t="shared" ref="E560:E565" si="26">(G560-F560)/G560</f>
        <v>0.2</v>
      </c>
      <c r="F560" s="927">
        <v>0.91199999999999992</v>
      </c>
      <c r="G560">
        <v>1.1399999999999999</v>
      </c>
    </row>
    <row r="561" spans="1:7" outlineLevel="1">
      <c r="A561" s="924"/>
      <c r="B561" s="923"/>
      <c r="C561" s="925" t="s">
        <v>730</v>
      </c>
      <c r="D561" s="923"/>
      <c r="E561" s="926">
        <f t="shared" si="26"/>
        <v>0.1999999999999999</v>
      </c>
      <c r="F561" s="927">
        <v>0.64000000000000012</v>
      </c>
      <c r="G561">
        <v>0.8</v>
      </c>
    </row>
    <row r="562" spans="1:7" outlineLevel="1">
      <c r="A562" s="928"/>
      <c r="B562" s="923"/>
      <c r="C562" s="1121" t="s">
        <v>2175</v>
      </c>
      <c r="D562" s="923"/>
      <c r="E562" s="926">
        <f t="shared" si="26"/>
        <v>0.2</v>
      </c>
      <c r="F562" s="927">
        <v>3.3840000000000003</v>
      </c>
      <c r="G562">
        <v>4.2300000000000004</v>
      </c>
    </row>
    <row r="563" spans="1:7" outlineLevel="1">
      <c r="A563" s="928"/>
      <c r="B563" s="923"/>
      <c r="C563" s="1121" t="s">
        <v>2176</v>
      </c>
      <c r="D563" s="923"/>
      <c r="E563" s="926">
        <f t="shared" si="26"/>
        <v>0.19999999999999998</v>
      </c>
      <c r="F563" s="927">
        <v>1.736</v>
      </c>
      <c r="G563" s="33">
        <v>2.17</v>
      </c>
    </row>
    <row r="564" spans="1:7" ht="28.5" outlineLevel="1">
      <c r="A564" s="928"/>
      <c r="B564" s="923"/>
      <c r="C564" s="1121" t="s">
        <v>2177</v>
      </c>
      <c r="D564" s="923"/>
      <c r="E564" s="926">
        <f t="shared" si="26"/>
        <v>0.14049586776859499</v>
      </c>
      <c r="F564" s="927">
        <v>1.04</v>
      </c>
      <c r="G564" s="33">
        <v>1.21</v>
      </c>
    </row>
    <row r="565" spans="1:7" ht="15.75" outlineLevel="1" thickBot="1">
      <c r="A565" s="930"/>
      <c r="B565" s="755"/>
      <c r="C565" s="931"/>
      <c r="D565" s="755"/>
      <c r="E565" s="850" t="e">
        <f t="shared" si="26"/>
        <v>#DIV/0!</v>
      </c>
      <c r="F565" s="761"/>
    </row>
    <row r="566" spans="1:7" ht="15.75" outlineLevel="1" thickBot="1"/>
    <row r="567" spans="1:7" outlineLevel="1">
      <c r="A567" s="3614" t="s">
        <v>0</v>
      </c>
      <c r="B567" s="3693" t="s">
        <v>1</v>
      </c>
      <c r="C567" s="3693" t="s">
        <v>2</v>
      </c>
      <c r="D567" s="3693" t="s">
        <v>3</v>
      </c>
      <c r="E567" s="3693" t="s">
        <v>4</v>
      </c>
      <c r="F567" s="3522" t="s">
        <v>5</v>
      </c>
    </row>
    <row r="568" spans="1:7" ht="15.75" outlineLevel="1" thickBot="1">
      <c r="A568" s="4079"/>
      <c r="B568" s="4058"/>
      <c r="C568" s="4058"/>
      <c r="D568" s="4058"/>
      <c r="E568" s="4058"/>
      <c r="F568" s="4059"/>
    </row>
    <row r="569" spans="1:7" ht="15.75" outlineLevel="1">
      <c r="A569" s="841" t="s">
        <v>2173</v>
      </c>
      <c r="B569" s="288" t="s">
        <v>2155</v>
      </c>
      <c r="C569" s="932" t="s">
        <v>1949</v>
      </c>
      <c r="D569" s="288"/>
      <c r="E569" s="290">
        <f t="shared" ref="E569:E574" si="27">(G569-F569)/G569</f>
        <v>0.14457831325301204</v>
      </c>
      <c r="F569" s="933">
        <v>0.71</v>
      </c>
      <c r="G569" s="934">
        <v>0.83</v>
      </c>
    </row>
    <row r="570" spans="1:7" ht="15.75" outlineLevel="1">
      <c r="A570" s="841"/>
      <c r="B570" s="923"/>
      <c r="C570" s="932" t="s">
        <v>1950</v>
      </c>
      <c r="D570" s="923"/>
      <c r="E570" s="926">
        <f t="shared" si="27"/>
        <v>0.14457831325301204</v>
      </c>
      <c r="F570" s="933">
        <v>0.71</v>
      </c>
      <c r="G570" s="934">
        <v>0.83</v>
      </c>
    </row>
    <row r="571" spans="1:7" ht="15.75" outlineLevel="1">
      <c r="A571" s="841"/>
      <c r="B571" s="923"/>
      <c r="C571" s="935" t="s">
        <v>2178</v>
      </c>
      <c r="D571" s="923"/>
      <c r="E571" s="926">
        <f t="shared" si="27"/>
        <v>0.15463917525773199</v>
      </c>
      <c r="F571" s="933">
        <v>0.82</v>
      </c>
      <c r="G571" s="934">
        <v>0.97</v>
      </c>
    </row>
    <row r="572" spans="1:7" ht="15.75" outlineLevel="1">
      <c r="A572" s="841"/>
      <c r="B572" s="923"/>
      <c r="C572" s="935" t="s">
        <v>57</v>
      </c>
      <c r="D572" s="923"/>
      <c r="E572" s="926">
        <f t="shared" si="27"/>
        <v>0.15384615384615388</v>
      </c>
      <c r="F572" s="933">
        <v>0.88</v>
      </c>
      <c r="G572" s="936">
        <v>1.04</v>
      </c>
    </row>
    <row r="573" spans="1:7" ht="15.75" outlineLevel="1">
      <c r="A573" s="841"/>
      <c r="B573" s="937"/>
      <c r="C573" s="935" t="s">
        <v>2179</v>
      </c>
      <c r="D573" s="937"/>
      <c r="E573" s="926">
        <f t="shared" si="27"/>
        <v>0.15079365079365076</v>
      </c>
      <c r="F573" s="933">
        <v>1.07</v>
      </c>
      <c r="G573" s="936">
        <v>1.26</v>
      </c>
    </row>
    <row r="574" spans="1:7" ht="15.75" outlineLevel="1" thickBot="1">
      <c r="A574" s="884"/>
      <c r="B574" s="755"/>
      <c r="C574" s="885"/>
      <c r="D574" s="755"/>
      <c r="E574" s="850" t="e">
        <f t="shared" si="27"/>
        <v>#DIV/0!</v>
      </c>
      <c r="F574" s="886"/>
      <c r="G574" s="792"/>
    </row>
    <row r="575" spans="1:7" ht="15.75" outlineLevel="1" thickBot="1"/>
    <row r="576" spans="1:7" outlineLevel="1">
      <c r="A576" s="3614" t="s">
        <v>0</v>
      </c>
      <c r="B576" s="3693" t="s">
        <v>1</v>
      </c>
      <c r="C576" s="3693" t="s">
        <v>2</v>
      </c>
      <c r="D576" s="3693" t="s">
        <v>3</v>
      </c>
      <c r="E576" s="3693" t="s">
        <v>4</v>
      </c>
      <c r="F576" s="3522" t="s">
        <v>5</v>
      </c>
    </row>
    <row r="577" spans="1:7" ht="15.75" outlineLevel="1" thickBot="1">
      <c r="A577" s="4060"/>
      <c r="B577" s="4066"/>
      <c r="C577" s="4066"/>
      <c r="D577" s="3716"/>
      <c r="E577" s="3716"/>
      <c r="F577" s="4067"/>
    </row>
    <row r="578" spans="1:7" ht="15.75" outlineLevel="1" thickTop="1">
      <c r="A578" s="940" t="s">
        <v>2180</v>
      </c>
      <c r="B578" s="288" t="s">
        <v>1593</v>
      </c>
      <c r="C578" s="925" t="s">
        <v>1374</v>
      </c>
      <c r="D578" s="941"/>
      <c r="E578" s="942">
        <f>(G578-F578)/G578</f>
        <v>0.10416666666666664</v>
      </c>
      <c r="F578" s="768">
        <v>0.86</v>
      </c>
      <c r="G578" s="541">
        <v>0.96</v>
      </c>
    </row>
    <row r="579" spans="1:7" outlineLevel="1">
      <c r="A579" s="940"/>
      <c r="B579" s="342"/>
      <c r="C579" s="943" t="s">
        <v>1301</v>
      </c>
      <c r="D579" s="941"/>
      <c r="E579" s="942">
        <f>(G579-F579)/G579</f>
        <v>0.10416666666666664</v>
      </c>
      <c r="F579" s="944">
        <v>0.86</v>
      </c>
      <c r="G579" s="541">
        <v>0.96</v>
      </c>
    </row>
    <row r="580" spans="1:7" ht="15.75" outlineLevel="1" thickBot="1">
      <c r="A580" s="460"/>
      <c r="B580" s="755"/>
      <c r="C580" s="1118" t="s">
        <v>2024</v>
      </c>
      <c r="D580" s="548"/>
      <c r="E580" s="549">
        <f>(G580-F580)/G580</f>
        <v>0.2</v>
      </c>
      <c r="F580" s="778">
        <v>0.52</v>
      </c>
      <c r="G580" s="541">
        <v>0.65</v>
      </c>
    </row>
    <row r="581" spans="1:7" ht="15.75" outlineLevel="1" thickBot="1"/>
    <row r="582" spans="1:7" outlineLevel="1">
      <c r="A582" s="3614" t="s">
        <v>0</v>
      </c>
      <c r="B582" s="3693" t="s">
        <v>1</v>
      </c>
      <c r="C582" s="3693" t="s">
        <v>2</v>
      </c>
      <c r="D582" s="3693" t="s">
        <v>3</v>
      </c>
      <c r="E582" s="3693" t="s">
        <v>4</v>
      </c>
      <c r="F582" s="3522" t="s">
        <v>5</v>
      </c>
    </row>
    <row r="583" spans="1:7" ht="15.75" outlineLevel="1" thickBot="1">
      <c r="A583" s="4060"/>
      <c r="B583" s="4066"/>
      <c r="C583" s="4066"/>
      <c r="D583" s="4066"/>
      <c r="E583" s="4066"/>
      <c r="F583" s="4067"/>
    </row>
    <row r="584" spans="1:7" ht="16.5" outlineLevel="1" thickTop="1" thickBot="1">
      <c r="A584" s="412" t="s">
        <v>2181</v>
      </c>
      <c r="B584" s="288" t="s">
        <v>2029</v>
      </c>
      <c r="C584" s="191" t="s">
        <v>1892</v>
      </c>
      <c r="D584" s="288"/>
      <c r="E584" s="549">
        <f>(G584-F584)/G584</f>
        <v>0.15217391304347827</v>
      </c>
      <c r="F584" s="758">
        <v>0.78</v>
      </c>
      <c r="G584">
        <v>0.92</v>
      </c>
    </row>
    <row r="585" spans="1:7" ht="15.75" outlineLevel="1" thickBot="1">
      <c r="A585" s="302"/>
      <c r="B585" s="923"/>
      <c r="C585" s="1120" t="s">
        <v>2176</v>
      </c>
      <c r="D585" s="288"/>
      <c r="E585" s="549">
        <f>(G585-F585)/G585</f>
        <v>0.24882629107981213</v>
      </c>
      <c r="F585" s="758">
        <v>1.6</v>
      </c>
      <c r="G585">
        <v>2.13</v>
      </c>
    </row>
    <row r="586" spans="1:7" ht="15.75" outlineLevel="1" thickBot="1">
      <c r="A586" s="460"/>
      <c r="B586" s="755"/>
      <c r="C586" s="760"/>
      <c r="D586" s="592"/>
      <c r="E586" s="593"/>
      <c r="F586" s="761"/>
    </row>
    <row r="587" spans="1:7" ht="15.75" outlineLevel="1" thickBot="1"/>
    <row r="588" spans="1:7" outlineLevel="1">
      <c r="A588" s="3614" t="s">
        <v>0</v>
      </c>
      <c r="B588" s="3693" t="s">
        <v>1</v>
      </c>
      <c r="C588" s="3693" t="s">
        <v>2</v>
      </c>
      <c r="D588" s="3693" t="s">
        <v>3</v>
      </c>
      <c r="E588" s="3693" t="s">
        <v>4</v>
      </c>
      <c r="F588" s="3522" t="s">
        <v>5</v>
      </c>
    </row>
    <row r="589" spans="1:7" ht="15.75" outlineLevel="1" thickBot="1">
      <c r="A589" s="4060"/>
      <c r="B589" s="4066"/>
      <c r="C589" s="4066"/>
      <c r="D589" s="4066"/>
      <c r="E589" s="4066"/>
      <c r="F589" s="4067"/>
    </row>
    <row r="590" spans="1:7" ht="16.5" outlineLevel="1" thickTop="1" thickBot="1">
      <c r="A590" s="412" t="s">
        <v>2182</v>
      </c>
      <c r="B590" s="288" t="s">
        <v>2183</v>
      </c>
      <c r="C590" s="191" t="s">
        <v>1892</v>
      </c>
      <c r="D590" s="288"/>
      <c r="E590" s="549">
        <f>(G590-F590)/G590</f>
        <v>0.19999999999999996</v>
      </c>
      <c r="F590" s="758">
        <v>0.76</v>
      </c>
      <c r="G590">
        <v>0.95</v>
      </c>
    </row>
    <row r="591" spans="1:7" ht="15.75" outlineLevel="1" thickBot="1">
      <c r="A591" s="302"/>
      <c r="B591" s="923"/>
      <c r="C591" s="921"/>
      <c r="D591" s="288"/>
      <c r="E591" s="549"/>
      <c r="F591" s="758"/>
    </row>
    <row r="592" spans="1:7" ht="15.75" outlineLevel="1" thickBot="1">
      <c r="A592" s="460"/>
      <c r="B592" s="755"/>
      <c r="C592" s="760"/>
      <c r="D592" s="592"/>
      <c r="E592" s="593"/>
      <c r="F592" s="761"/>
    </row>
    <row r="593" spans="1:7" ht="15.75" outlineLevel="1" thickBot="1"/>
    <row r="594" spans="1:7" outlineLevel="1">
      <c r="A594" s="3614" t="s">
        <v>0</v>
      </c>
      <c r="B594" s="3693" t="s">
        <v>1</v>
      </c>
      <c r="C594" s="3693" t="s">
        <v>2</v>
      </c>
      <c r="D594" s="3693" t="s">
        <v>3</v>
      </c>
      <c r="E594" s="3693" t="s">
        <v>4</v>
      </c>
      <c r="F594" s="3522" t="s">
        <v>5</v>
      </c>
    </row>
    <row r="595" spans="1:7" ht="15.75" outlineLevel="1" thickBot="1">
      <c r="A595" s="4079"/>
      <c r="B595" s="4058"/>
      <c r="C595" s="4058"/>
      <c r="D595" s="4058"/>
      <c r="E595" s="4058"/>
      <c r="F595" s="4059"/>
    </row>
    <row r="596" spans="1:7" ht="15.75" outlineLevel="1">
      <c r="A596" s="841" t="s">
        <v>2190</v>
      </c>
      <c r="B596" s="288" t="s">
        <v>460</v>
      </c>
      <c r="C596" s="952" t="s">
        <v>2191</v>
      </c>
      <c r="D596" s="288"/>
      <c r="E596" s="904">
        <f>(G596-F596)/G596</f>
        <v>0.19902912621359228</v>
      </c>
      <c r="F596" s="843">
        <v>3.3</v>
      </c>
      <c r="G596">
        <v>4.12</v>
      </c>
    </row>
    <row r="597" spans="1:7" ht="15.75" outlineLevel="1">
      <c r="A597" s="841"/>
      <c r="B597" s="923"/>
      <c r="C597" s="953" t="s">
        <v>2192</v>
      </c>
      <c r="D597" s="923"/>
      <c r="E597" s="954">
        <f>(G597-F597)/G597</f>
        <v>0.2006472491909384</v>
      </c>
      <c r="F597" s="845">
        <v>4.9400000000000004</v>
      </c>
      <c r="G597">
        <v>6.18</v>
      </c>
    </row>
    <row r="598" spans="1:7" ht="15.75" outlineLevel="1">
      <c r="A598" s="841"/>
      <c r="B598" s="923"/>
      <c r="C598" s="953" t="s">
        <v>2193</v>
      </c>
      <c r="D598" s="923"/>
      <c r="E598" s="954">
        <f>(G598-F598)/G598</f>
        <v>0.2006472491909384</v>
      </c>
      <c r="F598" s="845">
        <v>4.9400000000000004</v>
      </c>
      <c r="G598">
        <v>6.18</v>
      </c>
    </row>
    <row r="599" spans="1:7" ht="16.5" outlineLevel="1" thickBot="1">
      <c r="A599" s="884"/>
      <c r="B599" s="755"/>
      <c r="C599" s="955" t="s">
        <v>2194</v>
      </c>
      <c r="D599" s="755"/>
      <c r="E599" s="956">
        <f>(G599-F599)/G599</f>
        <v>0.2006472491909384</v>
      </c>
      <c r="F599" s="918">
        <v>4.9400000000000004</v>
      </c>
      <c r="G599" s="39">
        <v>6.18</v>
      </c>
    </row>
    <row r="600" spans="1:7" ht="15.75" outlineLevel="1" thickBot="1"/>
    <row r="601" spans="1:7" outlineLevel="1">
      <c r="A601" s="3614" t="s">
        <v>0</v>
      </c>
      <c r="B601" s="3693" t="s">
        <v>1</v>
      </c>
      <c r="C601" s="3693" t="s">
        <v>2</v>
      </c>
      <c r="D601" s="3693" t="s">
        <v>3</v>
      </c>
      <c r="E601" s="3693" t="s">
        <v>4</v>
      </c>
      <c r="F601" s="3522" t="s">
        <v>5</v>
      </c>
    </row>
    <row r="602" spans="1:7" ht="15.75" outlineLevel="1" thickBot="1">
      <c r="A602" s="4079"/>
      <c r="B602" s="4058"/>
      <c r="C602" s="4058"/>
      <c r="D602" s="4058"/>
      <c r="E602" s="4058"/>
      <c r="F602" s="4059"/>
    </row>
    <row r="603" spans="1:7" ht="15.75" outlineLevel="1">
      <c r="A603" s="841" t="s">
        <v>2195</v>
      </c>
      <c r="B603" s="288" t="s">
        <v>2196</v>
      </c>
      <c r="C603" s="952" t="s">
        <v>2191</v>
      </c>
      <c r="D603" s="288"/>
      <c r="E603" s="904">
        <f>(G603-F603)/G603</f>
        <v>0.19902912621359228</v>
      </c>
      <c r="F603" s="843">
        <v>3.3</v>
      </c>
      <c r="G603">
        <v>4.12</v>
      </c>
    </row>
    <row r="604" spans="1:7" ht="15.75" outlineLevel="1">
      <c r="A604" s="841"/>
      <c r="B604" s="923"/>
      <c r="C604" s="953" t="s">
        <v>2192</v>
      </c>
      <c r="D604" s="923"/>
      <c r="E604" s="954">
        <f>(G604-F604)/G604</f>
        <v>0.2006472491909384</v>
      </c>
      <c r="F604" s="845">
        <v>4.9400000000000004</v>
      </c>
      <c r="G604">
        <v>6.18</v>
      </c>
    </row>
    <row r="605" spans="1:7" ht="15.75" outlineLevel="1">
      <c r="A605" s="841"/>
      <c r="B605" s="923"/>
      <c r="C605" s="953" t="s">
        <v>2193</v>
      </c>
      <c r="D605" s="923"/>
      <c r="E605" s="954">
        <f>(G605-F605)/G605</f>
        <v>0.2006472491909384</v>
      </c>
      <c r="F605" s="845">
        <v>4.9400000000000004</v>
      </c>
      <c r="G605">
        <v>6.18</v>
      </c>
    </row>
    <row r="606" spans="1:7" ht="16.5" outlineLevel="1" thickBot="1">
      <c r="A606" s="884"/>
      <c r="B606" s="755"/>
      <c r="C606" s="955" t="s">
        <v>2194</v>
      </c>
      <c r="D606" s="755"/>
      <c r="E606" s="956">
        <f>(G606-F606)/G606</f>
        <v>0.2006472491909384</v>
      </c>
      <c r="F606" s="918">
        <v>4.9400000000000004</v>
      </c>
      <c r="G606" s="39">
        <v>6.18</v>
      </c>
    </row>
    <row r="607" spans="1:7" outlineLevel="1"/>
    <row r="608" spans="1:7" ht="15.75" outlineLevel="1" thickBot="1"/>
    <row r="609" spans="1:7" outlineLevel="1">
      <c r="A609" s="3572" t="s">
        <v>0</v>
      </c>
      <c r="B609" s="3636" t="s">
        <v>1</v>
      </c>
      <c r="C609" s="3636" t="s">
        <v>2</v>
      </c>
      <c r="D609" s="3636" t="s">
        <v>3</v>
      </c>
      <c r="E609" s="3636" t="s">
        <v>4</v>
      </c>
      <c r="F609" s="3559" t="s">
        <v>5</v>
      </c>
      <c r="G609" s="429"/>
    </row>
    <row r="610" spans="1:7" ht="15.75" outlineLevel="1" thickBot="1">
      <c r="A610" s="3696"/>
      <c r="B610" s="3718"/>
      <c r="C610" s="3718"/>
      <c r="D610" s="3718"/>
      <c r="E610" s="3718"/>
      <c r="F610" s="3727"/>
      <c r="G610" s="429"/>
    </row>
    <row r="611" spans="1:7" ht="15.75" outlineLevel="1" thickTop="1">
      <c r="A611" s="813" t="s">
        <v>2205</v>
      </c>
      <c r="B611" s="388" t="s">
        <v>120</v>
      </c>
      <c r="C611" s="938" t="s">
        <v>436</v>
      </c>
      <c r="D611" s="388"/>
      <c r="E611" s="638">
        <f>(G611-F611)/G611</f>
        <v>0.37500000000000006</v>
      </c>
      <c r="F611" s="872">
        <v>0.95</v>
      </c>
      <c r="G611" s="429">
        <v>1.52</v>
      </c>
    </row>
    <row r="612" spans="1:7" outlineLevel="1">
      <c r="A612" s="491"/>
      <c r="B612" s="939" t="s">
        <v>121</v>
      </c>
      <c r="C612" s="938" t="s">
        <v>2206</v>
      </c>
      <c r="D612" s="388"/>
      <c r="E612" s="638">
        <f t="shared" ref="E612:E619" si="28">(G612-F612)/G612</f>
        <v>0.37500000000000006</v>
      </c>
      <c r="F612" s="872">
        <v>0.95</v>
      </c>
      <c r="G612" s="429">
        <v>1.52</v>
      </c>
    </row>
    <row r="613" spans="1:7" outlineLevel="1">
      <c r="A613" s="491"/>
      <c r="B613" s="939" t="s">
        <v>123</v>
      </c>
      <c r="C613" s="938" t="s">
        <v>53</v>
      </c>
      <c r="D613" s="388"/>
      <c r="E613" s="638">
        <f t="shared" si="28"/>
        <v>0.25263157894736843</v>
      </c>
      <c r="F613" s="872">
        <v>0.71</v>
      </c>
      <c r="G613" s="429">
        <v>0.95</v>
      </c>
    </row>
    <row r="614" spans="1:7" outlineLevel="1">
      <c r="A614" s="491"/>
      <c r="B614" s="939" t="s">
        <v>122</v>
      </c>
      <c r="C614" s="938" t="s">
        <v>1120</v>
      </c>
      <c r="D614" s="388"/>
      <c r="E614" s="638">
        <f t="shared" si="28"/>
        <v>0.31999999999999995</v>
      </c>
      <c r="F614" s="872">
        <v>0.34</v>
      </c>
      <c r="G614" s="528">
        <v>0.5</v>
      </c>
    </row>
    <row r="615" spans="1:7" ht="15.75" outlineLevel="1" thickBot="1">
      <c r="A615" s="491"/>
      <c r="B615" s="816" t="s">
        <v>2057</v>
      </c>
      <c r="C615" s="960" t="s">
        <v>920</v>
      </c>
      <c r="D615" s="388"/>
      <c r="E615" s="638">
        <f t="shared" si="28"/>
        <v>0.25316455696202539</v>
      </c>
      <c r="F615" s="961">
        <v>0.59</v>
      </c>
      <c r="G615" s="528">
        <v>0.79</v>
      </c>
    </row>
    <row r="616" spans="1:7" outlineLevel="1">
      <c r="A616" s="491"/>
      <c r="B616" s="962"/>
      <c r="C616" s="960" t="s">
        <v>905</v>
      </c>
      <c r="D616" s="388"/>
      <c r="E616" s="638">
        <f t="shared" si="28"/>
        <v>0.29487179487179482</v>
      </c>
      <c r="F616" s="961">
        <v>0.55000000000000004</v>
      </c>
      <c r="G616" s="528">
        <v>0.78</v>
      </c>
    </row>
    <row r="617" spans="1:7" outlineLevel="1">
      <c r="A617" s="491"/>
      <c r="B617" s="962"/>
      <c r="C617" s="960" t="s">
        <v>1345</v>
      </c>
      <c r="D617" s="388"/>
      <c r="E617" s="638">
        <f t="shared" si="28"/>
        <v>0.20689655172413798</v>
      </c>
      <c r="F617" s="961">
        <v>1.38</v>
      </c>
      <c r="G617" s="528">
        <v>1.74</v>
      </c>
    </row>
    <row r="618" spans="1:7" outlineLevel="1">
      <c r="A618" s="491"/>
      <c r="B618" s="962"/>
      <c r="C618" s="960" t="s">
        <v>2207</v>
      </c>
      <c r="D618" s="388"/>
      <c r="E618" s="638">
        <f t="shared" si="28"/>
        <v>0.3235294117647059</v>
      </c>
      <c r="F618" s="961">
        <v>0.46</v>
      </c>
      <c r="G618" s="528">
        <v>0.68</v>
      </c>
    </row>
    <row r="619" spans="1:7" ht="15.75" outlineLevel="1" thickBot="1">
      <c r="A619" s="500"/>
      <c r="B619" s="816"/>
      <c r="C619" s="817"/>
      <c r="D619" s="388"/>
      <c r="E619" s="638" t="e">
        <f t="shared" si="28"/>
        <v>#DIV/0!</v>
      </c>
      <c r="F619" s="818"/>
      <c r="G619" s="528"/>
    </row>
    <row r="620" spans="1:7" ht="15.75" outlineLevel="1" thickBot="1"/>
    <row r="621" spans="1:7" outlineLevel="1">
      <c r="A621" s="3614" t="s">
        <v>0</v>
      </c>
      <c r="B621" s="3693" t="s">
        <v>1</v>
      </c>
      <c r="C621" s="3693" t="s">
        <v>2</v>
      </c>
      <c r="D621" s="3693" t="s">
        <v>3</v>
      </c>
      <c r="E621" s="3693" t="s">
        <v>4</v>
      </c>
      <c r="F621" s="3522" t="s">
        <v>5</v>
      </c>
    </row>
    <row r="622" spans="1:7" outlineLevel="1">
      <c r="A622" s="3681"/>
      <c r="B622" s="3716"/>
      <c r="C622" s="3716"/>
      <c r="D622" s="3716"/>
      <c r="E622" s="3716"/>
      <c r="F622" s="3717"/>
    </row>
    <row r="623" spans="1:7" outlineLevel="1">
      <c r="A623" s="924" t="s">
        <v>2217</v>
      </c>
      <c r="B623" s="923" t="s">
        <v>2016</v>
      </c>
      <c r="C623" s="925" t="s">
        <v>623</v>
      </c>
      <c r="D623" s="923"/>
      <c r="E623" s="926">
        <f t="shared" ref="E623:E628" si="29">(G623-F623)/G623</f>
        <v>0.20105820105820102</v>
      </c>
      <c r="F623" s="927">
        <v>1.51</v>
      </c>
      <c r="G623">
        <v>1.89</v>
      </c>
    </row>
    <row r="624" spans="1:7" outlineLevel="1">
      <c r="A624" s="924"/>
      <c r="B624" s="923"/>
      <c r="C624" s="925" t="s">
        <v>183</v>
      </c>
      <c r="D624" s="923"/>
      <c r="E624" s="926">
        <f t="shared" si="29"/>
        <v>0.15079365079365076</v>
      </c>
      <c r="F624" s="927">
        <v>1.07</v>
      </c>
      <c r="G624">
        <v>1.26</v>
      </c>
    </row>
    <row r="625" spans="1:7" outlineLevel="1">
      <c r="A625" s="928"/>
      <c r="B625" s="923"/>
      <c r="C625" s="929" t="s">
        <v>154</v>
      </c>
      <c r="D625" s="923"/>
      <c r="E625" s="926">
        <f t="shared" si="29"/>
        <v>0.14893617021276587</v>
      </c>
      <c r="F625" s="927">
        <v>0.8</v>
      </c>
      <c r="G625">
        <v>0.94</v>
      </c>
    </row>
    <row r="626" spans="1:7" outlineLevel="1">
      <c r="A626" s="928"/>
      <c r="B626" s="923"/>
      <c r="C626" s="929" t="s">
        <v>1890</v>
      </c>
      <c r="D626" s="923"/>
      <c r="E626" s="926">
        <f t="shared" si="29"/>
        <v>0.14492753623188404</v>
      </c>
      <c r="F626" s="927">
        <v>0.59</v>
      </c>
      <c r="G626" s="33">
        <v>0.69</v>
      </c>
    </row>
    <row r="627" spans="1:7" outlineLevel="1">
      <c r="A627" s="928"/>
      <c r="B627" s="923"/>
      <c r="C627" s="929"/>
      <c r="D627" s="923"/>
      <c r="E627" s="926" t="e">
        <f t="shared" si="29"/>
        <v>#DIV/0!</v>
      </c>
      <c r="F627" s="927"/>
      <c r="G627" s="33"/>
    </row>
    <row r="628" spans="1:7" ht="15.75" outlineLevel="1" thickBot="1">
      <c r="A628" s="930"/>
      <c r="B628" s="755"/>
      <c r="C628" s="931"/>
      <c r="D628" s="755"/>
      <c r="E628" s="850" t="e">
        <f t="shared" si="29"/>
        <v>#DIV/0!</v>
      </c>
      <c r="F628" s="761"/>
    </row>
    <row r="629" spans="1:7" ht="15.75" outlineLevel="1" thickBot="1"/>
    <row r="630" spans="1:7" ht="15.75" outlineLevel="1">
      <c r="A630" s="4138" t="s">
        <v>0</v>
      </c>
      <c r="B630" s="4134" t="s">
        <v>1</v>
      </c>
      <c r="C630" s="4134" t="s">
        <v>2</v>
      </c>
      <c r="D630" s="4134" t="s">
        <v>3</v>
      </c>
      <c r="E630" s="4134" t="s">
        <v>4</v>
      </c>
      <c r="F630" s="4136" t="s">
        <v>5</v>
      </c>
      <c r="G630" s="900"/>
    </row>
    <row r="631" spans="1:7" ht="16.5" outlineLevel="1" thickBot="1">
      <c r="A631" s="4167"/>
      <c r="B631" s="4168"/>
      <c r="C631" s="4168"/>
      <c r="D631" s="4168"/>
      <c r="E631" s="4168"/>
      <c r="F631" s="4177"/>
      <c r="G631" s="900"/>
    </row>
    <row r="632" spans="1:7" ht="16.5" outlineLevel="1" thickTop="1">
      <c r="A632" s="901" t="s">
        <v>2230</v>
      </c>
      <c r="B632" s="902" t="s">
        <v>1708</v>
      </c>
      <c r="C632" s="903" t="s">
        <v>1058</v>
      </c>
      <c r="D632" s="902"/>
      <c r="E632" s="904">
        <f>(G632-F632)/G632</f>
        <v>0.20098039215686281</v>
      </c>
      <c r="F632" s="905">
        <v>1.63</v>
      </c>
      <c r="G632" s="900">
        <v>2.04</v>
      </c>
    </row>
    <row r="633" spans="1:7" ht="15.75" outlineLevel="1">
      <c r="A633" s="4181"/>
      <c r="B633" s="969"/>
      <c r="C633" s="903" t="s">
        <v>1345</v>
      </c>
      <c r="D633" s="902"/>
      <c r="E633" s="904">
        <f t="shared" ref="E633:E643" si="30">(G633-F633)/G633</f>
        <v>0.15028901734104047</v>
      </c>
      <c r="F633" s="905">
        <v>1.47</v>
      </c>
      <c r="G633" s="900">
        <v>1.73</v>
      </c>
    </row>
    <row r="634" spans="1:7" ht="15.75" outlineLevel="1">
      <c r="A634" s="4181"/>
      <c r="B634" s="969"/>
      <c r="C634" s="903" t="s">
        <v>1355</v>
      </c>
      <c r="D634" s="902"/>
      <c r="E634" s="904">
        <f t="shared" si="30"/>
        <v>0.15028901734104047</v>
      </c>
      <c r="F634" s="905">
        <v>1.47</v>
      </c>
      <c r="G634" s="900">
        <v>1.73</v>
      </c>
    </row>
    <row r="635" spans="1:7" ht="15.75" outlineLevel="1">
      <c r="A635" s="4181"/>
      <c r="B635" s="969"/>
      <c r="C635" s="903" t="s">
        <v>1413</v>
      </c>
      <c r="D635" s="902"/>
      <c r="E635" s="904">
        <f t="shared" si="30"/>
        <v>0.15028901734104047</v>
      </c>
      <c r="F635" s="905">
        <v>1.47</v>
      </c>
      <c r="G635" s="900">
        <v>1.73</v>
      </c>
    </row>
    <row r="636" spans="1:7" ht="15.75" outlineLevel="1">
      <c r="A636" s="4181"/>
      <c r="B636" s="969"/>
      <c r="C636" s="903" t="s">
        <v>1429</v>
      </c>
      <c r="D636" s="902"/>
      <c r="E636" s="904">
        <f t="shared" si="30"/>
        <v>0.15028901734104047</v>
      </c>
      <c r="F636" s="905">
        <v>1.47</v>
      </c>
      <c r="G636" s="900">
        <v>1.73</v>
      </c>
    </row>
    <row r="637" spans="1:7" ht="15.75" outlineLevel="1">
      <c r="A637" s="4181"/>
      <c r="B637" s="969"/>
      <c r="C637" s="903" t="s">
        <v>2139</v>
      </c>
      <c r="D637" s="902"/>
      <c r="E637" s="904">
        <f t="shared" si="30"/>
        <v>0.20000000000000004</v>
      </c>
      <c r="F637" s="905">
        <v>1.2</v>
      </c>
      <c r="G637" s="907">
        <v>1.5</v>
      </c>
    </row>
    <row r="638" spans="1:7" ht="15.75" outlineLevel="1">
      <c r="A638" s="4181"/>
      <c r="B638" s="969"/>
      <c r="C638" s="903" t="s">
        <v>920</v>
      </c>
      <c r="D638" s="902"/>
      <c r="E638" s="904">
        <f t="shared" si="30"/>
        <v>0.15189873417721517</v>
      </c>
      <c r="F638" s="905">
        <v>0.67</v>
      </c>
      <c r="G638" s="907">
        <v>0.79</v>
      </c>
    </row>
    <row r="639" spans="1:7" ht="15.75" outlineLevel="1">
      <c r="A639" s="4181"/>
      <c r="B639" s="970"/>
      <c r="C639" s="971"/>
      <c r="D639" s="910"/>
      <c r="E639" s="911" t="e">
        <f t="shared" si="30"/>
        <v>#DIV/0!</v>
      </c>
      <c r="F639" s="972"/>
      <c r="G639" s="907"/>
    </row>
    <row r="640" spans="1:7" ht="15.75" outlineLevel="1">
      <c r="A640" s="4181"/>
      <c r="B640" s="969"/>
      <c r="C640" s="973"/>
      <c r="D640" s="969"/>
      <c r="E640" s="974" t="e">
        <f t="shared" si="30"/>
        <v>#DIV/0!</v>
      </c>
      <c r="F640" s="975"/>
      <c r="G640" s="907"/>
    </row>
    <row r="641" spans="1:8" ht="15.75" outlineLevel="1">
      <c r="A641" s="4181"/>
      <c r="B641" s="976"/>
      <c r="C641" s="976"/>
      <c r="D641" s="976"/>
      <c r="E641" s="974" t="e">
        <f t="shared" si="30"/>
        <v>#DIV/0!</v>
      </c>
      <c r="F641" s="975"/>
      <c r="G641" s="907"/>
    </row>
    <row r="642" spans="1:8" ht="15.75" outlineLevel="1">
      <c r="A642" s="4181"/>
      <c r="B642" s="976"/>
      <c r="C642" s="976"/>
      <c r="D642" s="976"/>
      <c r="E642" s="974" t="e">
        <f t="shared" si="30"/>
        <v>#DIV/0!</v>
      </c>
      <c r="F642" s="975"/>
      <c r="G642" s="907"/>
    </row>
    <row r="643" spans="1:8" ht="15.75" outlineLevel="1">
      <c r="A643" s="4182"/>
      <c r="B643" s="976"/>
      <c r="C643" s="976"/>
      <c r="D643" s="976"/>
      <c r="E643" s="974" t="e">
        <f t="shared" si="30"/>
        <v>#DIV/0!</v>
      </c>
      <c r="F643" s="975"/>
      <c r="G643" s="907"/>
    </row>
    <row r="644" spans="1:8" outlineLevel="1"/>
    <row r="645" spans="1:8" ht="15.75" outlineLevel="1" thickBot="1"/>
    <row r="646" spans="1:8" outlineLevel="1">
      <c r="A646" s="4169" t="s">
        <v>0</v>
      </c>
      <c r="B646" s="4171" t="s">
        <v>1</v>
      </c>
      <c r="C646" s="4173" t="s">
        <v>2</v>
      </c>
      <c r="D646" s="4175" t="s">
        <v>3</v>
      </c>
      <c r="E646" s="4169" t="s">
        <v>4</v>
      </c>
      <c r="F646" s="4171" t="s">
        <v>5</v>
      </c>
    </row>
    <row r="647" spans="1:8" ht="15.75" outlineLevel="1" thickBot="1">
      <c r="A647" s="4170"/>
      <c r="B647" s="4172"/>
      <c r="C647" s="4174"/>
      <c r="D647" s="4176"/>
      <c r="E647" s="4170"/>
      <c r="F647" s="4172"/>
    </row>
    <row r="648" spans="1:8" ht="15.75" outlineLevel="1">
      <c r="A648" s="919" t="s">
        <v>2233</v>
      </c>
      <c r="B648" s="5" t="s">
        <v>2234</v>
      </c>
      <c r="C648" s="5" t="s">
        <v>1259</v>
      </c>
      <c r="D648" s="5"/>
      <c r="E648" s="904">
        <f>(G648-F648)/G648</f>
        <v>0.15882778581765558</v>
      </c>
      <c r="F648" s="603">
        <v>23.25</v>
      </c>
      <c r="G648">
        <v>27.64</v>
      </c>
      <c r="H648" t="s">
        <v>2235</v>
      </c>
    </row>
    <row r="649" spans="1:8" ht="15.75" outlineLevel="1">
      <c r="A649" s="830"/>
      <c r="B649" s="977"/>
      <c r="C649" s="977" t="s">
        <v>550</v>
      </c>
      <c r="D649" s="977"/>
      <c r="E649" s="974">
        <f t="shared" ref="E649:E655" si="31">(G649-F649)/G649</f>
        <v>0.15882778581765558</v>
      </c>
      <c r="F649" s="857">
        <v>23.25</v>
      </c>
      <c r="G649">
        <v>27.64</v>
      </c>
      <c r="H649" t="s">
        <v>2235</v>
      </c>
    </row>
    <row r="650" spans="1:8" ht="15.75" outlineLevel="1">
      <c r="A650" s="830"/>
      <c r="B650" s="977"/>
      <c r="C650" s="977" t="s">
        <v>1258</v>
      </c>
      <c r="D650" s="977"/>
      <c r="E650" s="974">
        <f t="shared" si="31"/>
        <v>0.15882352941176459</v>
      </c>
      <c r="F650" s="857">
        <v>27.17</v>
      </c>
      <c r="G650">
        <v>32.299999999999997</v>
      </c>
      <c r="H650" t="s">
        <v>2235</v>
      </c>
    </row>
    <row r="651" spans="1:8" ht="15.75" outlineLevel="1">
      <c r="A651" s="830"/>
      <c r="B651" s="977"/>
      <c r="C651" s="977" t="s">
        <v>549</v>
      </c>
      <c r="D651" s="977"/>
      <c r="E651" s="974">
        <f t="shared" si="31"/>
        <v>0.15882352941176459</v>
      </c>
      <c r="F651" s="857">
        <v>27.17</v>
      </c>
      <c r="G651">
        <v>32.299999999999997</v>
      </c>
      <c r="H651" t="s">
        <v>2235</v>
      </c>
    </row>
    <row r="652" spans="1:8" ht="15.75" outlineLevel="1">
      <c r="A652" s="830"/>
      <c r="B652" s="977"/>
      <c r="C652" s="977" t="s">
        <v>2115</v>
      </c>
      <c r="D652" s="977"/>
      <c r="E652" s="974">
        <f t="shared" si="31"/>
        <v>0.29605263157894735</v>
      </c>
      <c r="F652" s="857">
        <v>1.07</v>
      </c>
      <c r="G652">
        <v>1.52</v>
      </c>
    </row>
    <row r="653" spans="1:8" ht="15.75" outlineLevel="1">
      <c r="A653" s="830"/>
      <c r="B653" s="977"/>
      <c r="C653" s="977" t="s">
        <v>2116</v>
      </c>
      <c r="D653" s="977"/>
      <c r="E653" s="974">
        <f t="shared" si="31"/>
        <v>0.29605263157894735</v>
      </c>
      <c r="F653" s="857">
        <v>1.07</v>
      </c>
      <c r="G653">
        <v>1.52</v>
      </c>
    </row>
    <row r="654" spans="1:8" ht="15.75" outlineLevel="1">
      <c r="A654" s="830"/>
      <c r="B654" s="977"/>
      <c r="C654" s="977" t="s">
        <v>2066</v>
      </c>
      <c r="D654" s="977"/>
      <c r="E654" s="974">
        <f t="shared" si="31"/>
        <v>0.29605263157894735</v>
      </c>
      <c r="F654" s="857">
        <v>1.07</v>
      </c>
      <c r="G654">
        <v>1.52</v>
      </c>
    </row>
    <row r="655" spans="1:8" ht="16.5" outlineLevel="1" thickBot="1">
      <c r="A655" s="832"/>
      <c r="B655" s="760"/>
      <c r="C655" s="760" t="s">
        <v>623</v>
      </c>
      <c r="D655" s="760"/>
      <c r="E655" s="956">
        <f t="shared" si="31"/>
        <v>0.25510204081632654</v>
      </c>
      <c r="F655" s="859">
        <v>1.46</v>
      </c>
      <c r="G655">
        <v>1.96</v>
      </c>
    </row>
    <row r="656" spans="1:8" outlineLevel="1"/>
    <row r="657" spans="1:8" ht="15.75" outlineLevel="1" thickBot="1"/>
    <row r="658" spans="1:8" outlineLevel="1">
      <c r="A658" s="3614" t="s">
        <v>0</v>
      </c>
      <c r="B658" s="3693" t="s">
        <v>1</v>
      </c>
      <c r="C658" s="3693" t="s">
        <v>2</v>
      </c>
      <c r="D658" s="3693" t="s">
        <v>3</v>
      </c>
      <c r="E658" s="3693" t="s">
        <v>4</v>
      </c>
      <c r="F658" s="3522" t="s">
        <v>5</v>
      </c>
    </row>
    <row r="659" spans="1:8" ht="15.75" outlineLevel="1" thickBot="1">
      <c r="A659" s="3681"/>
      <c r="B659" s="3687"/>
      <c r="C659" s="3687"/>
      <c r="D659" s="3687"/>
      <c r="E659" s="3687"/>
      <c r="F659" s="3717"/>
    </row>
    <row r="660" spans="1:8" outlineLevel="1">
      <c r="A660" s="879" t="s">
        <v>2237</v>
      </c>
      <c r="B660" s="178" t="s">
        <v>2102</v>
      </c>
      <c r="C660" s="178" t="s">
        <v>1810</v>
      </c>
      <c r="D660" s="178"/>
      <c r="E660" s="880">
        <f>(G660-F660)/G660</f>
        <v>0.25000000000000006</v>
      </c>
      <c r="F660" s="881">
        <v>16.47</v>
      </c>
      <c r="G660">
        <v>21.96</v>
      </c>
    </row>
    <row r="661" spans="1:8" outlineLevel="1">
      <c r="A661" s="830"/>
      <c r="B661" s="977"/>
      <c r="C661" s="977" t="s">
        <v>1556</v>
      </c>
      <c r="D661" s="977"/>
      <c r="E661" s="980">
        <f>(G661-F661)/G661</f>
        <v>0.13524590163934436</v>
      </c>
      <c r="F661" s="857">
        <v>18.989999999999998</v>
      </c>
      <c r="G661">
        <v>21.96</v>
      </c>
    </row>
    <row r="662" spans="1:8" outlineLevel="1">
      <c r="A662" s="830"/>
      <c r="B662" s="977"/>
      <c r="C662" s="977" t="s">
        <v>1557</v>
      </c>
      <c r="D662" s="977"/>
      <c r="E662" s="980">
        <f>(G662-F662)/G662</f>
        <v>0.13524590163934436</v>
      </c>
      <c r="F662" s="857">
        <v>18.989999999999998</v>
      </c>
      <c r="G662">
        <v>21.96</v>
      </c>
    </row>
    <row r="663" spans="1:8" outlineLevel="1">
      <c r="A663" s="830"/>
      <c r="B663" s="977"/>
      <c r="C663" s="977" t="s">
        <v>1763</v>
      </c>
      <c r="D663" s="977"/>
      <c r="E663" s="980">
        <f>(G663-F663)/G663</f>
        <v>0.13524590163934436</v>
      </c>
      <c r="F663" s="857">
        <v>18.989999999999998</v>
      </c>
      <c r="G663">
        <v>21.96</v>
      </c>
    </row>
    <row r="664" spans="1:8" ht="15.75" outlineLevel="1" thickBot="1">
      <c r="A664" s="832"/>
      <c r="B664" s="760"/>
      <c r="C664" s="760" t="s">
        <v>1555</v>
      </c>
      <c r="D664" s="760"/>
      <c r="E664" s="883">
        <f>(G664-F664)/G664</f>
        <v>0.13524590163934436</v>
      </c>
      <c r="F664" s="857">
        <v>18.989999999999998</v>
      </c>
      <c r="G664">
        <v>21.96</v>
      </c>
    </row>
    <row r="665" spans="1:8" outlineLevel="1"/>
    <row r="666" spans="1:8" ht="15.75" outlineLevel="1" thickBot="1"/>
    <row r="667" spans="1:8" outlineLevel="1">
      <c r="A667" s="3572" t="s">
        <v>0</v>
      </c>
      <c r="B667" s="3636" t="s">
        <v>1</v>
      </c>
      <c r="C667" s="3636" t="s">
        <v>2</v>
      </c>
      <c r="D667" s="3636" t="s">
        <v>3</v>
      </c>
      <c r="E667" s="3636" t="s">
        <v>4</v>
      </c>
      <c r="F667" s="3559" t="s">
        <v>5</v>
      </c>
      <c r="G667" s="429"/>
    </row>
    <row r="668" spans="1:8" ht="15.75" outlineLevel="1" thickBot="1">
      <c r="A668" s="3696"/>
      <c r="B668" s="3718"/>
      <c r="C668" s="3718"/>
      <c r="D668" s="3718"/>
      <c r="E668" s="3718"/>
      <c r="F668" s="3727"/>
      <c r="G668" s="429"/>
    </row>
    <row r="669" spans="1:8" ht="15.75" outlineLevel="1" thickTop="1">
      <c r="A669" s="813" t="s">
        <v>2238</v>
      </c>
      <c r="B669" s="388" t="s">
        <v>120</v>
      </c>
      <c r="C669" s="981" t="s">
        <v>1374</v>
      </c>
      <c r="D669" s="388"/>
      <c r="E669" s="880">
        <f>(G669-F669)/G669</f>
        <v>0.14736842105263148</v>
      </c>
      <c r="F669" s="872">
        <v>0.81</v>
      </c>
      <c r="G669" s="429">
        <v>0.95</v>
      </c>
    </row>
    <row r="670" spans="1:8" outlineLevel="1">
      <c r="A670" s="491"/>
      <c r="B670" s="982" t="s">
        <v>121</v>
      </c>
      <c r="C670" s="981" t="s">
        <v>2115</v>
      </c>
      <c r="D670" s="388"/>
      <c r="E670" s="980">
        <f>(G670-F670)/G670</f>
        <v>0.19736842105263161</v>
      </c>
      <c r="F670" s="872">
        <v>1.22</v>
      </c>
      <c r="G670" s="429">
        <v>1.52</v>
      </c>
    </row>
    <row r="671" spans="1:8" outlineLevel="1">
      <c r="A671" s="491"/>
      <c r="B671" s="982" t="s">
        <v>123</v>
      </c>
      <c r="C671" s="981" t="s">
        <v>920</v>
      </c>
      <c r="D671" s="388"/>
      <c r="E671" s="980">
        <f>(G671-F671)/G671</f>
        <v>0.15189873417721517</v>
      </c>
      <c r="F671" s="872">
        <v>0.67</v>
      </c>
      <c r="G671" s="429">
        <v>0.79</v>
      </c>
      <c r="H671" t="s">
        <v>2239</v>
      </c>
    </row>
    <row r="672" spans="1:8" outlineLevel="1">
      <c r="A672" s="491"/>
      <c r="B672" s="982" t="s">
        <v>122</v>
      </c>
      <c r="C672" s="1129" t="s">
        <v>1891</v>
      </c>
      <c r="D672" s="388"/>
      <c r="E672" s="980">
        <f>(G672-F672)/G672</f>
        <v>0.19811320754716988</v>
      </c>
      <c r="F672" s="872">
        <v>0.85</v>
      </c>
      <c r="G672" s="528">
        <v>1.06</v>
      </c>
    </row>
    <row r="673" spans="1:7" ht="15.75" outlineLevel="1" thickBot="1">
      <c r="A673" s="491"/>
      <c r="B673" s="816" t="s">
        <v>2057</v>
      </c>
      <c r="C673" s="983"/>
      <c r="D673" s="388"/>
      <c r="E673" s="883" t="e">
        <f>(G673-F673)/G673</f>
        <v>#DIV/0!</v>
      </c>
      <c r="F673" s="961"/>
      <c r="G673" s="528"/>
    </row>
    <row r="674" spans="1:7" outlineLevel="1">
      <c r="A674" s="491"/>
      <c r="B674" s="984"/>
      <c r="C674" s="983"/>
      <c r="D674" s="388"/>
      <c r="E674" s="638"/>
      <c r="F674" s="961"/>
      <c r="G674" s="528"/>
    </row>
    <row r="675" spans="1:7" outlineLevel="1">
      <c r="A675" s="491"/>
      <c r="B675" s="984"/>
      <c r="C675" s="983"/>
      <c r="D675" s="388"/>
      <c r="E675" s="638"/>
      <c r="F675" s="961"/>
      <c r="G675" s="528"/>
    </row>
    <row r="676" spans="1:7" outlineLevel="1">
      <c r="A676" s="491"/>
      <c r="B676" s="984"/>
      <c r="C676" s="983"/>
      <c r="D676" s="388"/>
      <c r="E676" s="638"/>
      <c r="F676" s="961"/>
      <c r="G676" s="528"/>
    </row>
    <row r="677" spans="1:7" ht="15.75" outlineLevel="1" thickBot="1">
      <c r="A677" s="500"/>
      <c r="B677" s="816"/>
      <c r="C677" s="817"/>
      <c r="D677" s="388"/>
      <c r="E677" s="638"/>
      <c r="F677" s="818"/>
      <c r="G677" s="528"/>
    </row>
    <row r="678" spans="1:7" ht="15.75" outlineLevel="1" thickBot="1"/>
    <row r="679" spans="1:7" outlineLevel="1">
      <c r="A679" s="3614" t="s">
        <v>0</v>
      </c>
      <c r="B679" s="3693" t="s">
        <v>1</v>
      </c>
      <c r="C679" s="3693" t="s">
        <v>2</v>
      </c>
      <c r="D679" s="3693" t="s">
        <v>3</v>
      </c>
      <c r="E679" s="3693" t="s">
        <v>4</v>
      </c>
      <c r="F679" s="3522" t="s">
        <v>5</v>
      </c>
    </row>
    <row r="680" spans="1:7" ht="15.75" outlineLevel="1" thickBot="1">
      <c r="A680" s="4079"/>
      <c r="B680" s="4058"/>
      <c r="C680" s="4058"/>
      <c r="D680" s="4058"/>
      <c r="E680" s="4058"/>
      <c r="F680" s="4059"/>
    </row>
    <row r="681" spans="1:7" ht="15.75" outlineLevel="1">
      <c r="A681" s="841" t="s">
        <v>2240</v>
      </c>
      <c r="B681" s="288" t="s">
        <v>2196</v>
      </c>
      <c r="C681" s="952" t="s">
        <v>2191</v>
      </c>
      <c r="D681" s="288"/>
      <c r="E681" s="904">
        <f>(G681-F681)/G681</f>
        <v>0.19902912621359228</v>
      </c>
      <c r="F681" s="843">
        <v>3.3</v>
      </c>
      <c r="G681">
        <v>4.12</v>
      </c>
    </row>
    <row r="682" spans="1:7" ht="15.75" outlineLevel="1">
      <c r="A682" s="841"/>
      <c r="B682" s="466"/>
      <c r="C682" s="953" t="s">
        <v>2192</v>
      </c>
      <c r="D682" s="466"/>
      <c r="E682" s="985">
        <f>(G682-F682)/G682</f>
        <v>0.2006472491909384</v>
      </c>
      <c r="F682" s="986">
        <v>4.9400000000000004</v>
      </c>
      <c r="G682">
        <v>6.18</v>
      </c>
    </row>
    <row r="683" spans="1:7" ht="15.75" outlineLevel="1">
      <c r="A683" s="841"/>
      <c r="B683" s="466"/>
      <c r="C683" s="953" t="s">
        <v>2193</v>
      </c>
      <c r="D683" s="466"/>
      <c r="E683" s="985">
        <f>(G683-F683)/G683</f>
        <v>0.2006472491909384</v>
      </c>
      <c r="F683" s="986">
        <v>4.9400000000000004</v>
      </c>
      <c r="G683">
        <v>6.18</v>
      </c>
    </row>
    <row r="684" spans="1:7" ht="16.5" outlineLevel="1" thickBot="1">
      <c r="A684" s="884"/>
      <c r="B684" s="755"/>
      <c r="C684" s="955" t="s">
        <v>2194</v>
      </c>
      <c r="D684" s="755"/>
      <c r="E684" s="956">
        <f>(G684-F684)/G684</f>
        <v>0.2006472491909384</v>
      </c>
      <c r="F684" s="918">
        <v>4.9400000000000004</v>
      </c>
      <c r="G684" s="39">
        <v>6.18</v>
      </c>
    </row>
    <row r="685" spans="1:7" ht="15.75" outlineLevel="1" thickBot="1"/>
    <row r="686" spans="1:7" outlineLevel="1">
      <c r="A686" s="3614" t="s">
        <v>0</v>
      </c>
      <c r="B686" s="3693" t="s">
        <v>1</v>
      </c>
      <c r="C686" s="3693" t="s">
        <v>2</v>
      </c>
      <c r="D686" s="3693" t="s">
        <v>3</v>
      </c>
      <c r="E686" s="3693" t="s">
        <v>4</v>
      </c>
      <c r="F686" s="3522" t="s">
        <v>5</v>
      </c>
    </row>
    <row r="687" spans="1:7" ht="15.75" outlineLevel="1" thickBot="1">
      <c r="A687" s="4079"/>
      <c r="B687" s="4058"/>
      <c r="C687" s="4058"/>
      <c r="D687" s="4058"/>
      <c r="E687" s="4058"/>
      <c r="F687" s="4059"/>
    </row>
    <row r="688" spans="1:7" ht="15.75" outlineLevel="1">
      <c r="A688" s="841" t="s">
        <v>2240</v>
      </c>
      <c r="B688" s="288" t="s">
        <v>460</v>
      </c>
      <c r="C688" s="952" t="s">
        <v>2191</v>
      </c>
      <c r="D688" s="288"/>
      <c r="E688" s="904">
        <f>(G688-F688)/G688</f>
        <v>0.19902912621359228</v>
      </c>
      <c r="F688" s="843">
        <v>3.3</v>
      </c>
      <c r="G688">
        <v>4.12</v>
      </c>
    </row>
    <row r="689" spans="1:7" ht="15.75" outlineLevel="1">
      <c r="A689" s="841"/>
      <c r="B689" s="466"/>
      <c r="C689" s="953" t="s">
        <v>2192</v>
      </c>
      <c r="D689" s="466"/>
      <c r="E689" s="985">
        <f>(G689-F689)/G689</f>
        <v>0.2006472491909384</v>
      </c>
      <c r="F689" s="986">
        <v>4.9400000000000004</v>
      </c>
      <c r="G689">
        <v>6.18</v>
      </c>
    </row>
    <row r="690" spans="1:7" ht="15.75" outlineLevel="1">
      <c r="A690" s="841"/>
      <c r="B690" s="466"/>
      <c r="C690" s="953" t="s">
        <v>2193</v>
      </c>
      <c r="D690" s="466"/>
      <c r="E690" s="985">
        <f>(G690-F690)/G690</f>
        <v>0.2006472491909384</v>
      </c>
      <c r="F690" s="986">
        <v>4.9400000000000004</v>
      </c>
      <c r="G690">
        <v>6.18</v>
      </c>
    </row>
    <row r="691" spans="1:7" ht="16.5" outlineLevel="1" thickBot="1">
      <c r="A691" s="884"/>
      <c r="B691" s="755"/>
      <c r="C691" s="955" t="s">
        <v>2194</v>
      </c>
      <c r="D691" s="755"/>
      <c r="E691" s="956">
        <f>(G691-F691)/G691</f>
        <v>0.2006472491909384</v>
      </c>
      <c r="F691" s="918">
        <v>4.9400000000000004</v>
      </c>
      <c r="G691" s="39">
        <v>6.18</v>
      </c>
    </row>
    <row r="692" spans="1:7" ht="15.75" outlineLevel="1" thickBot="1"/>
    <row r="693" spans="1:7" outlineLevel="1">
      <c r="A693" s="4169" t="s">
        <v>0</v>
      </c>
      <c r="B693" s="4171" t="s">
        <v>1</v>
      </c>
      <c r="C693" s="4173" t="s">
        <v>2</v>
      </c>
      <c r="D693" s="4175" t="s">
        <v>3</v>
      </c>
      <c r="E693" s="4169" t="s">
        <v>4</v>
      </c>
      <c r="F693" s="4171" t="s">
        <v>5</v>
      </c>
    </row>
    <row r="694" spans="1:7" ht="15.75" outlineLevel="1" thickBot="1">
      <c r="A694" s="4170"/>
      <c r="B694" s="4172"/>
      <c r="C694" s="4174"/>
      <c r="D694" s="4176"/>
      <c r="E694" s="4170"/>
      <c r="F694" s="4172"/>
    </row>
    <row r="695" spans="1:7" ht="15.75" outlineLevel="1">
      <c r="A695" s="919" t="s">
        <v>2240</v>
      </c>
      <c r="B695" s="5" t="s">
        <v>2234</v>
      </c>
      <c r="C695" s="5" t="s">
        <v>1259</v>
      </c>
      <c r="D695" s="5"/>
      <c r="E695" s="904">
        <f>(G695-F695)/G695</f>
        <v>0.15882778581765558</v>
      </c>
      <c r="F695" s="603">
        <v>23.25</v>
      </c>
      <c r="G695">
        <v>27.64</v>
      </c>
    </row>
    <row r="696" spans="1:7" ht="15.75" outlineLevel="1">
      <c r="A696" s="987"/>
      <c r="B696" s="469"/>
      <c r="C696" s="469" t="s">
        <v>550</v>
      </c>
      <c r="D696" s="469"/>
      <c r="E696" s="985">
        <f>(G696-F696)/G696</f>
        <v>0.15882778581765558</v>
      </c>
      <c r="F696" s="473">
        <v>23.25</v>
      </c>
      <c r="G696">
        <v>27.64</v>
      </c>
    </row>
    <row r="697" spans="1:7" ht="15.75" outlineLevel="1">
      <c r="A697" s="987"/>
      <c r="B697" s="469"/>
      <c r="C697" s="469" t="s">
        <v>1258</v>
      </c>
      <c r="D697" s="469"/>
      <c r="E697" s="985">
        <f>(G697-F697)/G697</f>
        <v>0.15882352941176459</v>
      </c>
      <c r="F697" s="473">
        <v>27.17</v>
      </c>
      <c r="G697">
        <v>32.299999999999997</v>
      </c>
    </row>
    <row r="698" spans="1:7" ht="15.75" outlineLevel="1">
      <c r="A698" s="987"/>
      <c r="B698" s="469"/>
      <c r="C698" s="469" t="s">
        <v>549</v>
      </c>
      <c r="D698" s="469"/>
      <c r="E698" s="985">
        <f>(G698-F698)/G698</f>
        <v>0.15882352941176459</v>
      </c>
      <c r="F698" s="473">
        <v>27.17</v>
      </c>
      <c r="G698">
        <v>32.299999999999997</v>
      </c>
    </row>
    <row r="699" spans="1:7" ht="15.75" outlineLevel="1" thickBot="1"/>
    <row r="700" spans="1:7" outlineLevel="1">
      <c r="A700" s="3614" t="s">
        <v>0</v>
      </c>
      <c r="B700" s="3693" t="s">
        <v>1</v>
      </c>
      <c r="C700" s="3693" t="s">
        <v>2</v>
      </c>
      <c r="D700" s="3693" t="s">
        <v>3</v>
      </c>
      <c r="E700" s="3693" t="s">
        <v>4</v>
      </c>
      <c r="F700" s="3522" t="s">
        <v>5</v>
      </c>
    </row>
    <row r="701" spans="1:7" ht="15.75" outlineLevel="1" thickBot="1">
      <c r="A701" s="4060"/>
      <c r="B701" s="4066"/>
      <c r="C701" s="4066"/>
      <c r="D701" s="4066"/>
      <c r="E701" s="4066"/>
      <c r="F701" s="4067"/>
    </row>
    <row r="702" spans="1:7" ht="15.75" outlineLevel="1" thickTop="1">
      <c r="A702" s="412" t="s">
        <v>2241</v>
      </c>
      <c r="B702" s="288" t="s">
        <v>1249</v>
      </c>
      <c r="C702" s="988" t="s">
        <v>385</v>
      </c>
      <c r="D702" s="288"/>
      <c r="E702" s="290">
        <f>(G702-F702)/G702</f>
        <v>0.22321428571428578</v>
      </c>
      <c r="F702" s="775">
        <v>0.87</v>
      </c>
      <c r="G702" s="429">
        <v>1.1200000000000001</v>
      </c>
    </row>
    <row r="703" spans="1:7" outlineLevel="1">
      <c r="A703" s="413"/>
      <c r="B703" s="989"/>
      <c r="C703" s="990" t="s">
        <v>1522</v>
      </c>
      <c r="D703" s="288"/>
      <c r="E703" s="290">
        <f>(G703-F703)/G703</f>
        <v>0.22321428571428578</v>
      </c>
      <c r="F703" s="776">
        <v>0.87</v>
      </c>
      <c r="G703" s="436">
        <v>1.1200000000000001</v>
      </c>
    </row>
    <row r="704" spans="1:7" outlineLevel="1">
      <c r="A704" s="413"/>
      <c r="B704" s="989"/>
      <c r="C704" s="991"/>
      <c r="D704" s="288"/>
      <c r="E704" s="290" t="e">
        <f>(G704-F704)/G704</f>
        <v>#DIV/0!</v>
      </c>
      <c r="F704" s="753"/>
      <c r="G704" s="39"/>
    </row>
    <row r="705" spans="1:9" ht="15.75" outlineLevel="1" thickBot="1">
      <c r="A705" s="415"/>
      <c r="B705" s="755"/>
      <c r="C705" s="772"/>
      <c r="D705" s="592"/>
      <c r="E705" s="593" t="e">
        <f>(G705-F705)/G705</f>
        <v>#DIV/0!</v>
      </c>
      <c r="F705" s="773"/>
      <c r="G705" s="39"/>
    </row>
    <row r="706" spans="1:9" ht="15.75" outlineLevel="1" thickBot="1"/>
    <row r="707" spans="1:9" outlineLevel="1">
      <c r="A707" s="3614" t="s">
        <v>0</v>
      </c>
      <c r="B707" s="3693" t="s">
        <v>1</v>
      </c>
      <c r="C707" s="3693" t="s">
        <v>2</v>
      </c>
      <c r="D707" s="3693" t="s">
        <v>3</v>
      </c>
      <c r="E707" s="3693" t="s">
        <v>4</v>
      </c>
      <c r="F707" s="3522" t="s">
        <v>5</v>
      </c>
    </row>
    <row r="708" spans="1:9" ht="15.75" outlineLevel="1" thickBot="1">
      <c r="A708" s="4060"/>
      <c r="B708" s="4066"/>
      <c r="C708" s="4066"/>
      <c r="D708" s="4066"/>
      <c r="E708" s="4066"/>
      <c r="F708" s="4067"/>
    </row>
    <row r="709" spans="1:9" ht="15.75" outlineLevel="1" thickTop="1">
      <c r="A709" s="412" t="s">
        <v>2242</v>
      </c>
      <c r="B709" s="288" t="s">
        <v>2026</v>
      </c>
      <c r="C709" s="992" t="s">
        <v>1345</v>
      </c>
      <c r="D709" s="538"/>
      <c r="E709" s="539">
        <f>(G709-F709)/G709</f>
        <v>0.1976047904191616</v>
      </c>
      <c r="F709" s="768">
        <v>1.34</v>
      </c>
      <c r="G709" s="541">
        <v>1.67</v>
      </c>
    </row>
    <row r="710" spans="1:9" outlineLevel="1">
      <c r="A710" s="302"/>
      <c r="B710" s="989"/>
      <c r="C710" s="992" t="s">
        <v>1355</v>
      </c>
      <c r="D710" s="538"/>
      <c r="E710" s="539">
        <f>(G710-F710)/G710</f>
        <v>0.1976047904191616</v>
      </c>
      <c r="F710" s="768">
        <v>1.34</v>
      </c>
      <c r="G710" s="541">
        <v>1.67</v>
      </c>
    </row>
    <row r="711" spans="1:9" ht="15.75" outlineLevel="1" thickBot="1">
      <c r="A711" s="460"/>
      <c r="B711" s="755"/>
      <c r="C711" s="777"/>
      <c r="D711" s="548"/>
      <c r="E711" s="549"/>
      <c r="F711" s="778"/>
      <c r="G711" s="541"/>
    </row>
    <row r="712" spans="1:9" ht="15.75" outlineLevel="1" thickBot="1"/>
    <row r="713" spans="1:9" outlineLevel="1">
      <c r="A713" s="3614" t="s">
        <v>0</v>
      </c>
      <c r="B713" s="3693" t="s">
        <v>1</v>
      </c>
      <c r="C713" s="3693" t="s">
        <v>2</v>
      </c>
      <c r="D713" s="3693" t="s">
        <v>3</v>
      </c>
      <c r="E713" s="3693" t="s">
        <v>4</v>
      </c>
      <c r="F713" s="3522" t="s">
        <v>5</v>
      </c>
    </row>
    <row r="714" spans="1:9" ht="15.75" outlineLevel="1" thickBot="1">
      <c r="A714" s="4060"/>
      <c r="B714" s="4066"/>
      <c r="C714" s="4066"/>
      <c r="D714" s="4066"/>
      <c r="E714" s="4066"/>
      <c r="F714" s="4067"/>
    </row>
    <row r="715" spans="1:9" ht="16.5" outlineLevel="1" thickTop="1" thickBot="1">
      <c r="A715" s="412" t="s">
        <v>2250</v>
      </c>
      <c r="B715" s="288" t="s">
        <v>2183</v>
      </c>
      <c r="C715" s="191" t="s">
        <v>2251</v>
      </c>
      <c r="D715" s="288"/>
      <c r="E715" s="549">
        <f>(G715-F715)/G715</f>
        <v>0.20202020202020199</v>
      </c>
      <c r="F715" s="996">
        <v>1.58</v>
      </c>
      <c r="G715">
        <v>1.98</v>
      </c>
      <c r="H715" s="39"/>
    </row>
    <row r="716" spans="1:9" ht="15.75" outlineLevel="1" thickBot="1">
      <c r="A716" s="302"/>
      <c r="B716" s="466"/>
      <c r="C716" s="508" t="s">
        <v>1975</v>
      </c>
      <c r="D716" s="288"/>
      <c r="E716" s="549">
        <f>(G716-F716)/G716</f>
        <v>0.19886363636363641</v>
      </c>
      <c r="F716" s="996">
        <v>1.41</v>
      </c>
      <c r="G716">
        <v>1.76</v>
      </c>
      <c r="H716" s="39">
        <v>1.54</v>
      </c>
      <c r="I716" t="s">
        <v>2252</v>
      </c>
    </row>
    <row r="717" spans="1:9" ht="15.75" outlineLevel="1" thickBot="1">
      <c r="A717" s="460"/>
      <c r="B717" s="755"/>
      <c r="C717" s="1130" t="s">
        <v>2253</v>
      </c>
      <c r="D717" s="592"/>
      <c r="E717" s="549">
        <f>(G717-F717)/G717</f>
        <v>0.19863013698630139</v>
      </c>
      <c r="F717" s="761">
        <v>1.17</v>
      </c>
      <c r="G717">
        <v>1.46</v>
      </c>
      <c r="H717" s="997"/>
    </row>
    <row r="718" spans="1:9" ht="15.75" outlineLevel="1" thickBot="1"/>
    <row r="719" spans="1:9" outlineLevel="1">
      <c r="A719" s="3614" t="s">
        <v>0</v>
      </c>
      <c r="B719" s="3693" t="s">
        <v>1</v>
      </c>
      <c r="C719" s="3693" t="s">
        <v>2</v>
      </c>
      <c r="D719" s="3693" t="s">
        <v>3</v>
      </c>
      <c r="E719" s="3693" t="s">
        <v>4</v>
      </c>
      <c r="F719" s="3522" t="s">
        <v>5</v>
      </c>
    </row>
    <row r="720" spans="1:9" ht="15.75" outlineLevel="1" thickBot="1">
      <c r="A720" s="4079"/>
      <c r="B720" s="4058"/>
      <c r="C720" s="4058"/>
      <c r="D720" s="4058"/>
      <c r="E720" s="4058"/>
      <c r="F720" s="4059"/>
    </row>
    <row r="721" spans="1:7" ht="15.75" outlineLevel="1">
      <c r="A721" s="841" t="s">
        <v>2258</v>
      </c>
      <c r="B721" s="288" t="s">
        <v>2155</v>
      </c>
      <c r="C721" s="1132" t="s">
        <v>2024</v>
      </c>
      <c r="D721" s="288"/>
      <c r="E721" s="290">
        <f>(G721-F721)/G721</f>
        <v>0.22580645161290325</v>
      </c>
      <c r="F721" s="1003">
        <v>0.48</v>
      </c>
      <c r="G721">
        <v>0.62</v>
      </c>
    </row>
    <row r="722" spans="1:7" ht="15.75" outlineLevel="1">
      <c r="A722" s="841"/>
      <c r="B722" s="466"/>
      <c r="C722" s="1133" t="s">
        <v>2259</v>
      </c>
      <c r="D722" s="466"/>
      <c r="E722" s="471">
        <f>(G722-F722)/G722</f>
        <v>0.22580645161290325</v>
      </c>
      <c r="F722" s="1003">
        <v>0.48</v>
      </c>
      <c r="G722">
        <v>0.62</v>
      </c>
    </row>
    <row r="723" spans="1:7" ht="15.75" outlineLevel="1">
      <c r="A723" s="841"/>
      <c r="B723" s="466"/>
      <c r="C723" s="1131" t="s">
        <v>2260</v>
      </c>
      <c r="D723" s="466"/>
      <c r="E723" s="471">
        <f t="shared" ref="E723:E730" si="32">(G723-F723)/G723</f>
        <v>0.22580645161290325</v>
      </c>
      <c r="F723" s="1003">
        <v>0.48</v>
      </c>
      <c r="G723">
        <v>0.62</v>
      </c>
    </row>
    <row r="724" spans="1:7" ht="15.75" outlineLevel="1">
      <c r="A724" s="841"/>
      <c r="B724" s="466"/>
      <c r="C724" s="1131" t="s">
        <v>1886</v>
      </c>
      <c r="D724" s="466"/>
      <c r="E724" s="471">
        <f t="shared" si="32"/>
        <v>0.22580645161290325</v>
      </c>
      <c r="F724" s="1003">
        <v>0.48</v>
      </c>
      <c r="G724">
        <v>0.62</v>
      </c>
    </row>
    <row r="725" spans="1:7" ht="15.75" outlineLevel="1">
      <c r="A725" s="841"/>
      <c r="B725" s="94"/>
      <c r="C725" s="1131" t="s">
        <v>1975</v>
      </c>
      <c r="D725" s="94"/>
      <c r="E725" s="471">
        <f t="shared" si="32"/>
        <v>0.25161290322580654</v>
      </c>
      <c r="F725" s="1003">
        <v>1.1599999999999999</v>
      </c>
      <c r="G725">
        <v>1.55</v>
      </c>
    </row>
    <row r="726" spans="1:7" ht="15.75" outlineLevel="1">
      <c r="A726" s="841"/>
      <c r="B726" s="94"/>
      <c r="C726" s="1004" t="s">
        <v>1058</v>
      </c>
      <c r="D726" s="94"/>
      <c r="E726" s="471">
        <f t="shared" si="32"/>
        <v>0.19796954314720808</v>
      </c>
      <c r="F726" s="1003">
        <v>1.58</v>
      </c>
      <c r="G726">
        <v>1.97</v>
      </c>
    </row>
    <row r="727" spans="1:7" ht="15.75" outlineLevel="1">
      <c r="A727" s="841"/>
      <c r="B727" s="94"/>
      <c r="C727" s="1005" t="s">
        <v>1345</v>
      </c>
      <c r="D727" s="94"/>
      <c r="E727" s="471">
        <f t="shared" si="32"/>
        <v>0.1976047904191616</v>
      </c>
      <c r="F727" s="1006">
        <v>1.34</v>
      </c>
      <c r="G727">
        <v>1.67</v>
      </c>
    </row>
    <row r="728" spans="1:7" ht="15.75" outlineLevel="1">
      <c r="A728" s="841"/>
      <c r="B728" s="94"/>
      <c r="C728" s="1005" t="s">
        <v>1355</v>
      </c>
      <c r="D728" s="94"/>
      <c r="E728" s="471">
        <f t="shared" si="32"/>
        <v>0.1976047904191616</v>
      </c>
      <c r="F728" s="1006">
        <v>1.34</v>
      </c>
      <c r="G728">
        <v>1.67</v>
      </c>
    </row>
    <row r="729" spans="1:7" ht="15.75" outlineLevel="1">
      <c r="A729" s="841"/>
      <c r="B729" s="94"/>
      <c r="C729" s="1005" t="s">
        <v>1413</v>
      </c>
      <c r="D729" s="94"/>
      <c r="E729" s="471">
        <f t="shared" si="32"/>
        <v>0.1976047904191616</v>
      </c>
      <c r="F729" s="1006">
        <v>1.34</v>
      </c>
      <c r="G729">
        <v>1.67</v>
      </c>
    </row>
    <row r="730" spans="1:7" ht="15.75" outlineLevel="1" thickBot="1">
      <c r="A730" s="884"/>
      <c r="B730" s="755"/>
      <c r="C730" s="885" t="s">
        <v>1429</v>
      </c>
      <c r="D730" s="755"/>
      <c r="E730" s="850">
        <f t="shared" si="32"/>
        <v>0.1976047904191616</v>
      </c>
      <c r="F730" s="1006">
        <v>1.34</v>
      </c>
      <c r="G730">
        <v>1.67</v>
      </c>
    </row>
    <row r="731" spans="1:7" ht="15.75" thickBot="1"/>
    <row r="732" spans="1:7">
      <c r="A732" s="3614" t="s">
        <v>0</v>
      </c>
      <c r="B732" s="3693" t="s">
        <v>1</v>
      </c>
      <c r="C732" s="3693" t="s">
        <v>2</v>
      </c>
      <c r="D732" s="3693" t="s">
        <v>3</v>
      </c>
      <c r="E732" s="3693" t="s">
        <v>4</v>
      </c>
      <c r="F732" s="3522" t="s">
        <v>5</v>
      </c>
    </row>
    <row r="733" spans="1:7">
      <c r="A733" s="3729"/>
      <c r="B733" s="3702"/>
      <c r="C733" s="3702"/>
      <c r="D733" s="3702"/>
      <c r="E733" s="3702"/>
      <c r="F733" s="4188"/>
    </row>
    <row r="734" spans="1:7">
      <c r="A734" s="1011" t="s">
        <v>2267</v>
      </c>
      <c r="B734" s="466" t="s">
        <v>2016</v>
      </c>
      <c r="C734" s="1201" t="s">
        <v>2268</v>
      </c>
      <c r="D734" s="466"/>
      <c r="E734" s="471">
        <f t="shared" ref="E734:E739" si="33">(G734-F734)/G734</f>
        <v>0.19867549668874174</v>
      </c>
      <c r="F734" s="1013">
        <v>1.21</v>
      </c>
      <c r="G734">
        <v>1.51</v>
      </c>
    </row>
    <row r="735" spans="1:7">
      <c r="A735" s="1011"/>
      <c r="B735" s="466"/>
      <c r="C735" s="1201" t="s">
        <v>2269</v>
      </c>
      <c r="D735" s="466"/>
      <c r="E735" s="471">
        <f t="shared" si="33"/>
        <v>0.4984227129337539</v>
      </c>
      <c r="F735" s="1013">
        <v>1.59</v>
      </c>
      <c r="G735">
        <v>3.17</v>
      </c>
    </row>
    <row r="736" spans="1:7">
      <c r="A736" s="1014"/>
      <c r="B736" s="466"/>
      <c r="D736" s="466"/>
      <c r="E736" s="471" t="e">
        <f t="shared" si="33"/>
        <v>#DIV/0!</v>
      </c>
      <c r="F736" s="1013"/>
    </row>
    <row r="737" spans="1:7">
      <c r="A737" s="1014"/>
      <c r="B737" s="466"/>
      <c r="C737" s="1015"/>
      <c r="D737" s="466"/>
      <c r="E737" s="471" t="e">
        <f t="shared" si="33"/>
        <v>#DIV/0!</v>
      </c>
      <c r="F737" s="1013"/>
      <c r="G737" s="33"/>
    </row>
    <row r="738" spans="1:7">
      <c r="A738" s="1014"/>
      <c r="B738" s="466"/>
      <c r="C738" s="1015"/>
      <c r="D738" s="466"/>
      <c r="E738" s="471" t="e">
        <f t="shared" si="33"/>
        <v>#DIV/0!</v>
      </c>
      <c r="F738" s="1013"/>
      <c r="G738" s="33"/>
    </row>
    <row r="739" spans="1:7" ht="15.75" thickBot="1">
      <c r="A739" s="930"/>
      <c r="B739" s="755"/>
      <c r="C739" s="931"/>
      <c r="D739" s="755"/>
      <c r="E739" s="850" t="e">
        <f t="shared" si="33"/>
        <v>#DIV/0!</v>
      </c>
      <c r="F739" s="761"/>
    </row>
    <row r="740" spans="1:7" ht="15.75" thickBot="1"/>
    <row r="741" spans="1:7" ht="15.75">
      <c r="A741" s="4138" t="s">
        <v>0</v>
      </c>
      <c r="B741" s="4134" t="s">
        <v>1</v>
      </c>
      <c r="C741" s="4134" t="s">
        <v>2</v>
      </c>
      <c r="D741" s="4134" t="s">
        <v>3</v>
      </c>
      <c r="E741" s="4134" t="s">
        <v>4</v>
      </c>
      <c r="F741" s="4136" t="s">
        <v>5</v>
      </c>
      <c r="G741" s="900"/>
    </row>
    <row r="742" spans="1:7" ht="16.5" thickBot="1">
      <c r="A742" s="4167"/>
      <c r="B742" s="4168"/>
      <c r="C742" s="4168"/>
      <c r="D742" s="4168"/>
      <c r="E742" s="4168"/>
      <c r="F742" s="4177"/>
      <c r="G742" s="900"/>
    </row>
    <row r="743" spans="1:7" ht="17.25" thickTop="1" thickBot="1">
      <c r="A743" s="1016" t="s">
        <v>2270</v>
      </c>
      <c r="B743" s="1017" t="s">
        <v>1708</v>
      </c>
      <c r="C743" s="1211" t="s">
        <v>2024</v>
      </c>
      <c r="D743" s="1017"/>
      <c r="E743" s="1018">
        <f>(G743-F743)/G743</f>
        <v>0.15624999999999997</v>
      </c>
      <c r="F743" s="1019">
        <v>0.54</v>
      </c>
      <c r="G743" s="900">
        <v>0.64</v>
      </c>
    </row>
    <row r="744" spans="1:7" ht="15.75" thickBot="1"/>
    <row r="745" spans="1:7">
      <c r="A745" s="3572" t="s">
        <v>0</v>
      </c>
      <c r="B745" s="3636" t="s">
        <v>1</v>
      </c>
      <c r="C745" s="3636" t="s">
        <v>2</v>
      </c>
      <c r="D745" s="3636" t="s">
        <v>3</v>
      </c>
      <c r="E745" s="3636" t="s">
        <v>4</v>
      </c>
      <c r="F745" s="3559" t="s">
        <v>5</v>
      </c>
      <c r="G745" s="429"/>
    </row>
    <row r="746" spans="1:7" ht="15.75" thickBot="1">
      <c r="A746" s="3699"/>
      <c r="B746" s="3709"/>
      <c r="C746" s="3709"/>
      <c r="D746" s="3709"/>
      <c r="E746" s="3709"/>
      <c r="F746" s="3712"/>
      <c r="G746" s="429"/>
    </row>
    <row r="747" spans="1:7" ht="15.75" thickTop="1">
      <c r="A747" s="1022" t="s">
        <v>2278</v>
      </c>
      <c r="B747" s="388" t="s">
        <v>120</v>
      </c>
      <c r="C747" s="1023" t="s">
        <v>387</v>
      </c>
      <c r="D747" s="388"/>
      <c r="E747" s="880">
        <f>(G747-F747)/G747</f>
        <v>0.15178571428571441</v>
      </c>
      <c r="F747" s="1024">
        <v>0.95</v>
      </c>
      <c r="G747" s="429">
        <v>1.1200000000000001</v>
      </c>
    </row>
    <row r="748" spans="1:7">
      <c r="A748" s="491"/>
      <c r="B748" s="1025" t="s">
        <v>121</v>
      </c>
      <c r="C748" s="1023"/>
      <c r="D748" s="388"/>
      <c r="E748" s="1026" t="e">
        <f>(G748-F748)/G748</f>
        <v>#DIV/0!</v>
      </c>
      <c r="F748" s="1024"/>
      <c r="G748" s="429"/>
    </row>
    <row r="749" spans="1:7">
      <c r="A749" s="491"/>
      <c r="B749" s="1025" t="s">
        <v>123</v>
      </c>
      <c r="C749" s="1023"/>
      <c r="D749" s="388"/>
      <c r="E749" s="1026" t="e">
        <f>(G749-F749)/G749</f>
        <v>#DIV/0!</v>
      </c>
      <c r="F749" s="1024"/>
      <c r="G749" s="429"/>
    </row>
    <row r="750" spans="1:7">
      <c r="A750" s="491"/>
      <c r="B750" s="1025" t="s">
        <v>122</v>
      </c>
      <c r="C750" s="1023"/>
      <c r="D750" s="388"/>
      <c r="E750" s="1026" t="e">
        <f>(G750-F750)/G750</f>
        <v>#DIV/0!</v>
      </c>
      <c r="F750" s="1024"/>
      <c r="G750" s="528"/>
    </row>
    <row r="751" spans="1:7" ht="15.75" thickBot="1">
      <c r="A751" s="500"/>
      <c r="B751" s="1027" t="s">
        <v>2057</v>
      </c>
      <c r="C751" s="1028"/>
      <c r="D751" s="873"/>
      <c r="E751" s="1029" t="e">
        <f>(G751-F751)/G751</f>
        <v>#DIV/0!</v>
      </c>
      <c r="F751" s="1030"/>
      <c r="G751" s="528"/>
    </row>
    <row r="753" spans="1:7" ht="15.75" thickBot="1"/>
    <row r="754" spans="1:7">
      <c r="A754" s="3614" t="s">
        <v>0</v>
      </c>
      <c r="B754" s="3693" t="s">
        <v>1</v>
      </c>
      <c r="C754" s="3693" t="s">
        <v>2</v>
      </c>
      <c r="D754" s="3693" t="s">
        <v>3</v>
      </c>
      <c r="E754" s="3693" t="s">
        <v>4</v>
      </c>
      <c r="F754" s="3522" t="s">
        <v>5</v>
      </c>
    </row>
    <row r="755" spans="1:7" ht="15.75" thickBot="1">
      <c r="A755" s="4080"/>
      <c r="B755" s="4081"/>
      <c r="C755" s="4081"/>
      <c r="D755" s="3702"/>
      <c r="E755" s="3702"/>
      <c r="F755" s="4082"/>
    </row>
    <row r="756" spans="1:7" ht="15.75" thickTop="1">
      <c r="A756" s="940" t="s">
        <v>2379</v>
      </c>
      <c r="B756" s="288" t="s">
        <v>1593</v>
      </c>
      <c r="C756" s="1209" t="s">
        <v>1892</v>
      </c>
      <c r="D756" s="1034"/>
      <c r="E756" s="1035">
        <f>(G756-F756)/G756</f>
        <v>0.19811320754716988</v>
      </c>
      <c r="F756" s="1036">
        <v>0.85</v>
      </c>
      <c r="G756" s="541">
        <v>1.06</v>
      </c>
    </row>
    <row r="757" spans="1:7">
      <c r="A757" s="940"/>
      <c r="B757" s="342"/>
      <c r="C757" s="1037"/>
      <c r="D757" s="1034"/>
      <c r="E757" s="1035" t="e">
        <f>(G757-F757)/G757</f>
        <v>#DIV/0!</v>
      </c>
      <c r="F757" s="1038"/>
      <c r="G757" s="541"/>
    </row>
    <row r="758" spans="1:7" ht="15.75" thickBot="1">
      <c r="A758" s="460"/>
      <c r="B758" s="1032"/>
      <c r="C758" s="1039"/>
      <c r="D758" s="548"/>
      <c r="E758" s="549" t="e">
        <f>(G758-F758)/G758</f>
        <v>#DIV/0!</v>
      </c>
      <c r="F758" s="1040"/>
      <c r="G758" s="541"/>
    </row>
    <row r="760" spans="1:7" ht="15.75" thickBot="1"/>
    <row r="761" spans="1:7">
      <c r="A761" s="4169" t="s">
        <v>0</v>
      </c>
      <c r="B761" s="4171" t="s">
        <v>1</v>
      </c>
      <c r="C761" s="4173" t="s">
        <v>2</v>
      </c>
      <c r="D761" s="4175" t="s">
        <v>3</v>
      </c>
      <c r="E761" s="4169" t="s">
        <v>4</v>
      </c>
      <c r="F761" s="4171" t="s">
        <v>5</v>
      </c>
    </row>
    <row r="762" spans="1:7">
      <c r="A762" s="4184"/>
      <c r="B762" s="4185"/>
      <c r="C762" s="4186"/>
      <c r="D762" s="4187"/>
      <c r="E762" s="4184"/>
      <c r="F762" s="4185"/>
    </row>
    <row r="763" spans="1:7" ht="15.75">
      <c r="A763" s="1021" t="s">
        <v>2280</v>
      </c>
      <c r="B763" s="1021" t="s">
        <v>2234</v>
      </c>
      <c r="C763" s="1021" t="s">
        <v>930</v>
      </c>
      <c r="D763" s="1021"/>
      <c r="E763" s="1041">
        <f>(G763-F763)/G763</f>
        <v>6.5573770491803129E-2</v>
      </c>
      <c r="F763" s="1021">
        <v>7.98</v>
      </c>
      <c r="G763">
        <v>8.5399999999999991</v>
      </c>
    </row>
    <row r="764" spans="1:7" ht="15.75">
      <c r="A764" s="1021"/>
      <c r="B764" s="1021"/>
      <c r="C764" s="1021" t="s">
        <v>2271</v>
      </c>
      <c r="D764" s="1021"/>
      <c r="E764" s="1041">
        <f t="shared" ref="E764:E777" si="34">(G764-F764)/G764</f>
        <v>6.538461538461536E-2</v>
      </c>
      <c r="F764" s="1021">
        <v>7.29</v>
      </c>
      <c r="G764">
        <v>7.8</v>
      </c>
    </row>
    <row r="765" spans="1:7" ht="15.75">
      <c r="A765" s="1021"/>
      <c r="B765" s="1021"/>
      <c r="C765" s="1021" t="s">
        <v>238</v>
      </c>
      <c r="D765" s="1021"/>
      <c r="E765" s="1041">
        <f t="shared" si="34"/>
        <v>6.538461538461536E-2</v>
      </c>
      <c r="F765" s="1021">
        <v>7.29</v>
      </c>
      <c r="G765">
        <v>7.8</v>
      </c>
    </row>
    <row r="766" spans="1:7" ht="15.75">
      <c r="A766" s="1021"/>
      <c r="B766" s="1021"/>
      <c r="C766" s="1021" t="s">
        <v>2281</v>
      </c>
      <c r="D766" s="1021"/>
      <c r="E766" s="1041">
        <f t="shared" si="34"/>
        <v>6.538461538461536E-2</v>
      </c>
      <c r="F766" s="1021">
        <v>7.29</v>
      </c>
      <c r="G766">
        <v>7.8</v>
      </c>
    </row>
    <row r="767" spans="1:7" ht="15.75">
      <c r="A767" s="1021"/>
      <c r="B767" s="1021"/>
      <c r="C767" s="1021" t="s">
        <v>2282</v>
      </c>
      <c r="D767" s="1021"/>
      <c r="E767" s="1041">
        <f t="shared" si="34"/>
        <v>6.538461538461536E-2</v>
      </c>
      <c r="F767" s="1021">
        <v>7.29</v>
      </c>
      <c r="G767">
        <v>7.8</v>
      </c>
    </row>
    <row r="768" spans="1:7" ht="15.75">
      <c r="A768" s="1021"/>
      <c r="B768" s="1021"/>
      <c r="C768" s="1021" t="s">
        <v>2275</v>
      </c>
      <c r="D768" s="1021"/>
      <c r="E768" s="1041">
        <f t="shared" si="34"/>
        <v>6.538461538461536E-2</v>
      </c>
      <c r="F768" s="1021">
        <v>7.29</v>
      </c>
      <c r="G768">
        <v>7.8</v>
      </c>
    </row>
    <row r="769" spans="1:7" ht="15.75">
      <c r="A769" s="1021"/>
      <c r="B769" s="1021"/>
      <c r="C769" s="1021" t="s">
        <v>239</v>
      </c>
      <c r="D769" s="1021"/>
      <c r="E769" s="1041">
        <f t="shared" si="34"/>
        <v>6.538461538461536E-2</v>
      </c>
      <c r="F769" s="1021">
        <v>7.29</v>
      </c>
      <c r="G769">
        <v>7.8</v>
      </c>
    </row>
    <row r="770" spans="1:7" ht="15.75">
      <c r="A770" s="1021"/>
      <c r="B770" s="1021"/>
      <c r="C770" s="1021" t="s">
        <v>240</v>
      </c>
      <c r="D770" s="1021"/>
      <c r="E770" s="1041">
        <f t="shared" si="34"/>
        <v>6.538461538461536E-2</v>
      </c>
      <c r="F770" s="1021">
        <v>7.29</v>
      </c>
      <c r="G770">
        <v>7.8</v>
      </c>
    </row>
    <row r="771" spans="1:7" ht="15.75">
      <c r="A771" s="1021"/>
      <c r="B771" s="1021"/>
      <c r="C771" s="1021" t="s">
        <v>868</v>
      </c>
      <c r="D771" s="1021"/>
      <c r="E771" s="1041">
        <f t="shared" si="34"/>
        <v>6.538461538461536E-2</v>
      </c>
      <c r="F771" s="1021">
        <v>7.29</v>
      </c>
      <c r="G771">
        <v>7.8</v>
      </c>
    </row>
    <row r="772" spans="1:7" ht="15.75">
      <c r="A772" s="1021"/>
      <c r="B772" s="1021"/>
      <c r="C772" s="1021" t="s">
        <v>554</v>
      </c>
      <c r="D772" s="1021"/>
      <c r="E772" s="1041">
        <f t="shared" si="34"/>
        <v>0.29661016949152541</v>
      </c>
      <c r="F772" s="1021">
        <v>0.83</v>
      </c>
      <c r="G772">
        <v>1.18</v>
      </c>
    </row>
    <row r="773" spans="1:7" ht="15.75">
      <c r="A773" s="1021"/>
      <c r="B773" s="1021"/>
      <c r="C773" s="1021" t="s">
        <v>730</v>
      </c>
      <c r="D773" s="1021"/>
      <c r="E773" s="1041">
        <f t="shared" si="34"/>
        <v>0.29268292682926828</v>
      </c>
      <c r="F773" s="1021">
        <v>0.57999999999999996</v>
      </c>
      <c r="G773">
        <v>0.82</v>
      </c>
    </row>
    <row r="774" spans="1:7" ht="15.75">
      <c r="A774" s="1021"/>
      <c r="B774" s="1021"/>
      <c r="C774" s="1021" t="s">
        <v>1345</v>
      </c>
      <c r="D774" s="1021"/>
      <c r="E774" s="1041">
        <f t="shared" si="34"/>
        <v>0.24855491329479765</v>
      </c>
      <c r="F774" s="1021">
        <v>1.3</v>
      </c>
      <c r="G774">
        <v>1.73</v>
      </c>
    </row>
    <row r="775" spans="1:7" ht="15.75">
      <c r="A775" s="1021"/>
      <c r="B775" s="1021"/>
      <c r="C775" s="1021" t="s">
        <v>1355</v>
      </c>
      <c r="D775" s="1021"/>
      <c r="E775" s="1041">
        <f t="shared" si="34"/>
        <v>0.24855491329479765</v>
      </c>
      <c r="F775" s="1021">
        <v>1.3</v>
      </c>
      <c r="G775">
        <v>1.73</v>
      </c>
    </row>
    <row r="776" spans="1:7" ht="15.75">
      <c r="A776" s="1021"/>
      <c r="B776" s="1021"/>
      <c r="C776" s="1021" t="s">
        <v>1413</v>
      </c>
      <c r="D776" s="1021"/>
      <c r="E776" s="1041">
        <f t="shared" si="34"/>
        <v>0.24855491329479765</v>
      </c>
      <c r="F776" s="1021">
        <v>1.3</v>
      </c>
      <c r="G776">
        <v>1.73</v>
      </c>
    </row>
    <row r="777" spans="1:7" ht="15.75">
      <c r="A777" s="1021"/>
      <c r="B777" s="1021"/>
      <c r="C777" s="1021" t="s">
        <v>1429</v>
      </c>
      <c r="D777" s="1021"/>
      <c r="E777" s="1041">
        <f t="shared" si="34"/>
        <v>0.24855491329479765</v>
      </c>
      <c r="F777" s="1021">
        <v>1.3</v>
      </c>
      <c r="G777">
        <v>1.73</v>
      </c>
    </row>
    <row r="779" spans="1:7" ht="15.75" thickBot="1"/>
    <row r="780" spans="1:7">
      <c r="A780" s="3614" t="s">
        <v>0</v>
      </c>
      <c r="B780" s="3693" t="s">
        <v>1</v>
      </c>
      <c r="C780" s="3693" t="s">
        <v>2</v>
      </c>
      <c r="D780" s="3693" t="s">
        <v>3</v>
      </c>
      <c r="E780" s="3693" t="s">
        <v>4</v>
      </c>
      <c r="F780" s="3522" t="s">
        <v>5</v>
      </c>
    </row>
    <row r="781" spans="1:7" ht="15.75" thickBot="1">
      <c r="A781" s="4083"/>
      <c r="B781" s="4084"/>
      <c r="C781" s="4084"/>
      <c r="D781" s="4084"/>
      <c r="E781" s="4084"/>
      <c r="F781" s="4085"/>
    </row>
    <row r="782" spans="1:7">
      <c r="A782" s="1059" t="s">
        <v>2291</v>
      </c>
      <c r="B782" s="288" t="s">
        <v>2183</v>
      </c>
      <c r="C782" s="1207" t="s">
        <v>2268</v>
      </c>
      <c r="D782" s="288"/>
      <c r="E782" s="539">
        <f>(G782-F782)/G782</f>
        <v>0.24999999999999992</v>
      </c>
      <c r="F782" s="1060">
        <v>1.1100000000000001</v>
      </c>
      <c r="G782">
        <v>1.48</v>
      </c>
    </row>
    <row r="783" spans="1:7">
      <c r="A783" s="1061"/>
      <c r="B783" s="1031"/>
      <c r="C783" s="1210" t="s">
        <v>2292</v>
      </c>
      <c r="D783" s="1031"/>
      <c r="E783" s="1035">
        <f>(G783-F783)/G783</f>
        <v>0.35114503816793902</v>
      </c>
      <c r="F783" s="1062">
        <v>2.5499999999999998</v>
      </c>
      <c r="G783">
        <v>3.93</v>
      </c>
    </row>
    <row r="784" spans="1:7">
      <c r="A784" s="1061"/>
      <c r="B784" s="1031"/>
      <c r="C784" s="1021"/>
      <c r="D784" s="1031"/>
      <c r="E784" s="1035" t="e">
        <f>(G784-F784)/G784</f>
        <v>#DIV/0!</v>
      </c>
      <c r="F784" s="1062"/>
    </row>
    <row r="785" spans="1:7" ht="15.75" thickBot="1"/>
    <row r="786" spans="1:7">
      <c r="A786" s="3614" t="s">
        <v>0</v>
      </c>
      <c r="B786" s="3693" t="s">
        <v>1</v>
      </c>
      <c r="C786" s="3693" t="s">
        <v>2</v>
      </c>
      <c r="D786" s="3693" t="s">
        <v>3</v>
      </c>
      <c r="E786" s="3693" t="s">
        <v>4</v>
      </c>
      <c r="F786" s="3522" t="s">
        <v>5</v>
      </c>
    </row>
    <row r="787" spans="1:7" ht="15.75" thickBot="1">
      <c r="A787" s="4080"/>
      <c r="B787" s="4081"/>
      <c r="C787" s="4081"/>
      <c r="D787" s="4081"/>
      <c r="E787" s="4081"/>
      <c r="F787" s="4082"/>
    </row>
    <row r="788" spans="1:7" ht="17.25" thickTop="1" thickBot="1">
      <c r="A788" s="1063" t="s">
        <v>2293</v>
      </c>
      <c r="B788" s="592" t="s">
        <v>2082</v>
      </c>
      <c r="C788" s="840" t="s">
        <v>1058</v>
      </c>
      <c r="D788" s="592"/>
      <c r="E788" s="593">
        <f>(G788-F788)/G788</f>
        <v>0.19796954314720808</v>
      </c>
      <c r="F788" s="1064">
        <v>1.58</v>
      </c>
      <c r="G788">
        <v>1.97</v>
      </c>
    </row>
    <row r="789" spans="1:7" ht="15.75" thickBot="1"/>
    <row r="790" spans="1:7">
      <c r="A790" s="3614" t="s">
        <v>0</v>
      </c>
      <c r="B790" s="3693" t="s">
        <v>1</v>
      </c>
      <c r="C790" s="3693" t="s">
        <v>2</v>
      </c>
      <c r="D790" s="3693" t="s">
        <v>3</v>
      </c>
      <c r="E790" s="3693" t="s">
        <v>4</v>
      </c>
      <c r="F790" s="3522" t="s">
        <v>5</v>
      </c>
    </row>
    <row r="791" spans="1:7" ht="15.75" thickBot="1">
      <c r="A791" s="4083"/>
      <c r="B791" s="4084"/>
      <c r="C791" s="4084"/>
      <c r="D791" s="4084"/>
      <c r="E791" s="4084"/>
      <c r="F791" s="4085"/>
    </row>
    <row r="792" spans="1:7" ht="15.75">
      <c r="A792" s="841" t="s">
        <v>2302</v>
      </c>
      <c r="B792" s="288" t="s">
        <v>2155</v>
      </c>
      <c r="C792" s="1133" t="s">
        <v>1914</v>
      </c>
      <c r="D792" s="191"/>
      <c r="E792" s="278">
        <f>(G792-F792)/G792</f>
        <v>0.15476190476190477</v>
      </c>
      <c r="F792" s="1176">
        <v>0.71</v>
      </c>
      <c r="G792">
        <v>0.84</v>
      </c>
    </row>
    <row r="793" spans="1:7" ht="16.5" thickBot="1">
      <c r="A793" s="884"/>
      <c r="B793" s="1032"/>
      <c r="C793" s="1177" t="s">
        <v>1960</v>
      </c>
      <c r="D793" s="1178"/>
      <c r="E793" s="1179">
        <f>(G793-F793)/G793</f>
        <v>0.14960629921259838</v>
      </c>
      <c r="F793" s="1180">
        <v>1.08</v>
      </c>
      <c r="G793">
        <v>1.27</v>
      </c>
    </row>
    <row r="795" spans="1:7" ht="15.75" thickBot="1"/>
    <row r="796" spans="1:7" ht="15.75">
      <c r="A796" s="4138" t="s">
        <v>0</v>
      </c>
      <c r="B796" s="4134" t="s">
        <v>1</v>
      </c>
      <c r="C796" s="4134" t="s">
        <v>2</v>
      </c>
      <c r="D796" s="4134" t="s">
        <v>3</v>
      </c>
      <c r="E796" s="4134" t="s">
        <v>4</v>
      </c>
      <c r="F796" s="4136" t="s">
        <v>5</v>
      </c>
      <c r="G796" s="900"/>
    </row>
    <row r="797" spans="1:7" ht="16.5" thickBot="1">
      <c r="A797" s="4167"/>
      <c r="B797" s="4168"/>
      <c r="C797" s="4168"/>
      <c r="D797" s="4168"/>
      <c r="E797" s="4168"/>
      <c r="F797" s="4177"/>
      <c r="G797" s="900"/>
    </row>
    <row r="798" spans="1:7" ht="17.25" thickTop="1" thickBot="1">
      <c r="A798" s="1016" t="s">
        <v>2270</v>
      </c>
      <c r="B798" s="1017" t="s">
        <v>1708</v>
      </c>
      <c r="C798" s="1209" t="s">
        <v>1892</v>
      </c>
      <c r="D798" s="1017"/>
      <c r="E798" s="1018">
        <f>(G798-F798)/G798</f>
        <v>0.20000000000000007</v>
      </c>
      <c r="F798" s="1019">
        <v>0.84</v>
      </c>
      <c r="G798" s="900">
        <v>1.05</v>
      </c>
    </row>
    <row r="800" spans="1:7" ht="15.75" thickBot="1"/>
    <row r="801" spans="1:7">
      <c r="A801" s="3614" t="s">
        <v>0</v>
      </c>
      <c r="B801" s="3693" t="s">
        <v>1</v>
      </c>
      <c r="C801" s="3693" t="s">
        <v>2</v>
      </c>
      <c r="D801" s="3693" t="s">
        <v>3</v>
      </c>
      <c r="E801" s="3693" t="s">
        <v>4</v>
      </c>
      <c r="F801" s="3522" t="s">
        <v>5</v>
      </c>
    </row>
    <row r="802" spans="1:7" ht="15.75" thickBot="1">
      <c r="A802" s="4060"/>
      <c r="B802" s="4066"/>
      <c r="C802" s="4066"/>
      <c r="D802" s="4066"/>
      <c r="E802" s="4066"/>
      <c r="F802" s="4067"/>
    </row>
    <row r="803" spans="1:7" ht="16.5" thickTop="1" thickBot="1">
      <c r="A803" s="412" t="s">
        <v>2380</v>
      </c>
      <c r="B803" s="288" t="s">
        <v>2029</v>
      </c>
      <c r="C803" s="1207" t="s">
        <v>1904</v>
      </c>
      <c r="D803" s="288"/>
      <c r="E803" s="549">
        <f>(G803-F803)/G803</f>
        <v>0.15000000000000002</v>
      </c>
      <c r="F803" s="758">
        <f>G803*0.85</f>
        <v>1.1984999999999999</v>
      </c>
      <c r="G803">
        <v>1.41</v>
      </c>
    </row>
    <row r="804" spans="1:7" ht="15.75" thickBot="1">
      <c r="A804" s="302"/>
      <c r="B804" s="923"/>
      <c r="C804" s="1208" t="s">
        <v>2251</v>
      </c>
      <c r="D804" s="288"/>
      <c r="E804" s="549">
        <f>(G804-F804)/G804</f>
        <v>0.15000000000000002</v>
      </c>
      <c r="F804" s="758">
        <f>G804*0.85</f>
        <v>1.5979999999999999</v>
      </c>
      <c r="G804">
        <v>1.88</v>
      </c>
    </row>
    <row r="805" spans="1:7" ht="15.75" thickBot="1">
      <c r="A805" s="460"/>
      <c r="B805" s="755"/>
      <c r="C805" s="760"/>
      <c r="D805" s="592"/>
      <c r="E805" s="593"/>
      <c r="F805" s="761"/>
    </row>
    <row r="807" spans="1:7" ht="15.75" thickBot="1"/>
    <row r="808" spans="1:7">
      <c r="A808" s="3614" t="s">
        <v>0</v>
      </c>
      <c r="B808" s="3693" t="s">
        <v>1</v>
      </c>
      <c r="C808" s="3693" t="s">
        <v>2</v>
      </c>
      <c r="D808" s="3693" t="s">
        <v>3</v>
      </c>
      <c r="E808" s="3693" t="s">
        <v>4</v>
      </c>
      <c r="F808" s="3522" t="s">
        <v>5</v>
      </c>
    </row>
    <row r="809" spans="1:7">
      <c r="A809" s="3729"/>
      <c r="B809" s="3702"/>
      <c r="C809" s="3702"/>
      <c r="D809" s="3702"/>
      <c r="E809" s="3702"/>
      <c r="F809" s="4188"/>
    </row>
    <row r="810" spans="1:7">
      <c r="A810" s="1011" t="s">
        <v>2320</v>
      </c>
      <c r="B810" s="466" t="s">
        <v>2016</v>
      </c>
      <c r="C810" s="1012" t="s">
        <v>1345</v>
      </c>
      <c r="D810" s="466"/>
      <c r="E810" s="471">
        <f t="shared" ref="E810:E822" si="35">(G810-F810)/G810</f>
        <v>0.14970059880239522</v>
      </c>
      <c r="F810" s="1013">
        <v>1.42</v>
      </c>
      <c r="G810">
        <v>1.67</v>
      </c>
    </row>
    <row r="811" spans="1:7">
      <c r="A811" s="1011"/>
      <c r="B811" s="466"/>
      <c r="C811" s="1012" t="s">
        <v>1429</v>
      </c>
      <c r="D811" s="466"/>
      <c r="E811" s="471">
        <f t="shared" ref="E811:E817" si="36">(G811-F811)/G811</f>
        <v>0.14970059880239522</v>
      </c>
      <c r="F811" s="1013">
        <v>1.42</v>
      </c>
      <c r="G811">
        <v>1.67</v>
      </c>
    </row>
    <row r="812" spans="1:7">
      <c r="A812" s="1014"/>
      <c r="B812" s="466"/>
      <c r="C812" s="1012" t="s">
        <v>2303</v>
      </c>
      <c r="D812" s="466"/>
      <c r="E812" s="471">
        <f>(G812-F812)/G812</f>
        <v>9.6774193548387177E-2</v>
      </c>
      <c r="F812" s="1013">
        <v>0.84</v>
      </c>
      <c r="G812">
        <v>0.93</v>
      </c>
    </row>
    <row r="813" spans="1:7">
      <c r="A813" s="1014"/>
      <c r="B813" s="466"/>
      <c r="C813" s="1012" t="s">
        <v>1301</v>
      </c>
      <c r="D813" s="466"/>
      <c r="E813" s="471">
        <f>(G813-F813)/G813</f>
        <v>9.6774193548387177E-2</v>
      </c>
      <c r="F813" s="1013">
        <v>0.84</v>
      </c>
      <c r="G813" s="33">
        <v>0.93</v>
      </c>
    </row>
    <row r="814" spans="1:7">
      <c r="A814" s="1011"/>
      <c r="B814" s="466"/>
      <c r="C814" s="1012" t="s">
        <v>385</v>
      </c>
      <c r="D814" s="466"/>
      <c r="E814" s="471">
        <f>(G814-F814)/G814</f>
        <v>0.14814814814814817</v>
      </c>
      <c r="F814" s="1013">
        <v>0.92</v>
      </c>
      <c r="G814">
        <v>1.08</v>
      </c>
    </row>
    <row r="815" spans="1:7">
      <c r="A815" s="1014"/>
      <c r="B815" s="466"/>
      <c r="C815" s="1187" t="s">
        <v>623</v>
      </c>
      <c r="D815" s="508"/>
      <c r="E815" s="1188">
        <f>(G815-F815)/G815</f>
        <v>0.14814814814814806</v>
      </c>
      <c r="F815" s="1189">
        <v>1.61</v>
      </c>
      <c r="G815" s="176">
        <v>1.89</v>
      </c>
    </row>
    <row r="816" spans="1:7">
      <c r="A816" s="1014"/>
      <c r="B816" s="466"/>
      <c r="C816" s="1187" t="s">
        <v>2304</v>
      </c>
      <c r="D816" s="508"/>
      <c r="E816" s="1188">
        <f t="shared" si="36"/>
        <v>0.1551724137931034</v>
      </c>
      <c r="F816" s="1189">
        <v>0.49</v>
      </c>
      <c r="G816" s="176">
        <v>0.57999999999999996</v>
      </c>
    </row>
    <row r="817" spans="1:7">
      <c r="A817" s="1014"/>
      <c r="B817" s="466"/>
      <c r="C817" s="1187" t="s">
        <v>452</v>
      </c>
      <c r="D817" s="508"/>
      <c r="E817" s="1188">
        <f t="shared" si="36"/>
        <v>0.15463917525773199</v>
      </c>
      <c r="F817" s="1189">
        <v>0.82</v>
      </c>
      <c r="G817" s="372">
        <v>0.97</v>
      </c>
    </row>
    <row r="818" spans="1:7">
      <c r="A818" s="1011"/>
      <c r="B818" s="466"/>
      <c r="C818" s="1201" t="s">
        <v>2305</v>
      </c>
      <c r="D818" s="466"/>
      <c r="E818" s="471">
        <f t="shared" si="35"/>
        <v>0.20105820105820102</v>
      </c>
      <c r="F818" s="1013">
        <v>3.02</v>
      </c>
      <c r="G818">
        <v>3.78</v>
      </c>
    </row>
    <row r="819" spans="1:7" ht="30">
      <c r="A819" s="1014"/>
      <c r="B819" s="466"/>
      <c r="C819" s="1201" t="s">
        <v>2306</v>
      </c>
      <c r="D819" s="466"/>
      <c r="E819" s="471">
        <f t="shared" si="35"/>
        <v>0.19753086419753088</v>
      </c>
      <c r="F819" s="1013">
        <v>0.65</v>
      </c>
      <c r="G819">
        <v>0.81</v>
      </c>
    </row>
    <row r="820" spans="1:7">
      <c r="A820" s="1014"/>
      <c r="B820" s="466"/>
      <c r="C820" s="1201" t="s">
        <v>2253</v>
      </c>
      <c r="D820" s="466"/>
      <c r="E820" s="471">
        <f t="shared" si="35"/>
        <v>0.19727891156462588</v>
      </c>
      <c r="F820" s="1013">
        <v>1.18</v>
      </c>
      <c r="G820" s="33">
        <v>1.47</v>
      </c>
    </row>
    <row r="821" spans="1:7">
      <c r="A821" s="1014"/>
      <c r="B821" s="466"/>
      <c r="C821" s="1012" t="s">
        <v>554</v>
      </c>
      <c r="D821" s="466"/>
      <c r="E821" s="471">
        <f t="shared" si="35"/>
        <v>0.20175438596491219</v>
      </c>
      <c r="F821" s="1013">
        <v>0.91</v>
      </c>
      <c r="G821" s="33">
        <v>1.1399999999999999</v>
      </c>
    </row>
    <row r="822" spans="1:7" ht="15.75" thickBot="1">
      <c r="A822" s="930"/>
      <c r="B822" s="755"/>
      <c r="C822" s="1012" t="s">
        <v>730</v>
      </c>
      <c r="D822" s="755"/>
      <c r="E822" s="850">
        <f t="shared" si="35"/>
        <v>0.20000000000000004</v>
      </c>
      <c r="F822" s="761">
        <v>0.64</v>
      </c>
      <c r="G822">
        <v>0.8</v>
      </c>
    </row>
    <row r="824" spans="1:7" ht="15.75" thickBot="1"/>
    <row r="825" spans="1:7">
      <c r="A825" s="3614" t="s">
        <v>0</v>
      </c>
      <c r="B825" s="3693" t="s">
        <v>1</v>
      </c>
      <c r="C825" s="3693" t="s">
        <v>2</v>
      </c>
      <c r="D825" s="3693" t="s">
        <v>3</v>
      </c>
      <c r="E825" s="3693" t="s">
        <v>4</v>
      </c>
      <c r="F825" s="3522" t="s">
        <v>5</v>
      </c>
      <c r="G825" s="109"/>
    </row>
    <row r="826" spans="1:7" ht="15.75" thickBot="1">
      <c r="A826" s="4083"/>
      <c r="B826" s="4084"/>
      <c r="C826" s="4084"/>
      <c r="D826" s="4084"/>
      <c r="E826" s="4084"/>
      <c r="F826" s="4085"/>
      <c r="G826" s="109"/>
    </row>
    <row r="827" spans="1:7" ht="15.75">
      <c r="A827" s="841" t="s">
        <v>2302</v>
      </c>
      <c r="B827" s="288" t="s">
        <v>2155</v>
      </c>
      <c r="C827" s="1181" t="s">
        <v>273</v>
      </c>
      <c r="D827" s="1182"/>
      <c r="E827" s="278"/>
      <c r="F827" s="1183">
        <v>0.82</v>
      </c>
      <c r="G827" s="1184">
        <v>0.97</v>
      </c>
    </row>
    <row r="828" spans="1:7" ht="15.75">
      <c r="A828" s="841"/>
      <c r="B828" s="342"/>
      <c r="C828" s="1185" t="s">
        <v>177</v>
      </c>
      <c r="D828" s="1186"/>
      <c r="E828" s="278"/>
      <c r="F828" s="1183">
        <v>0.82</v>
      </c>
      <c r="G828" s="1184">
        <v>0.97</v>
      </c>
    </row>
    <row r="829" spans="1:7" ht="15.75">
      <c r="A829" s="841"/>
      <c r="B829" s="342"/>
      <c r="C829" s="1185" t="s">
        <v>178</v>
      </c>
      <c r="D829" s="1186"/>
      <c r="E829" s="278"/>
      <c r="F829" s="1183">
        <v>0.82</v>
      </c>
      <c r="G829" s="1184">
        <v>0.97</v>
      </c>
    </row>
    <row r="830" spans="1:7" ht="15.75">
      <c r="A830" s="841"/>
      <c r="B830" s="342"/>
      <c r="C830" s="1203" t="s">
        <v>1904</v>
      </c>
      <c r="D830" s="1100"/>
      <c r="E830" s="290"/>
      <c r="F830" s="1101">
        <v>1.21</v>
      </c>
      <c r="G830" s="1103">
        <v>1.51</v>
      </c>
    </row>
    <row r="831" spans="1:7" ht="15.75">
      <c r="A831" s="841"/>
      <c r="B831" s="342"/>
      <c r="C831" s="1203" t="s">
        <v>2021</v>
      </c>
      <c r="D831" s="1100"/>
      <c r="E831" s="290"/>
      <c r="F831" s="1101">
        <v>1.21</v>
      </c>
      <c r="G831" s="1103">
        <v>1.51</v>
      </c>
    </row>
    <row r="832" spans="1:7" ht="15.75">
      <c r="A832" s="841"/>
      <c r="B832" s="342"/>
      <c r="C832" s="1204" t="s">
        <v>1905</v>
      </c>
      <c r="D832" s="1100"/>
      <c r="E832" s="290"/>
      <c r="F832" s="1101">
        <v>1.21</v>
      </c>
      <c r="G832" s="1103">
        <v>1.51</v>
      </c>
    </row>
    <row r="833" spans="1:7" ht="16.5" thickBot="1">
      <c r="A833" s="884"/>
      <c r="B833" s="1032"/>
      <c r="C833" s="1202" t="s">
        <v>2268</v>
      </c>
      <c r="D833" s="1032"/>
      <c r="E833" s="1048"/>
      <c r="F833" s="1102">
        <v>1.1299999999999999</v>
      </c>
      <c r="G833" s="1103">
        <v>1.5</v>
      </c>
    </row>
    <row r="834" spans="1:7" ht="15.75" thickBot="1">
      <c r="G834" s="109"/>
    </row>
    <row r="835" spans="1:7" ht="16.5" customHeight="1">
      <c r="A835" s="3614" t="s">
        <v>0</v>
      </c>
      <c r="B835" s="3693" t="s">
        <v>1</v>
      </c>
      <c r="C835" s="3693" t="s">
        <v>2</v>
      </c>
      <c r="D835" s="3693" t="s">
        <v>3</v>
      </c>
      <c r="E835" s="3693" t="s">
        <v>4</v>
      </c>
      <c r="F835" s="3522" t="s">
        <v>5</v>
      </c>
    </row>
    <row r="836" spans="1:7" ht="15.75" thickBot="1">
      <c r="A836" s="4161"/>
      <c r="B836" s="4162"/>
      <c r="C836" s="4162"/>
      <c r="D836" s="3687"/>
      <c r="E836" s="3687"/>
      <c r="F836" s="4163"/>
    </row>
    <row r="837" spans="1:7" ht="15.75" thickTop="1">
      <c r="A837" s="4152" t="s">
        <v>2315</v>
      </c>
      <c r="B837" s="288" t="s">
        <v>1593</v>
      </c>
      <c r="C837" s="1104" t="s">
        <v>554</v>
      </c>
      <c r="D837" s="1105"/>
      <c r="E837" s="1106">
        <f>(G837-F837)/G837</f>
        <v>0.20353982300884946</v>
      </c>
      <c r="F837" s="768">
        <v>0.9</v>
      </c>
      <c r="G837" s="541">
        <v>1.1299999999999999</v>
      </c>
    </row>
    <row r="838" spans="1:7">
      <c r="A838" s="3562"/>
      <c r="B838" s="342"/>
      <c r="C838" s="977" t="s">
        <v>2116</v>
      </c>
      <c r="D838" s="1105"/>
      <c r="E838" s="1106">
        <f>(G838-F838)/G838</f>
        <v>0.25161290322580654</v>
      </c>
      <c r="F838" s="944">
        <v>1.1599999999999999</v>
      </c>
      <c r="G838" s="429">
        <v>1.55</v>
      </c>
    </row>
    <row r="839" spans="1:7" ht="15.75" thickBot="1">
      <c r="A839" s="3563"/>
      <c r="B839" s="755"/>
      <c r="C839" s="977" t="s">
        <v>2066</v>
      </c>
      <c r="D839" s="548"/>
      <c r="E839" s="549">
        <f>(G839-F839)/G839</f>
        <v>0.25161290322580654</v>
      </c>
      <c r="F839" s="1107">
        <v>1.1599999999999999</v>
      </c>
      <c r="G839" s="541">
        <v>1.55</v>
      </c>
    </row>
    <row r="840" spans="1:7" ht="15.75" thickBot="1"/>
    <row r="841" spans="1:7">
      <c r="A841" s="3614" t="s">
        <v>0</v>
      </c>
      <c r="B841" s="3693" t="s">
        <v>1</v>
      </c>
      <c r="C841" s="3693" t="s">
        <v>2</v>
      </c>
      <c r="D841" s="3693" t="s">
        <v>3</v>
      </c>
      <c r="E841" s="3693" t="s">
        <v>4</v>
      </c>
      <c r="F841" s="3522" t="s">
        <v>5</v>
      </c>
    </row>
    <row r="842" spans="1:7" ht="15.75" thickBot="1">
      <c r="A842" s="3681"/>
      <c r="B842" s="3687"/>
      <c r="C842" s="3687"/>
      <c r="D842" s="3687"/>
      <c r="E842" s="3687"/>
      <c r="F842" s="3717"/>
    </row>
    <row r="843" spans="1:7" ht="15.75">
      <c r="A843" s="1108" t="s">
        <v>2316</v>
      </c>
      <c r="B843" s="1098" t="s">
        <v>460</v>
      </c>
      <c r="C843" s="1190" t="s">
        <v>1772</v>
      </c>
      <c r="D843" s="1182"/>
      <c r="E843" s="1191">
        <f>(G843-F843)/G843</f>
        <v>0.15075376884422112</v>
      </c>
      <c r="F843" s="1192">
        <v>1.69</v>
      </c>
      <c r="G843" s="176">
        <v>1.99</v>
      </c>
    </row>
    <row r="844" spans="1:7" ht="15.75">
      <c r="A844" s="924"/>
      <c r="B844" s="989"/>
      <c r="C844" s="1109" t="s">
        <v>1888</v>
      </c>
      <c r="D844" s="989"/>
      <c r="E844" s="974">
        <f>(G844-F844)/G844</f>
        <v>0.12121212121212122</v>
      </c>
      <c r="F844" s="845">
        <v>0.87</v>
      </c>
      <c r="G844">
        <v>0.99</v>
      </c>
    </row>
    <row r="845" spans="1:7" ht="15.75">
      <c r="A845" s="924"/>
      <c r="B845" s="989"/>
      <c r="C845" s="1109" t="s">
        <v>2042</v>
      </c>
      <c r="D845" s="989"/>
      <c r="E845" s="974">
        <f>(G845-F845)/G845</f>
        <v>0.12121212121212122</v>
      </c>
      <c r="F845" s="845">
        <v>0.87</v>
      </c>
      <c r="G845">
        <v>0.99</v>
      </c>
    </row>
    <row r="846" spans="1:7" ht="15.75">
      <c r="A846" s="924"/>
      <c r="B846" s="989"/>
      <c r="C846" s="1205" t="s">
        <v>1892</v>
      </c>
      <c r="D846" s="989"/>
      <c r="E846" s="974">
        <f>(G846-F846)/G846</f>
        <v>0.20388349514563114</v>
      </c>
      <c r="F846" s="845">
        <v>0.82</v>
      </c>
      <c r="G846" s="39">
        <v>1.03</v>
      </c>
    </row>
    <row r="847" spans="1:7" ht="16.5" thickBot="1">
      <c r="A847" s="1110"/>
      <c r="B847" s="760"/>
      <c r="C847" s="1206" t="s">
        <v>1891</v>
      </c>
      <c r="D847" s="760"/>
      <c r="E847" s="956">
        <f>(G847-F847)/G847</f>
        <v>0.20192307692307698</v>
      </c>
      <c r="F847" s="1111">
        <v>0.83</v>
      </c>
      <c r="G847">
        <v>1.04</v>
      </c>
    </row>
    <row r="848" spans="1:7" ht="15.75" thickBot="1"/>
    <row r="849" spans="1:9">
      <c r="A849" s="4138" t="s">
        <v>0</v>
      </c>
      <c r="B849" s="4134" t="s">
        <v>1</v>
      </c>
      <c r="C849" s="4134" t="s">
        <v>2</v>
      </c>
      <c r="D849" s="4134" t="s">
        <v>3</v>
      </c>
      <c r="E849" s="4134" t="s">
        <v>4</v>
      </c>
      <c r="F849" s="4136" t="s">
        <v>5</v>
      </c>
    </row>
    <row r="850" spans="1:9" ht="15.75" thickBot="1">
      <c r="A850" s="4164"/>
      <c r="B850" s="4165"/>
      <c r="C850" s="4165"/>
      <c r="D850" s="4165"/>
      <c r="E850" s="4165"/>
      <c r="F850" s="4166"/>
    </row>
    <row r="851" spans="1:9" ht="15.75">
      <c r="A851" s="919" t="s">
        <v>2316</v>
      </c>
      <c r="B851" s="5" t="s">
        <v>2234</v>
      </c>
      <c r="C851" s="5" t="s">
        <v>1259</v>
      </c>
      <c r="D851" s="5"/>
      <c r="E851" s="904">
        <f>(G851-F851)/G851</f>
        <v>9.9855282199710613E-2</v>
      </c>
      <c r="F851" s="603">
        <v>24.88</v>
      </c>
      <c r="G851">
        <v>27.64</v>
      </c>
    </row>
    <row r="852" spans="1:9" ht="15.75">
      <c r="A852" s="1112"/>
      <c r="B852" s="1021"/>
      <c r="C852" s="1021" t="s">
        <v>550</v>
      </c>
      <c r="D852" s="1021"/>
      <c r="E852" s="1041">
        <f t="shared" ref="E852:E859" si="37">(G852-F852)/G852</f>
        <v>9.9855282199710613E-2</v>
      </c>
      <c r="F852" s="1113">
        <v>24.88</v>
      </c>
      <c r="G852">
        <v>27.64</v>
      </c>
    </row>
    <row r="853" spans="1:9" ht="15.75">
      <c r="A853" s="1112"/>
      <c r="B853" s="1021"/>
      <c r="C853" s="1021" t="s">
        <v>1258</v>
      </c>
      <c r="D853" s="1021"/>
      <c r="E853" s="1041">
        <f t="shared" si="37"/>
        <v>9.9999999999999908E-2</v>
      </c>
      <c r="F853" s="1113">
        <v>29.07</v>
      </c>
      <c r="G853">
        <v>32.299999999999997</v>
      </c>
    </row>
    <row r="854" spans="1:9" ht="15.75">
      <c r="A854" s="1112"/>
      <c r="B854" s="1021"/>
      <c r="C854" s="1021" t="s">
        <v>549</v>
      </c>
      <c r="D854" s="1021"/>
      <c r="E854" s="1041">
        <f t="shared" si="37"/>
        <v>9.9999999999999908E-2</v>
      </c>
      <c r="F854" s="1113">
        <v>29.07</v>
      </c>
      <c r="G854">
        <v>32.299999999999997</v>
      </c>
    </row>
    <row r="855" spans="1:9" ht="15.75">
      <c r="A855" s="1112"/>
      <c r="B855" s="1021"/>
      <c r="C855" s="1021" t="s">
        <v>1763</v>
      </c>
      <c r="D855" s="1021"/>
      <c r="E855" s="1041">
        <f t="shared" si="37"/>
        <v>0.1501113585746103</v>
      </c>
      <c r="F855" s="1045">
        <v>19.079999999999998</v>
      </c>
      <c r="G855">
        <v>22.45</v>
      </c>
      <c r="H855">
        <f>G855-F855</f>
        <v>3.370000000000001</v>
      </c>
      <c r="I855">
        <f>H855*15</f>
        <v>50.550000000000011</v>
      </c>
    </row>
    <row r="856" spans="1:9" ht="15.75">
      <c r="A856" s="1112"/>
      <c r="B856" s="1021"/>
      <c r="C856" s="1021" t="s">
        <v>1556</v>
      </c>
      <c r="D856" s="1021"/>
      <c r="E856" s="1041">
        <f t="shared" si="37"/>
        <v>0.1501113585746103</v>
      </c>
      <c r="F856" s="1045">
        <v>19.079999999999998</v>
      </c>
      <c r="G856">
        <v>22.45</v>
      </c>
    </row>
    <row r="857" spans="1:9" ht="15.75">
      <c r="A857" s="1112"/>
      <c r="B857" s="1021"/>
      <c r="C857" s="1021" t="s">
        <v>1557</v>
      </c>
      <c r="D857" s="1021"/>
      <c r="E857" s="1041">
        <f t="shared" si="37"/>
        <v>0.1501113585746103</v>
      </c>
      <c r="F857" s="1045">
        <v>19.079999999999998</v>
      </c>
      <c r="G857">
        <v>22.45</v>
      </c>
    </row>
    <row r="858" spans="1:9" ht="15.75">
      <c r="A858" s="1112"/>
      <c r="B858" s="1021"/>
      <c r="C858" s="1021" t="s">
        <v>1555</v>
      </c>
      <c r="D858" s="1021"/>
      <c r="E858" s="1041">
        <f t="shared" si="37"/>
        <v>0.1501113585746103</v>
      </c>
      <c r="F858" s="1045">
        <v>19.079999999999998</v>
      </c>
      <c r="G858">
        <v>22.45</v>
      </c>
    </row>
    <row r="859" spans="1:9" ht="16.5" thickBot="1">
      <c r="A859" s="1114"/>
      <c r="B859" s="1047"/>
      <c r="C859" s="1047" t="s">
        <v>1810</v>
      </c>
      <c r="D859" s="1047"/>
      <c r="E859" s="1041">
        <f t="shared" si="37"/>
        <v>0.1501113585746103</v>
      </c>
      <c r="F859" s="1049">
        <v>19.079999999999998</v>
      </c>
      <c r="G859">
        <v>22.45</v>
      </c>
    </row>
    <row r="860" spans="1:9" ht="15.75" thickBot="1"/>
    <row r="861" spans="1:9">
      <c r="A861" s="4138" t="s">
        <v>0</v>
      </c>
      <c r="B861" s="4134" t="s">
        <v>1</v>
      </c>
      <c r="C861" s="4134" t="s">
        <v>2</v>
      </c>
      <c r="D861" s="4134" t="s">
        <v>3</v>
      </c>
      <c r="E861" s="4134" t="s">
        <v>4</v>
      </c>
      <c r="F861" s="4136" t="s">
        <v>5</v>
      </c>
    </row>
    <row r="862" spans="1:9" ht="15.75" thickBot="1">
      <c r="A862" s="4164"/>
      <c r="B862" s="4165"/>
      <c r="C862" s="4165"/>
      <c r="D862" s="4165"/>
      <c r="E862" s="4165"/>
      <c r="F862" s="4166"/>
    </row>
    <row r="863" spans="1:9" ht="15.75">
      <c r="A863" s="919" t="s">
        <v>2326</v>
      </c>
      <c r="B863" s="5" t="s">
        <v>2327</v>
      </c>
      <c r="C863" s="191" t="s">
        <v>623</v>
      </c>
      <c r="D863" s="191"/>
      <c r="E863" s="1193">
        <f>(G863-F863)/G863</f>
        <v>0.23958333333333331</v>
      </c>
      <c r="F863" s="562">
        <v>1.46</v>
      </c>
      <c r="G863" s="176">
        <v>1.92</v>
      </c>
    </row>
    <row r="864" spans="1:9" ht="15.75">
      <c r="A864" s="1112"/>
      <c r="B864" s="1021"/>
      <c r="C864" s="1021" t="s">
        <v>2328</v>
      </c>
      <c r="D864" s="1021"/>
      <c r="E864" s="1041">
        <f t="shared" ref="E864:E871" si="38">(G864-F864)/G864</f>
        <v>0.23668639053254434</v>
      </c>
      <c r="F864" s="1113">
        <v>1.29</v>
      </c>
      <c r="G864">
        <v>1.69</v>
      </c>
    </row>
    <row r="865" spans="1:7" ht="15.75">
      <c r="A865" s="1112"/>
      <c r="B865" s="1021"/>
      <c r="C865" s="1021" t="s">
        <v>2329</v>
      </c>
      <c r="D865" s="1021"/>
      <c r="E865" s="1041">
        <f t="shared" si="38"/>
        <v>0.22857142857142848</v>
      </c>
      <c r="F865" s="1113">
        <v>0.54</v>
      </c>
      <c r="G865">
        <v>0.7</v>
      </c>
    </row>
    <row r="866" spans="1:7" ht="15.75">
      <c r="A866" s="1112"/>
      <c r="B866" s="1021"/>
      <c r="C866" s="1021" t="s">
        <v>2330</v>
      </c>
      <c r="D866" s="1021"/>
      <c r="E866" s="1041">
        <f t="shared" si="38"/>
        <v>0.19230769230769232</v>
      </c>
      <c r="F866" s="1113">
        <v>0.63</v>
      </c>
      <c r="G866">
        <v>0.78</v>
      </c>
    </row>
    <row r="867" spans="1:7" ht="15.75">
      <c r="A867" s="1112"/>
      <c r="B867" s="1021"/>
      <c r="C867" s="1021" t="s">
        <v>787</v>
      </c>
      <c r="D867" s="1021"/>
      <c r="E867" s="1041">
        <f t="shared" si="38"/>
        <v>0.24193548387096778</v>
      </c>
      <c r="F867" s="1045">
        <v>0.47</v>
      </c>
      <c r="G867">
        <v>0.62</v>
      </c>
    </row>
    <row r="868" spans="1:7" ht="15.75">
      <c r="A868" s="1112"/>
      <c r="B868" s="1021"/>
      <c r="C868" s="1021" t="s">
        <v>895</v>
      </c>
      <c r="D868" s="1021"/>
      <c r="E868" s="1041">
        <f t="shared" si="38"/>
        <v>0.23841059602649012</v>
      </c>
      <c r="F868" s="1045">
        <v>1.1499999999999999</v>
      </c>
      <c r="G868">
        <v>1.51</v>
      </c>
    </row>
    <row r="869" spans="1:7" ht="15.75">
      <c r="A869" s="1112"/>
      <c r="B869" s="1021"/>
      <c r="C869" s="1021" t="s">
        <v>1090</v>
      </c>
      <c r="D869" s="1021"/>
      <c r="E869" s="1041">
        <f t="shared" si="38"/>
        <v>0.24285714285714277</v>
      </c>
      <c r="F869" s="1045">
        <v>1.06</v>
      </c>
      <c r="G869">
        <v>1.4</v>
      </c>
    </row>
    <row r="870" spans="1:7" ht="15.75">
      <c r="A870" s="1112"/>
      <c r="B870" s="1021"/>
      <c r="C870" s="1021" t="s">
        <v>1374</v>
      </c>
      <c r="D870" s="1021"/>
      <c r="E870" s="1041">
        <f t="shared" si="38"/>
        <v>7.8431372549019676E-2</v>
      </c>
      <c r="F870" s="1045">
        <v>0.94</v>
      </c>
      <c r="G870">
        <v>1.02</v>
      </c>
    </row>
    <row r="871" spans="1:7" ht="16.5" thickBot="1">
      <c r="A871" s="1114"/>
      <c r="B871" s="1047"/>
      <c r="C871" s="1178" t="s">
        <v>2331</v>
      </c>
      <c r="D871" s="1178"/>
      <c r="E871" s="1194">
        <f t="shared" si="38"/>
        <v>0.23577235772357727</v>
      </c>
      <c r="F871" s="1180">
        <v>0.94</v>
      </c>
      <c r="G871" s="176">
        <v>1.23</v>
      </c>
    </row>
    <row r="872" spans="1:7" ht="15.75" thickBot="1"/>
    <row r="873" spans="1:7">
      <c r="A873" s="3614" t="s">
        <v>0</v>
      </c>
      <c r="B873" s="3693" t="s">
        <v>1</v>
      </c>
      <c r="C873" s="3693" t="s">
        <v>2</v>
      </c>
      <c r="D873" s="3693" t="s">
        <v>3</v>
      </c>
      <c r="E873" s="3693" t="s">
        <v>4</v>
      </c>
      <c r="F873" s="3522" t="s">
        <v>5</v>
      </c>
      <c r="G873" s="109"/>
    </row>
    <row r="874" spans="1:7" ht="15.75" thickBot="1">
      <c r="A874" s="4083"/>
      <c r="B874" s="4084"/>
      <c r="C874" s="4084"/>
      <c r="D874" s="4084"/>
      <c r="E874" s="4084"/>
      <c r="F874" s="4085"/>
      <c r="G874" s="109"/>
    </row>
    <row r="875" spans="1:7" ht="15.75">
      <c r="A875" s="841" t="s">
        <v>2332</v>
      </c>
      <c r="B875" s="4189" t="s">
        <v>2155</v>
      </c>
      <c r="C875" s="1097" t="s">
        <v>730</v>
      </c>
      <c r="D875" s="1098"/>
      <c r="E875" s="290">
        <f>(G875-F875)/G875</f>
        <v>0.24050632911392411</v>
      </c>
      <c r="F875" s="1122">
        <v>0.6</v>
      </c>
      <c r="G875" s="1103">
        <v>0.79</v>
      </c>
    </row>
    <row r="876" spans="1:7" ht="15.75">
      <c r="A876" s="841"/>
      <c r="B876" s="4190"/>
      <c r="C876" s="1099" t="s">
        <v>554</v>
      </c>
      <c r="D876" s="1100"/>
      <c r="E876" s="290">
        <f>(G876-F876)/G876</f>
        <v>0.23893805309734506</v>
      </c>
      <c r="F876" s="1122">
        <v>0.86</v>
      </c>
      <c r="G876" s="1103">
        <v>1.1299999999999999</v>
      </c>
    </row>
    <row r="877" spans="1:7" ht="15.75">
      <c r="A877" s="841"/>
      <c r="B877" s="4190"/>
      <c r="C877" s="1203" t="s">
        <v>2268</v>
      </c>
      <c r="D877" s="1100"/>
      <c r="E877" s="290">
        <f>(G877-F877)/G877</f>
        <v>0.24666666666666673</v>
      </c>
      <c r="F877" s="1122">
        <v>1.1299999999999999</v>
      </c>
      <c r="G877" s="1103">
        <v>1.5</v>
      </c>
    </row>
    <row r="878" spans="1:7" ht="16.5" thickBot="1">
      <c r="A878" s="884"/>
      <c r="B878" s="4191"/>
      <c r="C878" s="1123"/>
      <c r="D878" s="755"/>
      <c r="E878" s="593"/>
      <c r="F878" s="1124"/>
      <c r="G878" s="1103"/>
    </row>
    <row r="881" spans="1:7" ht="15.75" thickBot="1"/>
    <row r="882" spans="1:7" ht="15.75">
      <c r="A882" s="4138" t="s">
        <v>0</v>
      </c>
      <c r="B882" s="4134" t="s">
        <v>1</v>
      </c>
      <c r="C882" s="4134" t="s">
        <v>2</v>
      </c>
      <c r="D882" s="4134" t="s">
        <v>3</v>
      </c>
      <c r="E882" s="4134" t="s">
        <v>4</v>
      </c>
      <c r="F882" s="4136" t="s">
        <v>5</v>
      </c>
      <c r="G882" s="900"/>
    </row>
    <row r="883" spans="1:7" ht="16.5" thickBot="1">
      <c r="A883" s="4164"/>
      <c r="B883" s="4165"/>
      <c r="C883" s="4165"/>
      <c r="D883" s="4165"/>
      <c r="E883" s="4165"/>
      <c r="F883" s="4166"/>
      <c r="G883" s="900"/>
    </row>
    <row r="884" spans="1:7" ht="15.75">
      <c r="A884" s="1138" t="s">
        <v>2337</v>
      </c>
      <c r="B884" s="1274" t="s">
        <v>1708</v>
      </c>
      <c r="C884" s="1269" t="s">
        <v>2077</v>
      </c>
      <c r="D884" s="902"/>
      <c r="E884" s="904">
        <f>(G884-F884)/G884</f>
        <v>0.20930232558139528</v>
      </c>
      <c r="F884" s="1140">
        <v>0.34</v>
      </c>
      <c r="G884" s="900">
        <v>0.43</v>
      </c>
    </row>
    <row r="885" spans="1:7" ht="15.75">
      <c r="A885" s="1112"/>
      <c r="B885" s="1021"/>
      <c r="C885" s="1210" t="s">
        <v>1891</v>
      </c>
      <c r="D885" s="1021"/>
      <c r="E885" s="1041">
        <f>(G885-F885)/G885</f>
        <v>0.19811320754716988</v>
      </c>
      <c r="F885" s="1113">
        <v>0.85</v>
      </c>
      <c r="G885">
        <v>1.06</v>
      </c>
    </row>
    <row r="886" spans="1:7" ht="15.75">
      <c r="A886" s="1112"/>
      <c r="B886" s="1021"/>
      <c r="C886" s="1021" t="s">
        <v>1345</v>
      </c>
      <c r="D886" s="1021"/>
      <c r="E886" s="1041">
        <f>(G886-F886)/G886</f>
        <v>0.20231213872832376</v>
      </c>
      <c r="F886" s="1113">
        <v>1.38</v>
      </c>
      <c r="G886">
        <v>1.73</v>
      </c>
    </row>
    <row r="887" spans="1:7" ht="16.5" thickBot="1">
      <c r="A887" s="1114"/>
      <c r="B887" s="1047"/>
      <c r="C887" s="1047" t="s">
        <v>1355</v>
      </c>
      <c r="D887" s="1047"/>
      <c r="E887" s="1141">
        <f>(G887-F887)/G887</f>
        <v>0.20231213872832376</v>
      </c>
      <c r="F887" s="1142">
        <v>1.38</v>
      </c>
      <c r="G887" s="907">
        <v>1.73</v>
      </c>
    </row>
    <row r="888" spans="1:7" ht="15.75" thickBot="1"/>
    <row r="889" spans="1:7">
      <c r="A889" s="3614" t="s">
        <v>0</v>
      </c>
      <c r="B889" s="3693" t="s">
        <v>1</v>
      </c>
      <c r="C889" s="3693" t="s">
        <v>2</v>
      </c>
      <c r="D889" s="3693" t="s">
        <v>3</v>
      </c>
      <c r="E889" s="3693" t="s">
        <v>4</v>
      </c>
      <c r="F889" s="3522" t="s">
        <v>5</v>
      </c>
      <c r="G889" s="109"/>
    </row>
    <row r="890" spans="1:7" ht="15.75" thickBot="1">
      <c r="A890" s="4083"/>
      <c r="B890" s="4084"/>
      <c r="C890" s="4084"/>
      <c r="D890" s="4084"/>
      <c r="E890" s="4084"/>
      <c r="F890" s="4085"/>
      <c r="G890" s="109"/>
    </row>
    <row r="891" spans="1:7" ht="15.75">
      <c r="A891" s="841" t="s">
        <v>2338</v>
      </c>
      <c r="B891" s="4154" t="s">
        <v>2155</v>
      </c>
      <c r="C891" s="1097" t="s">
        <v>1763</v>
      </c>
      <c r="D891" s="1098"/>
      <c r="E891" s="290">
        <f>(G891-F891)/G891</f>
        <v>0.16005291005291</v>
      </c>
      <c r="F891" s="1122">
        <v>19.05</v>
      </c>
      <c r="G891" s="1103">
        <v>22.68</v>
      </c>
    </row>
    <row r="892" spans="1:7" ht="15.75">
      <c r="A892" s="841"/>
      <c r="B892" s="4155"/>
      <c r="C892" s="1143" t="s">
        <v>1556</v>
      </c>
      <c r="D892" s="1144"/>
      <c r="E892" s="290">
        <f>(G892-F892)/G892</f>
        <v>0.16005291005291</v>
      </c>
      <c r="F892" s="1122">
        <v>19.05</v>
      </c>
      <c r="G892" s="1103">
        <v>22.68</v>
      </c>
    </row>
    <row r="893" spans="1:7" ht="15.75">
      <c r="A893" s="841"/>
      <c r="B893" s="4155"/>
      <c r="C893" s="1143" t="s">
        <v>1557</v>
      </c>
      <c r="D893" s="1144"/>
      <c r="E893" s="290">
        <f>(G893-F893)/G893</f>
        <v>0.16005291005291</v>
      </c>
      <c r="F893" s="1122">
        <v>19.05</v>
      </c>
      <c r="G893" s="1103">
        <v>22.68</v>
      </c>
    </row>
    <row r="894" spans="1:7" ht="16.5" thickBot="1">
      <c r="A894" s="884"/>
      <c r="B894" s="4156"/>
      <c r="C894" s="1145"/>
      <c r="D894" s="1146"/>
      <c r="E894" s="593"/>
      <c r="F894" s="1124"/>
      <c r="G894" s="1103"/>
    </row>
    <row r="895" spans="1:7" ht="15.75" thickBot="1"/>
    <row r="896" spans="1:7">
      <c r="A896" s="3572" t="s">
        <v>0</v>
      </c>
      <c r="B896" s="3636" t="s">
        <v>1</v>
      </c>
      <c r="C896" s="3636" t="s">
        <v>2</v>
      </c>
      <c r="D896" s="3636" t="s">
        <v>3</v>
      </c>
      <c r="E896" s="3636" t="s">
        <v>4</v>
      </c>
      <c r="F896" s="3559" t="s">
        <v>5</v>
      </c>
      <c r="G896" s="429"/>
    </row>
    <row r="897" spans="1:7" ht="15.75" thickBot="1">
      <c r="A897" s="3696"/>
      <c r="B897" s="3676"/>
      <c r="C897" s="3676"/>
      <c r="D897" s="3676"/>
      <c r="E897" s="3676"/>
      <c r="F897" s="3710"/>
      <c r="G897" s="429"/>
    </row>
    <row r="898" spans="1:7" ht="15.75" thickTop="1">
      <c r="A898" s="813" t="s">
        <v>2344</v>
      </c>
      <c r="B898" s="388" t="s">
        <v>120</v>
      </c>
      <c r="C898" s="981" t="s">
        <v>155</v>
      </c>
      <c r="D898" s="388"/>
      <c r="E898" s="880">
        <f>(G898-F898)/G898</f>
        <v>0.31851851851851853</v>
      </c>
      <c r="F898" s="872">
        <v>0.92</v>
      </c>
      <c r="G898" s="429">
        <v>1.35</v>
      </c>
    </row>
    <row r="899" spans="1:7">
      <c r="A899" s="491"/>
      <c r="B899" s="982" t="s">
        <v>121</v>
      </c>
      <c r="C899" s="981" t="s">
        <v>452</v>
      </c>
      <c r="D899" s="388"/>
      <c r="E899" s="980">
        <f t="shared" ref="E899:E905" si="39">(G899-F899)/G899</f>
        <v>0.2711864406779661</v>
      </c>
      <c r="F899" s="872">
        <v>0.86</v>
      </c>
      <c r="G899" s="429">
        <v>1.18</v>
      </c>
    </row>
    <row r="900" spans="1:7">
      <c r="A900" s="491"/>
      <c r="B900" s="982" t="s">
        <v>123</v>
      </c>
      <c r="C900" s="981" t="s">
        <v>1300</v>
      </c>
      <c r="D900" s="388"/>
      <c r="E900" s="980">
        <f t="shared" si="39"/>
        <v>0.42307692307692313</v>
      </c>
      <c r="F900" s="872">
        <v>0.6</v>
      </c>
      <c r="G900" s="429">
        <v>1.04</v>
      </c>
    </row>
    <row r="901" spans="1:7">
      <c r="A901" s="491"/>
      <c r="B901" s="982" t="s">
        <v>122</v>
      </c>
      <c r="C901" s="981" t="s">
        <v>1959</v>
      </c>
      <c r="D901" s="388"/>
      <c r="E901" s="980">
        <f t="shared" si="39"/>
        <v>0.27272727272727265</v>
      </c>
      <c r="F901" s="872">
        <v>1.1200000000000001</v>
      </c>
      <c r="G901" s="528">
        <v>1.54</v>
      </c>
    </row>
    <row r="902" spans="1:7">
      <c r="A902" s="491"/>
      <c r="B902" s="984" t="s">
        <v>2057</v>
      </c>
      <c r="C902" s="983" t="s">
        <v>385</v>
      </c>
      <c r="D902" s="388"/>
      <c r="E902" s="980">
        <f t="shared" si="39"/>
        <v>5.2631578947368356E-2</v>
      </c>
      <c r="F902" s="961">
        <v>0.9</v>
      </c>
      <c r="G902" s="528">
        <v>0.95</v>
      </c>
    </row>
    <row r="903" spans="1:7">
      <c r="A903" s="491"/>
      <c r="B903" s="984"/>
      <c r="C903" s="983" t="s">
        <v>905</v>
      </c>
      <c r="D903" s="388"/>
      <c r="E903" s="980">
        <f t="shared" si="39"/>
        <v>0.20512820512820515</v>
      </c>
      <c r="F903" s="961">
        <v>0.62</v>
      </c>
      <c r="G903" s="528">
        <v>0.78</v>
      </c>
    </row>
    <row r="904" spans="1:7">
      <c r="A904" s="491"/>
      <c r="B904" s="984"/>
      <c r="C904" s="983" t="s">
        <v>1345</v>
      </c>
      <c r="D904" s="388"/>
      <c r="E904" s="980">
        <f t="shared" si="39"/>
        <v>0.15028901734104047</v>
      </c>
      <c r="F904" s="961">
        <v>1.47</v>
      </c>
      <c r="G904" s="528">
        <v>1.73</v>
      </c>
    </row>
    <row r="905" spans="1:7" ht="15.75" thickBot="1">
      <c r="A905" s="500"/>
      <c r="B905" s="1147"/>
      <c r="C905" s="1148" t="s">
        <v>1429</v>
      </c>
      <c r="D905" s="873"/>
      <c r="E905" s="980">
        <f t="shared" si="39"/>
        <v>0.15028901734104047</v>
      </c>
      <c r="F905" s="1149">
        <v>1.47</v>
      </c>
      <c r="G905" s="528">
        <v>1.73</v>
      </c>
    </row>
    <row r="906" spans="1:7" ht="15.75" thickBot="1"/>
    <row r="907" spans="1:7">
      <c r="A907" s="3614" t="s">
        <v>0</v>
      </c>
      <c r="B907" s="3693" t="s">
        <v>1</v>
      </c>
      <c r="C907" s="3693" t="s">
        <v>2</v>
      </c>
      <c r="D907" s="3693" t="s">
        <v>3</v>
      </c>
      <c r="E907" s="3693" t="s">
        <v>4</v>
      </c>
      <c r="F907" s="3522" t="s">
        <v>5</v>
      </c>
    </row>
    <row r="908" spans="1:7" ht="15.75" thickBot="1">
      <c r="A908" s="4161"/>
      <c r="B908" s="4162"/>
      <c r="C908" s="4162"/>
      <c r="D908" s="4162"/>
      <c r="E908" s="4162"/>
      <c r="F908" s="4163"/>
    </row>
    <row r="909" spans="1:7" ht="15.75" thickTop="1">
      <c r="A909" s="412" t="s">
        <v>2342</v>
      </c>
      <c r="B909" s="288" t="s">
        <v>1249</v>
      </c>
      <c r="C909" s="988" t="s">
        <v>2116</v>
      </c>
      <c r="D909" s="288"/>
      <c r="E909" s="290">
        <f>(G909-F909)/G909</f>
        <v>0.19736842105263161</v>
      </c>
      <c r="F909" s="775">
        <v>1.22</v>
      </c>
      <c r="G909" s="429">
        <v>1.52</v>
      </c>
    </row>
    <row r="910" spans="1:7">
      <c r="A910" s="413"/>
      <c r="B910" s="989"/>
      <c r="C910" s="990" t="s">
        <v>2066</v>
      </c>
      <c r="D910" s="288"/>
      <c r="E910" s="290">
        <f>(G910-F910)/G910</f>
        <v>0.19736842105263161</v>
      </c>
      <c r="F910" s="776">
        <v>1.22</v>
      </c>
      <c r="G910" s="436">
        <v>1.52</v>
      </c>
    </row>
    <row r="911" spans="1:7">
      <c r="A911" s="413"/>
      <c r="B911" s="989"/>
      <c r="C911" s="988" t="s">
        <v>2343</v>
      </c>
      <c r="D911" s="288"/>
      <c r="E911" s="290">
        <f>(G911-F911)/G911</f>
        <v>0.19672131147540983</v>
      </c>
      <c r="F911" s="1150">
        <v>0.98</v>
      </c>
      <c r="G911" s="436">
        <v>1.22</v>
      </c>
    </row>
    <row r="912" spans="1:7">
      <c r="A912" s="413"/>
      <c r="B912" s="1151"/>
      <c r="C912" s="1152" t="s">
        <v>155</v>
      </c>
      <c r="D912" s="288"/>
      <c r="E912" s="290">
        <f>(G912-F912)/G912</f>
        <v>0.1944444444444445</v>
      </c>
      <c r="F912" s="1153">
        <v>0.87</v>
      </c>
      <c r="G912" s="436">
        <v>1.08</v>
      </c>
    </row>
    <row r="913" spans="1:8" ht="15.75" thickBot="1">
      <c r="A913" s="415"/>
      <c r="B913" s="1146"/>
      <c r="C913" s="1154" t="s">
        <v>153</v>
      </c>
      <c r="D913" s="592"/>
      <c r="E913" s="593">
        <f>(G913-F913)/G913</f>
        <v>0.19999999999999996</v>
      </c>
      <c r="F913" s="1155">
        <v>0.76</v>
      </c>
      <c r="G913" s="436">
        <v>0.95</v>
      </c>
    </row>
    <row r="914" spans="1:8" ht="15.75" thickBot="1"/>
    <row r="915" spans="1:8">
      <c r="A915" s="3614" t="s">
        <v>0</v>
      </c>
      <c r="B915" s="3693" t="s">
        <v>1</v>
      </c>
      <c r="C915" s="3693" t="s">
        <v>2</v>
      </c>
      <c r="D915" s="3693" t="s">
        <v>3</v>
      </c>
      <c r="E915" s="3693" t="s">
        <v>4</v>
      </c>
      <c r="F915" s="3522" t="s">
        <v>5</v>
      </c>
    </row>
    <row r="916" spans="1:8" ht="15.75" thickBot="1">
      <c r="A916" s="4161"/>
      <c r="B916" s="4162"/>
      <c r="C916" s="4162"/>
      <c r="D916" s="4162"/>
      <c r="E916" s="4162"/>
      <c r="F916" s="4163"/>
    </row>
    <row r="917" spans="1:8" ht="16.5" thickTop="1" thickBot="1">
      <c r="A917" s="412" t="s">
        <v>2344</v>
      </c>
      <c r="B917" s="1207" t="s">
        <v>2183</v>
      </c>
      <c r="C917" s="1207" t="s">
        <v>1892</v>
      </c>
      <c r="D917" s="288"/>
      <c r="E917" s="549">
        <f>(G917-F917)/G917</f>
        <v>0.19999999999999996</v>
      </c>
      <c r="F917" s="758">
        <v>0.76</v>
      </c>
      <c r="G917">
        <v>0.95</v>
      </c>
      <c r="H917">
        <f>0.73/G917</f>
        <v>0.768421052631579</v>
      </c>
    </row>
    <row r="918" spans="1:8" ht="15.75" thickBot="1">
      <c r="A918" s="302"/>
      <c r="B918" s="989"/>
      <c r="C918" s="1270" t="s">
        <v>2345</v>
      </c>
      <c r="D918" s="288"/>
      <c r="E918" s="549">
        <f>(G918-F918)/G918</f>
        <v>0.19886363636363641</v>
      </c>
      <c r="F918" s="758">
        <v>1.41</v>
      </c>
      <c r="G918">
        <v>1.76</v>
      </c>
      <c r="H918">
        <f>1.18/G918</f>
        <v>0.67045454545454541</v>
      </c>
    </row>
    <row r="919" spans="1:8" ht="15.75" thickBot="1">
      <c r="A919" s="460"/>
      <c r="B919" s="1146"/>
      <c r="C919" s="1157"/>
      <c r="D919" s="592"/>
      <c r="E919" s="593"/>
      <c r="F919" s="1158"/>
    </row>
    <row r="922" spans="1:8" ht="15.75" thickBot="1"/>
    <row r="923" spans="1:8">
      <c r="A923" s="4138" t="s">
        <v>0</v>
      </c>
      <c r="B923" s="4192" t="s">
        <v>1</v>
      </c>
      <c r="C923" s="4192" t="s">
        <v>2</v>
      </c>
      <c r="D923" s="4192" t="s">
        <v>3</v>
      </c>
      <c r="E923" s="4192" t="s">
        <v>4</v>
      </c>
      <c r="F923" s="4136" t="s">
        <v>5</v>
      </c>
    </row>
    <row r="924" spans="1:8" ht="15.75" thickBot="1">
      <c r="A924" s="4164"/>
      <c r="B924" s="4165"/>
      <c r="C924" s="4165"/>
      <c r="D924" s="4165"/>
      <c r="E924" s="4165"/>
      <c r="F924" s="4166"/>
    </row>
    <row r="925" spans="1:8" ht="15.75">
      <c r="A925" s="919" t="s">
        <v>2347</v>
      </c>
      <c r="B925" s="5" t="s">
        <v>2234</v>
      </c>
      <c r="C925" s="5" t="s">
        <v>1259</v>
      </c>
      <c r="D925" s="5"/>
      <c r="E925" s="904">
        <f>(G925-F925)/G925</f>
        <v>9.9855282199710613E-2</v>
      </c>
      <c r="F925" s="603">
        <v>24.88</v>
      </c>
      <c r="G925">
        <v>27.64</v>
      </c>
    </row>
    <row r="926" spans="1:8" ht="15.75">
      <c r="A926" s="1112"/>
      <c r="B926" s="1021"/>
      <c r="C926" s="1021" t="s">
        <v>550</v>
      </c>
      <c r="D926" s="1021"/>
      <c r="E926" s="1041">
        <f t="shared" ref="E926:E935" si="40">(G926-F926)/G926</f>
        <v>9.9855282199710613E-2</v>
      </c>
      <c r="F926" s="1113">
        <v>24.88</v>
      </c>
      <c r="G926">
        <v>27.64</v>
      </c>
    </row>
    <row r="927" spans="1:8" ht="15.75">
      <c r="A927" s="1112"/>
      <c r="B927" s="1021"/>
      <c r="C927" s="1021" t="s">
        <v>1258</v>
      </c>
      <c r="D927" s="1021"/>
      <c r="E927" s="1041">
        <f t="shared" si="40"/>
        <v>9.9999999999999908E-2</v>
      </c>
      <c r="F927" s="1113">
        <v>29.07</v>
      </c>
      <c r="G927">
        <v>32.299999999999997</v>
      </c>
    </row>
    <row r="928" spans="1:8" ht="15.75">
      <c r="A928" s="1112"/>
      <c r="B928" s="1021"/>
      <c r="C928" s="1021" t="s">
        <v>549</v>
      </c>
      <c r="D928" s="1021"/>
      <c r="E928" s="1041">
        <f t="shared" si="40"/>
        <v>9.9999999999999908E-2</v>
      </c>
      <c r="F928" s="1113">
        <v>29.07</v>
      </c>
      <c r="G928">
        <v>32.299999999999997</v>
      </c>
    </row>
    <row r="929" spans="1:7" ht="15.75">
      <c r="A929" s="1112"/>
      <c r="B929" s="1021"/>
      <c r="C929" s="1021" t="s">
        <v>554</v>
      </c>
      <c r="D929" s="1021"/>
      <c r="E929" s="1041">
        <f t="shared" si="40"/>
        <v>0.24576271186440674</v>
      </c>
      <c r="F929" s="1045">
        <v>0.89</v>
      </c>
      <c r="G929">
        <v>1.18</v>
      </c>
    </row>
    <row r="930" spans="1:7" ht="15.75">
      <c r="A930" s="1112"/>
      <c r="B930" s="1021"/>
      <c r="C930" s="1021" t="s">
        <v>1120</v>
      </c>
      <c r="D930" s="1021"/>
      <c r="E930" s="1041">
        <f t="shared" si="40"/>
        <v>0.24489795918367346</v>
      </c>
      <c r="F930" s="1045">
        <v>0.37</v>
      </c>
      <c r="G930">
        <v>0.49</v>
      </c>
    </row>
    <row r="931" spans="1:7" ht="15.75">
      <c r="A931" s="1112"/>
      <c r="B931" s="1021"/>
      <c r="C931" s="1021" t="s">
        <v>686</v>
      </c>
      <c r="D931" s="1021"/>
      <c r="E931" s="1041">
        <f t="shared" si="40"/>
        <v>0.29953917050691242</v>
      </c>
      <c r="F931" s="1045">
        <v>1.52</v>
      </c>
      <c r="G931">
        <v>2.17</v>
      </c>
    </row>
    <row r="932" spans="1:7" ht="15.75">
      <c r="A932" s="1112"/>
      <c r="B932" s="1021"/>
      <c r="C932" s="1021" t="s">
        <v>687</v>
      </c>
      <c r="D932" s="1021"/>
      <c r="E932" s="1041">
        <f t="shared" si="40"/>
        <v>0.29953917050691242</v>
      </c>
      <c r="F932" s="1045">
        <v>1.52</v>
      </c>
      <c r="G932">
        <v>2.17</v>
      </c>
    </row>
    <row r="933" spans="1:7" ht="15.75">
      <c r="A933" s="1112"/>
      <c r="B933" s="1021"/>
      <c r="C933" s="1021" t="s">
        <v>2115</v>
      </c>
      <c r="D933" s="1021"/>
      <c r="E933" s="1041">
        <f t="shared" si="40"/>
        <v>0.25000000000000006</v>
      </c>
      <c r="F933" s="1045">
        <v>1.1399999999999999</v>
      </c>
      <c r="G933">
        <v>1.52</v>
      </c>
    </row>
    <row r="934" spans="1:7" ht="15.75">
      <c r="A934" s="1112"/>
      <c r="B934" s="1021"/>
      <c r="C934" s="1021" t="s">
        <v>2116</v>
      </c>
      <c r="D934" s="1021"/>
      <c r="E934" s="1041">
        <f t="shared" si="40"/>
        <v>0.25000000000000006</v>
      </c>
      <c r="F934" s="1045">
        <v>1.1399999999999999</v>
      </c>
      <c r="G934">
        <v>1.52</v>
      </c>
    </row>
    <row r="935" spans="1:7" ht="15.75">
      <c r="A935" s="1112"/>
      <c r="B935" s="1021"/>
      <c r="C935" s="1021" t="s">
        <v>2066</v>
      </c>
      <c r="D935" s="1021"/>
      <c r="E935" s="1041">
        <f t="shared" si="40"/>
        <v>0.25000000000000006</v>
      </c>
      <c r="F935" s="1045">
        <v>1.1399999999999999</v>
      </c>
      <c r="G935">
        <v>1.52</v>
      </c>
    </row>
    <row r="936" spans="1:7" ht="15.75" thickBot="1">
      <c r="A936" s="1114"/>
      <c r="B936" s="1047"/>
      <c r="C936" s="1047"/>
      <c r="D936" s="1047"/>
      <c r="E936" s="1047"/>
      <c r="F936" s="1049"/>
    </row>
    <row r="937" spans="1:7" ht="15.75" thickBot="1"/>
    <row r="938" spans="1:7">
      <c r="A938" s="4138" t="s">
        <v>0</v>
      </c>
      <c r="B938" s="4192" t="s">
        <v>1</v>
      </c>
      <c r="C938" s="4192" t="s">
        <v>2</v>
      </c>
      <c r="D938" s="4192" t="s">
        <v>3</v>
      </c>
      <c r="E938" s="4192" t="s">
        <v>4</v>
      </c>
      <c r="F938" s="4136" t="s">
        <v>5</v>
      </c>
    </row>
    <row r="939" spans="1:7" ht="15.75" thickBot="1">
      <c r="A939" s="4164"/>
      <c r="B939" s="4165"/>
      <c r="C939" s="4165"/>
      <c r="D939" s="4165"/>
      <c r="E939" s="4165"/>
      <c r="F939" s="4166"/>
    </row>
    <row r="940" spans="1:7" ht="15.75">
      <c r="A940" s="919" t="s">
        <v>2348</v>
      </c>
      <c r="B940" s="5" t="s">
        <v>2349</v>
      </c>
      <c r="C940" s="5" t="s">
        <v>387</v>
      </c>
      <c r="D940" s="5"/>
      <c r="E940" s="904">
        <f>(G940-F940)/G940</f>
        <v>0.19642857142857148</v>
      </c>
      <c r="F940" s="603">
        <v>0.9</v>
      </c>
      <c r="G940">
        <v>1.1200000000000001</v>
      </c>
    </row>
    <row r="941" spans="1:7" ht="15.75">
      <c r="A941" s="1112"/>
      <c r="B941" s="1021"/>
      <c r="C941" s="1021" t="s">
        <v>1522</v>
      </c>
      <c r="D941" s="1021"/>
      <c r="E941" s="1041">
        <f>(G941-F941)/G941</f>
        <v>0.19642857142857148</v>
      </c>
      <c r="F941" s="1113">
        <v>0.9</v>
      </c>
      <c r="G941">
        <v>1.1200000000000001</v>
      </c>
    </row>
    <row r="942" spans="1:7" ht="15.75" thickBot="1"/>
    <row r="943" spans="1:7">
      <c r="A943" s="3614" t="s">
        <v>0</v>
      </c>
      <c r="B943" s="3518" t="s">
        <v>1</v>
      </c>
      <c r="C943" s="3518" t="s">
        <v>2</v>
      </c>
      <c r="D943" s="3518" t="s">
        <v>3</v>
      </c>
      <c r="E943" s="3518" t="s">
        <v>4</v>
      </c>
      <c r="F943" s="3522" t="s">
        <v>5</v>
      </c>
      <c r="G943" s="109"/>
    </row>
    <row r="944" spans="1:7" ht="15.75" thickBot="1">
      <c r="A944" s="4083"/>
      <c r="B944" s="4084"/>
      <c r="C944" s="4084"/>
      <c r="D944" s="4084"/>
      <c r="E944" s="4084"/>
      <c r="F944" s="4085"/>
      <c r="G944" s="109"/>
    </row>
    <row r="945" spans="1:7" ht="15.75">
      <c r="A945" s="841" t="s">
        <v>2350</v>
      </c>
      <c r="B945" s="4189" t="s">
        <v>2155</v>
      </c>
      <c r="C945" s="1271" t="s">
        <v>2024</v>
      </c>
      <c r="D945" s="1098"/>
      <c r="E945" s="290">
        <f>(G945-F945)/G945</f>
        <v>0.19354838709677419</v>
      </c>
      <c r="F945" s="1122">
        <v>0.5</v>
      </c>
      <c r="G945" s="1103">
        <v>0.62</v>
      </c>
    </row>
    <row r="946" spans="1:7" ht="15.75">
      <c r="A946" s="841"/>
      <c r="B946" s="4190"/>
      <c r="C946" s="1272" t="s">
        <v>2351</v>
      </c>
      <c r="D946" s="1144"/>
      <c r="E946" s="290">
        <f t="shared" ref="E946:E954" si="41">(G946-F946)/G946</f>
        <v>0.2</v>
      </c>
      <c r="F946" s="1122">
        <v>0.12</v>
      </c>
      <c r="G946" s="1103">
        <v>0.15</v>
      </c>
    </row>
    <row r="947" spans="1:7" ht="15.75">
      <c r="A947" s="841"/>
      <c r="B947" s="4190"/>
      <c r="C947" s="1272" t="s">
        <v>2352</v>
      </c>
      <c r="D947" s="1144"/>
      <c r="E947" s="290">
        <f t="shared" si="41"/>
        <v>0.2</v>
      </c>
      <c r="F947" s="1122">
        <v>0.12</v>
      </c>
      <c r="G947" s="1103">
        <v>0.15</v>
      </c>
    </row>
    <row r="948" spans="1:7" ht="15.75">
      <c r="A948" s="841"/>
      <c r="B948" s="4190"/>
      <c r="C948" s="1273" t="s">
        <v>2353</v>
      </c>
      <c r="D948" s="94"/>
      <c r="E948" s="290">
        <f t="shared" si="41"/>
        <v>0.2</v>
      </c>
      <c r="F948" s="1122">
        <v>0.12</v>
      </c>
      <c r="G948" s="1103">
        <v>0.15</v>
      </c>
    </row>
    <row r="949" spans="1:7" ht="15.75">
      <c r="A949" s="841"/>
      <c r="B949" s="4190"/>
      <c r="C949" s="1273" t="s">
        <v>2021</v>
      </c>
      <c r="D949" s="94"/>
      <c r="E949" s="290">
        <f t="shared" si="41"/>
        <v>0.19867549668874174</v>
      </c>
      <c r="F949" s="1122">
        <v>1.21</v>
      </c>
      <c r="G949" s="1103">
        <v>1.51</v>
      </c>
    </row>
    <row r="950" spans="1:7" ht="15.75">
      <c r="A950" s="841"/>
      <c r="B950" s="4190"/>
      <c r="C950" s="1273" t="s">
        <v>1905</v>
      </c>
      <c r="D950" s="94"/>
      <c r="E950" s="290">
        <f t="shared" si="41"/>
        <v>0.19867549668874174</v>
      </c>
      <c r="F950" s="1122">
        <v>1.21</v>
      </c>
      <c r="G950" s="1103">
        <v>1.51</v>
      </c>
    </row>
    <row r="951" spans="1:7" ht="15.75">
      <c r="A951" s="841"/>
      <c r="B951" s="4190"/>
      <c r="C951" s="1273" t="s">
        <v>1904</v>
      </c>
      <c r="D951" s="94"/>
      <c r="E951" s="290">
        <f t="shared" si="41"/>
        <v>0.19867549668874174</v>
      </c>
      <c r="F951" s="1122">
        <v>1.21</v>
      </c>
      <c r="G951" s="1103">
        <v>1.51</v>
      </c>
    </row>
    <row r="952" spans="1:7" ht="15.75">
      <c r="A952" s="841"/>
      <c r="B952" s="4190"/>
      <c r="C952" s="1273" t="s">
        <v>1892</v>
      </c>
      <c r="D952" s="94"/>
      <c r="E952" s="290">
        <f t="shared" si="41"/>
        <v>0.19607843137254907</v>
      </c>
      <c r="F952" s="1122">
        <v>0.82</v>
      </c>
      <c r="G952" s="1103">
        <v>1.02</v>
      </c>
    </row>
    <row r="953" spans="1:7" ht="15.75">
      <c r="A953" s="841"/>
      <c r="B953" s="4190"/>
      <c r="C953" s="1160" t="s">
        <v>469</v>
      </c>
      <c r="D953" s="94"/>
      <c r="E953" s="290">
        <f t="shared" si="41"/>
        <v>0.15053763440860216</v>
      </c>
      <c r="F953" s="1122">
        <v>0.79</v>
      </c>
      <c r="G953" s="1103">
        <v>0.93</v>
      </c>
    </row>
    <row r="954" spans="1:7" ht="16.5" thickBot="1">
      <c r="A954" s="884"/>
      <c r="B954" s="4191"/>
      <c r="C954" s="1161" t="s">
        <v>472</v>
      </c>
      <c r="D954" s="1162"/>
      <c r="E954" s="290">
        <f t="shared" si="41"/>
        <v>0.15053763440860216</v>
      </c>
      <c r="F954" s="1122">
        <v>0.79</v>
      </c>
      <c r="G954" s="1103">
        <v>0.93</v>
      </c>
    </row>
    <row r="955" spans="1:7" ht="15.75" thickBot="1"/>
    <row r="956" spans="1:7">
      <c r="A956" s="4138" t="s">
        <v>0</v>
      </c>
      <c r="B956" s="4192" t="s">
        <v>1</v>
      </c>
      <c r="C956" s="4192" t="s">
        <v>2</v>
      </c>
      <c r="D956" s="4192" t="s">
        <v>3</v>
      </c>
      <c r="E956" s="4192" t="s">
        <v>4</v>
      </c>
      <c r="F956" s="4136" t="s">
        <v>5</v>
      </c>
    </row>
    <row r="957" spans="1:7" ht="15.75" thickBot="1">
      <c r="A957" s="4164"/>
      <c r="B957" s="4165"/>
      <c r="C957" s="4165"/>
      <c r="D957" s="4165"/>
      <c r="E957" s="4165"/>
      <c r="F957" s="4166"/>
    </row>
    <row r="958" spans="1:7" ht="15.75">
      <c r="A958" s="919" t="s">
        <v>2355</v>
      </c>
      <c r="B958" s="1207" t="s">
        <v>2327</v>
      </c>
      <c r="C958" s="5" t="s">
        <v>1301</v>
      </c>
      <c r="D958" s="5"/>
      <c r="E958" s="904">
        <f>(G958-F958)/G958</f>
        <v>7.8431372549019676E-2</v>
      </c>
      <c r="F958" s="603">
        <v>0.94</v>
      </c>
      <c r="G958">
        <v>1.02</v>
      </c>
    </row>
    <row r="959" spans="1:7" ht="15.75">
      <c r="A959" s="1112"/>
      <c r="B959" s="1210" t="s">
        <v>2356</v>
      </c>
      <c r="C959" s="1021" t="s">
        <v>2303</v>
      </c>
      <c r="D959" s="1021"/>
      <c r="E959" s="1041">
        <f t="shared" ref="E959:E966" si="42">(G959-F959)/G959</f>
        <v>7.8431372549019676E-2</v>
      </c>
      <c r="F959" s="1113">
        <v>0.94</v>
      </c>
      <c r="G959">
        <v>1.02</v>
      </c>
    </row>
    <row r="960" spans="1:7" ht="15.75">
      <c r="A960" s="1112"/>
      <c r="B960" s="1021"/>
      <c r="C960" s="1210" t="s">
        <v>2156</v>
      </c>
      <c r="D960" s="1021"/>
      <c r="E960" s="1041">
        <f t="shared" si="42"/>
        <v>0.25000000000000011</v>
      </c>
      <c r="F960" s="1113">
        <v>1.65</v>
      </c>
      <c r="G960">
        <v>2.2000000000000002</v>
      </c>
    </row>
    <row r="961" spans="1:7" ht="15.75">
      <c r="A961" s="1112"/>
      <c r="B961" s="1021"/>
      <c r="C961" s="1210" t="s">
        <v>2357</v>
      </c>
      <c r="D961" s="1021"/>
      <c r="E961" s="1041">
        <f t="shared" si="42"/>
        <v>0.10256410256410248</v>
      </c>
      <c r="F961" s="1113">
        <v>1.05</v>
      </c>
      <c r="G961">
        <v>1.17</v>
      </c>
    </row>
    <row r="962" spans="1:7" ht="15.75">
      <c r="A962" s="1112"/>
      <c r="B962" s="1021"/>
      <c r="C962" s="1021"/>
      <c r="D962" s="1021"/>
      <c r="E962" s="1041" t="e">
        <f t="shared" si="42"/>
        <v>#DIV/0!</v>
      </c>
      <c r="F962" s="1045"/>
    </row>
    <row r="963" spans="1:7" ht="15.75">
      <c r="A963" s="1112"/>
      <c r="B963" s="1021"/>
      <c r="C963" s="1021"/>
      <c r="D963" s="1021"/>
      <c r="E963" s="1041" t="e">
        <f t="shared" si="42"/>
        <v>#DIV/0!</v>
      </c>
      <c r="F963" s="1045"/>
    </row>
    <row r="964" spans="1:7" ht="15.75">
      <c r="A964" s="1112"/>
      <c r="B964" s="1021"/>
      <c r="C964" s="1021"/>
      <c r="D964" s="1021"/>
      <c r="E964" s="1041" t="e">
        <f t="shared" si="42"/>
        <v>#DIV/0!</v>
      </c>
      <c r="F964" s="1045"/>
    </row>
    <row r="965" spans="1:7" ht="15.75">
      <c r="A965" s="1112"/>
      <c r="B965" s="1021"/>
      <c r="C965" s="1021"/>
      <c r="D965" s="1021"/>
      <c r="E965" s="1041" t="e">
        <f t="shared" si="42"/>
        <v>#DIV/0!</v>
      </c>
      <c r="F965" s="1045"/>
    </row>
    <row r="966" spans="1:7" ht="16.5" thickBot="1">
      <c r="A966" s="1114"/>
      <c r="B966" s="1047"/>
      <c r="C966" s="1047"/>
      <c r="D966" s="1047"/>
      <c r="E966" s="1041" t="e">
        <f t="shared" si="42"/>
        <v>#DIV/0!</v>
      </c>
      <c r="F966" s="1049"/>
    </row>
    <row r="967" spans="1:7" ht="15.75" thickBot="1"/>
    <row r="968" spans="1:7" ht="15.75">
      <c r="A968" s="4138" t="s">
        <v>0</v>
      </c>
      <c r="B968" s="4192" t="s">
        <v>1</v>
      </c>
      <c r="C968" s="4192" t="s">
        <v>2</v>
      </c>
      <c r="D968" s="4192" t="s">
        <v>3</v>
      </c>
      <c r="E968" s="4192" t="s">
        <v>4</v>
      </c>
      <c r="F968" s="4136" t="s">
        <v>5</v>
      </c>
      <c r="G968" s="900"/>
    </row>
    <row r="969" spans="1:7" ht="16.5" thickBot="1">
      <c r="A969" s="4164"/>
      <c r="B969" s="4165"/>
      <c r="C969" s="4165"/>
      <c r="D969" s="4165"/>
      <c r="E969" s="4165"/>
      <c r="F969" s="4166"/>
      <c r="G969" s="900"/>
    </row>
    <row r="970" spans="1:7" ht="15.75">
      <c r="A970" s="1138" t="s">
        <v>2358</v>
      </c>
      <c r="B970" s="902" t="s">
        <v>1708</v>
      </c>
      <c r="C970" s="1139" t="s">
        <v>2194</v>
      </c>
      <c r="D970" s="902"/>
      <c r="E970" s="904">
        <f>(G970-F970)/G970</f>
        <v>0.19940029985007499</v>
      </c>
      <c r="F970" s="1140">
        <v>5.34</v>
      </c>
      <c r="G970" s="900">
        <v>6.67</v>
      </c>
    </row>
    <row r="971" spans="1:7" ht="15.75">
      <c r="A971" s="1112"/>
      <c r="B971" s="1021" t="s">
        <v>2356</v>
      </c>
      <c r="C971" s="1021" t="s">
        <v>2192</v>
      </c>
      <c r="D971" s="1021"/>
      <c r="E971" s="1041">
        <f>(G971-F971)/G971</f>
        <v>0.19940029985007499</v>
      </c>
      <c r="F971" s="1140">
        <v>5.34</v>
      </c>
      <c r="G971" s="900">
        <v>6.67</v>
      </c>
    </row>
    <row r="972" spans="1:7" ht="15.75">
      <c r="A972" s="1112"/>
      <c r="B972" s="1021"/>
      <c r="C972" s="1021" t="s">
        <v>2359</v>
      </c>
      <c r="D972" s="1021"/>
      <c r="E972" s="1041">
        <f>(G972-F972)/G972</f>
        <v>0.19940029985007499</v>
      </c>
      <c r="F972" s="1140">
        <v>5.34</v>
      </c>
      <c r="G972" s="900">
        <v>6.67</v>
      </c>
    </row>
    <row r="973" spans="1:7" ht="16.5" thickBot="1">
      <c r="A973" s="1114"/>
      <c r="B973" s="1047"/>
      <c r="C973" s="1047"/>
      <c r="D973" s="1047"/>
      <c r="E973" s="1141" t="e">
        <f>(G973-F973)/G973</f>
        <v>#DIV/0!</v>
      </c>
      <c r="F973" s="1142"/>
      <c r="G973" s="907"/>
    </row>
    <row r="974" spans="1:7" ht="15.75" thickBot="1"/>
    <row r="975" spans="1:7">
      <c r="A975" s="3614" t="s">
        <v>0</v>
      </c>
      <c r="B975" s="3518" t="s">
        <v>1</v>
      </c>
      <c r="C975" s="3518" t="s">
        <v>2</v>
      </c>
      <c r="D975" s="3518" t="s">
        <v>3</v>
      </c>
      <c r="E975" s="3518" t="s">
        <v>4</v>
      </c>
      <c r="F975" s="3522" t="s">
        <v>5</v>
      </c>
      <c r="G975" s="109"/>
    </row>
    <row r="976" spans="1:7" ht="15.75" thickBot="1">
      <c r="A976" s="4083"/>
      <c r="B976" s="4084"/>
      <c r="C976" s="4084"/>
      <c r="D976" s="4084"/>
      <c r="E976" s="4084"/>
      <c r="F976" s="4085"/>
      <c r="G976" s="109"/>
    </row>
    <row r="977" spans="1:7">
      <c r="A977" s="841" t="s">
        <v>2363</v>
      </c>
      <c r="B977" s="4189" t="s">
        <v>2155</v>
      </c>
      <c r="C977" s="1021" t="s">
        <v>2115</v>
      </c>
      <c r="D977" s="1163"/>
      <c r="E977" s="290">
        <f>(G977-F977)/G977</f>
        <v>0.36054421768707484</v>
      </c>
      <c r="F977" s="1122">
        <v>0.94</v>
      </c>
      <c r="G977" s="1103">
        <v>1.47</v>
      </c>
    </row>
    <row r="978" spans="1:7">
      <c r="A978" s="841"/>
      <c r="B978" s="4190"/>
      <c r="C978" s="1021" t="s">
        <v>2116</v>
      </c>
      <c r="D978" s="1031"/>
      <c r="E978" s="290">
        <f>(G978-F978)/G978</f>
        <v>0.36054421768707484</v>
      </c>
      <c r="F978" s="1122">
        <v>0.94</v>
      </c>
      <c r="G978" s="1103">
        <v>1.47</v>
      </c>
    </row>
    <row r="979" spans="1:7">
      <c r="A979" s="841"/>
      <c r="B979" s="4190"/>
      <c r="C979" s="1021" t="s">
        <v>2066</v>
      </c>
      <c r="D979" s="1031"/>
      <c r="E979" s="290">
        <f>(G979-F979)/G979</f>
        <v>0.36054421768707484</v>
      </c>
      <c r="F979" s="1122">
        <v>0.94</v>
      </c>
      <c r="G979" s="1103">
        <v>1.47</v>
      </c>
    </row>
    <row r="980" spans="1:7" ht="15.75">
      <c r="A980" s="841"/>
      <c r="B980" s="4190"/>
      <c r="C980" s="1273" t="s">
        <v>2292</v>
      </c>
      <c r="D980" s="94"/>
      <c r="E980" s="290">
        <f>(G980-F980)/G980</f>
        <v>0.29974811083123432</v>
      </c>
      <c r="F980" s="1122">
        <v>2.78</v>
      </c>
      <c r="G980" s="1103">
        <v>3.97</v>
      </c>
    </row>
    <row r="981" spans="1:7" ht="16.5" thickBot="1">
      <c r="A981" s="884"/>
      <c r="B981" s="4191"/>
      <c r="C981" s="1164"/>
      <c r="D981" s="1165"/>
      <c r="E981" s="290" t="e">
        <f>(G981-F981)/G981</f>
        <v>#DIV/0!</v>
      </c>
      <c r="F981" s="1122"/>
      <c r="G981" s="1103"/>
    </row>
    <row r="982" spans="1:7" ht="15.75" thickBot="1"/>
    <row r="983" spans="1:7">
      <c r="A983" s="3614" t="s">
        <v>0</v>
      </c>
      <c r="B983" s="3518" t="s">
        <v>1</v>
      </c>
      <c r="C983" s="3518" t="s">
        <v>2</v>
      </c>
      <c r="D983" s="3518" t="s">
        <v>3</v>
      </c>
      <c r="E983" s="3518" t="s">
        <v>4</v>
      </c>
      <c r="F983" s="3522" t="s">
        <v>5</v>
      </c>
    </row>
    <row r="984" spans="1:7">
      <c r="A984" s="3681"/>
      <c r="B984" s="3687"/>
      <c r="C984" s="3687"/>
      <c r="D984" s="3687"/>
      <c r="E984" s="3687"/>
      <c r="F984" s="3717"/>
    </row>
    <row r="985" spans="1:7">
      <c r="A985" s="1166" t="s">
        <v>2364</v>
      </c>
      <c r="B985" s="1031" t="s">
        <v>2016</v>
      </c>
      <c r="C985" s="1033" t="s">
        <v>1058</v>
      </c>
      <c r="D985" s="1031"/>
      <c r="E985" s="1044">
        <f t="shared" ref="E985:E997" si="43">(G985-F985)/G985</f>
        <v>0.19796954314720808</v>
      </c>
      <c r="F985" s="1167">
        <v>1.58</v>
      </c>
      <c r="G985">
        <v>1.97</v>
      </c>
    </row>
    <row r="986" spans="1:7">
      <c r="A986" s="1166"/>
      <c r="B986" s="1031"/>
      <c r="C986" s="1033" t="s">
        <v>2204</v>
      </c>
      <c r="D986" s="1031"/>
      <c r="E986" s="1044">
        <f t="shared" si="43"/>
        <v>0.15129151291512921</v>
      </c>
      <c r="F986" s="1167">
        <v>2.2999999999999998</v>
      </c>
      <c r="G986">
        <v>2.71</v>
      </c>
    </row>
    <row r="987" spans="1:7">
      <c r="A987" s="1061"/>
      <c r="B987" s="1031"/>
      <c r="C987" t="s">
        <v>1268</v>
      </c>
      <c r="D987" s="1031"/>
      <c r="E987" s="1044">
        <f t="shared" si="43"/>
        <v>0.20192307692307698</v>
      </c>
      <c r="F987" s="1167">
        <v>0.83</v>
      </c>
      <c r="G987">
        <v>1.04</v>
      </c>
    </row>
    <row r="988" spans="1:7">
      <c r="A988" s="1061"/>
      <c r="B988" s="1031"/>
      <c r="C988" s="1168" t="s">
        <v>452</v>
      </c>
      <c r="D988" s="1031"/>
      <c r="E988" s="1044">
        <f t="shared" si="43"/>
        <v>0.15463917525773199</v>
      </c>
      <c r="F988" s="1167">
        <v>0.82</v>
      </c>
      <c r="G988" s="33">
        <v>0.97</v>
      </c>
    </row>
    <row r="989" spans="1:7" ht="30">
      <c r="A989" s="1166"/>
      <c r="B989" s="1031"/>
      <c r="C989" s="1169" t="s">
        <v>2365</v>
      </c>
      <c r="D989" s="1031"/>
      <c r="E989" s="1044">
        <f t="shared" si="43"/>
        <v>0.15094339622641512</v>
      </c>
      <c r="F989" s="1167">
        <v>0.45</v>
      </c>
      <c r="G989" s="33">
        <v>0.53</v>
      </c>
    </row>
    <row r="990" spans="1:7">
      <c r="A990" s="1061"/>
      <c r="B990" s="1031"/>
      <c r="C990" s="1170" t="s">
        <v>1300</v>
      </c>
      <c r="D990" s="1031"/>
      <c r="E990" s="1044">
        <f t="shared" si="43"/>
        <v>0.14492753623188404</v>
      </c>
      <c r="F990" s="1167">
        <v>0.59</v>
      </c>
      <c r="G990" s="33">
        <v>0.69</v>
      </c>
    </row>
    <row r="991" spans="1:7">
      <c r="A991" s="1061"/>
      <c r="B991" s="1031"/>
      <c r="C991" s="1170" t="s">
        <v>385</v>
      </c>
      <c r="D991" s="1031"/>
      <c r="E991" s="1044">
        <f t="shared" si="43"/>
        <v>0.20370370370370378</v>
      </c>
      <c r="F991" s="1167">
        <v>0.86</v>
      </c>
      <c r="G991" s="33">
        <v>1.08</v>
      </c>
    </row>
    <row r="992" spans="1:7">
      <c r="A992" s="1061"/>
      <c r="B992" s="1031"/>
      <c r="C992" s="1171" t="s">
        <v>2024</v>
      </c>
      <c r="D992" s="1031"/>
      <c r="E992" s="1044">
        <f t="shared" si="43"/>
        <v>0.20634920634920637</v>
      </c>
      <c r="F992" s="1167">
        <v>0.5</v>
      </c>
      <c r="G992" s="33">
        <v>0.63</v>
      </c>
    </row>
    <row r="993" spans="1:7">
      <c r="A993" s="1166"/>
      <c r="B993" s="1031"/>
      <c r="C993" s="1169"/>
      <c r="D993" s="1031"/>
      <c r="E993" s="1044" t="e">
        <f t="shared" si="43"/>
        <v>#DIV/0!</v>
      </c>
      <c r="F993" s="1167"/>
    </row>
    <row r="994" spans="1:7">
      <c r="A994" s="1061"/>
      <c r="B994" s="1031"/>
      <c r="C994" s="32"/>
      <c r="D994" s="1031"/>
      <c r="E994" s="1044" t="e">
        <f t="shared" si="43"/>
        <v>#DIV/0!</v>
      </c>
      <c r="F994" s="1167"/>
    </row>
    <row r="995" spans="1:7">
      <c r="A995" s="1061"/>
      <c r="B995" s="1031"/>
      <c r="C995" s="1171"/>
      <c r="D995" s="1031"/>
      <c r="E995" s="1044" t="e">
        <f t="shared" si="43"/>
        <v>#DIV/0!</v>
      </c>
      <c r="F995" s="1167"/>
      <c r="G995" s="33"/>
    </row>
    <row r="996" spans="1:7">
      <c r="A996" s="1061"/>
      <c r="B996" s="1031"/>
      <c r="C996" s="1171"/>
      <c r="D996" s="1031"/>
      <c r="E996" s="1044" t="e">
        <f t="shared" si="43"/>
        <v>#DIV/0!</v>
      </c>
      <c r="F996" s="1167"/>
      <c r="G996" s="33"/>
    </row>
    <row r="997" spans="1:7" ht="15.75" thickBot="1">
      <c r="A997" s="1172"/>
      <c r="B997" s="1165"/>
      <c r="C997" s="1173"/>
      <c r="D997" s="1165"/>
      <c r="E997" s="1174" t="e">
        <f t="shared" si="43"/>
        <v>#DIV/0!</v>
      </c>
      <c r="F997" s="1064"/>
    </row>
    <row r="999" spans="1:7" ht="15.75" thickBot="1"/>
    <row r="1000" spans="1:7">
      <c r="A1000" s="3614" t="s">
        <v>0</v>
      </c>
      <c r="B1000" s="3518" t="s">
        <v>1</v>
      </c>
      <c r="C1000" s="3518" t="s">
        <v>2</v>
      </c>
      <c r="D1000" s="3518" t="s">
        <v>3</v>
      </c>
      <c r="E1000" s="3518" t="s">
        <v>4</v>
      </c>
      <c r="F1000" s="3522" t="s">
        <v>5</v>
      </c>
      <c r="G1000" s="109"/>
    </row>
    <row r="1001" spans="1:7" ht="15.75" thickBot="1">
      <c r="A1001" s="4083"/>
      <c r="B1001" s="4084"/>
      <c r="C1001" s="4084"/>
      <c r="D1001" s="4084"/>
      <c r="E1001" s="4084"/>
      <c r="F1001" s="4085"/>
      <c r="G1001" s="109"/>
    </row>
    <row r="1002" spans="1:7">
      <c r="A1002" s="841" t="s">
        <v>2375</v>
      </c>
      <c r="B1002" s="4189" t="s">
        <v>1593</v>
      </c>
      <c r="C1002" s="1021" t="s">
        <v>2066</v>
      </c>
      <c r="D1002" s="1163"/>
      <c r="E1002" s="290">
        <f>(G1002-F1002)/G1002</f>
        <v>0.25161290322580654</v>
      </c>
      <c r="F1002" s="1122">
        <v>1.1599999999999999</v>
      </c>
      <c r="G1002" s="1103">
        <v>1.55</v>
      </c>
    </row>
    <row r="1003" spans="1:7">
      <c r="A1003" s="841"/>
      <c r="B1003" s="4190"/>
      <c r="C1003" s="1021" t="s">
        <v>2116</v>
      </c>
      <c r="D1003" s="1031"/>
      <c r="E1003" s="290">
        <f>(G1003-F1003)/G1003</f>
        <v>0.25161290322580654</v>
      </c>
      <c r="F1003" s="1122">
        <v>1.1599999999999999</v>
      </c>
      <c r="G1003" s="1103">
        <v>1.55</v>
      </c>
    </row>
    <row r="1004" spans="1:7">
      <c r="A1004" s="841"/>
      <c r="B1004" s="4190"/>
      <c r="C1004" s="1210" t="s">
        <v>2351</v>
      </c>
      <c r="D1004" s="1031"/>
      <c r="E1004" s="290">
        <f>(G1004-F1004)/G1004</f>
        <v>0.25000000000000006</v>
      </c>
      <c r="F1004" s="1122">
        <v>0.12</v>
      </c>
      <c r="G1004" s="1103">
        <v>0.16</v>
      </c>
    </row>
    <row r="1005" spans="1:7" ht="15.75">
      <c r="A1005" s="841"/>
      <c r="B1005" s="4190"/>
      <c r="C1005" s="1273" t="s">
        <v>2352</v>
      </c>
      <c r="D1005" s="94"/>
      <c r="E1005" s="290">
        <f>(G1005-F1005)/G1005</f>
        <v>0.25000000000000006</v>
      </c>
      <c r="F1005" s="1122">
        <v>0.12</v>
      </c>
      <c r="G1005" s="1103">
        <v>0.16</v>
      </c>
    </row>
    <row r="1006" spans="1:7" ht="16.5" thickBot="1">
      <c r="A1006" s="884"/>
      <c r="B1006" s="4191"/>
      <c r="C1006" s="1195"/>
      <c r="D1006" s="1196"/>
      <c r="E1006" s="290" t="e">
        <f>(G1006-F1006)/G1006</f>
        <v>#DIV/0!</v>
      </c>
      <c r="F1006" s="1122"/>
      <c r="G1006" s="1103"/>
    </row>
    <row r="1008" spans="1:7" ht="15.75" thickBot="1"/>
    <row r="1009" spans="1:7">
      <c r="A1009" s="3572" t="s">
        <v>0</v>
      </c>
      <c r="B1009" s="3557" t="s">
        <v>1</v>
      </c>
      <c r="C1009" s="3557" t="s">
        <v>2</v>
      </c>
      <c r="D1009" s="3557" t="s">
        <v>3</v>
      </c>
      <c r="E1009" s="3557" t="s">
        <v>4</v>
      </c>
      <c r="F1009" s="3559" t="s">
        <v>5</v>
      </c>
      <c r="G1009" s="429"/>
    </row>
    <row r="1010" spans="1:7" ht="15.75" thickBot="1">
      <c r="A1010" s="3699"/>
      <c r="B1010" s="3709"/>
      <c r="C1010" s="3709"/>
      <c r="D1010" s="3709"/>
      <c r="E1010" s="3709"/>
      <c r="F1010" s="3712"/>
      <c r="G1010" s="429"/>
    </row>
    <row r="1011" spans="1:7" ht="15.75" thickTop="1">
      <c r="A1011" s="1022" t="s">
        <v>2381</v>
      </c>
      <c r="B1011" s="388" t="s">
        <v>120</v>
      </c>
      <c r="C1011" s="1023" t="s">
        <v>177</v>
      </c>
      <c r="D1011" s="388"/>
      <c r="E1011" s="1198">
        <f>(G1011-F1011)/G1011</f>
        <v>9.9009900990098987E-2</v>
      </c>
      <c r="F1011" s="1024">
        <v>0.91</v>
      </c>
      <c r="G1011" s="429">
        <v>1.01</v>
      </c>
    </row>
    <row r="1012" spans="1:7">
      <c r="A1012" s="491"/>
      <c r="B1012" s="1025" t="s">
        <v>121</v>
      </c>
      <c r="C1012" s="1023" t="s">
        <v>53</v>
      </c>
      <c r="D1012" s="388"/>
      <c r="E1012" s="1026">
        <f t="shared" ref="E1012:E1018" si="44">(G1012-F1012)/G1012</f>
        <v>0.19999999999999996</v>
      </c>
      <c r="F1012" s="1024">
        <v>0.76</v>
      </c>
      <c r="G1012" s="429">
        <v>0.95</v>
      </c>
    </row>
    <row r="1013" spans="1:7">
      <c r="A1013" s="491"/>
      <c r="B1013" s="1025" t="s">
        <v>123</v>
      </c>
      <c r="C1013" s="1023" t="s">
        <v>2066</v>
      </c>
      <c r="D1013" s="388"/>
      <c r="E1013" s="1026">
        <f t="shared" si="44"/>
        <v>0.19736842105263161</v>
      </c>
      <c r="F1013" s="1024">
        <v>1.22</v>
      </c>
      <c r="G1013" s="429">
        <v>1.52</v>
      </c>
    </row>
    <row r="1014" spans="1:7">
      <c r="A1014" s="491"/>
      <c r="B1014" s="1025" t="s">
        <v>122</v>
      </c>
      <c r="C1014" s="1023" t="s">
        <v>920</v>
      </c>
      <c r="D1014" s="388"/>
      <c r="E1014" s="1026">
        <f t="shared" si="44"/>
        <v>0.20253164556962028</v>
      </c>
      <c r="F1014" s="1024">
        <v>0.63</v>
      </c>
      <c r="G1014" s="528">
        <v>0.79</v>
      </c>
    </row>
    <row r="1015" spans="1:7">
      <c r="A1015" s="491"/>
      <c r="B1015" s="1199" t="s">
        <v>2057</v>
      </c>
      <c r="C1015" s="1200" t="s">
        <v>1891</v>
      </c>
      <c r="D1015" s="388"/>
      <c r="E1015" s="1026">
        <f t="shared" si="44"/>
        <v>0.19811320754716988</v>
      </c>
      <c r="F1015" s="961">
        <v>0.85</v>
      </c>
      <c r="G1015" s="528">
        <v>1.06</v>
      </c>
    </row>
    <row r="1016" spans="1:7">
      <c r="A1016" s="491"/>
      <c r="B1016" s="1199"/>
      <c r="C1016" s="1200"/>
      <c r="D1016" s="388"/>
      <c r="E1016" s="1026" t="e">
        <f t="shared" si="44"/>
        <v>#DIV/0!</v>
      </c>
      <c r="F1016" s="961"/>
      <c r="G1016" s="528"/>
    </row>
    <row r="1017" spans="1:7">
      <c r="A1017" s="491"/>
      <c r="B1017" s="1199"/>
      <c r="C1017" s="1200"/>
      <c r="D1017" s="388"/>
      <c r="E1017" s="1026" t="e">
        <f t="shared" si="44"/>
        <v>#DIV/0!</v>
      </c>
      <c r="F1017" s="961"/>
      <c r="G1017" s="528"/>
    </row>
    <row r="1018" spans="1:7" ht="15.75" thickBot="1">
      <c r="A1018" s="500"/>
      <c r="B1018" s="1027"/>
      <c r="C1018" s="1028"/>
      <c r="D1018" s="873"/>
      <c r="E1018" s="1026" t="e">
        <f t="shared" si="44"/>
        <v>#DIV/0!</v>
      </c>
      <c r="F1018" s="1030"/>
      <c r="G1018" s="528"/>
    </row>
    <row r="1020" spans="1:7" ht="15.75" thickBot="1"/>
    <row r="1021" spans="1:7">
      <c r="A1021" s="3614" t="s">
        <v>0</v>
      </c>
      <c r="B1021" s="3518" t="s">
        <v>1</v>
      </c>
      <c r="C1021" s="3518" t="s">
        <v>2</v>
      </c>
      <c r="D1021" s="3518" t="s">
        <v>3</v>
      </c>
      <c r="E1021" s="3518" t="s">
        <v>4</v>
      </c>
      <c r="F1021" s="3522" t="s">
        <v>5</v>
      </c>
    </row>
    <row r="1022" spans="1:7" ht="15.75" thickBot="1">
      <c r="A1022" s="4161"/>
      <c r="B1022" s="4162"/>
      <c r="C1022" s="4162"/>
      <c r="D1022" s="4162"/>
      <c r="E1022" s="4162"/>
      <c r="F1022" s="4163"/>
    </row>
    <row r="1023" spans="1:7" ht="16.5" thickTop="1" thickBot="1">
      <c r="A1023" s="412" t="s">
        <v>2382</v>
      </c>
      <c r="B1023" s="288" t="s">
        <v>2183</v>
      </c>
      <c r="C1023" s="5" t="s">
        <v>2176</v>
      </c>
      <c r="D1023" s="288"/>
      <c r="E1023" s="549">
        <f>(G1023-F1023)/G1023</f>
        <v>0.24882629107981213</v>
      </c>
      <c r="F1023" s="758">
        <v>1.6</v>
      </c>
      <c r="G1023">
        <v>2.13</v>
      </c>
    </row>
    <row r="1024" spans="1:7" ht="15.75" thickBot="1">
      <c r="A1024" s="302"/>
      <c r="B1024" s="989"/>
      <c r="C1024" s="1156" t="s">
        <v>2383</v>
      </c>
      <c r="D1024" s="288"/>
      <c r="E1024" s="549">
        <f>(G1024-F1024)/G1024</f>
        <v>0.34900990099009904</v>
      </c>
      <c r="F1024" s="758">
        <v>2.63</v>
      </c>
      <c r="G1024">
        <v>4.04</v>
      </c>
    </row>
    <row r="1025" spans="1:7" ht="15.75" thickBot="1">
      <c r="A1025" s="460"/>
      <c r="B1025" s="1196"/>
      <c r="C1025" s="1217"/>
      <c r="D1025" s="592"/>
      <c r="E1025" s="593"/>
      <c r="F1025" s="1158"/>
    </row>
    <row r="1026" spans="1:7" ht="15.75" thickBot="1"/>
    <row r="1027" spans="1:7" ht="15.75">
      <c r="A1027" s="4138" t="s">
        <v>0</v>
      </c>
      <c r="B1027" s="4192" t="s">
        <v>1</v>
      </c>
      <c r="C1027" s="4192" t="s">
        <v>2</v>
      </c>
      <c r="D1027" s="4192" t="s">
        <v>3</v>
      </c>
      <c r="E1027" s="4192" t="s">
        <v>4</v>
      </c>
      <c r="F1027" s="4136" t="s">
        <v>5</v>
      </c>
      <c r="G1027" s="900"/>
    </row>
    <row r="1028" spans="1:7" ht="16.5" thickBot="1">
      <c r="A1028" s="4194"/>
      <c r="B1028" s="4195"/>
      <c r="C1028" s="4195"/>
      <c r="D1028" s="4195"/>
      <c r="E1028" s="4195"/>
      <c r="F1028" s="4193"/>
      <c r="G1028" s="900"/>
    </row>
    <row r="1029" spans="1:7" ht="15.75">
      <c r="A1029" s="1138" t="s">
        <v>2382</v>
      </c>
      <c r="B1029" s="902" t="s">
        <v>1708</v>
      </c>
      <c r="C1029" s="1139" t="s">
        <v>2115</v>
      </c>
      <c r="D1029" s="902"/>
      <c r="E1029" s="904">
        <f>(G1029-F1029)/G1029</f>
        <v>0.25000000000000006</v>
      </c>
      <c r="F1029" s="1140">
        <v>1.1399999999999999</v>
      </c>
      <c r="G1029" s="900">
        <v>1.52</v>
      </c>
    </row>
    <row r="1030" spans="1:7" ht="15.75">
      <c r="A1030" s="830"/>
      <c r="B1030" s="977" t="s">
        <v>2356</v>
      </c>
      <c r="C1030" s="977" t="s">
        <v>2116</v>
      </c>
      <c r="D1030" s="977"/>
      <c r="E1030" s="974">
        <f>(G1030-F1030)/G1030</f>
        <v>0.25000000000000006</v>
      </c>
      <c r="F1030" s="1140">
        <v>1.1399999999999999</v>
      </c>
      <c r="G1030" s="900">
        <v>1.52</v>
      </c>
    </row>
    <row r="1031" spans="1:7" ht="15.75">
      <c r="A1031" s="830"/>
      <c r="B1031" s="977"/>
      <c r="C1031" s="977" t="s">
        <v>2066</v>
      </c>
      <c r="D1031" s="977"/>
      <c r="E1031" s="974">
        <f>(G1031-F1031)/G1031</f>
        <v>0.25000000000000006</v>
      </c>
      <c r="F1031" s="1140">
        <v>1.1399999999999999</v>
      </c>
      <c r="G1031" s="900">
        <v>1.52</v>
      </c>
    </row>
    <row r="1032" spans="1:7" ht="15.75">
      <c r="A1032" s="1218"/>
      <c r="B1032" s="1219"/>
      <c r="C1032" s="1219" t="s">
        <v>1058</v>
      </c>
      <c r="D1032" s="1219"/>
      <c r="E1032" s="974">
        <f>(G1032-F1032)/G1032</f>
        <v>0.25</v>
      </c>
      <c r="F1032" s="1220">
        <v>1.53</v>
      </c>
      <c r="G1032" s="900">
        <v>2.04</v>
      </c>
    </row>
    <row r="1033" spans="1:7" ht="16.5" thickBot="1">
      <c r="A1033" s="1110"/>
      <c r="B1033" s="1217"/>
      <c r="C1033" s="1217" t="s">
        <v>2024</v>
      </c>
      <c r="D1033" s="1217"/>
      <c r="E1033" s="1221">
        <f>(G1033-F1033)/G1033</f>
        <v>0.203125</v>
      </c>
      <c r="F1033" s="1222">
        <v>0.51</v>
      </c>
      <c r="G1033" s="907">
        <v>0.64</v>
      </c>
    </row>
    <row r="1034" spans="1:7" ht="15.75" thickBot="1"/>
    <row r="1035" spans="1:7">
      <c r="A1035" s="4138" t="s">
        <v>0</v>
      </c>
      <c r="B1035" s="4192" t="s">
        <v>1</v>
      </c>
      <c r="C1035" s="4192" t="s">
        <v>2</v>
      </c>
      <c r="D1035" s="4192" t="s">
        <v>3</v>
      </c>
      <c r="E1035" s="4192" t="s">
        <v>4</v>
      </c>
      <c r="F1035" s="4136" t="s">
        <v>5</v>
      </c>
    </row>
    <row r="1036" spans="1:7" ht="15.75" thickBot="1">
      <c r="A1036" s="4194"/>
      <c r="B1036" s="4195"/>
      <c r="C1036" s="4195"/>
      <c r="D1036" s="4195"/>
      <c r="E1036" s="4195"/>
      <c r="F1036" s="4193"/>
    </row>
    <row r="1037" spans="1:7" ht="15.75">
      <c r="A1037" s="919" t="s">
        <v>2384</v>
      </c>
      <c r="B1037" s="5" t="s">
        <v>2234</v>
      </c>
      <c r="C1037" s="5" t="s">
        <v>1259</v>
      </c>
      <c r="D1037" s="5"/>
      <c r="E1037" s="904">
        <f>(G1037-F1037)/G1037</f>
        <v>0.15882778581765558</v>
      </c>
      <c r="F1037" s="603">
        <v>23.25</v>
      </c>
      <c r="G1037">
        <v>27.64</v>
      </c>
    </row>
    <row r="1038" spans="1:7" ht="15.75">
      <c r="A1038" s="830"/>
      <c r="B1038" s="977" t="s">
        <v>2356</v>
      </c>
      <c r="C1038" s="977" t="s">
        <v>550</v>
      </c>
      <c r="D1038" s="977"/>
      <c r="E1038" s="974">
        <f>(G1038-F1038)/G1038</f>
        <v>0.15882778581765558</v>
      </c>
      <c r="F1038" s="603">
        <v>23.25</v>
      </c>
      <c r="G1038">
        <v>27.64</v>
      </c>
    </row>
    <row r="1039" spans="1:7" ht="15.75">
      <c r="A1039" s="830"/>
      <c r="B1039" s="977"/>
      <c r="C1039" s="977" t="s">
        <v>1258</v>
      </c>
      <c r="D1039" s="977"/>
      <c r="E1039" s="974">
        <f>(G1039-F1039)/G1039</f>
        <v>0.15882352941176459</v>
      </c>
      <c r="F1039" s="857">
        <v>27.17</v>
      </c>
      <c r="G1039">
        <v>32.299999999999997</v>
      </c>
    </row>
    <row r="1040" spans="1:7" ht="15.75">
      <c r="A1040" s="830"/>
      <c r="B1040" s="977"/>
      <c r="C1040" s="977" t="s">
        <v>549</v>
      </c>
      <c r="D1040" s="977"/>
      <c r="E1040" s="974">
        <f>(G1040-F1040)/G1040</f>
        <v>0.15882352941176459</v>
      </c>
      <c r="F1040" s="857">
        <v>27.17</v>
      </c>
      <c r="G1040">
        <v>32.299999999999997</v>
      </c>
    </row>
    <row r="1041" spans="1:7" ht="15.75" thickBot="1"/>
    <row r="1042" spans="1:7">
      <c r="A1042" s="4138" t="s">
        <v>0</v>
      </c>
      <c r="B1042" s="4192" t="s">
        <v>1</v>
      </c>
      <c r="C1042" s="4192" t="s">
        <v>2</v>
      </c>
      <c r="D1042" s="4192" t="s">
        <v>3</v>
      </c>
      <c r="E1042" s="4192" t="s">
        <v>4</v>
      </c>
      <c r="F1042" s="4136" t="s">
        <v>5</v>
      </c>
    </row>
    <row r="1043" spans="1:7" ht="15.75" thickBot="1">
      <c r="A1043" s="4194"/>
      <c r="B1043" s="4195"/>
      <c r="C1043" s="4195"/>
      <c r="D1043" s="4195"/>
      <c r="E1043" s="4195"/>
      <c r="F1043" s="4193"/>
    </row>
    <row r="1044" spans="1:7" ht="15.75">
      <c r="A1044" s="919" t="s">
        <v>2384</v>
      </c>
      <c r="B1044" s="1207" t="s">
        <v>2385</v>
      </c>
      <c r="C1044" s="1223" t="s">
        <v>1120</v>
      </c>
      <c r="D1044" s="5"/>
      <c r="E1044" s="904">
        <f>(G1044-F1044)/G1044</f>
        <v>0.23913043478260879</v>
      </c>
      <c r="F1044" s="1224">
        <v>0.35</v>
      </c>
      <c r="G1044" s="1225">
        <v>0.46</v>
      </c>
    </row>
    <row r="1045" spans="1:7" ht="15.75">
      <c r="A1045" s="919"/>
      <c r="B1045" s="5"/>
      <c r="C1045" s="1223" t="s">
        <v>554</v>
      </c>
      <c r="D1045" s="5"/>
      <c r="E1045" s="904">
        <f t="shared" ref="E1045:E1070" si="45">(G1045-F1045)/G1045</f>
        <v>0.24545454545454556</v>
      </c>
      <c r="F1045" s="1224">
        <v>0.83</v>
      </c>
      <c r="G1045" s="1225">
        <v>1.1000000000000001</v>
      </c>
    </row>
    <row r="1046" spans="1:7" ht="15.75">
      <c r="A1046" s="919"/>
      <c r="B1046" s="5"/>
      <c r="C1046" s="1223" t="s">
        <v>2115</v>
      </c>
      <c r="D1046" s="5"/>
      <c r="E1046" s="904">
        <f t="shared" si="45"/>
        <v>0.24647887323943654</v>
      </c>
      <c r="F1046" s="1224">
        <v>1.07</v>
      </c>
      <c r="G1046" s="1225">
        <v>1.42</v>
      </c>
    </row>
    <row r="1047" spans="1:7" ht="15.75">
      <c r="A1047" s="919"/>
      <c r="B1047" s="5"/>
      <c r="C1047" s="1223" t="s">
        <v>2116</v>
      </c>
      <c r="D1047" s="5"/>
      <c r="E1047" s="904">
        <f t="shared" si="45"/>
        <v>0.24647887323943654</v>
      </c>
      <c r="F1047" s="1224">
        <v>1.07</v>
      </c>
      <c r="G1047" s="1225">
        <v>1.42</v>
      </c>
    </row>
    <row r="1048" spans="1:7" ht="15.75">
      <c r="A1048" s="919"/>
      <c r="B1048" s="5"/>
      <c r="C1048" s="1223" t="s">
        <v>2066</v>
      </c>
      <c r="D1048" s="5"/>
      <c r="E1048" s="904">
        <f t="shared" si="45"/>
        <v>0.24647887323943654</v>
      </c>
      <c r="F1048" s="1224">
        <v>1.07</v>
      </c>
      <c r="G1048" s="1225">
        <v>1.42</v>
      </c>
    </row>
    <row r="1049" spans="1:7" ht="15.75">
      <c r="A1049" s="919"/>
      <c r="B1049" s="5"/>
      <c r="C1049" s="1223" t="s">
        <v>1345</v>
      </c>
      <c r="D1049" s="5"/>
      <c r="E1049" s="904">
        <f t="shared" si="45"/>
        <v>0.14814814814814828</v>
      </c>
      <c r="F1049" s="1224">
        <v>1.38</v>
      </c>
      <c r="G1049" s="1226">
        <v>1.62</v>
      </c>
    </row>
    <row r="1050" spans="1:7" ht="15.75">
      <c r="A1050" s="919"/>
      <c r="B1050" s="5"/>
      <c r="C1050" s="1223" t="s">
        <v>1355</v>
      </c>
      <c r="D1050" s="5"/>
      <c r="E1050" s="904">
        <f t="shared" si="45"/>
        <v>0.14814814814814828</v>
      </c>
      <c r="F1050" s="1224">
        <v>1.38</v>
      </c>
      <c r="G1050" s="1226">
        <v>1.62</v>
      </c>
    </row>
    <row r="1051" spans="1:7" ht="15.75">
      <c r="A1051" s="919"/>
      <c r="B1051" s="5"/>
      <c r="C1051" s="1223" t="s">
        <v>1413</v>
      </c>
      <c r="D1051" s="5"/>
      <c r="E1051" s="904">
        <f t="shared" si="45"/>
        <v>0.14814814814814828</v>
      </c>
      <c r="F1051" s="1224">
        <v>1.38</v>
      </c>
      <c r="G1051" s="1226">
        <v>1.62</v>
      </c>
    </row>
    <row r="1052" spans="1:7" ht="15.75">
      <c r="A1052" s="919"/>
      <c r="B1052" s="5"/>
      <c r="C1052" s="1223" t="s">
        <v>1429</v>
      </c>
      <c r="D1052" s="5"/>
      <c r="E1052" s="904">
        <f t="shared" si="45"/>
        <v>0.14814814814814828</v>
      </c>
      <c r="F1052" s="1224">
        <v>1.38</v>
      </c>
      <c r="G1052" s="1226">
        <v>1.62</v>
      </c>
    </row>
    <row r="1053" spans="1:7" ht="15.75">
      <c r="A1053" s="919"/>
      <c r="B1053" s="5"/>
      <c r="C1053" s="1223" t="s">
        <v>905</v>
      </c>
      <c r="D1053" s="5"/>
      <c r="E1053" s="904">
        <f t="shared" si="45"/>
        <v>0.24657534246575336</v>
      </c>
      <c r="F1053" s="1224">
        <v>0.55000000000000004</v>
      </c>
      <c r="G1053" s="1226">
        <v>0.73</v>
      </c>
    </row>
    <row r="1054" spans="1:7" ht="15.75">
      <c r="A1054" s="919"/>
      <c r="B1054" s="5"/>
      <c r="C1054" s="1223" t="s">
        <v>1058</v>
      </c>
      <c r="D1054" s="5"/>
      <c r="E1054" s="904">
        <f t="shared" si="45"/>
        <v>0.2513089005235602</v>
      </c>
      <c r="F1054" s="1224">
        <v>1.43</v>
      </c>
      <c r="G1054" s="1226">
        <v>1.91</v>
      </c>
    </row>
    <row r="1055" spans="1:7" ht="15.75">
      <c r="A1055" s="919"/>
      <c r="B1055" s="5"/>
      <c r="C1055" s="1223" t="s">
        <v>1888</v>
      </c>
      <c r="D1055" s="5"/>
      <c r="E1055" s="904">
        <f t="shared" si="45"/>
        <v>0.20192307692307698</v>
      </c>
      <c r="F1055" s="1224">
        <v>0.83</v>
      </c>
      <c r="G1055" s="1225">
        <v>1.04</v>
      </c>
    </row>
    <row r="1056" spans="1:7" ht="15.75">
      <c r="A1056" s="919"/>
      <c r="B1056" s="5"/>
      <c r="C1056" s="1223" t="s">
        <v>385</v>
      </c>
      <c r="D1056" s="5"/>
      <c r="E1056" s="904">
        <f t="shared" si="45"/>
        <v>0.20192307692307698</v>
      </c>
      <c r="F1056" s="1224">
        <v>0.83</v>
      </c>
      <c r="G1056" s="1225">
        <v>1.04</v>
      </c>
    </row>
    <row r="1057" spans="1:7" ht="15.75">
      <c r="A1057" s="919"/>
      <c r="B1057" s="5"/>
      <c r="C1057" s="1223" t="s">
        <v>388</v>
      </c>
      <c r="D1057" s="5"/>
      <c r="E1057" s="904">
        <f t="shared" si="45"/>
        <v>0.20192307692307698</v>
      </c>
      <c r="F1057" s="1224">
        <v>0.83</v>
      </c>
      <c r="G1057" s="1225">
        <v>1.04</v>
      </c>
    </row>
    <row r="1058" spans="1:7" ht="15.75">
      <c r="A1058" s="919"/>
      <c r="B1058" s="5"/>
      <c r="C1058" s="1223" t="s">
        <v>387</v>
      </c>
      <c r="D1058" s="5"/>
      <c r="E1058" s="904">
        <f t="shared" si="45"/>
        <v>0.20192307692307698</v>
      </c>
      <c r="F1058" s="1224">
        <v>0.83</v>
      </c>
      <c r="G1058" s="1225">
        <v>1.04</v>
      </c>
    </row>
    <row r="1059" spans="1:7" ht="15.75">
      <c r="A1059" s="919"/>
      <c r="B1059" s="5"/>
      <c r="C1059" s="1223" t="s">
        <v>2041</v>
      </c>
      <c r="D1059" s="5"/>
      <c r="E1059" s="904">
        <f t="shared" si="45"/>
        <v>0.20192307692307698</v>
      </c>
      <c r="F1059" s="1224">
        <v>0.83</v>
      </c>
      <c r="G1059" s="1225">
        <v>1.04</v>
      </c>
    </row>
    <row r="1060" spans="1:7" ht="15.75">
      <c r="A1060" s="919"/>
      <c r="B1060" s="5"/>
      <c r="C1060" s="1223" t="s">
        <v>2042</v>
      </c>
      <c r="D1060" s="5"/>
      <c r="E1060" s="904">
        <f t="shared" si="45"/>
        <v>0.20192307692307698</v>
      </c>
      <c r="F1060" s="1224">
        <v>0.83</v>
      </c>
      <c r="G1060" s="1225">
        <v>1.04</v>
      </c>
    </row>
    <row r="1061" spans="1:7" ht="15.75">
      <c r="A1061" s="919"/>
      <c r="B1061" s="5"/>
      <c r="C1061" s="1223" t="s">
        <v>1522</v>
      </c>
      <c r="D1061" s="5"/>
      <c r="E1061" s="904">
        <f t="shared" si="45"/>
        <v>0.20192307692307698</v>
      </c>
      <c r="F1061" s="1224">
        <v>0.83</v>
      </c>
      <c r="G1061" s="1225">
        <v>1.04</v>
      </c>
    </row>
    <row r="1062" spans="1:7" ht="15.75">
      <c r="A1062" s="919"/>
      <c r="B1062" s="5"/>
      <c r="C1062" s="1275" t="s">
        <v>2386</v>
      </c>
      <c r="D1062" s="5"/>
      <c r="E1062" s="904">
        <f t="shared" si="45"/>
        <v>0.13333333333333328</v>
      </c>
      <c r="F1062" s="1224">
        <v>0.13</v>
      </c>
      <c r="G1062" s="1226">
        <v>0.15</v>
      </c>
    </row>
    <row r="1063" spans="1:7" ht="15.75">
      <c r="A1063" s="919"/>
      <c r="B1063" s="5"/>
      <c r="C1063" s="1275" t="s">
        <v>2353</v>
      </c>
      <c r="D1063" s="5"/>
      <c r="E1063" s="904">
        <f t="shared" si="45"/>
        <v>0.13333333333333328</v>
      </c>
      <c r="F1063" s="1224">
        <v>0.13</v>
      </c>
      <c r="G1063" s="1226">
        <v>0.15</v>
      </c>
    </row>
    <row r="1064" spans="1:7" ht="15.75">
      <c r="A1064" s="919"/>
      <c r="B1064" s="5"/>
      <c r="C1064" s="1275" t="s">
        <v>2351</v>
      </c>
      <c r="D1064" s="5"/>
      <c r="E1064" s="904">
        <f t="shared" si="45"/>
        <v>0.13333333333333328</v>
      </c>
      <c r="F1064" s="1224">
        <v>0.13</v>
      </c>
      <c r="G1064" s="1226">
        <v>0.15</v>
      </c>
    </row>
    <row r="1065" spans="1:7" ht="15.75">
      <c r="A1065" s="919"/>
      <c r="B1065" s="5"/>
      <c r="C1065" s="1275" t="s">
        <v>2352</v>
      </c>
      <c r="D1065" s="5"/>
      <c r="E1065" s="904">
        <f t="shared" si="45"/>
        <v>0.13333333333333328</v>
      </c>
      <c r="F1065" s="1224">
        <v>0.13</v>
      </c>
      <c r="G1065" s="1226">
        <v>0.15</v>
      </c>
    </row>
    <row r="1066" spans="1:7" ht="15.75">
      <c r="A1066" s="919"/>
      <c r="B1066" s="5"/>
      <c r="C1066" s="1275" t="s">
        <v>1891</v>
      </c>
      <c r="D1066" s="5"/>
      <c r="E1066" s="904">
        <f t="shared" si="45"/>
        <v>0.1470588235294118</v>
      </c>
      <c r="F1066" s="1224">
        <v>0.87</v>
      </c>
      <c r="G1066" s="1226">
        <v>1.02</v>
      </c>
    </row>
    <row r="1067" spans="1:7" ht="15.75">
      <c r="A1067" s="919"/>
      <c r="B1067" s="5"/>
      <c r="C1067" s="1275" t="s">
        <v>2176</v>
      </c>
      <c r="D1067" s="5"/>
      <c r="E1067" s="904">
        <f t="shared" si="45"/>
        <v>0.15023474178403748</v>
      </c>
      <c r="F1067" s="1224">
        <v>1.81</v>
      </c>
      <c r="G1067" s="1226">
        <v>2.13</v>
      </c>
    </row>
    <row r="1068" spans="1:7" ht="15.75">
      <c r="A1068" s="919"/>
      <c r="B1068" s="5"/>
      <c r="C1068" s="1275" t="s">
        <v>1892</v>
      </c>
      <c r="D1068" s="5"/>
      <c r="E1068" s="904">
        <f t="shared" si="45"/>
        <v>0.14851485148514854</v>
      </c>
      <c r="F1068" s="1224">
        <v>0.86</v>
      </c>
      <c r="G1068" s="1226">
        <v>1.01</v>
      </c>
    </row>
    <row r="1069" spans="1:7" ht="15.75">
      <c r="A1069" s="919"/>
      <c r="B1069" s="5"/>
      <c r="C1069" s="1275" t="s">
        <v>1904</v>
      </c>
      <c r="D1069" s="5"/>
      <c r="E1069" s="904">
        <f t="shared" si="45"/>
        <v>0.14765100671140938</v>
      </c>
      <c r="F1069" s="1224">
        <v>1.27</v>
      </c>
      <c r="G1069" s="1226">
        <v>1.49</v>
      </c>
    </row>
    <row r="1070" spans="1:7" ht="16.5" thickBot="1">
      <c r="A1070" s="1227"/>
      <c r="B1070" s="463"/>
      <c r="C1070" s="1276" t="s">
        <v>2387</v>
      </c>
      <c r="D1070" s="463"/>
      <c r="E1070" s="1018">
        <f t="shared" si="45"/>
        <v>0.14970059880239522</v>
      </c>
      <c r="F1070" s="1228">
        <v>1.42</v>
      </c>
      <c r="G1070" s="1226">
        <v>1.67</v>
      </c>
    </row>
    <row r="1071" spans="1:7" ht="15.75" thickBot="1"/>
    <row r="1072" spans="1:7">
      <c r="A1072" s="3614" t="s">
        <v>0</v>
      </c>
      <c r="B1072" s="3693" t="s">
        <v>1</v>
      </c>
      <c r="C1072" s="3693" t="s">
        <v>2</v>
      </c>
      <c r="D1072" s="3693" t="s">
        <v>3</v>
      </c>
      <c r="E1072" s="3693" t="s">
        <v>4</v>
      </c>
      <c r="F1072" s="3522" t="s">
        <v>5</v>
      </c>
    </row>
    <row r="1073" spans="1:7" ht="15.75" thickBot="1">
      <c r="A1073" s="3681"/>
      <c r="B1073" s="3702"/>
      <c r="C1073" s="3702"/>
      <c r="D1073" s="3702"/>
      <c r="E1073" s="3702"/>
      <c r="F1073" s="3717"/>
    </row>
    <row r="1074" spans="1:7" ht="15.75">
      <c r="A1074" s="1108" t="s">
        <v>2395</v>
      </c>
      <c r="B1074" s="1098" t="s">
        <v>460</v>
      </c>
      <c r="C1074" s="1190" t="s">
        <v>436</v>
      </c>
      <c r="D1074" s="1098"/>
      <c r="E1074" s="1236">
        <f>(G1074-F1074)/G1074</f>
        <v>0.14876033057851235</v>
      </c>
      <c r="F1074" s="1237">
        <v>1.03</v>
      </c>
      <c r="G1074">
        <v>1.21</v>
      </c>
    </row>
    <row r="1075" spans="1:7" ht="15.75">
      <c r="A1075" s="1166"/>
      <c r="B1075" s="1238"/>
      <c r="C1075" s="1239" t="s">
        <v>1374</v>
      </c>
      <c r="D1075" s="1238"/>
      <c r="E1075" s="1240">
        <f>(G1075-F1075)/G1075</f>
        <v>0.20202020202020199</v>
      </c>
      <c r="F1075" s="1241">
        <v>0.79</v>
      </c>
      <c r="G1075">
        <v>0.99</v>
      </c>
    </row>
    <row r="1076" spans="1:7" ht="15.75">
      <c r="A1076" s="1166"/>
      <c r="B1076" s="1238"/>
      <c r="C1076" s="1239" t="s">
        <v>1301</v>
      </c>
      <c r="D1076" s="1238"/>
      <c r="E1076" s="1240">
        <f>(G1076-F1076)/G1076</f>
        <v>0.20202020202020199</v>
      </c>
      <c r="F1076" s="1241">
        <v>0.79</v>
      </c>
      <c r="G1076">
        <v>0.99</v>
      </c>
    </row>
    <row r="1077" spans="1:7" ht="15.75">
      <c r="A1077" s="1166"/>
      <c r="B1077" s="1238"/>
      <c r="C1077" s="1239" t="s">
        <v>2303</v>
      </c>
      <c r="D1077" s="1238"/>
      <c r="E1077" s="1240">
        <f>(G1077-F1077)/G1077</f>
        <v>0.20202020202020199</v>
      </c>
      <c r="F1077" s="1241">
        <v>0.79</v>
      </c>
      <c r="G1077" s="39">
        <v>0.99</v>
      </c>
    </row>
    <row r="1078" spans="1:7" ht="16.5" thickBot="1">
      <c r="A1078" s="1114"/>
      <c r="B1078" s="1047"/>
      <c r="C1078" s="1047"/>
      <c r="D1078" s="1047"/>
      <c r="E1078" s="1141" t="e">
        <f>(G1078-F1078)/G1078</f>
        <v>#DIV/0!</v>
      </c>
      <c r="F1078" s="1242"/>
    </row>
    <row r="1079" spans="1:7" ht="15.75" thickBot="1"/>
    <row r="1080" spans="1:7">
      <c r="A1080" s="3614" t="s">
        <v>0</v>
      </c>
      <c r="B1080" s="3693" t="s">
        <v>1</v>
      </c>
      <c r="C1080" s="3693" t="s">
        <v>2</v>
      </c>
      <c r="D1080" s="3693" t="s">
        <v>3</v>
      </c>
      <c r="E1080" s="3693" t="s">
        <v>4</v>
      </c>
      <c r="F1080" s="3522" t="s">
        <v>5</v>
      </c>
    </row>
    <row r="1081" spans="1:7" ht="15.75" thickBot="1">
      <c r="A1081" s="4080"/>
      <c r="B1081" s="4081"/>
      <c r="C1081" s="4081"/>
      <c r="D1081" s="4081"/>
      <c r="E1081" s="4081"/>
      <c r="F1081" s="4082"/>
    </row>
    <row r="1082" spans="1:7" ht="16.5" thickTop="1" thickBot="1">
      <c r="A1082" s="412" t="s">
        <v>2396</v>
      </c>
      <c r="B1082" s="288" t="s">
        <v>2029</v>
      </c>
      <c r="C1082" s="5" t="s">
        <v>1892</v>
      </c>
      <c r="D1082" s="288"/>
      <c r="E1082" s="549">
        <f>(G1082-F1082)/G1082</f>
        <v>0.25000000000000011</v>
      </c>
      <c r="F1082" s="1062">
        <v>0.69</v>
      </c>
      <c r="G1082">
        <v>0.92</v>
      </c>
    </row>
    <row r="1083" spans="1:7" ht="15.75" thickBot="1">
      <c r="A1083" s="302"/>
      <c r="B1083" s="1238"/>
      <c r="C1083" s="1231"/>
      <c r="D1083" s="288"/>
      <c r="E1083" s="549" t="e">
        <f>(G1083-F1083)/G1083</f>
        <v>#DIV/0!</v>
      </c>
      <c r="F1083" s="1062"/>
    </row>
    <row r="1084" spans="1:7" ht="15.75" thickBot="1">
      <c r="A1084" s="460"/>
      <c r="B1084" s="1032"/>
      <c r="C1084" s="1047"/>
      <c r="D1084" s="592"/>
      <c r="E1084" s="593"/>
      <c r="F1084" s="1064"/>
    </row>
    <row r="1085" spans="1:7" ht="15.75" thickBot="1"/>
    <row r="1086" spans="1:7">
      <c r="A1086" s="3614" t="s">
        <v>0</v>
      </c>
      <c r="B1086" s="3693" t="s">
        <v>1</v>
      </c>
      <c r="C1086" s="3693" t="s">
        <v>2</v>
      </c>
      <c r="D1086" s="3693" t="s">
        <v>3</v>
      </c>
      <c r="E1086" s="3693" t="s">
        <v>4</v>
      </c>
      <c r="F1086" s="3522" t="s">
        <v>5</v>
      </c>
    </row>
    <row r="1087" spans="1:7" ht="15.75" thickBot="1">
      <c r="A1087" s="4080"/>
      <c r="B1087" s="4081"/>
      <c r="C1087" s="4081"/>
      <c r="D1087" s="3687"/>
      <c r="E1087" s="3687"/>
      <c r="F1087" s="4082"/>
    </row>
    <row r="1088" spans="1:7" ht="15.75" thickTop="1">
      <c r="A1088" s="4152" t="s">
        <v>2407</v>
      </c>
      <c r="B1088" s="288" t="s">
        <v>1593</v>
      </c>
      <c r="C1088" s="1245" t="s">
        <v>1374</v>
      </c>
      <c r="D1088" s="1246"/>
      <c r="E1088" s="1247">
        <f>(G1088-F1088)/G1088</f>
        <v>0.13461538461538464</v>
      </c>
      <c r="F1088" s="1036">
        <v>0.9</v>
      </c>
      <c r="G1088" s="541">
        <v>1.04</v>
      </c>
    </row>
    <row r="1089" spans="1:7">
      <c r="A1089" s="3562"/>
      <c r="B1089" s="342"/>
      <c r="C1089" s="1231" t="s">
        <v>2303</v>
      </c>
      <c r="D1089" s="1246"/>
      <c r="E1089" s="1247">
        <f>(G1089-F1089)/G1089</f>
        <v>0.13461538461538464</v>
      </c>
      <c r="F1089" s="944">
        <v>0.9</v>
      </c>
      <c r="G1089" s="429">
        <v>1.04</v>
      </c>
    </row>
    <row r="1090" spans="1:7" ht="15.75" thickBot="1">
      <c r="A1090" s="3563"/>
      <c r="B1090" s="1032"/>
      <c r="C1090" s="1231"/>
      <c r="D1090" s="548"/>
      <c r="E1090" s="549" t="e">
        <f>(G1090-F1090)/G1090</f>
        <v>#DIV/0!</v>
      </c>
      <c r="F1090" s="1040"/>
      <c r="G1090" s="541"/>
    </row>
    <row r="1091" spans="1:7" ht="15.75" thickBot="1"/>
    <row r="1092" spans="1:7">
      <c r="A1092" s="3614" t="s">
        <v>0</v>
      </c>
      <c r="B1092" s="3693" t="s">
        <v>1</v>
      </c>
      <c r="C1092" s="3693" t="s">
        <v>2</v>
      </c>
      <c r="D1092" s="3693" t="s">
        <v>3</v>
      </c>
      <c r="E1092" s="3693" t="s">
        <v>4</v>
      </c>
      <c r="F1092" s="3522" t="s">
        <v>5</v>
      </c>
      <c r="G1092" s="109"/>
    </row>
    <row r="1093" spans="1:7" ht="15.75" thickBot="1">
      <c r="A1093" s="4083"/>
      <c r="B1093" s="4084"/>
      <c r="C1093" s="4084"/>
      <c r="D1093" s="4084"/>
      <c r="E1093" s="4084"/>
      <c r="F1093" s="4085"/>
      <c r="G1093" s="109"/>
    </row>
    <row r="1094" spans="1:7" ht="15.75">
      <c r="A1094" s="841" t="s">
        <v>2408</v>
      </c>
      <c r="B1094" s="4154" t="s">
        <v>2155</v>
      </c>
      <c r="C1094" s="1097" t="s">
        <v>623</v>
      </c>
      <c r="D1094" s="1098"/>
      <c r="E1094" s="290">
        <f>(G1094-F1094)/G1094</f>
        <v>-0.16149068322981366</v>
      </c>
      <c r="F1094" s="1122">
        <v>1.87</v>
      </c>
      <c r="G1094" s="1103">
        <v>1.61</v>
      </c>
    </row>
    <row r="1095" spans="1:7" ht="15.75">
      <c r="A1095" s="841"/>
      <c r="B1095" s="4155"/>
      <c r="C1095" s="1143" t="s">
        <v>1772</v>
      </c>
      <c r="D1095" s="1144"/>
      <c r="E1095" s="290">
        <f t="shared" ref="E1095:E1100" si="46">(G1095-F1095)/G1095</f>
        <v>-0.16149068322981366</v>
      </c>
      <c r="F1095" s="1122">
        <v>1.87</v>
      </c>
      <c r="G1095" s="1103">
        <v>1.61</v>
      </c>
    </row>
    <row r="1096" spans="1:7" ht="15.75">
      <c r="A1096" s="841"/>
      <c r="B1096" s="4155"/>
      <c r="C1096" s="1143" t="s">
        <v>1120</v>
      </c>
      <c r="D1096" s="1144"/>
      <c r="E1096" s="290">
        <f t="shared" si="46"/>
        <v>0.25</v>
      </c>
      <c r="F1096" s="1122">
        <v>0.36</v>
      </c>
      <c r="G1096" s="1103">
        <v>0.48</v>
      </c>
    </row>
    <row r="1097" spans="1:7" ht="15.75" thickBot="1">
      <c r="A1097" s="841"/>
      <c r="B1097" s="4155"/>
      <c r="C1097" s="1276" t="s">
        <v>1975</v>
      </c>
      <c r="D1097" s="94"/>
      <c r="E1097" s="290">
        <f t="shared" si="46"/>
        <v>0.25161290322580654</v>
      </c>
      <c r="F1097" s="1122">
        <v>1.1599999999999999</v>
      </c>
      <c r="G1097" s="1103">
        <v>1.55</v>
      </c>
    </row>
    <row r="1098" spans="1:7" ht="15.75">
      <c r="A1098" s="841"/>
      <c r="B1098" s="4155"/>
      <c r="C1098" s="1160"/>
      <c r="D1098" s="94"/>
      <c r="E1098" s="290" t="e">
        <f t="shared" si="46"/>
        <v>#DIV/0!</v>
      </c>
      <c r="F1098" s="1122"/>
      <c r="G1098" s="1103"/>
    </row>
    <row r="1099" spans="1:7" ht="15.75">
      <c r="A1099" s="841"/>
      <c r="B1099" s="4155"/>
      <c r="C1099" s="1160"/>
      <c r="D1099" s="94"/>
      <c r="E1099" s="290" t="e">
        <f t="shared" si="46"/>
        <v>#DIV/0!</v>
      </c>
      <c r="F1099" s="1122"/>
      <c r="G1099" s="1103"/>
    </row>
    <row r="1100" spans="1:7" ht="16.5" thickBot="1">
      <c r="A1100" s="884"/>
      <c r="B1100" s="4156"/>
      <c r="C1100" s="1248"/>
      <c r="D1100" s="1249"/>
      <c r="E1100" s="290" t="e">
        <f t="shared" si="46"/>
        <v>#DIV/0!</v>
      </c>
      <c r="F1100" s="1122"/>
      <c r="G1100" s="1103"/>
    </row>
    <row r="1101" spans="1:7" ht="15.75" thickBot="1"/>
    <row r="1102" spans="1:7">
      <c r="A1102" s="3614" t="s">
        <v>0</v>
      </c>
      <c r="B1102" s="3693" t="s">
        <v>1</v>
      </c>
      <c r="C1102" s="3693" t="s">
        <v>2</v>
      </c>
      <c r="D1102" s="3693" t="s">
        <v>3</v>
      </c>
      <c r="E1102" s="3693" t="s">
        <v>4</v>
      </c>
      <c r="F1102" s="3522" t="s">
        <v>5</v>
      </c>
    </row>
    <row r="1103" spans="1:7">
      <c r="A1103" s="3681"/>
      <c r="B1103" s="3687"/>
      <c r="C1103" s="3687"/>
      <c r="D1103" s="3687"/>
      <c r="E1103" s="3687"/>
      <c r="F1103" s="3717"/>
    </row>
    <row r="1104" spans="1:7">
      <c r="A1104" s="1166" t="s">
        <v>2411</v>
      </c>
      <c r="B1104" s="1238" t="s">
        <v>2016</v>
      </c>
      <c r="C1104" s="1250" t="s">
        <v>623</v>
      </c>
      <c r="D1104" s="1238"/>
      <c r="E1104" s="1251">
        <f t="shared" ref="E1104:E1114" si="47">(G1104-F1104)/G1104</f>
        <v>0.23280423280423279</v>
      </c>
      <c r="F1104" s="1252">
        <v>1.45</v>
      </c>
      <c r="G1104">
        <v>1.89</v>
      </c>
    </row>
    <row r="1105" spans="1:7">
      <c r="A1105" s="1166"/>
      <c r="B1105" s="1238"/>
      <c r="C1105" s="1250" t="s">
        <v>554</v>
      </c>
      <c r="D1105" s="1238"/>
      <c r="E1105" s="1251">
        <f t="shared" si="47"/>
        <v>0.20175438596491219</v>
      </c>
      <c r="F1105" s="1252">
        <v>0.91</v>
      </c>
      <c r="G1105">
        <v>1.1399999999999999</v>
      </c>
    </row>
    <row r="1106" spans="1:7">
      <c r="A1106" s="1061"/>
      <c r="B1106" s="1238"/>
      <c r="C1106" t="s">
        <v>730</v>
      </c>
      <c r="D1106" s="1238"/>
      <c r="E1106" s="1251">
        <f t="shared" si="47"/>
        <v>0.15</v>
      </c>
      <c r="F1106" s="1252">
        <v>0.68</v>
      </c>
      <c r="G1106">
        <v>0.8</v>
      </c>
    </row>
    <row r="1107" spans="1:7">
      <c r="A1107" s="1061"/>
      <c r="B1107" s="1238"/>
      <c r="C1107" s="1253" t="s">
        <v>1090</v>
      </c>
      <c r="D1107" s="1238"/>
      <c r="E1107" s="1251">
        <f t="shared" si="47"/>
        <v>0.24637681159420283</v>
      </c>
      <c r="F1107" s="1252">
        <v>1.04</v>
      </c>
      <c r="G1107" s="33">
        <v>1.38</v>
      </c>
    </row>
    <row r="1108" spans="1:7">
      <c r="A1108" s="1166"/>
      <c r="B1108" s="1238"/>
      <c r="C1108" s="1254" t="s">
        <v>1091</v>
      </c>
      <c r="D1108" s="1238"/>
      <c r="E1108" s="1251">
        <f t="shared" si="47"/>
        <v>0.24637681159420283</v>
      </c>
      <c r="F1108" s="1252">
        <v>1.04</v>
      </c>
      <c r="G1108" s="33">
        <v>1.38</v>
      </c>
    </row>
    <row r="1109" spans="1:7" ht="15.75" thickBot="1">
      <c r="A1109" s="1061"/>
      <c r="B1109" s="1238"/>
      <c r="C1109" s="1276" t="s">
        <v>2353</v>
      </c>
      <c r="D1109" s="1238"/>
      <c r="E1109" s="1251">
        <f t="shared" si="47"/>
        <v>0.1875</v>
      </c>
      <c r="F1109" s="1252">
        <v>0.13</v>
      </c>
      <c r="G1109" s="33">
        <v>0.16</v>
      </c>
    </row>
    <row r="1110" spans="1:7" ht="15.75" thickBot="1">
      <c r="A1110" s="1061"/>
      <c r="B1110" s="1238"/>
      <c r="C1110" s="1276" t="s">
        <v>2387</v>
      </c>
      <c r="D1110" s="1238"/>
      <c r="E1110" s="1251">
        <f t="shared" si="47"/>
        <v>0.19883040935672508</v>
      </c>
      <c r="F1110" s="1252">
        <v>1.37</v>
      </c>
      <c r="G1110" s="33">
        <v>1.71</v>
      </c>
    </row>
    <row r="1111" spans="1:7" ht="15.75" thickBot="1">
      <c r="A1111" s="1061"/>
      <c r="B1111" s="1238"/>
      <c r="C1111" s="1276" t="s">
        <v>2175</v>
      </c>
      <c r="D1111" s="1238"/>
      <c r="E1111" s="1251">
        <f t="shared" si="47"/>
        <v>0.20094562647754147</v>
      </c>
      <c r="F1111" s="1252">
        <v>3.38</v>
      </c>
      <c r="G1111" s="33">
        <v>4.2300000000000004</v>
      </c>
    </row>
    <row r="1112" spans="1:7" ht="15.75" thickBot="1">
      <c r="A1112" s="1166"/>
      <c r="B1112" s="1238"/>
      <c r="C1112" s="1276" t="s">
        <v>2176</v>
      </c>
      <c r="D1112" s="1238"/>
      <c r="E1112" s="1251">
        <f t="shared" si="47"/>
        <v>0.19815668202764974</v>
      </c>
      <c r="F1112" s="1252">
        <v>1.74</v>
      </c>
      <c r="G1112" s="33">
        <v>2.17</v>
      </c>
    </row>
    <row r="1113" spans="1:7">
      <c r="A1113" s="1061"/>
      <c r="B1113" s="1238"/>
      <c r="C1113" s="32"/>
      <c r="D1113" s="1238"/>
      <c r="E1113" s="1251" t="e">
        <f t="shared" si="47"/>
        <v>#DIV/0!</v>
      </c>
      <c r="F1113" s="1252"/>
    </row>
    <row r="1114" spans="1:7">
      <c r="A1114" s="1061"/>
      <c r="B1114" s="1238"/>
      <c r="C1114" s="1245"/>
      <c r="D1114" s="1238"/>
      <c r="E1114" s="1251" t="e">
        <f t="shared" si="47"/>
        <v>#DIV/0!</v>
      </c>
      <c r="F1114" s="1252"/>
      <c r="G1114" s="33"/>
    </row>
    <row r="1116" spans="1:7" ht="15.75" thickBot="1"/>
    <row r="1117" spans="1:7">
      <c r="A1117" s="3614" t="s">
        <v>0</v>
      </c>
      <c r="B1117" s="3693" t="s">
        <v>1</v>
      </c>
      <c r="C1117" s="3693" t="s">
        <v>2</v>
      </c>
      <c r="D1117" s="3693" t="s">
        <v>3</v>
      </c>
      <c r="E1117" s="3693" t="s">
        <v>4</v>
      </c>
      <c r="F1117" s="3522" t="s">
        <v>5</v>
      </c>
    </row>
    <row r="1118" spans="1:7" ht="15.75" thickBot="1">
      <c r="A1118" s="4080"/>
      <c r="B1118" s="4081"/>
      <c r="C1118" s="4081"/>
      <c r="D1118" s="4081"/>
      <c r="E1118" s="4081"/>
      <c r="F1118" s="4082"/>
    </row>
    <row r="1119" spans="1:7" ht="16.5" thickTop="1" thickBot="1">
      <c r="A1119" s="412" t="s">
        <v>2420</v>
      </c>
      <c r="B1119" s="288" t="s">
        <v>2029</v>
      </c>
      <c r="C1119" s="1400" t="s">
        <v>2024</v>
      </c>
      <c r="D1119" s="288"/>
      <c r="E1119" s="549">
        <f>(G1119-F1119)/G1119</f>
        <v>0.19354838709677419</v>
      </c>
      <c r="F1119" s="1062">
        <v>0.5</v>
      </c>
      <c r="G1119">
        <v>0.62</v>
      </c>
    </row>
    <row r="1120" spans="1:7" ht="15.75" thickBot="1">
      <c r="A1120" s="302"/>
      <c r="B1120" s="1238" t="s">
        <v>2356</v>
      </c>
      <c r="C1120" s="1231"/>
      <c r="D1120" s="288"/>
      <c r="E1120" s="549" t="e">
        <f>(G1120-F1120)/G1120</f>
        <v>#DIV/0!</v>
      </c>
      <c r="F1120" s="1062"/>
    </row>
    <row r="1121" spans="1:8" ht="15.75" thickBot="1">
      <c r="A1121" s="460"/>
      <c r="B1121" s="1277"/>
      <c r="C1121" s="1278"/>
      <c r="D1121" s="592"/>
      <c r="E1121" s="593"/>
      <c r="F1121" s="1279"/>
    </row>
    <row r="1122" spans="1:8" ht="15.75" thickBot="1"/>
    <row r="1123" spans="1:8">
      <c r="A1123" s="3572" t="s">
        <v>0</v>
      </c>
      <c r="B1123" s="3636" t="s">
        <v>1</v>
      </c>
      <c r="C1123" s="3636" t="s">
        <v>2</v>
      </c>
      <c r="D1123" s="3636" t="s">
        <v>3</v>
      </c>
      <c r="E1123" s="3636" t="s">
        <v>4</v>
      </c>
      <c r="F1123" s="3559" t="s">
        <v>5</v>
      </c>
      <c r="G1123" s="429"/>
    </row>
    <row r="1124" spans="1:8" ht="15.75" thickBot="1">
      <c r="A1124" s="3696"/>
      <c r="B1124" s="3709"/>
      <c r="C1124" s="3709"/>
      <c r="D1124" s="3709"/>
      <c r="E1124" s="3709"/>
      <c r="F1124" s="3712"/>
      <c r="G1124" s="429"/>
    </row>
    <row r="1125" spans="1:8" ht="15.75" thickTop="1">
      <c r="A1125" s="813" t="s">
        <v>2421</v>
      </c>
      <c r="B1125" s="388" t="s">
        <v>120</v>
      </c>
      <c r="C1125" s="1280" t="s">
        <v>2021</v>
      </c>
      <c r="D1125" s="388"/>
      <c r="E1125" s="880">
        <f>(G1125-F1125)/G1125</f>
        <v>0.25161290322580654</v>
      </c>
      <c r="F1125" s="1024">
        <v>1.1599999999999999</v>
      </c>
      <c r="G1125" s="429">
        <v>1.55</v>
      </c>
    </row>
    <row r="1126" spans="1:8">
      <c r="A1126" s="491"/>
      <c r="B1126" s="1281" t="s">
        <v>121</v>
      </c>
      <c r="C1126" s="1280" t="s">
        <v>1975</v>
      </c>
      <c r="D1126" s="388"/>
      <c r="E1126" s="1282">
        <f t="shared" ref="E1126:E1132" si="48">(G1126-F1126)/G1126</f>
        <v>0.20125786163522016</v>
      </c>
      <c r="F1126" s="1024">
        <v>1.27</v>
      </c>
      <c r="G1126" s="429">
        <v>1.59</v>
      </c>
    </row>
    <row r="1127" spans="1:8">
      <c r="A1127" s="491"/>
      <c r="B1127" s="1281" t="s">
        <v>123</v>
      </c>
      <c r="C1127" s="1280" t="s">
        <v>985</v>
      </c>
      <c r="D1127" s="388"/>
      <c r="E1127" s="1282">
        <f t="shared" si="48"/>
        <v>0.14925373134328371</v>
      </c>
      <c r="F1127" s="1024">
        <v>1.1399999999999999</v>
      </c>
      <c r="G1127" s="429">
        <v>1.34</v>
      </c>
      <c r="H1127">
        <v>1.21</v>
      </c>
    </row>
    <row r="1128" spans="1:8">
      <c r="A1128" s="491"/>
      <c r="B1128" s="1281" t="s">
        <v>122</v>
      </c>
      <c r="C1128" s="1280" t="s">
        <v>2422</v>
      </c>
      <c r="D1128" s="388"/>
      <c r="E1128" s="1282">
        <f t="shared" si="48"/>
        <v>0.1666666666666666</v>
      </c>
      <c r="F1128" s="1024">
        <v>0.1</v>
      </c>
      <c r="G1128" s="528">
        <v>0.12</v>
      </c>
    </row>
    <row r="1129" spans="1:8">
      <c r="A1129" s="491"/>
      <c r="B1129" s="1199" t="s">
        <v>2057</v>
      </c>
      <c r="C1129" s="1200" t="s">
        <v>1301</v>
      </c>
      <c r="D1129" s="388"/>
      <c r="E1129" s="1282">
        <f t="shared" si="48"/>
        <v>9.708737864077667E-2</v>
      </c>
      <c r="F1129" s="961">
        <v>0.93</v>
      </c>
      <c r="G1129" s="528">
        <v>1.03</v>
      </c>
      <c r="H1129">
        <v>0.95</v>
      </c>
    </row>
    <row r="1130" spans="1:8">
      <c r="A1130" s="491"/>
      <c r="B1130" s="1199"/>
      <c r="C1130" s="1200" t="s">
        <v>465</v>
      </c>
      <c r="D1130" s="388"/>
      <c r="E1130" s="1282">
        <f t="shared" si="48"/>
        <v>0.14864864864864863</v>
      </c>
      <c r="F1130" s="961">
        <v>1.26</v>
      </c>
      <c r="G1130" s="528">
        <v>1.48</v>
      </c>
      <c r="H1130">
        <v>1.41</v>
      </c>
    </row>
    <row r="1131" spans="1:8">
      <c r="A1131" s="491"/>
      <c r="B1131" s="1199"/>
      <c r="C1131" s="1200"/>
      <c r="D1131" s="388"/>
      <c r="E1131" s="1282" t="e">
        <f t="shared" si="48"/>
        <v>#DIV/0!</v>
      </c>
      <c r="F1131" s="961"/>
      <c r="G1131" s="528"/>
    </row>
    <row r="1132" spans="1:8" ht="15.75" thickBot="1">
      <c r="A1132" s="500"/>
      <c r="B1132" s="1283"/>
      <c r="C1132" s="1284"/>
      <c r="D1132" s="873"/>
      <c r="E1132" s="1282" t="e">
        <f t="shared" si="48"/>
        <v>#DIV/0!</v>
      </c>
      <c r="F1132" s="1285"/>
      <c r="G1132" s="528"/>
    </row>
    <row r="1133" spans="1:8" ht="15.75" thickBot="1"/>
    <row r="1134" spans="1:8">
      <c r="A1134" s="3614" t="s">
        <v>0</v>
      </c>
      <c r="B1134" s="3693" t="s">
        <v>1</v>
      </c>
      <c r="C1134" s="3693" t="s">
        <v>2</v>
      </c>
      <c r="D1134" s="3693" t="s">
        <v>3</v>
      </c>
      <c r="E1134" s="3693" t="s">
        <v>4</v>
      </c>
      <c r="F1134" s="3522" t="s">
        <v>5</v>
      </c>
      <c r="G1134" s="109"/>
    </row>
    <row r="1135" spans="1:8" ht="15.75" thickBot="1">
      <c r="A1135" s="4093"/>
      <c r="B1135" s="4157"/>
      <c r="C1135" s="4157"/>
      <c r="D1135" s="4157"/>
      <c r="E1135" s="4157"/>
      <c r="F1135" s="4153"/>
      <c r="G1135" s="109"/>
    </row>
    <row r="1136" spans="1:8" ht="15.75">
      <c r="A1136" s="841" t="s">
        <v>2428</v>
      </c>
      <c r="B1136" s="4154" t="s">
        <v>2155</v>
      </c>
      <c r="C1136" s="1403" t="s">
        <v>2156</v>
      </c>
      <c r="D1136" s="1098"/>
      <c r="E1136" s="290">
        <f>(G1136-F1136)/G1136</f>
        <v>0.30414746543778798</v>
      </c>
      <c r="F1136" s="1122">
        <v>1.51</v>
      </c>
      <c r="G1136" s="1103">
        <v>2.17</v>
      </c>
    </row>
    <row r="1137" spans="1:7" ht="15.75">
      <c r="A1137" s="841"/>
      <c r="B1137" s="4155"/>
      <c r="C1137" s="1404" t="s">
        <v>2353</v>
      </c>
      <c r="D1137" s="1144"/>
      <c r="E1137" s="290">
        <f t="shared" ref="E1137:E1142" si="49">(G1137-F1137)/G1137</f>
        <v>0.2</v>
      </c>
      <c r="F1137" s="1122">
        <v>0.12</v>
      </c>
      <c r="G1137" s="1103">
        <v>0.15</v>
      </c>
    </row>
    <row r="1138" spans="1:7" ht="15.75">
      <c r="A1138" s="841"/>
      <c r="B1138" s="4155"/>
      <c r="C1138" s="1404" t="s">
        <v>2351</v>
      </c>
      <c r="D1138" s="1144"/>
      <c r="E1138" s="290">
        <f t="shared" si="49"/>
        <v>0.2</v>
      </c>
      <c r="F1138" s="1122">
        <v>0.12</v>
      </c>
      <c r="G1138" s="1103">
        <v>0.15</v>
      </c>
    </row>
    <row r="1139" spans="1:7" ht="15.75">
      <c r="A1139" s="841"/>
      <c r="B1139" s="4155"/>
      <c r="C1139" s="1402" t="s">
        <v>2352</v>
      </c>
      <c r="D1139" s="94"/>
      <c r="E1139" s="290">
        <f t="shared" si="49"/>
        <v>0.2</v>
      </c>
      <c r="F1139" s="1122">
        <v>0.12</v>
      </c>
      <c r="G1139" s="1103">
        <v>0.15</v>
      </c>
    </row>
    <row r="1140" spans="1:7" ht="15.75">
      <c r="A1140" s="841"/>
      <c r="B1140" s="4155"/>
      <c r="C1140" s="1160"/>
      <c r="D1140" s="94"/>
      <c r="E1140" s="290" t="e">
        <f t="shared" si="49"/>
        <v>#DIV/0!</v>
      </c>
      <c r="F1140" s="1122"/>
      <c r="G1140" s="1103"/>
    </row>
    <row r="1141" spans="1:7" ht="15.75">
      <c r="A1141" s="841"/>
      <c r="B1141" s="4155"/>
      <c r="C1141" s="1160"/>
      <c r="D1141" s="94"/>
      <c r="E1141" s="290" t="e">
        <f t="shared" si="49"/>
        <v>#DIV/0!</v>
      </c>
      <c r="F1141" s="1122"/>
      <c r="G1141" s="1103"/>
    </row>
    <row r="1142" spans="1:7" ht="16.5" thickBot="1">
      <c r="A1142" s="884"/>
      <c r="B1142" s="4156"/>
      <c r="C1142" s="1248"/>
      <c r="D1142" s="1249"/>
      <c r="E1142" s="290" t="e">
        <f t="shared" si="49"/>
        <v>#DIV/0!</v>
      </c>
      <c r="F1142" s="1122"/>
      <c r="G1142" s="1103"/>
    </row>
    <row r="1143" spans="1:7" ht="15.75" thickBot="1"/>
    <row r="1144" spans="1:7">
      <c r="A1144" s="3614" t="s">
        <v>0</v>
      </c>
      <c r="B1144" s="3693" t="s">
        <v>1</v>
      </c>
      <c r="C1144" s="3693" t="s">
        <v>2</v>
      </c>
      <c r="D1144" s="3693" t="s">
        <v>3</v>
      </c>
      <c r="E1144" s="3693" t="s">
        <v>4</v>
      </c>
      <c r="F1144" s="3522" t="s">
        <v>5</v>
      </c>
    </row>
    <row r="1145" spans="1:7" ht="15.75" thickBot="1">
      <c r="A1145" s="4080"/>
      <c r="B1145" s="4081"/>
      <c r="C1145" s="4081"/>
      <c r="D1145" s="3702"/>
      <c r="E1145" s="3702"/>
      <c r="F1145" s="4082"/>
    </row>
    <row r="1146" spans="1:7" ht="15.75" thickTop="1">
      <c r="A1146" s="4152" t="s">
        <v>2429</v>
      </c>
      <c r="B1146" s="288" t="s">
        <v>1593</v>
      </c>
      <c r="C1146" s="1401" t="s">
        <v>2351</v>
      </c>
      <c r="D1146" s="1144"/>
      <c r="E1146" s="290">
        <f>(G1146-F1146)/G1146</f>
        <v>0.25000000000000006</v>
      </c>
      <c r="F1146" s="1122">
        <v>0.12</v>
      </c>
      <c r="G1146" s="1103">
        <v>0.16</v>
      </c>
    </row>
    <row r="1147" spans="1:7" ht="15.75">
      <c r="A1147" s="3562"/>
      <c r="B1147" s="342"/>
      <c r="C1147" s="1402" t="s">
        <v>2352</v>
      </c>
      <c r="D1147" s="94"/>
      <c r="E1147" s="290">
        <f>(G1147-F1147)/G1147</f>
        <v>0.25000000000000006</v>
      </c>
      <c r="F1147" s="1122">
        <v>0.12</v>
      </c>
      <c r="G1147" s="1103">
        <v>0.16</v>
      </c>
    </row>
    <row r="1148" spans="1:7" ht="15.75" thickBot="1">
      <c r="A1148" s="3563"/>
      <c r="B1148" s="1249"/>
      <c r="C1148" s="1287"/>
      <c r="D1148" s="548"/>
      <c r="E1148" s="549" t="e">
        <f>(G1148-F1148)/G1148</f>
        <v>#DIV/0!</v>
      </c>
      <c r="F1148" s="1288"/>
      <c r="G1148" s="541"/>
    </row>
    <row r="1149" spans="1:7" ht="15.75" thickBot="1"/>
    <row r="1150" spans="1:7">
      <c r="A1150" s="3614" t="s">
        <v>0</v>
      </c>
      <c r="B1150" s="3693" t="s">
        <v>1</v>
      </c>
      <c r="C1150" s="3693" t="s">
        <v>2</v>
      </c>
      <c r="D1150" s="3693" t="s">
        <v>3</v>
      </c>
      <c r="E1150" s="3693" t="s">
        <v>4</v>
      </c>
      <c r="F1150" s="3522" t="s">
        <v>5</v>
      </c>
    </row>
    <row r="1151" spans="1:7" ht="15.75" thickBot="1">
      <c r="A1151" s="4093"/>
      <c r="B1151" s="4092"/>
      <c r="C1151" s="4092"/>
      <c r="D1151" s="4092"/>
      <c r="E1151" s="4092"/>
      <c r="F1151" s="4153"/>
    </row>
    <row r="1152" spans="1:7" ht="15.75">
      <c r="A1152" s="841" t="s">
        <v>2430</v>
      </c>
      <c r="B1152" s="288" t="s">
        <v>2196</v>
      </c>
      <c r="C1152" s="1395" t="s">
        <v>2359</v>
      </c>
      <c r="D1152" s="288"/>
      <c r="E1152" s="904">
        <f>(G1152-F1152)/G1152</f>
        <v>0.15</v>
      </c>
      <c r="F1152" s="843">
        <v>5.44</v>
      </c>
      <c r="G1152">
        <v>6.4</v>
      </c>
    </row>
    <row r="1153" spans="1:8" ht="15.75">
      <c r="A1153" s="841"/>
      <c r="B1153" s="1144"/>
      <c r="C1153" s="1396" t="s">
        <v>2192</v>
      </c>
      <c r="D1153" s="1144"/>
      <c r="E1153" s="1289">
        <f>(G1153-F1153)/G1153</f>
        <v>0.15</v>
      </c>
      <c r="F1153" s="843">
        <v>5.44</v>
      </c>
      <c r="G1153">
        <v>6.4</v>
      </c>
    </row>
    <row r="1154" spans="1:8" ht="15.75">
      <c r="A1154" s="841"/>
      <c r="B1154" s="1144"/>
      <c r="C1154" s="1396" t="s">
        <v>2193</v>
      </c>
      <c r="D1154" s="1144"/>
      <c r="E1154" s="1289">
        <f>(G1154-F1154)/G1154</f>
        <v>0.15</v>
      </c>
      <c r="F1154" s="843">
        <v>5.44</v>
      </c>
      <c r="G1154">
        <v>6.4</v>
      </c>
    </row>
    <row r="1155" spans="1:8" ht="16.5" thickBot="1">
      <c r="A1155" s="884"/>
      <c r="B1155" s="1249"/>
      <c r="C1155" s="1397" t="s">
        <v>2194</v>
      </c>
      <c r="D1155" s="1249"/>
      <c r="E1155" s="1290">
        <f>(G1155-F1155)/G1155</f>
        <v>0.15</v>
      </c>
      <c r="F1155" s="843">
        <v>5.44</v>
      </c>
      <c r="G1155">
        <v>6.4</v>
      </c>
    </row>
    <row r="1156" spans="1:8" ht="15.75" thickBot="1"/>
    <row r="1157" spans="1:8">
      <c r="A1157" s="4138" t="s">
        <v>0</v>
      </c>
      <c r="B1157" s="4134" t="s">
        <v>1</v>
      </c>
      <c r="C1157" s="4134" t="s">
        <v>2</v>
      </c>
      <c r="D1157" s="4134" t="s">
        <v>3</v>
      </c>
      <c r="E1157" s="4134" t="s">
        <v>4</v>
      </c>
      <c r="F1157" s="4136" t="s">
        <v>5</v>
      </c>
    </row>
    <row r="1158" spans="1:8" ht="15.75" thickBot="1">
      <c r="A1158" s="4149"/>
      <c r="B1158" s="4150"/>
      <c r="C1158" s="4150"/>
      <c r="D1158" s="4150"/>
      <c r="E1158" s="4150"/>
      <c r="F1158" s="4151"/>
    </row>
    <row r="1159" spans="1:8" ht="15.75">
      <c r="A1159" s="1138" t="s">
        <v>2439</v>
      </c>
      <c r="B1159" s="902" t="s">
        <v>1708</v>
      </c>
      <c r="C1159" s="1269" t="s">
        <v>1904</v>
      </c>
      <c r="D1159" s="1274"/>
      <c r="E1159" s="1437">
        <f t="shared" ref="E1159:E1168" si="50">(G1159-F1159)/G1159</f>
        <v>0.25161290322580654</v>
      </c>
      <c r="F1159" s="1438">
        <v>1.1599999999999999</v>
      </c>
      <c r="G1159">
        <v>1.55</v>
      </c>
    </row>
    <row r="1160" spans="1:8" ht="15.75">
      <c r="A1160" s="1112"/>
      <c r="B1160" s="1231"/>
      <c r="C1160" s="1439" t="s">
        <v>2156</v>
      </c>
      <c r="D1160" s="1439"/>
      <c r="E1160" s="1440">
        <f t="shared" si="50"/>
        <v>0.19819819819819826</v>
      </c>
      <c r="F1160" s="1438">
        <v>1.78</v>
      </c>
      <c r="G1160">
        <v>2.2200000000000002</v>
      </c>
      <c r="H1160">
        <v>2.13</v>
      </c>
    </row>
    <row r="1161" spans="1:8" ht="15.75">
      <c r="A1161" s="1112"/>
      <c r="B1161" s="1231"/>
      <c r="C1161" s="1439" t="s">
        <v>1891</v>
      </c>
      <c r="D1161" s="1439"/>
      <c r="E1161" s="1440">
        <f t="shared" si="50"/>
        <v>0.19811320754716988</v>
      </c>
      <c r="F1161" s="1438">
        <v>0.85</v>
      </c>
      <c r="G1161">
        <v>1.06</v>
      </c>
    </row>
    <row r="1162" spans="1:8" ht="15.75">
      <c r="A1162" s="1218"/>
      <c r="B1162" s="1219"/>
      <c r="C1162" s="1219" t="s">
        <v>920</v>
      </c>
      <c r="D1162" s="1219"/>
      <c r="E1162" s="1240">
        <f t="shared" si="50"/>
        <v>0.24390243902439021</v>
      </c>
      <c r="F1162" s="1140">
        <v>0.62</v>
      </c>
      <c r="G1162">
        <v>0.82</v>
      </c>
    </row>
    <row r="1163" spans="1:8" ht="15.75">
      <c r="A1163" s="1218"/>
      <c r="B1163" s="1219"/>
      <c r="C1163" s="1219" t="s">
        <v>2080</v>
      </c>
      <c r="D1163" s="1219"/>
      <c r="E1163" s="1240">
        <f t="shared" si="50"/>
        <v>9.890109890109898E-2</v>
      </c>
      <c r="F1163" s="1140">
        <v>0.82</v>
      </c>
      <c r="G1163">
        <v>0.91</v>
      </c>
    </row>
    <row r="1164" spans="1:8" ht="15.75">
      <c r="A1164" s="1218"/>
      <c r="B1164" s="1219"/>
      <c r="C1164" s="1219" t="s">
        <v>1949</v>
      </c>
      <c r="D1164" s="1219"/>
      <c r="E1164" s="1240">
        <f t="shared" si="50"/>
        <v>9.890109890109898E-2</v>
      </c>
      <c r="F1164" s="1140">
        <v>0.82</v>
      </c>
      <c r="G1164">
        <v>0.91</v>
      </c>
    </row>
    <row r="1165" spans="1:8" ht="15.75">
      <c r="A1165" s="1218"/>
      <c r="B1165" s="1219"/>
      <c r="C1165" s="1219" t="s">
        <v>1950</v>
      </c>
      <c r="D1165" s="1219"/>
      <c r="E1165" s="1240">
        <f t="shared" si="50"/>
        <v>9.890109890109898E-2</v>
      </c>
      <c r="F1165" s="1140">
        <v>0.82</v>
      </c>
      <c r="G1165">
        <v>0.91</v>
      </c>
    </row>
    <row r="1166" spans="1:8" ht="15.75">
      <c r="A1166" s="1218"/>
      <c r="B1166" s="1219"/>
      <c r="C1166" s="1219" t="s">
        <v>1090</v>
      </c>
      <c r="D1166" s="1219"/>
      <c r="E1166" s="1240">
        <f t="shared" si="50"/>
        <v>0.24666666666666673</v>
      </c>
      <c r="F1166" s="1140">
        <v>1.1299999999999999</v>
      </c>
      <c r="G1166">
        <v>1.5</v>
      </c>
    </row>
    <row r="1167" spans="1:8" ht="15.75">
      <c r="A1167" s="1218"/>
      <c r="B1167" s="1219"/>
      <c r="C1167" s="1219" t="s">
        <v>1091</v>
      </c>
      <c r="D1167" s="1219"/>
      <c r="E1167" s="1240">
        <f t="shared" si="50"/>
        <v>0.24666666666666673</v>
      </c>
      <c r="F1167" s="1140">
        <v>1.1299999999999999</v>
      </c>
      <c r="G1167">
        <v>1.5</v>
      </c>
    </row>
    <row r="1168" spans="1:8" ht="16.5" thickBot="1">
      <c r="A1168" s="1293"/>
      <c r="B1168" s="1294"/>
      <c r="C1168" s="1294" t="s">
        <v>1092</v>
      </c>
      <c r="D1168" s="1294"/>
      <c r="E1168" s="1240">
        <f t="shared" si="50"/>
        <v>0.24666666666666673</v>
      </c>
      <c r="F1168" s="1140">
        <v>1.1299999999999999</v>
      </c>
      <c r="G1168">
        <v>1.5</v>
      </c>
    </row>
    <row r="1169" spans="1:7" ht="15.75" thickBot="1"/>
    <row r="1170" spans="1:7">
      <c r="A1170" s="3614" t="s">
        <v>0</v>
      </c>
      <c r="B1170" s="3693" t="s">
        <v>1</v>
      </c>
      <c r="C1170" s="3693" t="s">
        <v>2</v>
      </c>
      <c r="D1170" s="3693" t="s">
        <v>3</v>
      </c>
      <c r="E1170" s="3693" t="s">
        <v>4</v>
      </c>
      <c r="F1170" s="3522" t="s">
        <v>5</v>
      </c>
    </row>
    <row r="1171" spans="1:7" ht="15.75" thickBot="1">
      <c r="A1171" s="4093"/>
      <c r="B1171" s="4157"/>
      <c r="C1171" s="4157"/>
      <c r="D1171" s="4157"/>
      <c r="E1171" s="4157"/>
      <c r="F1171" s="4153"/>
    </row>
    <row r="1172" spans="1:7">
      <c r="A1172" s="841" t="s">
        <v>2440</v>
      </c>
      <c r="B1172" s="4158" t="s">
        <v>2441</v>
      </c>
      <c r="C1172" s="1295" t="s">
        <v>732</v>
      </c>
      <c r="D1172" s="1098"/>
      <c r="E1172" s="290">
        <f t="shared" ref="E1172:E1177" si="51">(G1172-F1172)/G1172</f>
        <v>0.3048780487804878</v>
      </c>
      <c r="F1172" s="1296">
        <v>0.56999999999999995</v>
      </c>
      <c r="G1172">
        <v>0.82</v>
      </c>
    </row>
    <row r="1173" spans="1:7">
      <c r="A1173" s="841" t="s">
        <v>2442</v>
      </c>
      <c r="B1173" s="4159"/>
      <c r="C1173" s="1295" t="s">
        <v>1614</v>
      </c>
      <c r="D1173" s="1144"/>
      <c r="E1173" s="290">
        <f t="shared" si="51"/>
        <v>0.30399999999999999</v>
      </c>
      <c r="F1173" s="1296">
        <v>0.87</v>
      </c>
      <c r="G1173">
        <v>1.25</v>
      </c>
    </row>
    <row r="1174" spans="1:7">
      <c r="A1174" s="841"/>
      <c r="B1174" s="4159"/>
      <c r="C1174" s="1295" t="s">
        <v>1904</v>
      </c>
      <c r="D1174" s="1144"/>
      <c r="E1174" s="290">
        <f t="shared" si="51"/>
        <v>0.24832214765100663</v>
      </c>
      <c r="F1174" s="1296">
        <v>1.1200000000000001</v>
      </c>
      <c r="G1174">
        <v>1.49</v>
      </c>
    </row>
    <row r="1175" spans="1:7">
      <c r="A1175" s="841"/>
      <c r="B1175" s="4159"/>
      <c r="C1175" s="1295" t="s">
        <v>2443</v>
      </c>
      <c r="D1175" s="94"/>
      <c r="E1175" s="290">
        <f t="shared" si="51"/>
        <v>0.25352112676056332</v>
      </c>
      <c r="F1175" s="1296">
        <v>0.53</v>
      </c>
      <c r="G1175">
        <v>0.71</v>
      </c>
    </row>
    <row r="1176" spans="1:7">
      <c r="A1176" s="841"/>
      <c r="B1176" s="4159"/>
      <c r="C1176" s="1295" t="s">
        <v>554</v>
      </c>
      <c r="D1176" s="94"/>
      <c r="E1176" s="290">
        <f t="shared" si="51"/>
        <v>0.29565217391304338</v>
      </c>
      <c r="F1176" s="1296">
        <v>0.81</v>
      </c>
      <c r="G1176">
        <v>1.1499999999999999</v>
      </c>
    </row>
    <row r="1177" spans="1:7">
      <c r="A1177" s="841"/>
      <c r="B1177" s="4159"/>
      <c r="C1177" s="1295" t="s">
        <v>730</v>
      </c>
      <c r="D1177" s="94"/>
      <c r="E1177" s="290">
        <f t="shared" si="51"/>
        <v>0.29629629629629639</v>
      </c>
      <c r="F1177" s="1296">
        <v>0.56999999999999995</v>
      </c>
      <c r="G1177">
        <v>0.81</v>
      </c>
    </row>
    <row r="1178" spans="1:7" ht="15.75" thickBot="1">
      <c r="A1178" s="884"/>
      <c r="B1178" s="4160"/>
      <c r="C1178" s="1297"/>
      <c r="D1178" s="1277"/>
      <c r="E1178" s="593"/>
      <c r="F1178" s="1298"/>
    </row>
    <row r="1179" spans="1:7" ht="15.75" thickBot="1"/>
    <row r="1180" spans="1:7">
      <c r="A1180" s="3614" t="s">
        <v>0</v>
      </c>
      <c r="B1180" s="3518" t="s">
        <v>1</v>
      </c>
      <c r="C1180" s="3518" t="s">
        <v>2</v>
      </c>
      <c r="D1180" s="3518" t="s">
        <v>3</v>
      </c>
      <c r="E1180" s="3518" t="s">
        <v>4</v>
      </c>
      <c r="F1180" s="3522" t="s">
        <v>5</v>
      </c>
    </row>
    <row r="1181" spans="1:7" ht="15.75" thickBot="1">
      <c r="A1181" s="4161"/>
      <c r="B1181" s="4162"/>
      <c r="C1181" s="4162"/>
      <c r="D1181" s="4162"/>
      <c r="E1181" s="4162"/>
      <c r="F1181" s="4163"/>
    </row>
    <row r="1182" spans="1:7" ht="16.5" thickTop="1" thickBot="1">
      <c r="A1182" s="412" t="s">
        <v>2454</v>
      </c>
      <c r="B1182" s="288" t="s">
        <v>2183</v>
      </c>
      <c r="C1182" s="1400" t="s">
        <v>2387</v>
      </c>
      <c r="D1182" s="288"/>
      <c r="E1182" s="549">
        <v>0.2</v>
      </c>
      <c r="F1182" s="758">
        <v>1.34</v>
      </c>
      <c r="G1182">
        <v>1.67</v>
      </c>
    </row>
    <row r="1183" spans="1:7" ht="15.75" thickBot="1">
      <c r="A1183" s="302"/>
      <c r="B1183" s="989"/>
      <c r="C1183" s="1398" t="s">
        <v>1904</v>
      </c>
      <c r="D1183" s="288"/>
      <c r="E1183" s="549">
        <v>0.15</v>
      </c>
      <c r="F1183" s="758">
        <v>1.2</v>
      </c>
      <c r="G1183">
        <v>1.41</v>
      </c>
    </row>
    <row r="1184" spans="1:7" ht="15.75" thickBot="1">
      <c r="A1184" s="302"/>
      <c r="B1184" s="1151"/>
      <c r="C1184" s="1398" t="s">
        <v>2021</v>
      </c>
      <c r="D1184" s="288"/>
      <c r="E1184" s="549">
        <v>0.15</v>
      </c>
      <c r="F1184" s="758">
        <v>1.2</v>
      </c>
      <c r="G1184">
        <v>1.41</v>
      </c>
    </row>
    <row r="1185" spans="1:10" ht="15.75" thickBot="1">
      <c r="A1185" s="302"/>
      <c r="B1185" s="1151"/>
      <c r="C1185" s="1398" t="s">
        <v>1905</v>
      </c>
      <c r="D1185" s="288"/>
      <c r="E1185" s="549">
        <v>0.15</v>
      </c>
      <c r="F1185" s="758">
        <v>1.2</v>
      </c>
      <c r="G1185">
        <v>1.41</v>
      </c>
    </row>
    <row r="1186" spans="1:10" ht="15.75" thickBot="1">
      <c r="A1186" s="302"/>
      <c r="B1186" s="1151"/>
      <c r="C1186" s="1398" t="s">
        <v>2268</v>
      </c>
      <c r="D1186" s="288"/>
      <c r="E1186" s="549">
        <v>0.25</v>
      </c>
      <c r="F1186" s="758">
        <v>1.1100000000000001</v>
      </c>
      <c r="G1186">
        <v>1.48</v>
      </c>
    </row>
    <row r="1187" spans="1:10" ht="15.75" thickBot="1">
      <c r="A1187" s="460"/>
      <c r="B1187" s="1196"/>
      <c r="C1187" s="1399" t="s">
        <v>2455</v>
      </c>
      <c r="D1187" s="592"/>
      <c r="E1187" s="593">
        <v>0.25</v>
      </c>
      <c r="F1187" s="1158">
        <v>1.08</v>
      </c>
      <c r="G1187">
        <v>1.44</v>
      </c>
    </row>
    <row r="1188" spans="1:10" ht="15.75" thickBot="1"/>
    <row r="1189" spans="1:10">
      <c r="A1189" s="3614" t="s">
        <v>0</v>
      </c>
      <c r="B1189" s="3693" t="s">
        <v>1</v>
      </c>
      <c r="C1189" s="3693" t="s">
        <v>2</v>
      </c>
      <c r="D1189" s="3693" t="s">
        <v>3</v>
      </c>
      <c r="E1189" s="3693" t="s">
        <v>4</v>
      </c>
      <c r="F1189" s="3522" t="s">
        <v>5</v>
      </c>
    </row>
    <row r="1190" spans="1:10" ht="15.75" thickBot="1">
      <c r="A1190" s="3681"/>
      <c r="B1190" s="3702"/>
      <c r="C1190" s="3702"/>
      <c r="D1190" s="3702"/>
      <c r="E1190" s="3702"/>
      <c r="F1190" s="3717"/>
    </row>
    <row r="1191" spans="1:10" ht="15.75">
      <c r="A1191" s="1108" t="s">
        <v>2456</v>
      </c>
      <c r="B1191" s="1098" t="s">
        <v>460</v>
      </c>
      <c r="C1191" s="1190" t="s">
        <v>2191</v>
      </c>
      <c r="D1191" s="1098"/>
      <c r="E1191" s="1236">
        <f>(G1191-F1191)/G1191</f>
        <v>0.19906323185011704</v>
      </c>
      <c r="F1191" s="1237">
        <v>3.42</v>
      </c>
      <c r="G1191">
        <v>4.2699999999999996</v>
      </c>
      <c r="H1191" s="39">
        <f>G1191-F1191</f>
        <v>0.84999999999999964</v>
      </c>
      <c r="I1191">
        <f>H1191/2</f>
        <v>0.42499999999999982</v>
      </c>
      <c r="J1191">
        <f>I1191*1036</f>
        <v>440.29999999999984</v>
      </c>
    </row>
    <row r="1192" spans="1:10" ht="15.75">
      <c r="A1192" s="1166"/>
      <c r="B1192" s="1238"/>
      <c r="C1192" s="1394" t="s">
        <v>2457</v>
      </c>
      <c r="D1192" s="1238"/>
      <c r="E1192" s="1240">
        <f>(G1192-F1192)/G1192</f>
        <v>0.19906323185011704</v>
      </c>
      <c r="F1192" s="1241">
        <v>3.42</v>
      </c>
      <c r="G1192">
        <v>4.2699999999999996</v>
      </c>
    </row>
    <row r="1193" spans="1:10" ht="15.75">
      <c r="A1193" s="1166"/>
      <c r="B1193" s="1238"/>
      <c r="C1193" s="1239" t="s">
        <v>155</v>
      </c>
      <c r="D1193" s="1238"/>
      <c r="E1193" s="1240">
        <f>(G1193-F1193)/G1193</f>
        <v>0.14545454545454556</v>
      </c>
      <c r="F1193" s="1241">
        <v>0.94</v>
      </c>
      <c r="G1193">
        <v>1.1000000000000001</v>
      </c>
    </row>
    <row r="1194" spans="1:10" ht="15.75">
      <c r="A1194" s="1166"/>
      <c r="B1194" s="1238"/>
      <c r="C1194" s="1239" t="s">
        <v>183</v>
      </c>
      <c r="D1194" s="1238"/>
      <c r="E1194" s="1240">
        <f>(G1194-F1194)/G1194</f>
        <v>0.15151515151515146</v>
      </c>
      <c r="F1194" s="1241">
        <v>1.1200000000000001</v>
      </c>
      <c r="G1194" s="39">
        <v>1.32</v>
      </c>
    </row>
    <row r="1195" spans="1:10" ht="16.5" thickBot="1">
      <c r="A1195" s="1114"/>
      <c r="B1195" s="1047"/>
      <c r="C1195" s="1047" t="s">
        <v>2207</v>
      </c>
      <c r="D1195" s="1047"/>
      <c r="E1195" s="1141">
        <f>(G1195-F1195)/G1195</f>
        <v>0.1551724137931034</v>
      </c>
      <c r="F1195" s="1242">
        <v>0.49</v>
      </c>
      <c r="G1195">
        <v>0.57999999999999996</v>
      </c>
    </row>
    <row r="1196" spans="1:10" ht="15.75" thickBot="1"/>
    <row r="1197" spans="1:10">
      <c r="A1197" s="3614" t="s">
        <v>0</v>
      </c>
      <c r="B1197" s="3693" t="s">
        <v>1</v>
      </c>
      <c r="C1197" s="3693" t="s">
        <v>2</v>
      </c>
      <c r="D1197" s="3693" t="s">
        <v>3</v>
      </c>
      <c r="E1197" s="3693" t="s">
        <v>4</v>
      </c>
      <c r="F1197" s="3522" t="s">
        <v>5</v>
      </c>
      <c r="G1197" s="109"/>
    </row>
    <row r="1198" spans="1:10" ht="15.75" thickBot="1">
      <c r="A1198" s="4050"/>
      <c r="B1198" s="4112"/>
      <c r="C1198" s="4112"/>
      <c r="D1198" s="4112"/>
      <c r="E1198" s="4112"/>
      <c r="F1198" s="4054"/>
      <c r="G1198" s="109"/>
    </row>
    <row r="1199" spans="1:10" ht="15.75">
      <c r="A1199" s="841" t="s">
        <v>2463</v>
      </c>
      <c r="B1199" s="4154" t="s">
        <v>2155</v>
      </c>
      <c r="C1199" s="1403" t="s">
        <v>1892</v>
      </c>
      <c r="D1199" s="1098"/>
      <c r="E1199" s="290">
        <f>(G1199-F1199)/G1199</f>
        <v>0.24509803921568626</v>
      </c>
      <c r="F1199" s="1122">
        <v>0.77</v>
      </c>
      <c r="G1199" s="1103">
        <v>1.02</v>
      </c>
    </row>
    <row r="1200" spans="1:10" ht="15.75">
      <c r="A1200" s="841"/>
      <c r="B1200" s="4155"/>
      <c r="C1200" s="1404" t="s">
        <v>2024</v>
      </c>
      <c r="D1200" s="1144"/>
      <c r="E1200" s="290">
        <f t="shared" ref="E1200:E1205" si="52">(G1200-F1200)/G1200</f>
        <v>0.19354838709677419</v>
      </c>
      <c r="F1200" s="1122">
        <v>0.5</v>
      </c>
      <c r="G1200" s="1103">
        <v>0.62</v>
      </c>
    </row>
    <row r="1201" spans="1:7" ht="15.75">
      <c r="A1201" s="841"/>
      <c r="B1201" s="4155"/>
      <c r="C1201" s="1143"/>
      <c r="D1201" s="1144"/>
      <c r="E1201" s="290" t="e">
        <f t="shared" si="52"/>
        <v>#DIV/0!</v>
      </c>
      <c r="F1201" s="1122"/>
      <c r="G1201" s="1103"/>
    </row>
    <row r="1202" spans="1:7" ht="15.75">
      <c r="A1202" s="841"/>
      <c r="B1202" s="4155"/>
      <c r="C1202" s="1160"/>
      <c r="D1202" s="94"/>
      <c r="E1202" s="290" t="e">
        <f t="shared" si="52"/>
        <v>#DIV/0!</v>
      </c>
      <c r="F1202" s="1122"/>
      <c r="G1202" s="1103"/>
    </row>
    <row r="1203" spans="1:7" ht="15.75">
      <c r="A1203" s="841"/>
      <c r="B1203" s="4155"/>
      <c r="C1203" s="1160"/>
      <c r="D1203" s="94"/>
      <c r="E1203" s="290" t="e">
        <f t="shared" si="52"/>
        <v>#DIV/0!</v>
      </c>
      <c r="F1203" s="1122"/>
      <c r="G1203" s="1103"/>
    </row>
    <row r="1204" spans="1:7" ht="15.75">
      <c r="A1204" s="841"/>
      <c r="B1204" s="4155"/>
      <c r="C1204" s="1160"/>
      <c r="D1204" s="94"/>
      <c r="E1204" s="290" t="e">
        <f t="shared" si="52"/>
        <v>#DIV/0!</v>
      </c>
      <c r="F1204" s="1122"/>
      <c r="G1204" s="1103"/>
    </row>
    <row r="1205" spans="1:7" ht="16.5" thickBot="1">
      <c r="A1205" s="884"/>
      <c r="B1205" s="4156"/>
      <c r="C1205" s="1319"/>
      <c r="D1205" s="1320"/>
      <c r="E1205" s="290" t="e">
        <f t="shared" si="52"/>
        <v>#DIV/0!</v>
      </c>
      <c r="F1205" s="1122"/>
      <c r="G1205" s="1103"/>
    </row>
    <row r="1206" spans="1:7" ht="15.75" thickBot="1"/>
    <row r="1207" spans="1:7">
      <c r="A1207" s="3572" t="s">
        <v>0</v>
      </c>
      <c r="B1207" s="3636" t="s">
        <v>1</v>
      </c>
      <c r="C1207" s="3636" t="s">
        <v>2</v>
      </c>
      <c r="D1207" s="3636" t="s">
        <v>3</v>
      </c>
      <c r="E1207" s="3636" t="s">
        <v>4</v>
      </c>
      <c r="F1207" s="3559" t="s">
        <v>5</v>
      </c>
      <c r="G1207" s="429"/>
    </row>
    <row r="1208" spans="1:7" ht="15.75" thickBot="1">
      <c r="A1208" s="3696"/>
      <c r="B1208" s="3692"/>
      <c r="C1208" s="3692"/>
      <c r="D1208" s="3692"/>
      <c r="E1208" s="3692"/>
      <c r="F1208" s="3705"/>
      <c r="G1208" s="429"/>
    </row>
    <row r="1209" spans="1:7" ht="15.75" thickTop="1">
      <c r="A1209" s="813" t="s">
        <v>2470</v>
      </c>
      <c r="B1209" s="388" t="s">
        <v>120</v>
      </c>
      <c r="C1209" s="1340" t="s">
        <v>2116</v>
      </c>
      <c r="D1209" s="388"/>
      <c r="E1209" s="880">
        <f t="shared" ref="E1209:E1214" si="53">(G1209-F1209)/G1209</f>
        <v>0.20125786163522016</v>
      </c>
      <c r="F1209" s="1341">
        <v>1.27</v>
      </c>
      <c r="G1209" s="429">
        <v>1.59</v>
      </c>
    </row>
    <row r="1210" spans="1:7">
      <c r="A1210" s="491"/>
      <c r="B1210" s="1342" t="s">
        <v>121</v>
      </c>
      <c r="C1210" s="1340" t="s">
        <v>1058</v>
      </c>
      <c r="D1210" s="388"/>
      <c r="E1210" s="1343">
        <f t="shared" si="53"/>
        <v>0.20093457943925239</v>
      </c>
      <c r="F1210" s="1341">
        <v>1.71</v>
      </c>
      <c r="G1210" s="429">
        <v>2.14</v>
      </c>
    </row>
    <row r="1211" spans="1:7">
      <c r="A1211" s="491"/>
      <c r="B1211" s="1342" t="s">
        <v>123</v>
      </c>
      <c r="C1211" s="1340"/>
      <c r="D1211" s="388"/>
      <c r="E1211" s="1343" t="e">
        <f t="shared" si="53"/>
        <v>#DIV/0!</v>
      </c>
      <c r="F1211" s="1341"/>
      <c r="G1211" s="429"/>
    </row>
    <row r="1212" spans="1:7">
      <c r="A1212" s="491"/>
      <c r="B1212" s="1342" t="s">
        <v>122</v>
      </c>
      <c r="C1212" s="1340"/>
      <c r="D1212" s="388"/>
      <c r="E1212" s="1343" t="e">
        <f t="shared" si="53"/>
        <v>#DIV/0!</v>
      </c>
      <c r="F1212" s="1341"/>
      <c r="G1212" s="528"/>
    </row>
    <row r="1213" spans="1:7">
      <c r="A1213" s="491"/>
      <c r="B1213" s="1199" t="s">
        <v>2057</v>
      </c>
      <c r="C1213" s="1200"/>
      <c r="D1213" s="388"/>
      <c r="E1213" s="1343" t="e">
        <f t="shared" si="53"/>
        <v>#DIV/0!</v>
      </c>
      <c r="F1213" s="961"/>
      <c r="G1213" s="528"/>
    </row>
    <row r="1214" spans="1:7" ht="15.75" thickBot="1">
      <c r="A1214" s="500"/>
      <c r="B1214" s="1344"/>
      <c r="C1214" s="1345"/>
      <c r="D1214" s="873"/>
      <c r="E1214" s="1346" t="e">
        <f t="shared" si="53"/>
        <v>#DIV/0!</v>
      </c>
      <c r="F1214" s="1347"/>
      <c r="G1214" s="528"/>
    </row>
    <row r="1215" spans="1:7" ht="15.75" thickBot="1"/>
    <row r="1216" spans="1:7">
      <c r="A1216" s="3614" t="s">
        <v>0</v>
      </c>
      <c r="B1216" s="3693" t="s">
        <v>1</v>
      </c>
      <c r="C1216" s="3693" t="s">
        <v>2</v>
      </c>
      <c r="D1216" s="3693" t="s">
        <v>3</v>
      </c>
      <c r="E1216" s="3693" t="s">
        <v>4</v>
      </c>
      <c r="F1216" s="3522" t="s">
        <v>5</v>
      </c>
    </row>
    <row r="1217" spans="1:7" ht="15.75" thickBot="1">
      <c r="A1217" s="3681"/>
      <c r="B1217" s="3702"/>
      <c r="C1217" s="3702"/>
      <c r="D1217" s="3702"/>
      <c r="E1217" s="3702"/>
      <c r="F1217" s="3717"/>
    </row>
    <row r="1218" spans="1:7" ht="15.75">
      <c r="A1218" s="1108" t="s">
        <v>2471</v>
      </c>
      <c r="B1218" s="1098" t="s">
        <v>1674</v>
      </c>
      <c r="C1218" s="1348" t="s">
        <v>155</v>
      </c>
      <c r="D1218" s="1098"/>
      <c r="E1218" s="1236">
        <f>(G1218-F1218)/G1218</f>
        <v>0.19999999999999996</v>
      </c>
      <c r="F1218" s="1349">
        <v>0.83200000000000007</v>
      </c>
      <c r="G1218" s="1349">
        <v>1.04</v>
      </c>
    </row>
    <row r="1219" spans="1:7" ht="15.75">
      <c r="A1219" s="1350"/>
      <c r="B1219" s="1299"/>
      <c r="C1219" s="1351" t="s">
        <v>154</v>
      </c>
      <c r="D1219" s="1299"/>
      <c r="E1219" s="1352">
        <f>(G1219-F1219)/G1219</f>
        <v>0.19999999999999996</v>
      </c>
      <c r="F1219" s="1353">
        <v>0.752</v>
      </c>
      <c r="G1219" s="1353">
        <v>0.94</v>
      </c>
    </row>
    <row r="1220" spans="1:7" ht="15.75">
      <c r="A1220" s="1350"/>
      <c r="B1220" s="1299"/>
      <c r="C1220" s="1351" t="s">
        <v>452</v>
      </c>
      <c r="D1220" s="1299"/>
      <c r="E1220" s="1352">
        <f>(G1220-F1220)/G1220</f>
        <v>0.19999999999999996</v>
      </c>
      <c r="F1220" s="1353">
        <v>0.77600000000000002</v>
      </c>
      <c r="G1220" s="1353">
        <v>0.97</v>
      </c>
    </row>
    <row r="1221" spans="1:7" ht="16.5" thickBot="1">
      <c r="A1221" s="1350"/>
      <c r="B1221" s="1299"/>
      <c r="C1221" s="1354" t="s">
        <v>183</v>
      </c>
      <c r="D1221" s="1299"/>
      <c r="E1221" s="1352">
        <f>(G1221-F1221)/G1221</f>
        <v>0.2</v>
      </c>
      <c r="F1221" s="1355">
        <v>1.008</v>
      </c>
      <c r="G1221" s="1355">
        <v>1.26</v>
      </c>
    </row>
    <row r="1222" spans="1:7" ht="16.5" thickBot="1">
      <c r="A1222" s="1315"/>
      <c r="B1222" s="1356"/>
      <c r="C1222" s="1356"/>
      <c r="D1222" s="1356"/>
      <c r="E1222" s="1357" t="e">
        <f>(G1222-F1222)/G1222</f>
        <v>#DIV/0!</v>
      </c>
      <c r="F1222" s="1358"/>
    </row>
    <row r="1224" spans="1:7" ht="15.75" thickBot="1"/>
    <row r="1225" spans="1:7">
      <c r="A1225" s="3614" t="s">
        <v>0</v>
      </c>
      <c r="B1225" s="3693" t="s">
        <v>1</v>
      </c>
      <c r="C1225" s="3693" t="s">
        <v>2</v>
      </c>
      <c r="D1225" s="3693" t="s">
        <v>3</v>
      </c>
      <c r="E1225" s="3693" t="s">
        <v>4</v>
      </c>
      <c r="F1225" s="3522" t="s">
        <v>5</v>
      </c>
      <c r="G1225" s="109"/>
    </row>
    <row r="1226" spans="1:7" ht="15.75" thickBot="1">
      <c r="A1226" s="4050"/>
      <c r="B1226" s="4102"/>
      <c r="C1226" s="4102"/>
      <c r="D1226" s="4102"/>
      <c r="E1226" s="4102"/>
      <c r="F1226" s="4054"/>
      <c r="G1226" s="109"/>
    </row>
    <row r="1227" spans="1:7" ht="15.75">
      <c r="A1227" s="841" t="s">
        <v>2485</v>
      </c>
      <c r="B1227" s="4154" t="s">
        <v>2155</v>
      </c>
      <c r="C1227" s="1271" t="s">
        <v>1904</v>
      </c>
      <c r="D1227" s="1098"/>
      <c r="E1227" s="290">
        <f>(G1227-F1227)/G1227</f>
        <v>0.19867549668874174</v>
      </c>
      <c r="F1227" s="1122">
        <v>1.21</v>
      </c>
      <c r="G1227" s="1103">
        <v>1.51</v>
      </c>
    </row>
    <row r="1228" spans="1:7" ht="15.75">
      <c r="A1228" s="841"/>
      <c r="B1228" s="4155"/>
      <c r="C1228" s="1143" t="s">
        <v>452</v>
      </c>
      <c r="D1228" s="1144"/>
      <c r="E1228" s="290">
        <f t="shared" ref="E1228:E1233" si="54">(G1228-F1228)/G1228</f>
        <v>0.19587628865979376</v>
      </c>
      <c r="F1228" s="1122">
        <v>0.78</v>
      </c>
      <c r="G1228" s="1103">
        <v>0.97</v>
      </c>
    </row>
    <row r="1229" spans="1:7" ht="15.75">
      <c r="A1229" s="841"/>
      <c r="B1229" s="4155"/>
      <c r="C1229" s="1143"/>
      <c r="D1229" s="1144"/>
      <c r="E1229" s="290" t="e">
        <f t="shared" si="54"/>
        <v>#DIV/0!</v>
      </c>
      <c r="F1229" s="1122"/>
      <c r="G1229" s="1103"/>
    </row>
    <row r="1230" spans="1:7" ht="15.75">
      <c r="A1230" s="841"/>
      <c r="B1230" s="4155"/>
      <c r="C1230" s="1160"/>
      <c r="D1230" s="94"/>
      <c r="E1230" s="290" t="e">
        <f t="shared" si="54"/>
        <v>#DIV/0!</v>
      </c>
      <c r="F1230" s="1122"/>
      <c r="G1230" s="1103"/>
    </row>
    <row r="1231" spans="1:7" ht="15.75">
      <c r="A1231" s="841"/>
      <c r="B1231" s="4155"/>
      <c r="C1231" s="1160"/>
      <c r="D1231" s="94"/>
      <c r="E1231" s="290" t="e">
        <f t="shared" si="54"/>
        <v>#DIV/0!</v>
      </c>
      <c r="F1231" s="1122"/>
      <c r="G1231" s="1103"/>
    </row>
    <row r="1232" spans="1:7" ht="15.75">
      <c r="A1232" s="841"/>
      <c r="B1232" s="4155"/>
      <c r="C1232" s="1160"/>
      <c r="D1232" s="94"/>
      <c r="E1232" s="290" t="e">
        <f t="shared" si="54"/>
        <v>#DIV/0!</v>
      </c>
      <c r="F1232" s="1122"/>
      <c r="G1232" s="1103"/>
    </row>
    <row r="1233" spans="1:8" ht="16.5" thickBot="1">
      <c r="A1233" s="884"/>
      <c r="B1233" s="4156"/>
      <c r="C1233" s="1319"/>
      <c r="D1233" s="1320"/>
      <c r="E1233" s="290" t="e">
        <f t="shared" si="54"/>
        <v>#DIV/0!</v>
      </c>
      <c r="F1233" s="1122"/>
      <c r="G1233" s="1103"/>
    </row>
    <row r="1234" spans="1:8" ht="15.75" thickBot="1"/>
    <row r="1235" spans="1:8">
      <c r="A1235" s="3614" t="s">
        <v>0</v>
      </c>
      <c r="B1235" s="3693" t="s">
        <v>1</v>
      </c>
      <c r="C1235" s="3693" t="s">
        <v>2</v>
      </c>
      <c r="D1235" s="3693" t="s">
        <v>3</v>
      </c>
      <c r="E1235" s="3693" t="s">
        <v>4</v>
      </c>
      <c r="F1235" s="3522" t="s">
        <v>5</v>
      </c>
    </row>
    <row r="1236" spans="1:8" ht="15.75" thickBot="1">
      <c r="A1236" s="3681"/>
      <c r="B1236" s="3687"/>
      <c r="C1236" s="3687"/>
      <c r="D1236" s="3687"/>
      <c r="E1236" s="3687"/>
      <c r="F1236" s="3717"/>
    </row>
    <row r="1237" spans="1:8" ht="15.75">
      <c r="A1237" s="1371" t="s">
        <v>2500</v>
      </c>
      <c r="B1237" s="1433" t="s">
        <v>2183</v>
      </c>
      <c r="C1237" s="1433" t="s">
        <v>1975</v>
      </c>
      <c r="D1237" s="1098"/>
      <c r="E1237" s="1236">
        <f>(G1237-F1237)/G1237</f>
        <v>0.18439716312056739</v>
      </c>
      <c r="F1237" s="1372">
        <v>1.1499999999999999</v>
      </c>
      <c r="G1237">
        <v>1.41</v>
      </c>
      <c r="H1237">
        <v>1.48</v>
      </c>
    </row>
    <row r="1238" spans="1:8" ht="15.75">
      <c r="A1238" s="302"/>
      <c r="B1238" s="1434"/>
      <c r="C1238" s="1270" t="s">
        <v>2383</v>
      </c>
      <c r="D1238" s="288"/>
      <c r="E1238" s="1352">
        <f>(G1238-F1238)/G1238</f>
        <v>0.29950495049504949</v>
      </c>
      <c r="F1238" s="1373">
        <v>2.83</v>
      </c>
      <c r="G1238">
        <v>4.04</v>
      </c>
    </row>
    <row r="1239" spans="1:8" ht="16.5" thickBot="1">
      <c r="A1239" s="460"/>
      <c r="B1239" s="1435"/>
      <c r="C1239" s="1436" t="s">
        <v>1892</v>
      </c>
      <c r="D1239" s="592"/>
      <c r="E1239" s="1357">
        <f>(G1239-F1239)/G1239</f>
        <v>0.25263157894736843</v>
      </c>
      <c r="F1239" s="1374">
        <v>0.71</v>
      </c>
      <c r="G1239">
        <v>0.95</v>
      </c>
    </row>
    <row r="1240" spans="1:8" ht="15.75" thickBot="1"/>
    <row r="1241" spans="1:8">
      <c r="A1241" s="3572" t="s">
        <v>0</v>
      </c>
      <c r="B1241" s="3636" t="s">
        <v>1</v>
      </c>
      <c r="C1241" s="3636" t="s">
        <v>2</v>
      </c>
      <c r="D1241" s="3636" t="s">
        <v>3</v>
      </c>
      <c r="E1241" s="3636" t="s">
        <v>4</v>
      </c>
      <c r="F1241" s="3559" t="s">
        <v>5</v>
      </c>
      <c r="G1241" s="429"/>
    </row>
    <row r="1242" spans="1:8" ht="15.75" thickBot="1">
      <c r="A1242" s="3696"/>
      <c r="B1242" s="3692"/>
      <c r="C1242" s="3692"/>
      <c r="D1242" s="3692"/>
      <c r="E1242" s="3692"/>
      <c r="F1242" s="3705"/>
      <c r="G1242" s="429"/>
    </row>
    <row r="1243" spans="1:8" ht="15.75" thickTop="1">
      <c r="A1243" s="813" t="s">
        <v>2507</v>
      </c>
      <c r="B1243" s="388" t="s">
        <v>120</v>
      </c>
      <c r="C1243" s="1340" t="s">
        <v>1345</v>
      </c>
      <c r="D1243" s="388"/>
      <c r="E1243" s="880">
        <f t="shared" ref="E1243:E1248" si="55">(G1243-F1243)/G1243</f>
        <v>0.14917127071823205</v>
      </c>
      <c r="F1243" s="1341">
        <v>1.54</v>
      </c>
      <c r="G1243" s="429">
        <v>1.81</v>
      </c>
    </row>
    <row r="1244" spans="1:8">
      <c r="A1244" s="491"/>
      <c r="B1244" s="1342" t="s">
        <v>121</v>
      </c>
      <c r="C1244" s="1340" t="s">
        <v>554</v>
      </c>
      <c r="D1244" s="388"/>
      <c r="E1244" s="1343">
        <f t="shared" si="55"/>
        <v>0.2032520325203252</v>
      </c>
      <c r="F1244" s="1341">
        <v>0.98</v>
      </c>
      <c r="G1244" s="429">
        <v>1.23</v>
      </c>
    </row>
    <row r="1245" spans="1:8">
      <c r="A1245" s="491"/>
      <c r="B1245" s="1342" t="s">
        <v>123</v>
      </c>
      <c r="C1245" s="1340" t="s">
        <v>730</v>
      </c>
      <c r="D1245" s="388"/>
      <c r="E1245" s="1343">
        <f t="shared" si="55"/>
        <v>0.19540229885057475</v>
      </c>
      <c r="F1245" s="1341">
        <v>0.7</v>
      </c>
      <c r="G1245" s="429">
        <v>0.87</v>
      </c>
    </row>
    <row r="1246" spans="1:8">
      <c r="A1246" s="491"/>
      <c r="B1246" s="1342" t="s">
        <v>122</v>
      </c>
      <c r="C1246" s="1340" t="s">
        <v>2387</v>
      </c>
      <c r="D1246" s="388"/>
      <c r="E1246" s="1343">
        <f t="shared" si="55"/>
        <v>0.20114942528735638</v>
      </c>
      <c r="F1246" s="1341">
        <v>1.39</v>
      </c>
      <c r="G1246" s="528">
        <v>1.74</v>
      </c>
    </row>
    <row r="1247" spans="1:8">
      <c r="A1247" s="491"/>
      <c r="B1247" s="1199" t="s">
        <v>2057</v>
      </c>
      <c r="C1247" s="1200"/>
      <c r="D1247" s="388"/>
      <c r="E1247" s="1343" t="e">
        <f t="shared" si="55"/>
        <v>#DIV/0!</v>
      </c>
      <c r="F1247" s="961"/>
      <c r="G1247" s="528"/>
    </row>
    <row r="1248" spans="1:8" ht="15.75" thickBot="1">
      <c r="A1248" s="500"/>
      <c r="B1248" s="1344"/>
      <c r="C1248" s="1345"/>
      <c r="D1248" s="873"/>
      <c r="E1248" s="1346" t="e">
        <f t="shared" si="55"/>
        <v>#DIV/0!</v>
      </c>
      <c r="F1248" s="1347"/>
      <c r="G1248" s="528"/>
    </row>
    <row r="1249" spans="1:8" ht="15.75" thickBot="1"/>
    <row r="1250" spans="1:8">
      <c r="A1250" s="3614" t="s">
        <v>0</v>
      </c>
      <c r="B1250" s="3693" t="s">
        <v>1</v>
      </c>
      <c r="C1250" s="3693" t="s">
        <v>2</v>
      </c>
      <c r="D1250" s="3693" t="s">
        <v>3</v>
      </c>
      <c r="E1250" s="3693" t="s">
        <v>4</v>
      </c>
      <c r="F1250" s="3522" t="s">
        <v>5</v>
      </c>
    </row>
    <row r="1251" spans="1:8" ht="15.75" thickBot="1">
      <c r="A1251" s="4196"/>
      <c r="B1251" s="4197"/>
      <c r="C1251" s="4197"/>
      <c r="D1251" s="4197"/>
      <c r="E1251" s="4197"/>
      <c r="F1251" s="4198"/>
    </row>
    <row r="1252" spans="1:8" ht="16.5" thickTop="1" thickBot="1">
      <c r="A1252" s="412" t="s">
        <v>2513</v>
      </c>
      <c r="B1252" s="1207" t="s">
        <v>2029</v>
      </c>
      <c r="C1252" s="1207" t="s">
        <v>1892</v>
      </c>
      <c r="D1252" s="288"/>
      <c r="E1252" s="549">
        <f>(G1252-F1252)/G1252</f>
        <v>0.25000000000000011</v>
      </c>
      <c r="F1252" s="1373">
        <v>0.69</v>
      </c>
      <c r="G1252">
        <v>0.92</v>
      </c>
      <c r="H1252" s="337"/>
    </row>
    <row r="1253" spans="1:8" ht="15.75" thickBot="1">
      <c r="A1253" s="302"/>
      <c r="B1253" s="1299"/>
      <c r="C1253" s="1309"/>
      <c r="D1253" s="288"/>
      <c r="E1253" s="549" t="e">
        <f>(G1253-F1253)/G1253</f>
        <v>#DIV/0!</v>
      </c>
      <c r="F1253" s="1373"/>
    </row>
    <row r="1254" spans="1:8" ht="15.75" thickBot="1">
      <c r="A1254" s="460"/>
      <c r="B1254" s="1320"/>
      <c r="C1254" s="1356"/>
      <c r="D1254" s="592"/>
      <c r="E1254" s="593"/>
      <c r="F1254" s="1374"/>
    </row>
    <row r="1255" spans="1:8" ht="15.75" thickBot="1"/>
    <row r="1256" spans="1:8">
      <c r="A1256" s="3614" t="s">
        <v>0</v>
      </c>
      <c r="B1256" s="3693" t="s">
        <v>1</v>
      </c>
      <c r="C1256" s="3693" t="s">
        <v>2</v>
      </c>
      <c r="D1256" s="3693" t="s">
        <v>3</v>
      </c>
      <c r="E1256" s="3693" t="s">
        <v>4</v>
      </c>
      <c r="F1256" s="3522" t="s">
        <v>5</v>
      </c>
    </row>
    <row r="1257" spans="1:8">
      <c r="A1257" s="3681"/>
      <c r="B1257" s="3687"/>
      <c r="C1257" s="3687"/>
      <c r="D1257" s="3687"/>
      <c r="E1257" s="3687"/>
      <c r="F1257" s="3717"/>
    </row>
    <row r="1258" spans="1:8">
      <c r="A1258" s="1350" t="s">
        <v>2514</v>
      </c>
      <c r="B1258" s="1299" t="s">
        <v>2016</v>
      </c>
      <c r="C1258" s="1473" t="s">
        <v>1975</v>
      </c>
      <c r="D1258" s="1299"/>
      <c r="E1258" s="1378">
        <f>(G1258-F1258)/G1258</f>
        <v>0.19871794871794873</v>
      </c>
      <c r="F1258" s="1393">
        <v>1.25</v>
      </c>
      <c r="G1258">
        <v>1.56</v>
      </c>
    </row>
    <row r="1259" spans="1:8">
      <c r="A1259" s="1350"/>
      <c r="B1259" s="1299"/>
      <c r="C1259" s="1473" t="s">
        <v>2024</v>
      </c>
      <c r="D1259" s="1299"/>
      <c r="E1259" s="1378">
        <f>(G1259-F1259)/G1259</f>
        <v>0.20634920634920637</v>
      </c>
      <c r="F1259" s="1393">
        <v>0.5</v>
      </c>
      <c r="G1259">
        <v>0.63</v>
      </c>
    </row>
    <row r="1260" spans="1:8">
      <c r="A1260" s="1377"/>
      <c r="B1260" s="1299"/>
      <c r="C1260" s="1474" t="s">
        <v>2515</v>
      </c>
      <c r="D1260" s="1299"/>
      <c r="E1260" s="1378">
        <f>(G1260-F1260)/G1260</f>
        <v>0.2</v>
      </c>
      <c r="F1260" s="1393">
        <v>1.08</v>
      </c>
      <c r="G1260">
        <v>1.35</v>
      </c>
    </row>
    <row r="1261" spans="1:8">
      <c r="A1261" s="1377"/>
      <c r="B1261" s="1299"/>
      <c r="C1261" s="1475" t="s">
        <v>2175</v>
      </c>
      <c r="D1261" s="1299"/>
      <c r="E1261" s="1378">
        <f>(G1261-F1261)/G1261</f>
        <v>0.20094562647754147</v>
      </c>
      <c r="F1261" s="1393">
        <v>3.38</v>
      </c>
      <c r="G1261" s="33">
        <v>4.2300000000000004</v>
      </c>
    </row>
    <row r="1263" spans="1:8" ht="15.75" thickBot="1"/>
    <row r="1264" spans="1:8">
      <c r="A1264" s="3614" t="s">
        <v>0</v>
      </c>
      <c r="B1264" s="3693" t="s">
        <v>1</v>
      </c>
      <c r="C1264" s="3693" t="s">
        <v>2</v>
      </c>
      <c r="D1264" s="3693" t="s">
        <v>3</v>
      </c>
      <c r="E1264" s="3693" t="s">
        <v>4</v>
      </c>
      <c r="F1264" s="3522" t="s">
        <v>5</v>
      </c>
      <c r="G1264" s="109"/>
    </row>
    <row r="1265" spans="1:7" ht="15.75" thickBot="1">
      <c r="A1265" s="4050"/>
      <c r="B1265" s="4102"/>
      <c r="C1265" s="4102"/>
      <c r="D1265" s="4102"/>
      <c r="E1265" s="4102"/>
      <c r="F1265" s="4054"/>
      <c r="G1265" s="109"/>
    </row>
    <row r="1266" spans="1:7" ht="15.75">
      <c r="A1266" s="841" t="s">
        <v>2523</v>
      </c>
      <c r="B1266" s="4154" t="s">
        <v>2155</v>
      </c>
      <c r="C1266" s="1462" t="s">
        <v>2284</v>
      </c>
      <c r="D1266" s="1098"/>
      <c r="E1266" s="290">
        <f>(G1266-F1266)/G1266</f>
        <v>0.25</v>
      </c>
      <c r="F1266" s="1122">
        <v>1.41</v>
      </c>
      <c r="G1266" s="1103">
        <v>1.88</v>
      </c>
    </row>
    <row r="1267" spans="1:7" ht="15.75">
      <c r="A1267" s="841"/>
      <c r="B1267" s="4155"/>
      <c r="C1267" s="1467" t="s">
        <v>2353</v>
      </c>
      <c r="D1267" s="1144"/>
      <c r="E1267" s="290">
        <f t="shared" ref="E1267:E1272" si="56">(G1267-F1267)/G1267</f>
        <v>0.2</v>
      </c>
      <c r="F1267" s="1122">
        <v>0.12</v>
      </c>
      <c r="G1267" s="1103">
        <v>0.15</v>
      </c>
    </row>
    <row r="1268" spans="1:7" ht="15.75">
      <c r="A1268" s="841"/>
      <c r="B1268" s="4155"/>
      <c r="C1268" s="1467" t="s">
        <v>2351</v>
      </c>
      <c r="D1268" s="1144"/>
      <c r="E1268" s="290">
        <f t="shared" si="56"/>
        <v>0.2</v>
      </c>
      <c r="F1268" s="1122">
        <v>0.12</v>
      </c>
      <c r="G1268" s="1103">
        <v>0.15</v>
      </c>
    </row>
    <row r="1269" spans="1:7" ht="15.75">
      <c r="A1269" s="841"/>
      <c r="B1269" s="4155"/>
      <c r="C1269" s="1468" t="s">
        <v>2352</v>
      </c>
      <c r="D1269" s="94"/>
      <c r="E1269" s="290">
        <f t="shared" si="56"/>
        <v>0.2</v>
      </c>
      <c r="F1269" s="1122">
        <v>0.12</v>
      </c>
      <c r="G1269" s="1103">
        <v>0.15</v>
      </c>
    </row>
    <row r="1270" spans="1:7" ht="15.75">
      <c r="A1270" s="841"/>
      <c r="B1270" s="4155"/>
      <c r="C1270" s="1468" t="s">
        <v>1892</v>
      </c>
      <c r="D1270" s="94"/>
      <c r="E1270" s="290">
        <f t="shared" si="56"/>
        <v>0.19607843137254907</v>
      </c>
      <c r="F1270" s="1122">
        <v>0.82</v>
      </c>
      <c r="G1270" s="1103">
        <v>1.02</v>
      </c>
    </row>
    <row r="1271" spans="1:7" ht="15.75">
      <c r="A1271" s="841"/>
      <c r="B1271" s="4155"/>
      <c r="C1271" s="1160"/>
      <c r="D1271" s="94"/>
      <c r="E1271" s="290" t="e">
        <f t="shared" si="56"/>
        <v>#DIV/0!</v>
      </c>
      <c r="F1271" s="1122"/>
      <c r="G1271" s="1103"/>
    </row>
    <row r="1272" spans="1:7" ht="16.5" thickBot="1">
      <c r="A1272" s="884"/>
      <c r="B1272" s="4156"/>
      <c r="C1272" s="1319"/>
      <c r="D1272" s="1320"/>
      <c r="E1272" s="290" t="e">
        <f t="shared" si="56"/>
        <v>#DIV/0!</v>
      </c>
      <c r="F1272" s="1122"/>
      <c r="G1272" s="1103"/>
    </row>
    <row r="1274" spans="1:7" ht="15.75" thickBot="1"/>
    <row r="1275" spans="1:7">
      <c r="A1275" s="3572" t="s">
        <v>0</v>
      </c>
      <c r="B1275" s="3636" t="s">
        <v>1</v>
      </c>
      <c r="C1275" s="3636" t="s">
        <v>2</v>
      </c>
      <c r="D1275" s="3636" t="s">
        <v>3</v>
      </c>
      <c r="E1275" s="3636" t="s">
        <v>4</v>
      </c>
      <c r="F1275" s="3559" t="s">
        <v>5</v>
      </c>
      <c r="G1275" s="429"/>
    </row>
    <row r="1276" spans="1:7" ht="15.75" thickBot="1">
      <c r="A1276" s="3696"/>
      <c r="B1276" s="3692"/>
      <c r="C1276" s="3692"/>
      <c r="D1276" s="3692"/>
      <c r="E1276" s="3692"/>
      <c r="F1276" s="3705"/>
      <c r="G1276" s="429"/>
    </row>
    <row r="1277" spans="1:7" ht="15.75" thickTop="1">
      <c r="A1277" s="813" t="s">
        <v>2527</v>
      </c>
      <c r="B1277" s="388" t="s">
        <v>120</v>
      </c>
      <c r="C1277" s="1340" t="s">
        <v>2021</v>
      </c>
      <c r="D1277" s="388"/>
      <c r="E1277" s="880">
        <f t="shared" ref="E1277:E1282" si="57">(G1277-F1277)/G1277</f>
        <v>0.20000000000000004</v>
      </c>
      <c r="F1277" s="1341">
        <v>1.24</v>
      </c>
      <c r="G1277" s="429">
        <v>1.55</v>
      </c>
    </row>
    <row r="1278" spans="1:7">
      <c r="A1278" s="491"/>
      <c r="B1278" s="1342" t="s">
        <v>121</v>
      </c>
      <c r="C1278" s="1340" t="s">
        <v>1975</v>
      </c>
      <c r="D1278" s="388"/>
      <c r="E1278" s="1343">
        <f t="shared" si="57"/>
        <v>0.20125786163522016</v>
      </c>
      <c r="F1278" s="1341">
        <v>1.27</v>
      </c>
      <c r="G1278" s="429">
        <v>1.59</v>
      </c>
    </row>
    <row r="1279" spans="1:7">
      <c r="A1279" s="491"/>
      <c r="B1279" s="1342" t="s">
        <v>123</v>
      </c>
      <c r="C1279" s="1340" t="s">
        <v>2066</v>
      </c>
      <c r="D1279" s="388"/>
      <c r="E1279" s="1343">
        <f t="shared" si="57"/>
        <v>0.20125786163522016</v>
      </c>
      <c r="F1279" s="1341">
        <v>1.27</v>
      </c>
      <c r="G1279" s="429">
        <v>1.59</v>
      </c>
    </row>
    <row r="1280" spans="1:7">
      <c r="A1280" s="491"/>
      <c r="B1280" s="1342" t="s">
        <v>122</v>
      </c>
      <c r="C1280" s="1340" t="s">
        <v>1429</v>
      </c>
      <c r="D1280" s="388"/>
      <c r="E1280" s="1343">
        <f t="shared" si="57"/>
        <v>0.19889502762430944</v>
      </c>
      <c r="F1280" s="1341">
        <v>1.45</v>
      </c>
      <c r="G1280" s="528">
        <v>1.81</v>
      </c>
    </row>
    <row r="1281" spans="1:7">
      <c r="A1281" s="491"/>
      <c r="B1281" s="1199" t="s">
        <v>2057</v>
      </c>
      <c r="C1281" s="1200" t="s">
        <v>387</v>
      </c>
      <c r="D1281" s="388"/>
      <c r="E1281" s="1343">
        <f t="shared" si="57"/>
        <v>0.1538461538461538</v>
      </c>
      <c r="F1281" s="961">
        <v>0.99</v>
      </c>
      <c r="G1281" s="528">
        <v>1.17</v>
      </c>
    </row>
    <row r="1282" spans="1:7" ht="15.75" thickBot="1">
      <c r="A1282" s="500"/>
      <c r="B1282" s="1344"/>
      <c r="C1282" s="1345"/>
      <c r="D1282" s="873"/>
      <c r="E1282" s="1346" t="e">
        <f t="shared" si="57"/>
        <v>#DIV/0!</v>
      </c>
      <c r="F1282" s="1347"/>
      <c r="G1282" s="528"/>
    </row>
    <row r="1283" spans="1:7" ht="15.75" thickBot="1"/>
    <row r="1284" spans="1:7">
      <c r="A1284" s="4138" t="s">
        <v>0</v>
      </c>
      <c r="B1284" s="4134" t="s">
        <v>1</v>
      </c>
      <c r="C1284" s="4134" t="s">
        <v>2</v>
      </c>
      <c r="D1284" s="4134" t="s">
        <v>3</v>
      </c>
      <c r="E1284" s="4134" t="s">
        <v>4</v>
      </c>
      <c r="F1284" s="4136" t="s">
        <v>5</v>
      </c>
    </row>
    <row r="1285" spans="1:7" ht="15.75" thickBot="1">
      <c r="A1285" s="4139"/>
      <c r="B1285" s="4135"/>
      <c r="C1285" s="4135"/>
      <c r="D1285" s="4135"/>
      <c r="E1285" s="4135"/>
      <c r="F1285" s="4137"/>
    </row>
    <row r="1286" spans="1:7" ht="15.75">
      <c r="A1286" s="1138" t="s">
        <v>2533</v>
      </c>
      <c r="B1286" s="902" t="s">
        <v>1708</v>
      </c>
      <c r="C1286" s="1463" t="s">
        <v>2024</v>
      </c>
      <c r="D1286" s="902"/>
      <c r="E1286" s="904">
        <f t="shared" ref="E1286:E1295" si="58">(G1286-F1286)/G1286</f>
        <v>0.203125</v>
      </c>
      <c r="F1286" s="1140">
        <v>0.51</v>
      </c>
      <c r="G1286">
        <v>0.64</v>
      </c>
    </row>
    <row r="1287" spans="1:7" ht="15.75">
      <c r="A1287" s="1311"/>
      <c r="B1287" s="1309"/>
      <c r="C1287" s="1464" t="s">
        <v>1892</v>
      </c>
      <c r="D1287" s="1309"/>
      <c r="E1287" s="1352">
        <f t="shared" si="58"/>
        <v>0.20000000000000007</v>
      </c>
      <c r="F1287" s="1140">
        <v>0.84</v>
      </c>
      <c r="G1287">
        <v>1.05</v>
      </c>
    </row>
    <row r="1288" spans="1:7" ht="15.75">
      <c r="A1288" s="1311"/>
      <c r="B1288" s="1309"/>
      <c r="C1288" s="1309" t="s">
        <v>2115</v>
      </c>
      <c r="D1288" s="1309"/>
      <c r="E1288" s="1352">
        <f t="shared" si="58"/>
        <v>0.23270440251572333</v>
      </c>
      <c r="F1288" s="1140">
        <v>1.22</v>
      </c>
      <c r="G1288">
        <v>1.59</v>
      </c>
    </row>
    <row r="1289" spans="1:7" ht="15.75">
      <c r="A1289" s="1218"/>
      <c r="B1289" s="1219"/>
      <c r="C1289" s="1219" t="s">
        <v>2116</v>
      </c>
      <c r="D1289" s="1219"/>
      <c r="E1289" s="1352">
        <f t="shared" si="58"/>
        <v>0.23270440251572333</v>
      </c>
      <c r="F1289" s="1140">
        <v>1.22</v>
      </c>
      <c r="G1289">
        <v>1.59</v>
      </c>
    </row>
    <row r="1290" spans="1:7" ht="15.75">
      <c r="A1290" s="1218"/>
      <c r="B1290" s="1219"/>
      <c r="C1290" s="1219" t="s">
        <v>2066</v>
      </c>
      <c r="D1290" s="1219"/>
      <c r="E1290" s="1352">
        <f t="shared" si="58"/>
        <v>0.23270440251572333</v>
      </c>
      <c r="F1290" s="1140">
        <v>1.22</v>
      </c>
      <c r="G1290">
        <v>1.59</v>
      </c>
    </row>
    <row r="1291" spans="1:7" ht="15.75">
      <c r="A1291" s="1218"/>
      <c r="B1291" s="1219"/>
      <c r="C1291" s="1219" t="s">
        <v>1058</v>
      </c>
      <c r="D1291" s="1219"/>
      <c r="E1291" s="1352">
        <f t="shared" si="58"/>
        <v>0.28504672897196265</v>
      </c>
      <c r="F1291" s="1140">
        <v>1.53</v>
      </c>
      <c r="G1291">
        <v>2.14</v>
      </c>
    </row>
    <row r="1292" spans="1:7" ht="15.75">
      <c r="A1292" s="1218"/>
      <c r="B1292" s="1219"/>
      <c r="C1292" s="1219" t="s">
        <v>1345</v>
      </c>
      <c r="D1292" s="1219"/>
      <c r="E1292" s="1352">
        <f t="shared" si="58"/>
        <v>0.14917127071823205</v>
      </c>
      <c r="F1292" s="1140">
        <v>1.54</v>
      </c>
      <c r="G1292">
        <v>1.81</v>
      </c>
    </row>
    <row r="1293" spans="1:7" ht="15.75">
      <c r="A1293" s="1218"/>
      <c r="B1293" s="1219"/>
      <c r="C1293" s="1219" t="s">
        <v>1355</v>
      </c>
      <c r="D1293" s="1219"/>
      <c r="E1293" s="1352">
        <f t="shared" si="58"/>
        <v>0.14917127071823205</v>
      </c>
      <c r="F1293" s="1140">
        <v>1.54</v>
      </c>
      <c r="G1293">
        <v>1.81</v>
      </c>
    </row>
    <row r="1294" spans="1:7" ht="15.75">
      <c r="A1294" s="1218"/>
      <c r="B1294" s="1219"/>
      <c r="C1294" s="1219" t="s">
        <v>1413</v>
      </c>
      <c r="D1294" s="1219"/>
      <c r="E1294" s="1352">
        <f t="shared" si="58"/>
        <v>0.14917127071823205</v>
      </c>
      <c r="F1294" s="1140">
        <v>1.54</v>
      </c>
      <c r="G1294">
        <v>1.81</v>
      </c>
    </row>
    <row r="1295" spans="1:7" ht="16.5" thickBot="1">
      <c r="A1295" s="1315"/>
      <c r="B1295" s="1356"/>
      <c r="C1295" s="1356" t="s">
        <v>1429</v>
      </c>
      <c r="D1295" s="1356"/>
      <c r="E1295" s="1352">
        <f t="shared" si="58"/>
        <v>0.14917127071823205</v>
      </c>
      <c r="F1295" s="1140">
        <v>1.54</v>
      </c>
      <c r="G1295">
        <v>1.81</v>
      </c>
    </row>
    <row r="1297" spans="1:7" ht="15.75" thickBot="1"/>
    <row r="1298" spans="1:7">
      <c r="A1298" s="3614" t="s">
        <v>0</v>
      </c>
      <c r="B1298" s="3518" t="s">
        <v>1</v>
      </c>
      <c r="C1298" s="3518" t="s">
        <v>2</v>
      </c>
      <c r="D1298" s="3518" t="s">
        <v>3</v>
      </c>
      <c r="E1298" s="3518" t="s">
        <v>4</v>
      </c>
      <c r="F1298" s="3522" t="s">
        <v>5</v>
      </c>
    </row>
    <row r="1299" spans="1:7" ht="15.75" thickBot="1">
      <c r="A1299" s="3681"/>
      <c r="B1299" s="3702"/>
      <c r="C1299" s="3702"/>
      <c r="D1299" s="3702"/>
      <c r="E1299" s="3702"/>
      <c r="F1299" s="3717"/>
    </row>
    <row r="1300" spans="1:7" ht="15.75">
      <c r="A1300" s="1371" t="s">
        <v>2543</v>
      </c>
      <c r="B1300" s="1163" t="s">
        <v>2183</v>
      </c>
      <c r="C1300" s="1465" t="s">
        <v>2387</v>
      </c>
      <c r="D1300" s="1163"/>
      <c r="E1300" s="1412">
        <f>(G1300-F1300)/G1300</f>
        <v>0.25149700598802394</v>
      </c>
      <c r="F1300" s="1372">
        <v>1.25</v>
      </c>
      <c r="G1300">
        <v>1.67</v>
      </c>
    </row>
    <row r="1301" spans="1:7" ht="15.75">
      <c r="A1301" s="302"/>
      <c r="B1301" s="1299"/>
      <c r="C1301" s="1466" t="s">
        <v>1904</v>
      </c>
      <c r="D1301" s="288"/>
      <c r="E1301" s="1352">
        <f>(G1301-F1301)/G1301</f>
        <v>0.24822695035460984</v>
      </c>
      <c r="F1301" s="1373">
        <v>1.06</v>
      </c>
      <c r="G1301">
        <v>1.41</v>
      </c>
    </row>
    <row r="1302" spans="1:7" ht="16.5" thickBot="1">
      <c r="A1302" s="460"/>
      <c r="B1302" s="1320"/>
      <c r="C1302" s="1464" t="s">
        <v>1891</v>
      </c>
      <c r="D1302" s="592"/>
      <c r="E1302" s="1357">
        <f>(G1302-F1302)/G1302</f>
        <v>0.25252525252525254</v>
      </c>
      <c r="F1302" s="1374">
        <v>0.74</v>
      </c>
      <c r="G1302">
        <v>0.99</v>
      </c>
    </row>
    <row r="1303" spans="1:7" ht="15.75" thickBot="1"/>
    <row r="1304" spans="1:7">
      <c r="A1304" s="3614" t="s">
        <v>0</v>
      </c>
      <c r="B1304" s="3518" t="s">
        <v>1</v>
      </c>
      <c r="C1304" s="3518" t="s">
        <v>2</v>
      </c>
      <c r="D1304" s="3518" t="s">
        <v>3</v>
      </c>
      <c r="E1304" s="3518" t="s">
        <v>4</v>
      </c>
      <c r="F1304" s="3522" t="s">
        <v>5</v>
      </c>
      <c r="G1304" s="109"/>
    </row>
    <row r="1305" spans="1:7" ht="15.75" thickBot="1">
      <c r="A1305" s="4050"/>
      <c r="B1305" s="4102"/>
      <c r="C1305" s="4102"/>
      <c r="D1305" s="4102"/>
      <c r="E1305" s="4102"/>
      <c r="F1305" s="4054"/>
      <c r="G1305" s="109"/>
    </row>
    <row r="1306" spans="1:7" ht="15.75">
      <c r="A1306" s="1413">
        <v>43132</v>
      </c>
      <c r="B1306" s="4131" t="s">
        <v>2155</v>
      </c>
      <c r="C1306" s="1097" t="s">
        <v>730</v>
      </c>
      <c r="D1306" s="1098"/>
      <c r="E1306" s="290">
        <f>(G1306-F1306)/G1306</f>
        <v>0.3125</v>
      </c>
      <c r="F1306" s="1122">
        <v>0.55000000000000004</v>
      </c>
      <c r="G1306" s="1103">
        <v>0.8</v>
      </c>
    </row>
    <row r="1307" spans="1:7" ht="15.75">
      <c r="A1307" s="841" t="s">
        <v>2544</v>
      </c>
      <c r="B1307" s="4132"/>
      <c r="C1307" s="1143" t="s">
        <v>858</v>
      </c>
      <c r="D1307" s="1144"/>
      <c r="E1307" s="290">
        <f>(G1307-F1307)/G1307</f>
        <v>0.30337078651685395</v>
      </c>
      <c r="F1307" s="1122">
        <v>0.62</v>
      </c>
      <c r="G1307" s="1103">
        <v>0.89</v>
      </c>
    </row>
    <row r="1308" spans="1:7" ht="15.75">
      <c r="A1308" s="841"/>
      <c r="B1308" s="4132"/>
      <c r="C1308" s="1143"/>
      <c r="D1308" s="1144"/>
      <c r="E1308" s="290" t="e">
        <f>(G1308-F1308)/G1308</f>
        <v>#DIV/0!</v>
      </c>
      <c r="F1308" s="1122"/>
      <c r="G1308" s="1103"/>
    </row>
    <row r="1309" spans="1:7" ht="16.5" thickBot="1">
      <c r="A1309" s="884"/>
      <c r="B1309" s="4133"/>
      <c r="C1309" s="1319"/>
      <c r="D1309" s="1320"/>
      <c r="E1309" s="290" t="e">
        <f>(G1309-F1309)/G1309</f>
        <v>#DIV/0!</v>
      </c>
      <c r="F1309" s="1122"/>
      <c r="G1309" s="1103"/>
    </row>
    <row r="1310" spans="1:7" ht="15.75" thickBot="1"/>
    <row r="1311" spans="1:7">
      <c r="A1311" s="3614" t="s">
        <v>0</v>
      </c>
      <c r="B1311" s="3693" t="s">
        <v>1</v>
      </c>
      <c r="C1311" s="3693" t="s">
        <v>2</v>
      </c>
      <c r="D1311" s="3693" t="s">
        <v>3</v>
      </c>
      <c r="E1311" s="3693" t="s">
        <v>4</v>
      </c>
      <c r="F1311" s="3522" t="s">
        <v>5</v>
      </c>
      <c r="G1311" s="109"/>
    </row>
    <row r="1312" spans="1:7" ht="15.75" thickBot="1">
      <c r="A1312" s="4050"/>
      <c r="B1312" s="4112"/>
      <c r="C1312" s="4112"/>
      <c r="D1312" s="4112"/>
      <c r="E1312" s="4112"/>
      <c r="F1312" s="4054"/>
      <c r="G1312" s="109"/>
    </row>
    <row r="1313" spans="1:7" ht="15.75">
      <c r="A1313" s="841" t="s">
        <v>2545</v>
      </c>
      <c r="B1313" s="4131" t="s">
        <v>2155</v>
      </c>
      <c r="C1313" s="1462" t="s">
        <v>2156</v>
      </c>
      <c r="D1313" s="1098"/>
      <c r="E1313" s="290">
        <f>(G1313-F1313)/G1313</f>
        <v>0.19999999999999998</v>
      </c>
      <c r="F1313" s="1122">
        <v>1.72</v>
      </c>
      <c r="G1313" s="1103">
        <v>2.15</v>
      </c>
    </row>
    <row r="1314" spans="1:7" ht="15.75">
      <c r="A1314" s="841"/>
      <c r="B1314" s="4132"/>
      <c r="C1314" s="1467" t="s">
        <v>2268</v>
      </c>
      <c r="D1314" s="1144"/>
      <c r="E1314" s="290">
        <f>(G1314-F1314)/G1314</f>
        <v>0.20000000000000004</v>
      </c>
      <c r="F1314" s="1122">
        <v>1.2</v>
      </c>
      <c r="G1314" s="1103">
        <v>1.5</v>
      </c>
    </row>
    <row r="1315" spans="1:7" ht="16.5" thickBot="1">
      <c r="A1315" s="884"/>
      <c r="B1315" s="4133"/>
      <c r="C1315" s="1319"/>
      <c r="D1315" s="1320"/>
      <c r="E1315" s="290" t="e">
        <f>(G1315-F1315)/G1315</f>
        <v>#DIV/0!</v>
      </c>
      <c r="F1315" s="1122"/>
      <c r="G1315" s="1103"/>
    </row>
    <row r="1316" spans="1:7" ht="15.75" thickBot="1"/>
    <row r="1317" spans="1:7">
      <c r="A1317" s="3614" t="s">
        <v>0</v>
      </c>
      <c r="B1317" s="3693" t="s">
        <v>1</v>
      </c>
      <c r="C1317" s="3693" t="s">
        <v>2</v>
      </c>
      <c r="D1317" s="3693" t="s">
        <v>3</v>
      </c>
      <c r="E1317" s="3693" t="s">
        <v>4</v>
      </c>
      <c r="F1317" s="3522" t="s">
        <v>5</v>
      </c>
      <c r="G1317" s="109"/>
    </row>
    <row r="1318" spans="1:7" ht="15.75" thickBot="1">
      <c r="A1318" s="4050"/>
      <c r="B1318" s="4102"/>
      <c r="C1318" s="4102"/>
      <c r="D1318" s="4102"/>
      <c r="E1318" s="4102"/>
      <c r="F1318" s="4054"/>
      <c r="G1318" s="109"/>
    </row>
    <row r="1319" spans="1:7" ht="15.75">
      <c r="A1319" s="841" t="s">
        <v>2546</v>
      </c>
      <c r="B1319" s="4131" t="s">
        <v>1593</v>
      </c>
      <c r="C1319" s="1462" t="s">
        <v>1891</v>
      </c>
      <c r="D1319" s="1098"/>
      <c r="E1319" s="290">
        <f>(G1319-F1319)/G1319</f>
        <v>0.26168224299065423</v>
      </c>
      <c r="F1319" s="1122">
        <v>0.79</v>
      </c>
      <c r="G1319" s="1103">
        <v>1.07</v>
      </c>
    </row>
    <row r="1320" spans="1:7" ht="15.75">
      <c r="A1320" s="841"/>
      <c r="B1320" s="4132"/>
      <c r="C1320" s="1143"/>
      <c r="D1320" s="1144"/>
      <c r="E1320" s="290" t="e">
        <f>(G1320-F1320)/G1320</f>
        <v>#DIV/0!</v>
      </c>
      <c r="F1320" s="1122"/>
      <c r="G1320" s="1103"/>
    </row>
    <row r="1321" spans="1:7" ht="16.5" thickBot="1">
      <c r="A1321" s="884"/>
      <c r="B1321" s="4133"/>
      <c r="C1321" s="1319"/>
      <c r="D1321" s="1320"/>
      <c r="E1321" s="290" t="e">
        <f>(G1321-F1321)/G1321</f>
        <v>#DIV/0!</v>
      </c>
      <c r="F1321" s="1122"/>
      <c r="G1321" s="1103"/>
    </row>
    <row r="1322" spans="1:7" ht="15.75" thickBot="1"/>
    <row r="1323" spans="1:7">
      <c r="A1323" s="3614" t="s">
        <v>0</v>
      </c>
      <c r="B1323" s="3693" t="s">
        <v>1</v>
      </c>
      <c r="C1323" s="3693" t="s">
        <v>2</v>
      </c>
      <c r="D1323" s="3693" t="s">
        <v>3</v>
      </c>
      <c r="E1323" s="3693" t="s">
        <v>4</v>
      </c>
      <c r="F1323" s="3522" t="s">
        <v>5</v>
      </c>
    </row>
    <row r="1324" spans="1:7" ht="15.75" thickBot="1">
      <c r="A1324" s="3681"/>
      <c r="B1324" s="3702"/>
      <c r="C1324" s="3702"/>
      <c r="D1324" s="3702"/>
      <c r="E1324" s="3702"/>
      <c r="F1324" s="3717"/>
    </row>
    <row r="1325" spans="1:7">
      <c r="A1325" s="1108" t="s">
        <v>2556</v>
      </c>
      <c r="B1325" s="1098" t="s">
        <v>2016</v>
      </c>
      <c r="C1325" s="1425" t="s">
        <v>2557</v>
      </c>
      <c r="D1325" s="1098"/>
      <c r="E1325" s="1376">
        <f t="shared" ref="E1325:E1330" si="59">(G1325-F1325)/G1325</f>
        <v>9.9009900990098987E-2</v>
      </c>
      <c r="F1325" s="1426">
        <v>3.64</v>
      </c>
      <c r="G1325">
        <v>4.04</v>
      </c>
    </row>
    <row r="1326" spans="1:7">
      <c r="A1326" s="1350"/>
      <c r="B1326" s="1299"/>
      <c r="C1326" s="1392" t="s">
        <v>2558</v>
      </c>
      <c r="D1326" s="1299"/>
      <c r="E1326" s="1378">
        <f t="shared" si="59"/>
        <v>9.9041533546325902E-2</v>
      </c>
      <c r="F1326" s="1427">
        <v>2.82</v>
      </c>
      <c r="G1326">
        <v>3.13</v>
      </c>
    </row>
    <row r="1327" spans="1:7">
      <c r="A1327" s="1377"/>
      <c r="B1327" s="1299"/>
      <c r="C1327" s="109" t="s">
        <v>2559</v>
      </c>
      <c r="D1327" s="1299"/>
      <c r="E1327" s="1378">
        <f t="shared" si="59"/>
        <v>9.9041533546325902E-2</v>
      </c>
      <c r="F1327" s="1427">
        <v>2.82</v>
      </c>
      <c r="G1327">
        <v>3.13</v>
      </c>
    </row>
    <row r="1328" spans="1:7">
      <c r="A1328" s="1377"/>
      <c r="B1328" s="1299"/>
      <c r="C1328" s="1309" t="s">
        <v>2560</v>
      </c>
      <c r="D1328" s="1299"/>
      <c r="E1328" s="1378">
        <f t="shared" si="59"/>
        <v>9.9290780141843907E-2</v>
      </c>
      <c r="F1328" s="1427">
        <v>2.54</v>
      </c>
      <c r="G1328">
        <v>2.82</v>
      </c>
    </row>
    <row r="1329" spans="1:7">
      <c r="A1329" s="1377"/>
      <c r="B1329" s="1299"/>
      <c r="C1329" s="1476" t="s">
        <v>2387</v>
      </c>
      <c r="D1329" s="1299"/>
      <c r="E1329" s="1378">
        <f t="shared" si="59"/>
        <v>0.19883040935672508</v>
      </c>
      <c r="F1329" s="1427">
        <v>1.37</v>
      </c>
      <c r="G1329">
        <v>1.71</v>
      </c>
    </row>
    <row r="1330" spans="1:7" ht="15.75" thickBot="1">
      <c r="A1330" s="1428"/>
      <c r="B1330" s="1320"/>
      <c r="C1330" s="1477" t="s">
        <v>2305</v>
      </c>
      <c r="D1330" s="1320"/>
      <c r="E1330" s="1429">
        <f t="shared" si="59"/>
        <v>0.20105820105820102</v>
      </c>
      <c r="F1330" s="1430">
        <v>3.02</v>
      </c>
      <c r="G1330" s="33">
        <v>3.78</v>
      </c>
    </row>
    <row r="1331" spans="1:7" ht="15.75" thickBot="1"/>
    <row r="1332" spans="1:7">
      <c r="A1332" s="3614" t="s">
        <v>0</v>
      </c>
      <c r="B1332" s="3693" t="s">
        <v>1</v>
      </c>
      <c r="C1332" s="3693" t="s">
        <v>2</v>
      </c>
      <c r="D1332" s="3693" t="s">
        <v>3</v>
      </c>
      <c r="E1332" s="3693" t="s">
        <v>4</v>
      </c>
      <c r="F1332" s="3522" t="s">
        <v>5</v>
      </c>
    </row>
    <row r="1333" spans="1:7" ht="15.75" thickBot="1">
      <c r="A1333" s="4050"/>
      <c r="B1333" s="4102"/>
      <c r="C1333" s="4102"/>
      <c r="D1333" s="4102"/>
      <c r="E1333" s="4102"/>
      <c r="F1333" s="4054"/>
    </row>
    <row r="1334" spans="1:7">
      <c r="A1334" s="3562" t="s">
        <v>2567</v>
      </c>
      <c r="B1334" s="4147" t="s">
        <v>1593</v>
      </c>
      <c r="C1334" s="1509" t="s">
        <v>1892</v>
      </c>
      <c r="D1334" s="288"/>
      <c r="E1334" s="290">
        <f t="shared" ref="E1334:E1339" si="60">(G1334-F1334)/G1334</f>
        <v>0.25471698113207547</v>
      </c>
      <c r="F1334" s="1122">
        <v>0.79</v>
      </c>
      <c r="G1334" s="1103">
        <v>1.06</v>
      </c>
    </row>
    <row r="1335" spans="1:7" ht="15.75">
      <c r="A1335" s="3562"/>
      <c r="B1335" s="4147"/>
      <c r="C1335" s="1468" t="s">
        <v>2024</v>
      </c>
      <c r="D1335" s="94"/>
      <c r="E1335" s="290">
        <f t="shared" si="60"/>
        <v>9.2307692307692382E-2</v>
      </c>
      <c r="F1335" s="1122">
        <v>0.59</v>
      </c>
      <c r="G1335" s="1103">
        <v>0.65</v>
      </c>
    </row>
    <row r="1336" spans="1:7" ht="15.75">
      <c r="A1336" s="3562"/>
      <c r="B1336" s="4147"/>
      <c r="C1336" s="1510" t="s">
        <v>1904</v>
      </c>
      <c r="D1336" s="342"/>
      <c r="E1336" s="290">
        <f t="shared" si="60"/>
        <v>0.24840764331210197</v>
      </c>
      <c r="F1336" s="1122">
        <v>1.18</v>
      </c>
      <c r="G1336" s="1103">
        <v>1.57</v>
      </c>
    </row>
    <row r="1337" spans="1:7" ht="15.75">
      <c r="A1337" s="3562"/>
      <c r="B1337" s="4147"/>
      <c r="C1337" s="1510" t="s">
        <v>2021</v>
      </c>
      <c r="D1337" s="342"/>
      <c r="E1337" s="290">
        <f t="shared" si="60"/>
        <v>0.24840764331210197</v>
      </c>
      <c r="F1337" s="1122">
        <v>1.18</v>
      </c>
      <c r="G1337" s="1103">
        <v>1.57</v>
      </c>
    </row>
    <row r="1338" spans="1:7" ht="15.75">
      <c r="A1338" s="3562"/>
      <c r="B1338" s="4147"/>
      <c r="C1338" s="1510" t="s">
        <v>2351</v>
      </c>
      <c r="D1338" s="342"/>
      <c r="E1338" s="290">
        <f t="shared" si="60"/>
        <v>0.25000000000000006</v>
      </c>
      <c r="F1338" s="1122">
        <v>0.12</v>
      </c>
      <c r="G1338" s="1103">
        <v>0.16</v>
      </c>
    </row>
    <row r="1339" spans="1:7" ht="15.75" thickBot="1">
      <c r="A1339" s="3563"/>
      <c r="B1339" s="4148"/>
      <c r="C1339" s="1511" t="s">
        <v>2352</v>
      </c>
      <c r="D1339" s="548"/>
      <c r="E1339" s="593">
        <f t="shared" si="60"/>
        <v>0.25000000000000006</v>
      </c>
      <c r="F1339" s="1358">
        <v>0.12</v>
      </c>
      <c r="G1339" s="1103">
        <v>0.16</v>
      </c>
    </row>
    <row r="1341" spans="1:7" ht="15.75" thickBot="1"/>
    <row r="1342" spans="1:7">
      <c r="A1342" s="3572" t="s">
        <v>0</v>
      </c>
      <c r="B1342" s="3636" t="s">
        <v>1</v>
      </c>
      <c r="C1342" s="3636" t="s">
        <v>2</v>
      </c>
      <c r="D1342" s="3636" t="s">
        <v>3</v>
      </c>
      <c r="E1342" s="3636" t="s">
        <v>4</v>
      </c>
      <c r="F1342" s="3559" t="s">
        <v>5</v>
      </c>
      <c r="G1342" s="429"/>
    </row>
    <row r="1343" spans="1:7" ht="15.75" thickBot="1">
      <c r="A1343" s="3696"/>
      <c r="B1343" s="3692"/>
      <c r="C1343" s="3692"/>
      <c r="D1343" s="3692"/>
      <c r="E1343" s="3692"/>
      <c r="F1343" s="3705"/>
      <c r="G1343" s="429"/>
    </row>
    <row r="1344" spans="1:7" ht="15.75" thickTop="1">
      <c r="A1344" s="813" t="s">
        <v>2570</v>
      </c>
      <c r="B1344" s="388" t="s">
        <v>120</v>
      </c>
      <c r="C1344" s="1340" t="s">
        <v>53</v>
      </c>
      <c r="D1344" s="388"/>
      <c r="E1344" s="880">
        <f t="shared" ref="E1344:E1349" si="61">(G1344-F1344)/G1344</f>
        <v>9.9999999999999978E-2</v>
      </c>
      <c r="F1344" s="1341">
        <v>0.9</v>
      </c>
      <c r="G1344" s="436">
        <v>1</v>
      </c>
    </row>
    <row r="1345" spans="1:7">
      <c r="A1345" s="491"/>
      <c r="B1345" s="1342" t="s">
        <v>121</v>
      </c>
      <c r="C1345" s="1340" t="s">
        <v>905</v>
      </c>
      <c r="D1345" s="388"/>
      <c r="E1345" s="1343">
        <f t="shared" si="61"/>
        <v>0.19753086419753088</v>
      </c>
      <c r="F1345" s="1341">
        <v>0.65</v>
      </c>
      <c r="G1345" s="429">
        <v>0.81</v>
      </c>
    </row>
    <row r="1346" spans="1:7">
      <c r="A1346" s="491"/>
      <c r="B1346" s="1342" t="s">
        <v>123</v>
      </c>
      <c r="C1346" s="1340" t="s">
        <v>1301</v>
      </c>
      <c r="D1346" s="388"/>
      <c r="E1346" s="1343">
        <f t="shared" si="61"/>
        <v>0.14563106796116507</v>
      </c>
      <c r="F1346" s="1341">
        <v>0.88</v>
      </c>
      <c r="G1346" s="429">
        <v>1.03</v>
      </c>
    </row>
    <row r="1347" spans="1:7">
      <c r="A1347" s="491"/>
      <c r="B1347" s="1342" t="s">
        <v>122</v>
      </c>
      <c r="C1347" s="1465" t="s">
        <v>1891</v>
      </c>
      <c r="D1347" s="388"/>
      <c r="E1347" s="1343">
        <f t="shared" si="61"/>
        <v>0.19811320754716988</v>
      </c>
      <c r="F1347" s="1341">
        <v>0.85</v>
      </c>
      <c r="G1347" s="528">
        <v>1.06</v>
      </c>
    </row>
    <row r="1348" spans="1:7">
      <c r="A1348" s="491"/>
      <c r="B1348" s="1199" t="s">
        <v>2057</v>
      </c>
      <c r="C1348" s="1200"/>
      <c r="D1348" s="388"/>
      <c r="E1348" s="1343" t="e">
        <f t="shared" si="61"/>
        <v>#DIV/0!</v>
      </c>
      <c r="F1348" s="961"/>
      <c r="G1348" s="528"/>
    </row>
    <row r="1349" spans="1:7" ht="15.75" thickBot="1">
      <c r="A1349" s="500"/>
      <c r="B1349" s="1344"/>
      <c r="C1349" s="1345"/>
      <c r="D1349" s="873"/>
      <c r="E1349" s="1346" t="e">
        <f t="shared" si="61"/>
        <v>#DIV/0!</v>
      </c>
      <c r="F1349" s="1347"/>
      <c r="G1349" s="528"/>
    </row>
    <row r="1350" spans="1:7" ht="15.75" thickBot="1"/>
    <row r="1351" spans="1:7">
      <c r="A1351" s="3614" t="s">
        <v>0</v>
      </c>
      <c r="B1351" s="3693" t="s">
        <v>1</v>
      </c>
      <c r="C1351" s="3693" t="s">
        <v>2</v>
      </c>
      <c r="D1351" s="3693" t="s">
        <v>3</v>
      </c>
      <c r="E1351" s="3693" t="s">
        <v>4</v>
      </c>
      <c r="F1351" s="3522" t="s">
        <v>5</v>
      </c>
      <c r="G1351" s="109"/>
    </row>
    <row r="1352" spans="1:7" ht="15.75" thickBot="1">
      <c r="A1352" s="4050"/>
      <c r="B1352" s="4102"/>
      <c r="C1352" s="4102"/>
      <c r="D1352" s="4102"/>
      <c r="E1352" s="4102"/>
      <c r="F1352" s="4054"/>
      <c r="G1352" s="109"/>
    </row>
    <row r="1353" spans="1:7" ht="15.75">
      <c r="A1353" s="841" t="s">
        <v>2573</v>
      </c>
      <c r="B1353" s="4131" t="s">
        <v>2155</v>
      </c>
      <c r="C1353" s="1097" t="s">
        <v>1959</v>
      </c>
      <c r="D1353" s="1098"/>
      <c r="E1353" s="290">
        <f>(G1353-F1353)/G1353</f>
        <v>0.14960629921259838</v>
      </c>
      <c r="F1353" s="1122">
        <v>1.08</v>
      </c>
      <c r="G1353" s="1103">
        <v>1.27</v>
      </c>
    </row>
    <row r="1354" spans="1:7" ht="15.75">
      <c r="A1354" s="841"/>
      <c r="B1354" s="4132"/>
      <c r="C1354" s="1143" t="s">
        <v>1960</v>
      </c>
      <c r="D1354" s="1144"/>
      <c r="E1354" s="290">
        <f t="shared" ref="E1354:E1361" si="62">(G1354-F1354)/G1354</f>
        <v>0.14960629921259838</v>
      </c>
      <c r="F1354" s="1122">
        <v>1.08</v>
      </c>
      <c r="G1354" s="1103">
        <v>1.27</v>
      </c>
    </row>
    <row r="1355" spans="1:7" ht="15.75">
      <c r="A1355" s="841"/>
      <c r="B1355" s="4132"/>
      <c r="C1355" s="1160" t="s">
        <v>554</v>
      </c>
      <c r="D1355" s="94"/>
      <c r="E1355" s="290">
        <f t="shared" si="62"/>
        <v>0.16666666666666663</v>
      </c>
      <c r="F1355" s="1122">
        <v>0.95</v>
      </c>
      <c r="G1355" s="1103">
        <v>1.1399999999999999</v>
      </c>
    </row>
    <row r="1356" spans="1:7" ht="15.75">
      <c r="A1356" s="841"/>
      <c r="B1356" s="4132"/>
      <c r="C1356" s="1160" t="s">
        <v>1413</v>
      </c>
      <c r="D1356" s="94"/>
      <c r="E1356" s="290">
        <f t="shared" si="62"/>
        <v>0.16167664670658685</v>
      </c>
      <c r="F1356" s="1122">
        <v>1.4</v>
      </c>
      <c r="G1356" s="1103">
        <v>1.67</v>
      </c>
    </row>
    <row r="1357" spans="1:7" ht="15.75">
      <c r="A1357" s="841"/>
      <c r="B1357" s="4132"/>
      <c r="C1357" s="1160" t="s">
        <v>1429</v>
      </c>
      <c r="D1357" s="94"/>
      <c r="E1357" s="290">
        <f t="shared" si="62"/>
        <v>0.16167664670658685</v>
      </c>
      <c r="F1357" s="1122">
        <v>1.4</v>
      </c>
      <c r="G1357" s="1103">
        <v>1.67</v>
      </c>
    </row>
    <row r="1358" spans="1:7" ht="15.75">
      <c r="A1358" s="841"/>
      <c r="B1358" s="4132"/>
      <c r="C1358" s="1160" t="s">
        <v>2550</v>
      </c>
      <c r="D1358" s="94"/>
      <c r="E1358" s="290">
        <f t="shared" si="62"/>
        <v>0.17025641025641028</v>
      </c>
      <c r="F1358" s="1122">
        <v>8.09</v>
      </c>
      <c r="G1358" s="1103">
        <v>9.75</v>
      </c>
    </row>
    <row r="1359" spans="1:7" ht="15.75">
      <c r="A1359" s="841"/>
      <c r="B1359" s="4132"/>
      <c r="C1359" s="1160" t="s">
        <v>2551</v>
      </c>
      <c r="D1359" s="94"/>
      <c r="E1359" s="290">
        <f t="shared" si="62"/>
        <v>0.17025641025641028</v>
      </c>
      <c r="F1359" s="1122">
        <v>8.09</v>
      </c>
      <c r="G1359" s="1103">
        <v>9.75</v>
      </c>
    </row>
    <row r="1360" spans="1:7" ht="15.75">
      <c r="A1360" s="841"/>
      <c r="B1360" s="4132"/>
      <c r="C1360" s="1160" t="s">
        <v>2552</v>
      </c>
      <c r="D1360" s="94"/>
      <c r="E1360" s="290">
        <f t="shared" si="62"/>
        <v>0.17025641025641028</v>
      </c>
      <c r="F1360" s="1122">
        <v>8.09</v>
      </c>
      <c r="G1360" s="1103">
        <v>9.75</v>
      </c>
    </row>
    <row r="1361" spans="1:7" ht="16.5" thickBot="1">
      <c r="A1361" s="884"/>
      <c r="B1361" s="4133"/>
      <c r="C1361" s="1195" t="s">
        <v>2553</v>
      </c>
      <c r="D1361" s="1196"/>
      <c r="E1361" s="290">
        <f t="shared" si="62"/>
        <v>0.17025641025641028</v>
      </c>
      <c r="F1361" s="1122">
        <v>8.09</v>
      </c>
      <c r="G1361" s="1103">
        <v>9.75</v>
      </c>
    </row>
    <row r="1362" spans="1:7" ht="15.75" thickBot="1"/>
    <row r="1363" spans="1:7">
      <c r="A1363" s="3614" t="s">
        <v>0</v>
      </c>
      <c r="B1363" s="3693" t="s">
        <v>1</v>
      </c>
      <c r="C1363" s="3693" t="s">
        <v>2</v>
      </c>
      <c r="D1363" s="3693" t="s">
        <v>3</v>
      </c>
      <c r="E1363" s="3693" t="s">
        <v>4</v>
      </c>
      <c r="F1363" s="3522" t="s">
        <v>5</v>
      </c>
    </row>
    <row r="1364" spans="1:7" ht="15.75" thickBot="1">
      <c r="A1364" s="3681"/>
      <c r="B1364" s="3702"/>
      <c r="C1364" s="3702"/>
      <c r="D1364" s="3702"/>
      <c r="E1364" s="3702"/>
      <c r="F1364" s="3717"/>
    </row>
    <row r="1365" spans="1:7" ht="15.75">
      <c r="A1365" s="1108" t="s">
        <v>2573</v>
      </c>
      <c r="B1365" s="1098" t="s">
        <v>460</v>
      </c>
      <c r="C1365" s="1442" t="s">
        <v>2359</v>
      </c>
      <c r="D1365" s="1098"/>
      <c r="E1365" s="1236">
        <f>(G1365-F1365)/G1365</f>
        <v>0.15</v>
      </c>
      <c r="F1365" s="1237">
        <v>5.44</v>
      </c>
      <c r="G1365">
        <v>6.4</v>
      </c>
    </row>
    <row r="1366" spans="1:7" ht="15.75">
      <c r="A1366" s="924"/>
      <c r="B1366" s="989"/>
      <c r="C1366" s="1109" t="s">
        <v>2192</v>
      </c>
      <c r="D1366" s="989"/>
      <c r="E1366" s="974">
        <f>(G1366-F1366)/G1366</f>
        <v>0.15</v>
      </c>
      <c r="F1366" s="845">
        <v>5.44</v>
      </c>
      <c r="G1366">
        <v>6.4</v>
      </c>
    </row>
    <row r="1367" spans="1:7" ht="15.75">
      <c r="A1367" s="924"/>
      <c r="B1367" s="989"/>
      <c r="C1367" s="1109" t="s">
        <v>2193</v>
      </c>
      <c r="D1367" s="989"/>
      <c r="E1367" s="974">
        <f>(G1367-F1367)/G1367</f>
        <v>0.15</v>
      </c>
      <c r="F1367" s="845">
        <v>5.44</v>
      </c>
      <c r="G1367">
        <v>6.4</v>
      </c>
    </row>
    <row r="1368" spans="1:7" ht="15.75">
      <c r="A1368" s="924"/>
      <c r="B1368" s="989"/>
      <c r="C1368" s="1109" t="s">
        <v>2194</v>
      </c>
      <c r="D1368" s="989"/>
      <c r="E1368" s="974">
        <f>(G1368-F1368)/G1368</f>
        <v>0.15</v>
      </c>
      <c r="F1368" s="845">
        <v>5.44</v>
      </c>
      <c r="G1368">
        <v>6.4</v>
      </c>
    </row>
    <row r="1369" spans="1:7" ht="16.5" thickBot="1">
      <c r="A1369" s="1315"/>
      <c r="B1369" s="1217"/>
      <c r="C1369" s="1217" t="s">
        <v>2207</v>
      </c>
      <c r="D1369" s="1217"/>
      <c r="E1369" s="1221">
        <f>(G1369-F1369)/G1369</f>
        <v>0.1551724137931034</v>
      </c>
      <c r="F1369" s="1358">
        <v>0.49</v>
      </c>
      <c r="G1369">
        <v>0.57999999999999996</v>
      </c>
    </row>
    <row r="1370" spans="1:7" ht="15.75" thickBot="1"/>
    <row r="1371" spans="1:7">
      <c r="A1371" s="3614" t="s">
        <v>0</v>
      </c>
      <c r="B1371" s="3693" t="s">
        <v>1</v>
      </c>
      <c r="C1371" s="3693" t="s">
        <v>2</v>
      </c>
      <c r="D1371" s="3693" t="s">
        <v>3</v>
      </c>
      <c r="E1371" s="3693" t="s">
        <v>4</v>
      </c>
      <c r="F1371" s="3522" t="s">
        <v>5</v>
      </c>
      <c r="G1371" s="109"/>
    </row>
    <row r="1372" spans="1:7" ht="15.75" thickBot="1">
      <c r="A1372" s="4050"/>
      <c r="B1372" s="4102"/>
      <c r="C1372" s="4102"/>
      <c r="D1372" s="4102"/>
      <c r="E1372" s="4102"/>
      <c r="F1372" s="4054"/>
      <c r="G1372" s="109"/>
    </row>
    <row r="1373" spans="1:7">
      <c r="A1373" s="1413">
        <v>43153</v>
      </c>
      <c r="B1373" s="4131" t="s">
        <v>2155</v>
      </c>
      <c r="C1373" s="1309" t="s">
        <v>2115</v>
      </c>
      <c r="D1373" s="1098"/>
      <c r="E1373" s="290">
        <f>(G1373-F1373)/G1373</f>
        <v>0.27272727272727265</v>
      </c>
      <c r="F1373" s="1122">
        <v>1.1200000000000001</v>
      </c>
      <c r="G1373" s="1103">
        <v>1.54</v>
      </c>
    </row>
    <row r="1374" spans="1:7">
      <c r="A1374" s="841" t="s">
        <v>2544</v>
      </c>
      <c r="B1374" s="4132"/>
      <c r="C1374" s="1219" t="s">
        <v>2116</v>
      </c>
      <c r="D1374" s="1299"/>
      <c r="E1374" s="290">
        <f>(G1374-F1374)/G1374</f>
        <v>0.27272727272727265</v>
      </c>
      <c r="F1374" s="1122">
        <v>1.1200000000000001</v>
      </c>
      <c r="G1374" s="1103">
        <v>1.54</v>
      </c>
    </row>
    <row r="1375" spans="1:7">
      <c r="A1375" s="841"/>
      <c r="B1375" s="4132"/>
      <c r="C1375" s="1219" t="s">
        <v>2066</v>
      </c>
      <c r="D1375" s="1299"/>
      <c r="E1375" s="290">
        <f>(G1375-F1375)/G1375</f>
        <v>0.27272727272727265</v>
      </c>
      <c r="F1375" s="1122">
        <v>1.1200000000000001</v>
      </c>
      <c r="G1375" s="1103">
        <v>1.54</v>
      </c>
    </row>
    <row r="1376" spans="1:7" ht="16.5" thickBot="1">
      <c r="A1376" s="884"/>
      <c r="B1376" s="4133"/>
      <c r="C1376" s="1319"/>
      <c r="D1376" s="1320"/>
      <c r="E1376" s="290" t="e">
        <f>(G1376-F1376)/G1376</f>
        <v>#DIV/0!</v>
      </c>
      <c r="F1376" s="1122"/>
      <c r="G1376" s="1103"/>
    </row>
    <row r="1377" spans="1:8" ht="15.75" thickBot="1"/>
    <row r="1378" spans="1:8">
      <c r="A1378" s="3614" t="s">
        <v>0</v>
      </c>
      <c r="B1378" s="3693" t="s">
        <v>1</v>
      </c>
      <c r="C1378" s="3693" t="s">
        <v>2</v>
      </c>
      <c r="D1378" s="3693" t="s">
        <v>3</v>
      </c>
      <c r="E1378" s="3693" t="s">
        <v>4</v>
      </c>
      <c r="F1378" s="3522" t="s">
        <v>5</v>
      </c>
    </row>
    <row r="1379" spans="1:8" ht="15.75" thickBot="1">
      <c r="A1379" s="3681"/>
      <c r="B1379" s="3687"/>
      <c r="C1379" s="3687"/>
      <c r="D1379" s="3687"/>
      <c r="E1379" s="3687"/>
      <c r="F1379" s="3717"/>
    </row>
    <row r="1380" spans="1:8" ht="15.75">
      <c r="A1380" s="1371" t="s">
        <v>2580</v>
      </c>
      <c r="B1380" s="1098" t="s">
        <v>2183</v>
      </c>
      <c r="C1380" s="1465" t="s">
        <v>2251</v>
      </c>
      <c r="D1380" s="1098"/>
      <c r="E1380" s="1236">
        <f>(G1380-F1380)/G1380</f>
        <v>0.24747474747474749</v>
      </c>
      <c r="F1380" s="1372">
        <v>1.49</v>
      </c>
      <c r="G1380">
        <v>1.98</v>
      </c>
    </row>
    <row r="1381" spans="1:8" ht="15.75">
      <c r="A1381" s="302"/>
      <c r="B1381" s="1299"/>
      <c r="C1381" s="1466" t="s">
        <v>2176</v>
      </c>
      <c r="D1381" s="288"/>
      <c r="E1381" s="1352">
        <f>(G1381-F1381)/G1381</f>
        <v>0.24882629107981213</v>
      </c>
      <c r="F1381" s="1373">
        <v>1.6</v>
      </c>
      <c r="G1381">
        <v>2.13</v>
      </c>
    </row>
    <row r="1382" spans="1:8" ht="16.5" thickBot="1">
      <c r="A1382" s="460"/>
      <c r="B1382" s="1320"/>
      <c r="C1382" s="1464" t="s">
        <v>2455</v>
      </c>
      <c r="D1382" s="592"/>
      <c r="E1382" s="1357">
        <f>(G1382-F1382)/G1382</f>
        <v>0.24999999999999992</v>
      </c>
      <c r="F1382" s="1374">
        <v>1.08</v>
      </c>
      <c r="G1382">
        <v>1.44</v>
      </c>
    </row>
    <row r="1383" spans="1:8" ht="15.75" thickBot="1"/>
    <row r="1384" spans="1:8">
      <c r="A1384" s="4138" t="s">
        <v>0</v>
      </c>
      <c r="B1384" s="4134" t="s">
        <v>1</v>
      </c>
      <c r="C1384" s="4134" t="s">
        <v>2</v>
      </c>
      <c r="D1384" s="4134" t="s">
        <v>3</v>
      </c>
      <c r="E1384" s="4134" t="s">
        <v>4</v>
      </c>
      <c r="F1384" s="4136" t="s">
        <v>5</v>
      </c>
    </row>
    <row r="1385" spans="1:8" ht="15.75" thickBot="1">
      <c r="A1385" s="4139"/>
      <c r="B1385" s="4135"/>
      <c r="C1385" s="4135"/>
      <c r="D1385" s="4135"/>
      <c r="E1385" s="4135"/>
      <c r="F1385" s="4137"/>
    </row>
    <row r="1386" spans="1:8" ht="15.75">
      <c r="A1386" s="1138" t="s">
        <v>2590</v>
      </c>
      <c r="B1386" s="902" t="s">
        <v>1708</v>
      </c>
      <c r="C1386" s="1508" t="s">
        <v>2021</v>
      </c>
      <c r="D1386" s="902"/>
      <c r="E1386" s="904">
        <f>(G1386-F1386)/G1386</f>
        <v>0.20000000000000004</v>
      </c>
      <c r="F1386" s="1140">
        <v>1.24</v>
      </c>
      <c r="G1386">
        <v>1.55</v>
      </c>
    </row>
    <row r="1387" spans="1:8" ht="15.75" thickBot="1"/>
    <row r="1388" spans="1:8">
      <c r="A1388" s="3614" t="s">
        <v>0</v>
      </c>
      <c r="B1388" s="3693" t="s">
        <v>1</v>
      </c>
      <c r="C1388" s="3693" t="s">
        <v>2</v>
      </c>
      <c r="D1388" s="3693" t="s">
        <v>3</v>
      </c>
      <c r="E1388" s="3693" t="s">
        <v>4</v>
      </c>
      <c r="F1388" s="3522" t="s">
        <v>5</v>
      </c>
      <c r="G1388" s="109"/>
    </row>
    <row r="1389" spans="1:8" ht="15.75" thickBot="1">
      <c r="A1389" s="4050"/>
      <c r="B1389" s="4102"/>
      <c r="C1389" s="4102"/>
      <c r="D1389" s="4102"/>
      <c r="E1389" s="4102"/>
      <c r="F1389" s="4054"/>
      <c r="G1389" s="109"/>
    </row>
    <row r="1390" spans="1:8" ht="15.75">
      <c r="A1390" s="841" t="s">
        <v>2591</v>
      </c>
      <c r="B1390" s="4131" t="s">
        <v>2155</v>
      </c>
      <c r="C1390" s="1097" t="s">
        <v>623</v>
      </c>
      <c r="D1390" s="1098"/>
      <c r="E1390" s="290">
        <f>(G1390-F1390)/G1390</f>
        <v>3.105590062111804E-2</v>
      </c>
      <c r="F1390" s="1122">
        <v>1.56</v>
      </c>
      <c r="G1390" s="1103">
        <v>1.61</v>
      </c>
      <c r="H1390" t="s">
        <v>418</v>
      </c>
    </row>
    <row r="1391" spans="1:8" ht="15.75">
      <c r="A1391" s="841"/>
      <c r="B1391" s="4132"/>
      <c r="C1391" s="1143" t="s">
        <v>1772</v>
      </c>
      <c r="D1391" s="1144"/>
      <c r="E1391" s="290">
        <f t="shared" ref="E1391:E1398" si="63">(G1391-F1391)/G1391</f>
        <v>3.105590062111804E-2</v>
      </c>
      <c r="F1391" s="1122">
        <v>1.56</v>
      </c>
      <c r="G1391" s="1103">
        <v>1.61</v>
      </c>
      <c r="H1391" t="s">
        <v>418</v>
      </c>
    </row>
    <row r="1392" spans="1:8" ht="15.75">
      <c r="A1392" s="841"/>
      <c r="B1392" s="4132"/>
      <c r="C1392" s="1160" t="s">
        <v>1258</v>
      </c>
      <c r="D1392" s="94"/>
      <c r="E1392" s="290">
        <f t="shared" si="63"/>
        <v>0.13051584835301427</v>
      </c>
      <c r="F1392" s="1122">
        <v>27.98</v>
      </c>
      <c r="G1392" s="1103">
        <v>32.18</v>
      </c>
      <c r="H1392" t="s">
        <v>418</v>
      </c>
    </row>
    <row r="1393" spans="1:8" ht="15.75">
      <c r="A1393" s="841"/>
      <c r="B1393" s="4132"/>
      <c r="C1393" s="1160" t="s">
        <v>1259</v>
      </c>
      <c r="D1393" s="94"/>
      <c r="E1393" s="290">
        <f t="shared" si="63"/>
        <v>0.13035584604212055</v>
      </c>
      <c r="F1393" s="1122">
        <v>23.95</v>
      </c>
      <c r="G1393" s="1103">
        <v>27.54</v>
      </c>
      <c r="H1393" t="s">
        <v>418</v>
      </c>
    </row>
    <row r="1394" spans="1:8" ht="15.75">
      <c r="A1394" s="841"/>
      <c r="B1394" s="4132"/>
      <c r="C1394" s="1160" t="s">
        <v>1271</v>
      </c>
      <c r="D1394" s="94"/>
      <c r="E1394" s="290">
        <f t="shared" si="63"/>
        <v>9.9969888587774766E-2</v>
      </c>
      <c r="F1394" s="1122">
        <v>29.89</v>
      </c>
      <c r="G1394" s="1103">
        <v>33.21</v>
      </c>
      <c r="H1394" t="s">
        <v>418</v>
      </c>
    </row>
    <row r="1395" spans="1:8" ht="15.75">
      <c r="A1395" s="841"/>
      <c r="B1395" s="4132"/>
      <c r="C1395" s="1160" t="s">
        <v>940</v>
      </c>
      <c r="D1395" s="94"/>
      <c r="E1395" s="290">
        <f t="shared" si="63"/>
        <v>0.14965034965034968</v>
      </c>
      <c r="F1395" s="1122">
        <v>6.08</v>
      </c>
      <c r="G1395" s="1103">
        <v>7.15</v>
      </c>
      <c r="H1395" t="s">
        <v>418</v>
      </c>
    </row>
    <row r="1396" spans="1:8" ht="15.75">
      <c r="A1396" s="841"/>
      <c r="B1396" s="4132"/>
      <c r="C1396" s="1160" t="s">
        <v>786</v>
      </c>
      <c r="D1396" s="94"/>
      <c r="E1396" s="290">
        <f t="shared" si="63"/>
        <v>0.14965034965034968</v>
      </c>
      <c r="F1396" s="1122">
        <v>6.08</v>
      </c>
      <c r="G1396" s="1103">
        <v>7.15</v>
      </c>
      <c r="H1396" t="s">
        <v>418</v>
      </c>
    </row>
    <row r="1397" spans="1:8" ht="15.75">
      <c r="A1397" s="841"/>
      <c r="B1397" s="4132"/>
      <c r="C1397" s="1160"/>
      <c r="D1397" s="94"/>
      <c r="E1397" s="290" t="e">
        <f t="shared" si="63"/>
        <v>#DIV/0!</v>
      </c>
      <c r="F1397" s="1122"/>
      <c r="G1397" s="1103"/>
    </row>
    <row r="1398" spans="1:8" ht="16.5" thickBot="1">
      <c r="A1398" s="884"/>
      <c r="B1398" s="4133"/>
      <c r="C1398" s="1319"/>
      <c r="D1398" s="1320"/>
      <c r="E1398" s="290" t="e">
        <f t="shared" si="63"/>
        <v>#DIV/0!</v>
      </c>
      <c r="F1398" s="1122"/>
      <c r="G1398" s="1103"/>
    </row>
    <row r="1400" spans="1:8" ht="15.75" thickBot="1"/>
    <row r="1401" spans="1:8">
      <c r="A1401" s="3614" t="s">
        <v>0</v>
      </c>
      <c r="B1401" s="3693" t="s">
        <v>1</v>
      </c>
      <c r="C1401" s="3693" t="s">
        <v>2</v>
      </c>
      <c r="D1401" s="3693" t="s">
        <v>3</v>
      </c>
      <c r="E1401" s="3693" t="s">
        <v>4</v>
      </c>
      <c r="F1401" s="3522" t="s">
        <v>5</v>
      </c>
      <c r="G1401" s="109"/>
    </row>
    <row r="1402" spans="1:8" ht="15.75" thickBot="1">
      <c r="A1402" s="4050"/>
      <c r="B1402" s="4102"/>
      <c r="C1402" s="4102"/>
      <c r="D1402" s="4102"/>
      <c r="E1402" s="4102"/>
      <c r="F1402" s="4054"/>
      <c r="G1402" s="109"/>
    </row>
    <row r="1403" spans="1:8" ht="15.75">
      <c r="A1403" s="841" t="s">
        <v>2593</v>
      </c>
      <c r="B1403" s="4131" t="s">
        <v>1593</v>
      </c>
      <c r="C1403" s="1097" t="s">
        <v>636</v>
      </c>
      <c r="D1403" s="1098"/>
      <c r="E1403" s="290">
        <f>(G1403-F1403)/G1403</f>
        <v>0.20370370370370378</v>
      </c>
      <c r="F1403" s="1122">
        <v>0.86</v>
      </c>
      <c r="G1403" s="1103">
        <v>1.08</v>
      </c>
    </row>
    <row r="1404" spans="1:8" ht="15.75">
      <c r="A1404" s="841"/>
      <c r="B1404" s="4132"/>
      <c r="C1404" s="1143"/>
      <c r="D1404" s="1144"/>
      <c r="E1404" s="290" t="e">
        <f>(G1404-F1404)/G1404</f>
        <v>#DIV/0!</v>
      </c>
      <c r="F1404" s="1122"/>
      <c r="G1404" s="1103"/>
    </row>
    <row r="1405" spans="1:8" ht="16.5" thickBot="1">
      <c r="A1405" s="884"/>
      <c r="B1405" s="4133"/>
      <c r="C1405" s="1319"/>
      <c r="D1405" s="1320"/>
      <c r="E1405" s="290" t="e">
        <f>(G1405-F1405)/G1405</f>
        <v>#DIV/0!</v>
      </c>
      <c r="F1405" s="1122"/>
      <c r="G1405" s="1103"/>
    </row>
    <row r="1406" spans="1:8" ht="15.75" thickBot="1"/>
    <row r="1407" spans="1:8">
      <c r="A1407" s="3614" t="s">
        <v>0</v>
      </c>
      <c r="B1407" s="3693" t="s">
        <v>1</v>
      </c>
      <c r="C1407" s="3693" t="s">
        <v>2</v>
      </c>
      <c r="D1407" s="3693" t="s">
        <v>3</v>
      </c>
      <c r="E1407" s="3693" t="s">
        <v>4</v>
      </c>
      <c r="F1407" s="3522" t="s">
        <v>5</v>
      </c>
    </row>
    <row r="1408" spans="1:8" ht="15.75" thickBot="1">
      <c r="A1408" s="4196"/>
      <c r="B1408" s="4197"/>
      <c r="C1408" s="4197"/>
      <c r="D1408" s="4197"/>
      <c r="E1408" s="4197"/>
      <c r="F1408" s="4198"/>
    </row>
    <row r="1409" spans="1:9" ht="16.5" thickTop="1" thickBot="1">
      <c r="A1409" s="412" t="s">
        <v>2594</v>
      </c>
      <c r="B1409" s="288" t="s">
        <v>2029</v>
      </c>
      <c r="C1409" s="1476" t="s">
        <v>1892</v>
      </c>
      <c r="D1409" s="288"/>
      <c r="E1409" s="549">
        <f>(G1409-F1409)/G1409</f>
        <v>0.25000000000000011</v>
      </c>
      <c r="F1409" s="1373">
        <v>0.69</v>
      </c>
      <c r="G1409">
        <v>0.92</v>
      </c>
    </row>
    <row r="1410" spans="1:9" ht="15.75" thickBot="1">
      <c r="A1410" s="302"/>
      <c r="B1410" s="1299"/>
      <c r="C1410" s="1309"/>
      <c r="D1410" s="288"/>
      <c r="E1410" s="549" t="e">
        <f>(G1410-F1410)/G1410</f>
        <v>#DIV/0!</v>
      </c>
      <c r="F1410" s="1373"/>
    </row>
    <row r="1411" spans="1:9" ht="15.75" thickBot="1">
      <c r="A1411" s="460"/>
      <c r="B1411" s="1445"/>
      <c r="C1411" s="1316"/>
      <c r="D1411" s="592"/>
      <c r="E1411" s="593"/>
      <c r="F1411" s="1374"/>
    </row>
    <row r="1412" spans="1:9" ht="15.75" thickBot="1"/>
    <row r="1413" spans="1:9">
      <c r="A1413" s="3614" t="s">
        <v>0</v>
      </c>
      <c r="B1413" s="3693" t="s">
        <v>1</v>
      </c>
      <c r="C1413" s="3693" t="s">
        <v>2</v>
      </c>
      <c r="D1413" s="3693" t="s">
        <v>3</v>
      </c>
      <c r="E1413" s="3693" t="s">
        <v>4</v>
      </c>
      <c r="F1413" s="3522" t="s">
        <v>5</v>
      </c>
    </row>
    <row r="1414" spans="1:9" ht="15.75" thickBot="1">
      <c r="A1414" s="3681"/>
      <c r="B1414" s="3687"/>
      <c r="C1414" s="3687"/>
      <c r="D1414" s="3687"/>
      <c r="E1414" s="3687"/>
      <c r="F1414" s="3717"/>
    </row>
    <row r="1415" spans="1:9">
      <c r="A1415" s="1108" t="s">
        <v>2595</v>
      </c>
      <c r="B1415" s="1098" t="s">
        <v>2016</v>
      </c>
      <c r="C1415" s="1425" t="s">
        <v>554</v>
      </c>
      <c r="D1415" s="1098"/>
      <c r="E1415" s="1376">
        <f t="shared" ref="E1415:E1426" si="64">(G1415-F1415)/G1415</f>
        <v>0.20168067226890757</v>
      </c>
      <c r="F1415" s="1426">
        <v>0.95</v>
      </c>
      <c r="G1415">
        <v>1.19</v>
      </c>
      <c r="I1415" t="s">
        <v>418</v>
      </c>
    </row>
    <row r="1416" spans="1:9">
      <c r="A1416" s="1350"/>
      <c r="B1416" s="1299"/>
      <c r="C1416" s="1392" t="s">
        <v>1268</v>
      </c>
      <c r="D1416" s="1299"/>
      <c r="E1416" s="1378">
        <f t="shared" si="64"/>
        <v>0.20000000000000007</v>
      </c>
      <c r="F1416" s="1427">
        <v>0.88</v>
      </c>
      <c r="G1416">
        <v>1.1000000000000001</v>
      </c>
      <c r="I1416" t="s">
        <v>418</v>
      </c>
    </row>
    <row r="1417" spans="1:9">
      <c r="A1417" s="1350"/>
      <c r="B1417" s="1299"/>
      <c r="C1417" s="1392" t="s">
        <v>2596</v>
      </c>
      <c r="D1417" s="1299"/>
      <c r="E1417" s="1378">
        <f t="shared" si="64"/>
        <v>0.15131578947368421</v>
      </c>
      <c r="F1417" s="1427">
        <v>1.29</v>
      </c>
      <c r="G1417">
        <v>1.52</v>
      </c>
      <c r="I1417" t="s">
        <v>418</v>
      </c>
    </row>
    <row r="1418" spans="1:9">
      <c r="A1418" s="1350"/>
      <c r="B1418" s="1299"/>
      <c r="C1418" s="1473" t="s">
        <v>2251</v>
      </c>
      <c r="D1418" s="1299"/>
      <c r="E1418" s="1378">
        <f t="shared" si="64"/>
        <v>0.20000000000000007</v>
      </c>
      <c r="F1418" s="1427">
        <v>1.68</v>
      </c>
      <c r="G1418">
        <v>2.1</v>
      </c>
      <c r="I1418" t="s">
        <v>418</v>
      </c>
    </row>
    <row r="1419" spans="1:9">
      <c r="A1419" s="1350"/>
      <c r="B1419" s="1299"/>
      <c r="C1419" s="1392" t="s">
        <v>1413</v>
      </c>
      <c r="D1419" s="1299"/>
      <c r="E1419" s="1378">
        <f t="shared" si="64"/>
        <v>0.14857142857142858</v>
      </c>
      <c r="F1419" s="1427">
        <v>1.49</v>
      </c>
      <c r="G1419">
        <v>1.75</v>
      </c>
      <c r="I1419" t="s">
        <v>418</v>
      </c>
    </row>
    <row r="1420" spans="1:9">
      <c r="A1420" s="1350"/>
      <c r="B1420" s="1299"/>
      <c r="C1420" s="1392" t="s">
        <v>1429</v>
      </c>
      <c r="D1420" s="1299"/>
      <c r="E1420" s="1378">
        <f t="shared" si="64"/>
        <v>0.14857142857142858</v>
      </c>
      <c r="F1420" s="1427">
        <v>1.49</v>
      </c>
      <c r="G1420">
        <v>1.75</v>
      </c>
      <c r="I1420" t="s">
        <v>418</v>
      </c>
    </row>
    <row r="1421" spans="1:9">
      <c r="A1421" s="1350"/>
      <c r="B1421" s="1299"/>
      <c r="C1421" s="1392" t="s">
        <v>905</v>
      </c>
      <c r="D1421" s="1299"/>
      <c r="E1421" s="1378">
        <f t="shared" si="64"/>
        <v>0.20253164556962028</v>
      </c>
      <c r="F1421" s="1427">
        <v>0.63</v>
      </c>
      <c r="G1421">
        <v>0.79</v>
      </c>
      <c r="I1421" t="s">
        <v>418</v>
      </c>
    </row>
    <row r="1422" spans="1:9">
      <c r="A1422" s="1350"/>
      <c r="B1422" s="1299"/>
      <c r="C1422" s="1446" t="s">
        <v>1975</v>
      </c>
      <c r="D1422" s="1447"/>
      <c r="E1422" s="1448">
        <f t="shared" si="64"/>
        <v>0.19871794871794873</v>
      </c>
      <c r="F1422" s="1449">
        <v>1.25</v>
      </c>
      <c r="G1422" s="1450">
        <v>1.56</v>
      </c>
      <c r="H1422" t="s">
        <v>2597</v>
      </c>
      <c r="I1422" t="s">
        <v>418</v>
      </c>
    </row>
    <row r="1423" spans="1:9" ht="15.75" customHeight="1">
      <c r="A1423" s="1377"/>
      <c r="B1423" s="1299"/>
      <c r="C1423" s="1309" t="s">
        <v>1522</v>
      </c>
      <c r="D1423" s="1299"/>
      <c r="E1423" s="1378">
        <f t="shared" si="64"/>
        <v>0.15044247787610615</v>
      </c>
      <c r="F1423" s="1427">
        <v>0.96</v>
      </c>
      <c r="G1423">
        <v>1.1299999999999999</v>
      </c>
      <c r="I1423" t="s">
        <v>418</v>
      </c>
    </row>
    <row r="1424" spans="1:9">
      <c r="A1424" s="1377"/>
      <c r="B1424" s="1299"/>
      <c r="C1424" s="1309" t="s">
        <v>2462</v>
      </c>
      <c r="D1424" s="1299"/>
      <c r="E1424" s="1378">
        <f t="shared" si="64"/>
        <v>2.898550724637668E-2</v>
      </c>
      <c r="F1424" s="1427">
        <v>1.34</v>
      </c>
      <c r="G1424">
        <v>1.38</v>
      </c>
      <c r="I1424" t="s">
        <v>418</v>
      </c>
    </row>
    <row r="1425" spans="1:9">
      <c r="A1425" s="1377"/>
      <c r="B1425" s="1299"/>
      <c r="C1425" s="1476" t="s">
        <v>1891</v>
      </c>
      <c r="D1425" s="1451"/>
      <c r="E1425" s="1452">
        <f t="shared" si="64"/>
        <v>0.20192307692307698</v>
      </c>
      <c r="F1425" s="1453">
        <v>0.83</v>
      </c>
      <c r="G1425" s="1454">
        <v>1.04</v>
      </c>
      <c r="H1425" t="s">
        <v>2598</v>
      </c>
      <c r="I1425" t="s">
        <v>418</v>
      </c>
    </row>
    <row r="1426" spans="1:9" ht="15.75" thickBot="1">
      <c r="A1426" s="1428"/>
      <c r="B1426" s="1445"/>
      <c r="C1426" s="1455"/>
      <c r="D1426" s="1445"/>
      <c r="E1426" s="1456" t="e">
        <f t="shared" si="64"/>
        <v>#DIV/0!</v>
      </c>
      <c r="F1426" s="1430"/>
      <c r="G1426" s="33"/>
    </row>
    <row r="1430" spans="1:9" ht="15.75" thickBot="1"/>
    <row r="1431" spans="1:9">
      <c r="A1431" s="3572" t="s">
        <v>0</v>
      </c>
      <c r="B1431" s="3636" t="s">
        <v>1</v>
      </c>
      <c r="C1431" s="3636" t="s">
        <v>2</v>
      </c>
      <c r="D1431" s="3636" t="s">
        <v>3</v>
      </c>
      <c r="E1431" s="3636" t="s">
        <v>4</v>
      </c>
      <c r="F1431" s="3559" t="s">
        <v>5</v>
      </c>
      <c r="G1431" s="429"/>
    </row>
    <row r="1432" spans="1:9" ht="15.75" thickBot="1">
      <c r="A1432" s="3699"/>
      <c r="B1432" s="3692"/>
      <c r="C1432" s="3692"/>
      <c r="D1432" s="3692"/>
      <c r="E1432" s="3692"/>
      <c r="F1432" s="3705"/>
      <c r="G1432" s="429"/>
    </row>
    <row r="1433" spans="1:9" ht="15.75" thickTop="1">
      <c r="A1433" s="1022" t="s">
        <v>2600</v>
      </c>
      <c r="B1433" s="388" t="s">
        <v>120</v>
      </c>
      <c r="C1433" s="1280" t="s">
        <v>554</v>
      </c>
      <c r="D1433" s="388"/>
      <c r="E1433" s="880">
        <f t="shared" ref="E1433:E1438" si="65">(G1433-F1433)/G1433</f>
        <v>0.2032520325203252</v>
      </c>
      <c r="F1433" s="1024">
        <v>0.98</v>
      </c>
      <c r="G1433" s="436">
        <v>1.23</v>
      </c>
    </row>
    <row r="1434" spans="1:9">
      <c r="A1434" s="491"/>
      <c r="B1434" s="1281" t="s">
        <v>121</v>
      </c>
      <c r="C1434" s="1280" t="s">
        <v>730</v>
      </c>
      <c r="D1434" s="388"/>
      <c r="E1434" s="1282">
        <f t="shared" si="65"/>
        <v>0.19540229885057475</v>
      </c>
      <c r="F1434" s="1024">
        <v>0.7</v>
      </c>
      <c r="G1434" s="429">
        <v>0.87</v>
      </c>
    </row>
    <row r="1435" spans="1:9">
      <c r="A1435" s="491"/>
      <c r="B1435" s="1281" t="s">
        <v>123</v>
      </c>
      <c r="C1435" s="1617" t="s">
        <v>1975</v>
      </c>
      <c r="D1435" s="388"/>
      <c r="E1435" s="1282">
        <f t="shared" si="65"/>
        <v>0.20125786163522016</v>
      </c>
      <c r="F1435" s="1024">
        <v>1.27</v>
      </c>
      <c r="G1435" s="429">
        <v>1.59</v>
      </c>
    </row>
    <row r="1436" spans="1:9">
      <c r="A1436" s="491"/>
      <c r="B1436" s="1281" t="s">
        <v>122</v>
      </c>
      <c r="C1436" s="1280" t="s">
        <v>1522</v>
      </c>
      <c r="D1436" s="388"/>
      <c r="E1436" s="1282">
        <f t="shared" si="65"/>
        <v>0.1538461538461538</v>
      </c>
      <c r="F1436" s="1024">
        <v>0.99</v>
      </c>
      <c r="G1436" s="528">
        <v>1.17</v>
      </c>
    </row>
    <row r="1437" spans="1:9">
      <c r="A1437" s="491"/>
      <c r="B1437" s="1199" t="s">
        <v>2057</v>
      </c>
      <c r="C1437" s="1200"/>
      <c r="D1437" s="388"/>
      <c r="E1437" s="1282" t="e">
        <f t="shared" si="65"/>
        <v>#DIV/0!</v>
      </c>
      <c r="F1437" s="961"/>
      <c r="G1437" s="528"/>
    </row>
    <row r="1438" spans="1:9" ht="15.75" thickBot="1">
      <c r="A1438" s="500"/>
      <c r="B1438" s="1458"/>
      <c r="C1438" s="1459"/>
      <c r="D1438" s="873"/>
      <c r="E1438" s="1460" t="e">
        <f t="shared" si="65"/>
        <v>#DIV/0!</v>
      </c>
      <c r="F1438" s="1347"/>
      <c r="G1438" s="528"/>
    </row>
    <row r="1439" spans="1:9" ht="15.75" thickBot="1"/>
    <row r="1440" spans="1:9">
      <c r="A1440" s="3572" t="s">
        <v>0</v>
      </c>
      <c r="B1440" s="3636" t="s">
        <v>1</v>
      </c>
      <c r="C1440" s="3636" t="s">
        <v>2</v>
      </c>
      <c r="D1440" s="3636" t="s">
        <v>3</v>
      </c>
      <c r="E1440" s="3636" t="s">
        <v>4</v>
      </c>
      <c r="F1440" s="3559" t="s">
        <v>5</v>
      </c>
      <c r="G1440" s="429"/>
    </row>
    <row r="1441" spans="1:7" ht="15.75" thickBot="1">
      <c r="A1441" s="3699"/>
      <c r="B1441" s="3692"/>
      <c r="C1441" s="3692"/>
      <c r="D1441" s="3692"/>
      <c r="E1441" s="3692"/>
      <c r="F1441" s="3705"/>
      <c r="G1441" s="429"/>
    </row>
    <row r="1442" spans="1:7" ht="15.75" thickTop="1">
      <c r="A1442" s="1022" t="s">
        <v>2601</v>
      </c>
      <c r="B1442" s="388" t="s">
        <v>2029</v>
      </c>
      <c r="C1442" s="1280" t="s">
        <v>2602</v>
      </c>
      <c r="D1442" s="388"/>
      <c r="E1442" s="880">
        <f t="shared" ref="E1442:E1447" si="66">(G1442-F1442)/G1442</f>
        <v>0.15015974440894561</v>
      </c>
      <c r="F1442" s="1024">
        <v>2.66</v>
      </c>
      <c r="G1442" s="436">
        <v>3.13</v>
      </c>
    </row>
    <row r="1443" spans="1:7">
      <c r="A1443" s="491"/>
      <c r="B1443" s="1281"/>
      <c r="C1443" s="1280" t="s">
        <v>2603</v>
      </c>
      <c r="D1443" s="388"/>
      <c r="E1443" s="1282">
        <f t="shared" si="66"/>
        <v>0.15015974440894561</v>
      </c>
      <c r="F1443" s="1024">
        <v>2.66</v>
      </c>
      <c r="G1443" s="429">
        <v>3.13</v>
      </c>
    </row>
    <row r="1444" spans="1:7">
      <c r="A1444" s="491"/>
      <c r="B1444" s="1281"/>
      <c r="C1444" s="1280"/>
      <c r="D1444" s="388"/>
      <c r="E1444" s="1282" t="e">
        <f t="shared" si="66"/>
        <v>#DIV/0!</v>
      </c>
      <c r="F1444" s="1024"/>
      <c r="G1444" s="429"/>
    </row>
    <row r="1445" spans="1:7">
      <c r="A1445" s="491"/>
      <c r="B1445" s="1281"/>
      <c r="C1445" s="1280"/>
      <c r="D1445" s="388"/>
      <c r="E1445" s="1282" t="e">
        <f t="shared" si="66"/>
        <v>#DIV/0!</v>
      </c>
      <c r="F1445" s="1024"/>
      <c r="G1445" s="528"/>
    </row>
    <row r="1446" spans="1:7">
      <c r="A1446" s="491"/>
      <c r="B1446" s="1199"/>
      <c r="C1446" s="1200"/>
      <c r="D1446" s="388"/>
      <c r="E1446" s="1282" t="e">
        <f t="shared" si="66"/>
        <v>#DIV/0!</v>
      </c>
      <c r="F1446" s="961"/>
      <c r="G1446" s="528"/>
    </row>
    <row r="1447" spans="1:7" ht="15.75" thickBot="1">
      <c r="A1447" s="500"/>
      <c r="B1447" s="1458"/>
      <c r="C1447" s="1459"/>
      <c r="D1447" s="873"/>
      <c r="E1447" s="1460" t="e">
        <f t="shared" si="66"/>
        <v>#DIV/0!</v>
      </c>
      <c r="F1447" s="1347"/>
      <c r="G1447" s="528"/>
    </row>
    <row r="1449" spans="1:7" ht="15.75" thickBot="1"/>
    <row r="1450" spans="1:7">
      <c r="A1450" s="3614" t="s">
        <v>0</v>
      </c>
      <c r="B1450" s="3693" t="s">
        <v>1</v>
      </c>
      <c r="C1450" s="3693" t="s">
        <v>2</v>
      </c>
      <c r="D1450" s="3693" t="s">
        <v>3</v>
      </c>
      <c r="E1450" s="3693" t="s">
        <v>4</v>
      </c>
      <c r="F1450" s="3522" t="s">
        <v>5</v>
      </c>
      <c r="G1450" s="109"/>
    </row>
    <row r="1451" spans="1:7" ht="15.75" thickBot="1">
      <c r="A1451" s="4050"/>
      <c r="B1451" s="4102"/>
      <c r="C1451" s="4102"/>
      <c r="D1451" s="4102"/>
      <c r="E1451" s="4102"/>
      <c r="F1451" s="4054"/>
      <c r="G1451" s="109"/>
    </row>
    <row r="1452" spans="1:7" ht="15.75">
      <c r="A1452" s="841" t="s">
        <v>2605</v>
      </c>
      <c r="B1452" s="4131" t="s">
        <v>2155</v>
      </c>
      <c r="C1452" s="1097" t="s">
        <v>1301</v>
      </c>
      <c r="D1452" s="1098"/>
      <c r="E1452" s="290">
        <f>(G1452-F1452)/G1452</f>
        <v>0.16981132075471703</v>
      </c>
      <c r="F1452" s="1122">
        <v>0.88</v>
      </c>
      <c r="G1452" s="1103">
        <v>1.06</v>
      </c>
    </row>
    <row r="1453" spans="1:7" ht="15.75">
      <c r="A1453" s="841"/>
      <c r="B1453" s="4132"/>
      <c r="C1453" s="1143" t="s">
        <v>1374</v>
      </c>
      <c r="D1453" s="1144"/>
      <c r="E1453" s="290">
        <f t="shared" ref="E1453:E1465" si="67">(G1453-F1453)/G1453</f>
        <v>0.16981132075471703</v>
      </c>
      <c r="F1453" s="1122">
        <v>0.88</v>
      </c>
      <c r="G1453" s="1103">
        <v>1.06</v>
      </c>
    </row>
    <row r="1454" spans="1:7" ht="15.75">
      <c r="A1454" s="841"/>
      <c r="B1454" s="4132"/>
      <c r="C1454" s="1160" t="s">
        <v>2303</v>
      </c>
      <c r="D1454" s="94"/>
      <c r="E1454" s="290">
        <f t="shared" si="67"/>
        <v>0.16981132075471703</v>
      </c>
      <c r="F1454" s="1122">
        <v>0.88</v>
      </c>
      <c r="G1454" s="1103">
        <v>1.06</v>
      </c>
    </row>
    <row r="1455" spans="1:7" ht="15.75">
      <c r="A1455" s="841"/>
      <c r="B1455" s="4132"/>
      <c r="C1455" s="1160" t="s">
        <v>869</v>
      </c>
      <c r="D1455" s="94"/>
      <c r="E1455" s="290">
        <f t="shared" si="67"/>
        <v>0.15151515151515146</v>
      </c>
      <c r="F1455" s="1122">
        <v>1.1200000000000001</v>
      </c>
      <c r="G1455" s="1103">
        <v>1.32</v>
      </c>
    </row>
    <row r="1456" spans="1:7" ht="15.75">
      <c r="A1456" s="841"/>
      <c r="B1456" s="4132"/>
      <c r="C1456" s="1160" t="s">
        <v>870</v>
      </c>
      <c r="D1456" s="94"/>
      <c r="E1456" s="290">
        <f t="shared" si="67"/>
        <v>0.15151515151515146</v>
      </c>
      <c r="F1456" s="1122">
        <v>1.1200000000000001</v>
      </c>
      <c r="G1456" s="1103">
        <v>1.32</v>
      </c>
    </row>
    <row r="1457" spans="1:7" ht="15.75">
      <c r="A1457" s="841"/>
      <c r="B1457" s="4132"/>
      <c r="C1457" s="1614" t="s">
        <v>1904</v>
      </c>
      <c r="D1457" s="94"/>
      <c r="E1457" s="290">
        <f t="shared" si="67"/>
        <v>0.19867549668874174</v>
      </c>
      <c r="F1457" s="1122">
        <v>1.21</v>
      </c>
      <c r="G1457" s="1103">
        <v>1.51</v>
      </c>
    </row>
    <row r="1458" spans="1:7" ht="15.75">
      <c r="A1458" s="841"/>
      <c r="B1458" s="4132"/>
      <c r="C1458" s="1614" t="s">
        <v>2606</v>
      </c>
      <c r="D1458" s="94"/>
      <c r="E1458" s="290">
        <f t="shared" si="67"/>
        <v>0.15151515151515146</v>
      </c>
      <c r="F1458" s="1122">
        <v>0.56000000000000005</v>
      </c>
      <c r="G1458" s="1103">
        <v>0.66</v>
      </c>
    </row>
    <row r="1459" spans="1:7" ht="15.75">
      <c r="A1459" s="841"/>
      <c r="B1459" s="4132"/>
      <c r="C1459" s="1614" t="s">
        <v>2607</v>
      </c>
      <c r="D1459" s="94"/>
      <c r="E1459" s="290">
        <f t="shared" si="67"/>
        <v>0.15151515151515146</v>
      </c>
      <c r="F1459" s="1122">
        <v>0.56000000000000005</v>
      </c>
      <c r="G1459" s="1103">
        <v>0.66</v>
      </c>
    </row>
    <row r="1460" spans="1:7" ht="15.75">
      <c r="A1460" s="841"/>
      <c r="B1460" s="4132"/>
      <c r="C1460" s="1160" t="s">
        <v>1763</v>
      </c>
      <c r="D1460" s="94"/>
      <c r="E1460" s="290">
        <f t="shared" si="67"/>
        <v>7.5837742504409125E-2</v>
      </c>
      <c r="F1460" s="1122">
        <v>20.96</v>
      </c>
      <c r="G1460" s="1103">
        <v>22.68</v>
      </c>
    </row>
    <row r="1461" spans="1:7" ht="15.75">
      <c r="A1461" s="841"/>
      <c r="B1461" s="4132"/>
      <c r="C1461" s="1160" t="s">
        <v>1556</v>
      </c>
      <c r="D1461" s="94"/>
      <c r="E1461" s="290">
        <f t="shared" si="67"/>
        <v>7.5837742504409125E-2</v>
      </c>
      <c r="F1461" s="1122">
        <v>20.96</v>
      </c>
      <c r="G1461" s="1103">
        <v>22.68</v>
      </c>
    </row>
    <row r="1462" spans="1:7" ht="15.75">
      <c r="A1462" s="841"/>
      <c r="B1462" s="4132"/>
      <c r="C1462" s="1160" t="s">
        <v>1557</v>
      </c>
      <c r="D1462" s="94"/>
      <c r="E1462" s="290">
        <f t="shared" si="67"/>
        <v>7.5837742504409125E-2</v>
      </c>
      <c r="F1462" s="1122">
        <v>20.96</v>
      </c>
      <c r="G1462" s="1103">
        <v>22.68</v>
      </c>
    </row>
    <row r="1463" spans="1:7" ht="15.75">
      <c r="A1463" s="841"/>
      <c r="B1463" s="4132"/>
      <c r="C1463" s="1160" t="s">
        <v>1555</v>
      </c>
      <c r="D1463" s="94"/>
      <c r="E1463" s="290">
        <f t="shared" si="67"/>
        <v>7.5837742504409125E-2</v>
      </c>
      <c r="F1463" s="1122">
        <v>20.96</v>
      </c>
      <c r="G1463" s="1103">
        <v>22.68</v>
      </c>
    </row>
    <row r="1464" spans="1:7" ht="15.75">
      <c r="A1464" s="841"/>
      <c r="B1464" s="4132"/>
      <c r="C1464" s="1160"/>
      <c r="D1464" s="94"/>
      <c r="E1464" s="290" t="e">
        <f t="shared" si="67"/>
        <v>#DIV/0!</v>
      </c>
      <c r="F1464" s="1122"/>
      <c r="G1464" s="1103"/>
    </row>
    <row r="1465" spans="1:7" ht="16.5" thickBot="1">
      <c r="A1465" s="884"/>
      <c r="B1465" s="4133"/>
      <c r="C1465" s="1319"/>
      <c r="D1465" s="1320"/>
      <c r="E1465" s="290" t="e">
        <f t="shared" si="67"/>
        <v>#DIV/0!</v>
      </c>
      <c r="F1465" s="1122"/>
      <c r="G1465" s="1103"/>
    </row>
    <row r="1467" spans="1:7" ht="15.75" thickBot="1"/>
    <row r="1468" spans="1:7">
      <c r="A1468" s="3614" t="s">
        <v>0</v>
      </c>
      <c r="B1468" s="3693" t="s">
        <v>1</v>
      </c>
      <c r="C1468" s="3693" t="s">
        <v>2</v>
      </c>
      <c r="D1468" s="3693" t="s">
        <v>3</v>
      </c>
      <c r="E1468" s="3693" t="s">
        <v>4</v>
      </c>
      <c r="F1468" s="3522" t="s">
        <v>5</v>
      </c>
    </row>
    <row r="1469" spans="1:7" ht="15.75" thickBot="1">
      <c r="A1469" s="3681"/>
      <c r="B1469" s="3687"/>
      <c r="C1469" s="3687"/>
      <c r="D1469" s="3687"/>
      <c r="E1469" s="3687"/>
      <c r="F1469" s="3717"/>
    </row>
    <row r="1470" spans="1:7">
      <c r="A1470" s="1108" t="s">
        <v>2608</v>
      </c>
      <c r="B1470" s="1098" t="s">
        <v>2016</v>
      </c>
      <c r="C1470" s="1611" t="s">
        <v>2606</v>
      </c>
      <c r="D1470" s="1098"/>
      <c r="E1470" s="1376">
        <f>(F1470/G1470-1)*-1</f>
        <v>0.20547945205479456</v>
      </c>
      <c r="F1470" s="1480">
        <v>0.57999999999999996</v>
      </c>
      <c r="G1470" s="32">
        <v>0.73</v>
      </c>
    </row>
    <row r="1471" spans="1:7">
      <c r="A1471" s="1350"/>
      <c r="B1471" s="1299"/>
      <c r="C1471" s="1612" t="s">
        <v>2615</v>
      </c>
      <c r="D1471" s="1299"/>
      <c r="E1471" s="1378">
        <f t="shared" ref="E1471:E1478" si="68">(F1471/G1471-1)*-1</f>
        <v>0.20547945205479456</v>
      </c>
      <c r="F1471" s="1478">
        <v>0.57999999999999996</v>
      </c>
      <c r="G1471" s="32">
        <v>0.73</v>
      </c>
    </row>
    <row r="1472" spans="1:7">
      <c r="A1472" s="1350"/>
      <c r="B1472" s="1299"/>
      <c r="C1472" s="1612" t="s">
        <v>2607</v>
      </c>
      <c r="D1472" s="1299"/>
      <c r="E1472" s="1378">
        <f t="shared" si="68"/>
        <v>0.20547945205479456</v>
      </c>
      <c r="F1472" s="1478">
        <v>0.57999999999999996</v>
      </c>
      <c r="G1472" s="32">
        <v>0.73</v>
      </c>
    </row>
    <row r="1473" spans="1:7">
      <c r="A1473" s="1350"/>
      <c r="B1473" s="1299"/>
      <c r="C1473" s="1479" t="s">
        <v>53</v>
      </c>
      <c r="D1473" s="1299"/>
      <c r="E1473" s="1378">
        <f t="shared" si="68"/>
        <v>0.19811320754716988</v>
      </c>
      <c r="F1473" s="1478">
        <v>0.85</v>
      </c>
      <c r="G1473" s="32">
        <v>1.06</v>
      </c>
    </row>
    <row r="1474" spans="1:7">
      <c r="A1474" s="1350"/>
      <c r="B1474" s="1299"/>
      <c r="C1474" s="1479" t="s">
        <v>2207</v>
      </c>
      <c r="D1474" s="1299"/>
      <c r="E1474" s="1378">
        <f t="shared" si="68"/>
        <v>0.14545454545454561</v>
      </c>
      <c r="F1474" s="1605">
        <v>0.47</v>
      </c>
      <c r="G1474" s="32">
        <v>0.55000000000000004</v>
      </c>
    </row>
    <row r="1475" spans="1:7">
      <c r="A1475" s="1350"/>
      <c r="B1475" s="1299"/>
      <c r="C1475" s="1612" t="s">
        <v>2175</v>
      </c>
      <c r="D1475" s="1299"/>
      <c r="E1475" s="1378">
        <f t="shared" si="68"/>
        <v>0.19905213270142175</v>
      </c>
      <c r="F1475" s="1478">
        <v>3.38</v>
      </c>
      <c r="G1475" s="32">
        <v>4.22</v>
      </c>
    </row>
    <row r="1476" spans="1:7">
      <c r="A1476" s="1350"/>
      <c r="B1476" s="1299"/>
      <c r="C1476" s="1612" t="s">
        <v>1975</v>
      </c>
      <c r="D1476" s="1299"/>
      <c r="E1476" s="1378">
        <f t="shared" si="68"/>
        <v>0.20114942528735635</v>
      </c>
      <c r="F1476" s="1478">
        <v>1.39</v>
      </c>
      <c r="G1476" s="32">
        <v>1.74</v>
      </c>
    </row>
    <row r="1477" spans="1:7">
      <c r="A1477" s="1350"/>
      <c r="B1477" s="1299"/>
      <c r="C1477" s="1479" t="s">
        <v>183</v>
      </c>
      <c r="D1477" s="1299"/>
      <c r="E1477" s="1378">
        <f t="shared" si="68"/>
        <v>0.1507936507936507</v>
      </c>
      <c r="F1477" s="1605">
        <v>1.07</v>
      </c>
      <c r="G1477" s="32">
        <v>1.26</v>
      </c>
    </row>
    <row r="1478" spans="1:7" ht="15.75" customHeight="1">
      <c r="A1478" s="1377"/>
      <c r="B1478" s="1299"/>
      <c r="C1478" s="1299" t="s">
        <v>155</v>
      </c>
      <c r="D1478" s="1299"/>
      <c r="E1478" s="1378">
        <f t="shared" si="68"/>
        <v>0.15384615384615385</v>
      </c>
      <c r="F1478" s="1605">
        <v>0.88</v>
      </c>
      <c r="G1478" s="32">
        <v>1.04</v>
      </c>
    </row>
    <row r="1479" spans="1:7">
      <c r="A1479" s="1377"/>
      <c r="B1479" s="1299"/>
      <c r="C1479" s="1299"/>
      <c r="D1479" s="1299"/>
      <c r="E1479" s="1378"/>
      <c r="F1479" s="1478"/>
      <c r="G1479" s="32"/>
    </row>
    <row r="1480" spans="1:7">
      <c r="A1480" s="1377"/>
      <c r="B1480" s="1299"/>
      <c r="C1480" s="33"/>
      <c r="D1480" s="1299"/>
      <c r="E1480" s="1378"/>
      <c r="F1480" s="1478"/>
      <c r="G1480" s="32"/>
    </row>
    <row r="1481" spans="1:7" ht="15.75" thickBot="1">
      <c r="A1481" s="1428"/>
      <c r="B1481" s="1445"/>
      <c r="C1481" s="1455"/>
      <c r="D1481" s="1445"/>
      <c r="E1481" s="1456" t="e">
        <f>(G1481-F1481)/G1481</f>
        <v>#DIV/0!</v>
      </c>
      <c r="F1481" s="1430"/>
      <c r="G1481" s="33"/>
    </row>
    <row r="1482" spans="1:7" ht="15.75" thickBot="1"/>
    <row r="1483" spans="1:7">
      <c r="A1483" s="3614" t="s">
        <v>0</v>
      </c>
      <c r="B1483" s="3693" t="s">
        <v>1</v>
      </c>
      <c r="C1483" s="3693" t="s">
        <v>2</v>
      </c>
      <c r="D1483" s="3693" t="s">
        <v>3</v>
      </c>
      <c r="E1483" s="3693" t="s">
        <v>4</v>
      </c>
      <c r="F1483" s="3522" t="s">
        <v>5</v>
      </c>
      <c r="G1483" s="109"/>
    </row>
    <row r="1484" spans="1:7" ht="15.75" thickBot="1">
      <c r="A1484" s="4050"/>
      <c r="B1484" s="4102"/>
      <c r="C1484" s="4102"/>
      <c r="D1484" s="4102"/>
      <c r="E1484" s="4102"/>
      <c r="F1484" s="4054"/>
      <c r="G1484" s="109"/>
    </row>
    <row r="1485" spans="1:7" ht="15.75">
      <c r="A1485" s="841" t="s">
        <v>2618</v>
      </c>
      <c r="B1485" s="4131" t="s">
        <v>1593</v>
      </c>
      <c r="C1485" s="1615" t="s">
        <v>1892</v>
      </c>
      <c r="D1485" s="1098"/>
      <c r="E1485" s="290">
        <f>(G1485-F1485)/G1485</f>
        <v>0.25471698113207547</v>
      </c>
      <c r="F1485" s="1122">
        <v>0.79</v>
      </c>
      <c r="G1485" s="1103">
        <v>1.06</v>
      </c>
    </row>
    <row r="1486" spans="1:7" ht="15.75">
      <c r="A1486" s="841"/>
      <c r="B1486" s="4132"/>
      <c r="C1486" s="1143" t="s">
        <v>1120</v>
      </c>
      <c r="D1486" s="1144"/>
      <c r="E1486" s="290">
        <f>(G1486-F1486)/G1486</f>
        <v>0.20754716981132082</v>
      </c>
      <c r="F1486" s="1122">
        <v>0.42</v>
      </c>
      <c r="G1486" s="1103">
        <v>0.53</v>
      </c>
    </row>
    <row r="1487" spans="1:7" ht="16.5" thickBot="1">
      <c r="A1487" s="884"/>
      <c r="B1487" s="4133"/>
      <c r="C1487" s="1319"/>
      <c r="D1487" s="1320"/>
      <c r="E1487" s="290" t="e">
        <f>(G1487-F1487)/G1487</f>
        <v>#DIV/0!</v>
      </c>
      <c r="F1487" s="1122"/>
      <c r="G1487" s="1103"/>
    </row>
    <row r="1488" spans="1:7" ht="15.75" thickBot="1"/>
    <row r="1489" spans="1:7">
      <c r="A1489" s="3614" t="s">
        <v>0</v>
      </c>
      <c r="B1489" s="3693" t="s">
        <v>1</v>
      </c>
      <c r="C1489" s="3693" t="s">
        <v>2</v>
      </c>
      <c r="D1489" s="3693" t="s">
        <v>3</v>
      </c>
      <c r="E1489" s="3693" t="s">
        <v>4</v>
      </c>
      <c r="F1489" s="3522" t="s">
        <v>5</v>
      </c>
    </row>
    <row r="1490" spans="1:7" ht="15.75" thickBot="1">
      <c r="A1490" s="4080"/>
      <c r="B1490" s="4081"/>
      <c r="C1490" s="4081"/>
      <c r="D1490" s="4081"/>
      <c r="E1490" s="4081"/>
      <c r="F1490" s="4082"/>
    </row>
    <row r="1491" spans="1:7" ht="24" customHeight="1" thickTop="1" thickBot="1">
      <c r="A1491" s="1063" t="s">
        <v>2293</v>
      </c>
      <c r="B1491" s="1483" t="s">
        <v>2082</v>
      </c>
      <c r="C1491" s="1479" t="s">
        <v>2115</v>
      </c>
      <c r="D1491" s="1481"/>
      <c r="E1491" s="1488">
        <f>(G1491-F1491)/G1491</f>
        <v>0.20129870129870134</v>
      </c>
      <c r="F1491" s="1485">
        <v>1.23</v>
      </c>
      <c r="G1491" s="32">
        <v>1.54</v>
      </c>
    </row>
    <row r="1492" spans="1:7" ht="19.5" thickBot="1">
      <c r="A1492" s="1484"/>
      <c r="B1492" s="1483"/>
      <c r="C1492" s="1479" t="s">
        <v>2066</v>
      </c>
      <c r="D1492" s="1486"/>
      <c r="E1492" s="1488">
        <f>(G1492-F1492)/G1492</f>
        <v>0.20129870129870134</v>
      </c>
      <c r="F1492" s="1485">
        <v>1.23</v>
      </c>
      <c r="G1492" s="32">
        <v>1.54</v>
      </c>
    </row>
    <row r="1493" spans="1:7" ht="19.5" thickBot="1">
      <c r="A1493" s="1484"/>
      <c r="B1493" s="1483"/>
      <c r="C1493" s="1479" t="s">
        <v>385</v>
      </c>
      <c r="D1493" s="1487"/>
      <c r="E1493" s="1488">
        <f>(G1493-F1493)/G1493</f>
        <v>0.19658119658119658</v>
      </c>
      <c r="F1493" s="1485">
        <v>0.94</v>
      </c>
      <c r="G1493" s="32">
        <v>1.17</v>
      </c>
    </row>
    <row r="1494" spans="1:7" ht="15.75" thickBot="1">
      <c r="A1494" s="415"/>
      <c r="B1494" s="592"/>
      <c r="C1494" s="1479" t="s">
        <v>388</v>
      </c>
      <c r="D1494" s="1196"/>
      <c r="E1494" s="1488">
        <f>(G1494-F1494)/G1494</f>
        <v>0.19658119658119658</v>
      </c>
      <c r="F1494" s="1485">
        <v>0.94</v>
      </c>
      <c r="G1494" s="32">
        <v>1.17</v>
      </c>
    </row>
    <row r="1496" spans="1:7" ht="15.75" thickBot="1"/>
    <row r="1497" spans="1:7">
      <c r="A1497" s="3572"/>
      <c r="B1497" s="3636"/>
      <c r="C1497" s="3636"/>
      <c r="D1497" s="3636"/>
      <c r="E1497" s="3636"/>
      <c r="F1497" s="3559"/>
      <c r="G1497" s="429"/>
    </row>
    <row r="1498" spans="1:7" ht="15.75" thickBot="1">
      <c r="A1498" s="3695"/>
      <c r="B1498" s="3692"/>
      <c r="C1498" s="3692"/>
      <c r="D1498" s="3692"/>
      <c r="E1498" s="3692"/>
      <c r="F1498" s="3705"/>
      <c r="G1498" s="429"/>
    </row>
    <row r="1499" spans="1:7" ht="16.5" thickTop="1" thickBot="1">
      <c r="A1499" s="1495" t="s">
        <v>2628</v>
      </c>
      <c r="B1499" s="388" t="s">
        <v>120</v>
      </c>
      <c r="C1499" s="1340" t="s">
        <v>1695</v>
      </c>
      <c r="D1499" s="388"/>
      <c r="E1499" s="880">
        <f>(G1499-F1499)/G1499</f>
        <v>0.14285714285714282</v>
      </c>
      <c r="F1499" s="1341">
        <v>0.6</v>
      </c>
      <c r="G1499" s="436">
        <v>0.7</v>
      </c>
    </row>
    <row r="1500" spans="1:7">
      <c r="A1500" s="491"/>
      <c r="B1500" s="1342" t="s">
        <v>121</v>
      </c>
      <c r="C1500" s="1340" t="s">
        <v>920</v>
      </c>
      <c r="D1500" s="388"/>
      <c r="E1500" s="880">
        <f>(G1500-F1500)/G1500</f>
        <v>0.19512195121951212</v>
      </c>
      <c r="F1500" s="1341">
        <v>0.66</v>
      </c>
      <c r="G1500" s="429">
        <v>0.82</v>
      </c>
    </row>
    <row r="1501" spans="1:7">
      <c r="A1501" s="491"/>
      <c r="B1501" s="1342" t="s">
        <v>123</v>
      </c>
      <c r="C1501" s="1340"/>
      <c r="D1501" s="388"/>
      <c r="E1501" s="1343"/>
      <c r="F1501" s="1341"/>
      <c r="G1501" s="429"/>
    </row>
    <row r="1502" spans="1:7">
      <c r="A1502" s="491"/>
      <c r="B1502" s="1342" t="s">
        <v>122</v>
      </c>
      <c r="C1502" s="1340"/>
      <c r="D1502" s="388"/>
      <c r="E1502" s="1343"/>
      <c r="F1502" s="1341"/>
      <c r="G1502" s="528"/>
    </row>
    <row r="1503" spans="1:7">
      <c r="A1503" s="491"/>
      <c r="B1503" s="1199" t="s">
        <v>2057</v>
      </c>
      <c r="C1503" s="1200"/>
      <c r="D1503" s="388"/>
      <c r="E1503" s="1343"/>
      <c r="F1503" s="961"/>
      <c r="G1503" s="528"/>
    </row>
    <row r="1504" spans="1:7" ht="15.75" thickBot="1">
      <c r="A1504" s="500"/>
      <c r="B1504" s="1344"/>
      <c r="C1504" s="1345"/>
      <c r="D1504" s="873"/>
      <c r="E1504" s="1346"/>
      <c r="F1504" s="1347"/>
      <c r="G1504" s="528"/>
    </row>
    <row r="1505" spans="1:7" ht="15.75" thickBot="1"/>
    <row r="1506" spans="1:7">
      <c r="A1506" s="4138" t="s">
        <v>0</v>
      </c>
      <c r="B1506" s="4134" t="s">
        <v>1</v>
      </c>
      <c r="C1506" s="4134" t="s">
        <v>2</v>
      </c>
      <c r="D1506" s="4134" t="s">
        <v>3</v>
      </c>
      <c r="E1506" s="4134" t="s">
        <v>4</v>
      </c>
      <c r="F1506" s="4136" t="s">
        <v>5</v>
      </c>
    </row>
    <row r="1507" spans="1:7" ht="15.75" thickBot="1">
      <c r="A1507" s="4139"/>
      <c r="B1507" s="4135"/>
      <c r="C1507" s="4135"/>
      <c r="D1507" s="4135"/>
      <c r="E1507" s="4135"/>
      <c r="F1507" s="4137"/>
    </row>
    <row r="1508" spans="1:7" ht="15.75">
      <c r="A1508" s="1138" t="s">
        <v>2629</v>
      </c>
      <c r="B1508" s="902" t="s">
        <v>1708</v>
      </c>
      <c r="C1508" s="1139" t="s">
        <v>2192</v>
      </c>
      <c r="D1508" s="902"/>
      <c r="E1508" s="904">
        <f t="shared" ref="E1508:E1517" si="69">(G1508-F1508)/G1508</f>
        <v>0.20054945054945053</v>
      </c>
      <c r="F1508" s="1140">
        <v>5.82</v>
      </c>
      <c r="G1508">
        <v>7.28</v>
      </c>
    </row>
    <row r="1509" spans="1:7" ht="15.75">
      <c r="A1509" s="1311"/>
      <c r="B1509" s="1309"/>
      <c r="C1509" s="1309" t="s">
        <v>2194</v>
      </c>
      <c r="D1509" s="1309"/>
      <c r="E1509" s="1352">
        <f t="shared" si="69"/>
        <v>0.20054945054945053</v>
      </c>
      <c r="F1509" s="1140">
        <v>5.82</v>
      </c>
      <c r="G1509">
        <v>7.28</v>
      </c>
    </row>
    <row r="1510" spans="1:7" ht="15.75">
      <c r="A1510" s="1311"/>
      <c r="B1510" s="1309"/>
      <c r="C1510" s="1309" t="s">
        <v>2359</v>
      </c>
      <c r="D1510" s="1309"/>
      <c r="E1510" s="1352">
        <f t="shared" si="69"/>
        <v>0.20054945054945053</v>
      </c>
      <c r="F1510" s="1140">
        <v>5.82</v>
      </c>
      <c r="G1510">
        <v>7.28</v>
      </c>
    </row>
    <row r="1511" spans="1:7" ht="15.75">
      <c r="A1511" s="1496"/>
      <c r="B1511" s="37"/>
      <c r="C1511" s="37" t="s">
        <v>2115</v>
      </c>
      <c r="D1511" s="37"/>
      <c r="E1511" s="1352">
        <f t="shared" si="69"/>
        <v>0.23270440251572333</v>
      </c>
      <c r="F1511" s="1140">
        <v>1.22</v>
      </c>
      <c r="G1511">
        <v>1.59</v>
      </c>
    </row>
    <row r="1512" spans="1:7" ht="15.75">
      <c r="A1512" s="1496"/>
      <c r="B1512" s="37"/>
      <c r="C1512" s="37" t="s">
        <v>2116</v>
      </c>
      <c r="D1512" s="37"/>
      <c r="E1512" s="1352">
        <f t="shared" si="69"/>
        <v>0.23270440251572333</v>
      </c>
      <c r="F1512" s="1140">
        <v>1.22</v>
      </c>
      <c r="G1512">
        <v>1.59</v>
      </c>
    </row>
    <row r="1513" spans="1:7" ht="15.75">
      <c r="A1513" s="1496"/>
      <c r="B1513" s="37"/>
      <c r="C1513" s="37" t="s">
        <v>2066</v>
      </c>
      <c r="D1513" s="37"/>
      <c r="E1513" s="1352">
        <f t="shared" si="69"/>
        <v>0.23270440251572333</v>
      </c>
      <c r="F1513" s="1140">
        <v>1.22</v>
      </c>
      <c r="G1513">
        <v>1.59</v>
      </c>
    </row>
    <row r="1514" spans="1:7" ht="15.75">
      <c r="A1514" s="1496"/>
      <c r="B1514" s="37"/>
      <c r="C1514" s="37" t="s">
        <v>920</v>
      </c>
      <c r="D1514" s="37"/>
      <c r="E1514" s="1352">
        <f t="shared" si="69"/>
        <v>0.24390243902439021</v>
      </c>
      <c r="F1514" s="1140">
        <v>0.62</v>
      </c>
      <c r="G1514">
        <v>0.82</v>
      </c>
    </row>
    <row r="1515" spans="1:7" ht="15.75">
      <c r="A1515" s="1496"/>
      <c r="B1515" s="37"/>
      <c r="C1515" s="1616" t="s">
        <v>2024</v>
      </c>
      <c r="D1515" s="37"/>
      <c r="E1515" s="1352">
        <f t="shared" si="69"/>
        <v>0.203125</v>
      </c>
      <c r="F1515" s="1140">
        <v>0.51</v>
      </c>
      <c r="G1515">
        <v>0.64</v>
      </c>
    </row>
    <row r="1516" spans="1:7" ht="15.75">
      <c r="A1516" s="1496"/>
      <c r="B1516" s="37"/>
      <c r="C1516" s="1616" t="s">
        <v>2156</v>
      </c>
      <c r="D1516" s="37"/>
      <c r="E1516" s="1352">
        <f t="shared" si="69"/>
        <v>0.19819819819819826</v>
      </c>
      <c r="F1516" s="1140">
        <v>1.78</v>
      </c>
      <c r="G1516">
        <v>2.2200000000000002</v>
      </c>
    </row>
    <row r="1517" spans="1:7" ht="16.5" thickBot="1">
      <c r="A1517" s="1315"/>
      <c r="B1517" s="1356"/>
      <c r="C1517" s="1356"/>
      <c r="D1517" s="1356"/>
      <c r="E1517" s="1352" t="e">
        <f t="shared" si="69"/>
        <v>#DIV/0!</v>
      </c>
      <c r="F1517" s="1140"/>
    </row>
    <row r="1518" spans="1:7" ht="15.75" thickBot="1"/>
    <row r="1519" spans="1:7">
      <c r="A1519" s="3614" t="s">
        <v>0</v>
      </c>
      <c r="B1519" s="3693" t="s">
        <v>1</v>
      </c>
      <c r="C1519" s="3693" t="s">
        <v>2</v>
      </c>
      <c r="D1519" s="3693" t="s">
        <v>3</v>
      </c>
      <c r="E1519" s="3693" t="s">
        <v>4</v>
      </c>
      <c r="F1519" s="3522" t="s">
        <v>5</v>
      </c>
    </row>
    <row r="1520" spans="1:7" ht="15.75" thickBot="1">
      <c r="A1520" s="3682"/>
      <c r="B1520" s="3702"/>
      <c r="C1520" s="3702"/>
      <c r="D1520" s="3702"/>
      <c r="E1520" s="3702"/>
      <c r="F1520" s="3717"/>
    </row>
    <row r="1521" spans="1:7" ht="15" customHeight="1">
      <c r="A1521" s="1371" t="s">
        <v>2629</v>
      </c>
      <c r="B1521" s="1299" t="s">
        <v>2183</v>
      </c>
      <c r="C1521" s="1618" t="s">
        <v>2630</v>
      </c>
      <c r="D1521" s="1299"/>
      <c r="E1521" s="1352">
        <f>(G1521-F1521)/G1521</f>
        <v>0.2990654205607477</v>
      </c>
      <c r="F1521" s="1373">
        <v>3</v>
      </c>
      <c r="G1521">
        <v>4.28</v>
      </c>
    </row>
    <row r="1522" spans="1:7" ht="15.75" customHeight="1">
      <c r="A1522" s="302"/>
      <c r="B1522" s="1299"/>
      <c r="C1522" s="1618" t="s">
        <v>2631</v>
      </c>
      <c r="D1522" s="1299"/>
      <c r="E1522" s="1352">
        <f>(G1522-F1522)/G1522</f>
        <v>0.19620253164556964</v>
      </c>
      <c r="F1522" s="1373">
        <v>1.27</v>
      </c>
      <c r="G1522">
        <v>1.58</v>
      </c>
    </row>
    <row r="1523" spans="1:7" ht="16.5" thickBot="1">
      <c r="A1523" s="460"/>
      <c r="B1523" s="1320"/>
      <c r="C1523" s="1619" t="s">
        <v>2345</v>
      </c>
      <c r="D1523" s="1320"/>
      <c r="E1523" s="1357">
        <f>(G1523-F1523)/G1523</f>
        <v>0.19999999999999993</v>
      </c>
      <c r="F1523" s="1374">
        <v>1.36</v>
      </c>
      <c r="G1523">
        <v>1.7</v>
      </c>
    </row>
    <row r="1526" spans="1:7" ht="15.75" thickBot="1"/>
    <row r="1527" spans="1:7">
      <c r="A1527" s="3614" t="s">
        <v>0</v>
      </c>
      <c r="B1527" s="3693" t="s">
        <v>1</v>
      </c>
      <c r="C1527" s="3693" t="s">
        <v>2</v>
      </c>
      <c r="D1527" s="3693" t="s">
        <v>3</v>
      </c>
      <c r="E1527" s="3693" t="s">
        <v>4</v>
      </c>
      <c r="F1527" s="3522" t="s">
        <v>5</v>
      </c>
      <c r="G1527" s="109"/>
    </row>
    <row r="1528" spans="1:7" ht="15.75" thickBot="1">
      <c r="A1528" s="4050"/>
      <c r="B1528" s="4094"/>
      <c r="C1528" s="4094"/>
      <c r="D1528" s="4094"/>
      <c r="E1528" s="4094"/>
      <c r="F1528" s="4054"/>
      <c r="G1528" s="109"/>
    </row>
    <row r="1529" spans="1:7" ht="15.75">
      <c r="A1529" s="841" t="s">
        <v>2636</v>
      </c>
      <c r="B1529" s="4131" t="s">
        <v>2155</v>
      </c>
      <c r="C1529" s="1097" t="s">
        <v>623</v>
      </c>
      <c r="D1529" s="1098"/>
      <c r="E1529" s="290">
        <f>(G1529-F1529)/G1529</f>
        <v>3.105590062111804E-2</v>
      </c>
      <c r="F1529" s="1122">
        <v>1.56</v>
      </c>
      <c r="G1529" s="1103">
        <v>1.61</v>
      </c>
    </row>
    <row r="1530" spans="1:7" ht="15.75">
      <c r="A1530" s="841"/>
      <c r="B1530" s="4132"/>
      <c r="C1530" s="1143" t="s">
        <v>1772</v>
      </c>
      <c r="D1530" s="1144"/>
      <c r="E1530" s="290">
        <f t="shared" ref="E1530:E1542" si="70">(G1530-F1530)/G1530</f>
        <v>3.105590062111804E-2</v>
      </c>
      <c r="F1530" s="1122">
        <v>1.56</v>
      </c>
      <c r="G1530" s="1103">
        <v>1.61</v>
      </c>
    </row>
    <row r="1531" spans="1:7">
      <c r="A1531" s="841"/>
      <c r="B1531" s="4132"/>
      <c r="C1531" s="1219" t="s">
        <v>2080</v>
      </c>
      <c r="D1531" s="1151"/>
      <c r="E1531" s="290">
        <f t="shared" si="70"/>
        <v>0.20454545454545461</v>
      </c>
      <c r="F1531" s="1122">
        <v>0.7</v>
      </c>
      <c r="G1531" s="1103">
        <v>0.88</v>
      </c>
    </row>
    <row r="1532" spans="1:7">
      <c r="A1532" s="841"/>
      <c r="B1532" s="4132"/>
      <c r="C1532" s="1219" t="s">
        <v>1949</v>
      </c>
      <c r="D1532" s="1151"/>
      <c r="E1532" s="290">
        <f t="shared" si="70"/>
        <v>0.20454545454545461</v>
      </c>
      <c r="F1532" s="1122">
        <v>0.7</v>
      </c>
      <c r="G1532" s="1103">
        <v>0.88</v>
      </c>
    </row>
    <row r="1533" spans="1:7">
      <c r="A1533" s="841"/>
      <c r="B1533" s="4132"/>
      <c r="C1533" s="1219" t="s">
        <v>1950</v>
      </c>
      <c r="D1533" s="1151"/>
      <c r="E1533" s="290">
        <f t="shared" si="70"/>
        <v>0.20454545454545461</v>
      </c>
      <c r="F1533" s="1122">
        <v>0.7</v>
      </c>
      <c r="G1533" s="1103">
        <v>0.88</v>
      </c>
    </row>
    <row r="1534" spans="1:7" ht="15.75">
      <c r="A1534" s="841"/>
      <c r="B1534" s="4132"/>
      <c r="C1534" s="1614" t="s">
        <v>2352</v>
      </c>
      <c r="D1534" s="94"/>
      <c r="E1534" s="290">
        <f t="shared" si="70"/>
        <v>0.1764705882352941</v>
      </c>
      <c r="F1534" s="1122">
        <v>0.14000000000000001</v>
      </c>
      <c r="G1534" s="1103">
        <v>0.17</v>
      </c>
    </row>
    <row r="1535" spans="1:7" ht="15.75">
      <c r="A1535" s="841"/>
      <c r="B1535" s="4132"/>
      <c r="C1535" s="1614" t="s">
        <v>2637</v>
      </c>
      <c r="D1535" s="94"/>
      <c r="E1535" s="290">
        <f t="shared" si="70"/>
        <v>0.1764705882352941</v>
      </c>
      <c r="F1535" s="1122">
        <v>0.14000000000000001</v>
      </c>
      <c r="G1535" s="1103">
        <v>0.17</v>
      </c>
    </row>
    <row r="1536" spans="1:7" ht="15.75">
      <c r="A1536" s="841"/>
      <c r="B1536" s="4132"/>
      <c r="C1536" s="1160" t="s">
        <v>2192</v>
      </c>
      <c r="D1536" s="94"/>
      <c r="E1536" s="290">
        <f t="shared" si="70"/>
        <v>0.19940915805022152</v>
      </c>
      <c r="F1536" s="1122">
        <v>5.42</v>
      </c>
      <c r="G1536" s="1103">
        <v>6.77</v>
      </c>
    </row>
    <row r="1537" spans="1:7" ht="15.75">
      <c r="A1537" s="841"/>
      <c r="B1537" s="4132"/>
      <c r="C1537" s="1160" t="s">
        <v>2359</v>
      </c>
      <c r="D1537" s="94"/>
      <c r="E1537" s="290">
        <f t="shared" si="70"/>
        <v>0.19940915805022152</v>
      </c>
      <c r="F1537" s="1122">
        <v>5.42</v>
      </c>
      <c r="G1537" s="1103">
        <v>6.77</v>
      </c>
    </row>
    <row r="1538" spans="1:7" ht="15.75">
      <c r="A1538" s="841"/>
      <c r="B1538" s="4132"/>
      <c r="C1538" s="1160"/>
      <c r="D1538" s="94"/>
      <c r="E1538" s="290" t="e">
        <f t="shared" si="70"/>
        <v>#DIV/0!</v>
      </c>
      <c r="F1538" s="1122"/>
      <c r="G1538" s="1103"/>
    </row>
    <row r="1539" spans="1:7" ht="15.75">
      <c r="A1539" s="841"/>
      <c r="B1539" s="4132"/>
      <c r="C1539" s="1160"/>
      <c r="D1539" s="94"/>
      <c r="E1539" s="290" t="e">
        <f t="shared" si="70"/>
        <v>#DIV/0!</v>
      </c>
      <c r="F1539" s="1122"/>
      <c r="G1539" s="1103"/>
    </row>
    <row r="1540" spans="1:7" ht="15.75">
      <c r="A1540" s="841"/>
      <c r="B1540" s="4132"/>
      <c r="C1540" s="1160"/>
      <c r="D1540" s="94"/>
      <c r="E1540" s="290" t="e">
        <f t="shared" si="70"/>
        <v>#DIV/0!</v>
      </c>
      <c r="F1540" s="1122"/>
      <c r="G1540" s="1103"/>
    </row>
    <row r="1541" spans="1:7" ht="15.75">
      <c r="A1541" s="841"/>
      <c r="B1541" s="4132"/>
      <c r="C1541" s="1160"/>
      <c r="D1541" s="94"/>
      <c r="E1541" s="290" t="e">
        <f t="shared" si="70"/>
        <v>#DIV/0!</v>
      </c>
      <c r="F1541" s="1122"/>
      <c r="G1541" s="1103"/>
    </row>
    <row r="1542" spans="1:7" ht="16.5" thickBot="1">
      <c r="A1542" s="884"/>
      <c r="B1542" s="4133"/>
      <c r="C1542" s="1195"/>
      <c r="D1542" s="1196"/>
      <c r="E1542" s="290" t="e">
        <f t="shared" si="70"/>
        <v>#DIV/0!</v>
      </c>
      <c r="F1542" s="1122"/>
      <c r="G1542" s="1103"/>
    </row>
    <row r="1543" spans="1:7" ht="15.75" thickBot="1"/>
    <row r="1544" spans="1:7">
      <c r="A1544" s="3614" t="s">
        <v>0</v>
      </c>
      <c r="B1544" s="3693" t="s">
        <v>1</v>
      </c>
      <c r="C1544" s="3693" t="s">
        <v>2</v>
      </c>
      <c r="D1544" s="3693" t="s">
        <v>3</v>
      </c>
      <c r="E1544" s="3693" t="s">
        <v>4</v>
      </c>
      <c r="F1544" s="3522" t="s">
        <v>5</v>
      </c>
      <c r="G1544" s="109"/>
    </row>
    <row r="1545" spans="1:7" ht="15.75" thickBot="1">
      <c r="A1545" s="4050"/>
      <c r="B1545" s="4094"/>
      <c r="C1545" s="4094"/>
      <c r="D1545" s="4094"/>
      <c r="E1545" s="4094"/>
      <c r="F1545" s="4054"/>
      <c r="G1545" s="109"/>
    </row>
    <row r="1546" spans="1:7" ht="15.75">
      <c r="A1546" s="841" t="s">
        <v>2638</v>
      </c>
      <c r="B1546" s="4131" t="s">
        <v>2155</v>
      </c>
      <c r="C1546" s="1097" t="s">
        <v>2550</v>
      </c>
      <c r="D1546" s="1098"/>
      <c r="E1546" s="290">
        <f>(G1546-F1546)/G1546</f>
        <v>0.39384615384615385</v>
      </c>
      <c r="F1546" s="1122">
        <v>5.91</v>
      </c>
      <c r="G1546" s="1103">
        <v>9.75</v>
      </c>
    </row>
    <row r="1547" spans="1:7" ht="15.75">
      <c r="A1547" s="841"/>
      <c r="B1547" s="4132"/>
      <c r="C1547" s="1143" t="s">
        <v>2551</v>
      </c>
      <c r="D1547" s="1144"/>
      <c r="E1547" s="290">
        <f t="shared" ref="E1547:E1559" si="71">(G1547-F1547)/G1547</f>
        <v>0.39384615384615385</v>
      </c>
      <c r="F1547" s="1122">
        <v>5.91</v>
      </c>
      <c r="G1547" s="1103">
        <v>9.75</v>
      </c>
    </row>
    <row r="1548" spans="1:7">
      <c r="A1548" s="841"/>
      <c r="B1548" s="4132"/>
      <c r="C1548" s="37" t="s">
        <v>2552</v>
      </c>
      <c r="D1548" s="94"/>
      <c r="E1548" s="290">
        <f t="shared" si="71"/>
        <v>0.39384615384615385</v>
      </c>
      <c r="F1548" s="1122">
        <v>5.91</v>
      </c>
      <c r="G1548" s="1103">
        <v>9.75</v>
      </c>
    </row>
    <row r="1549" spans="1:7">
      <c r="A1549" s="841"/>
      <c r="B1549" s="4132"/>
      <c r="C1549" s="37"/>
      <c r="D1549" s="94"/>
      <c r="E1549" s="290" t="e">
        <f t="shared" si="71"/>
        <v>#DIV/0!</v>
      </c>
      <c r="F1549" s="1122"/>
      <c r="G1549" s="1103"/>
    </row>
    <row r="1550" spans="1:7">
      <c r="A1550" s="841"/>
      <c r="B1550" s="4132"/>
      <c r="C1550" s="37"/>
      <c r="D1550" s="94"/>
      <c r="E1550" s="290" t="e">
        <f t="shared" si="71"/>
        <v>#DIV/0!</v>
      </c>
      <c r="F1550" s="1122"/>
      <c r="G1550" s="1103"/>
    </row>
    <row r="1551" spans="1:7" ht="15.75">
      <c r="A1551" s="841"/>
      <c r="B1551" s="4132"/>
      <c r="C1551" s="1160"/>
      <c r="D1551" s="94"/>
      <c r="E1551" s="290" t="e">
        <f t="shared" si="71"/>
        <v>#DIV/0!</v>
      </c>
      <c r="F1551" s="1122"/>
      <c r="G1551" s="1103"/>
    </row>
    <row r="1552" spans="1:7" ht="15.75">
      <c r="A1552" s="841"/>
      <c r="B1552" s="4132"/>
      <c r="C1552" s="1160"/>
      <c r="D1552" s="94"/>
      <c r="E1552" s="290" t="e">
        <f t="shared" si="71"/>
        <v>#DIV/0!</v>
      </c>
      <c r="F1552" s="1122"/>
      <c r="G1552" s="1103"/>
    </row>
    <row r="1553" spans="1:7" ht="15.75">
      <c r="A1553" s="841"/>
      <c r="B1553" s="4132"/>
      <c r="C1553" s="1160"/>
      <c r="D1553" s="94"/>
      <c r="E1553" s="290" t="e">
        <f t="shared" si="71"/>
        <v>#DIV/0!</v>
      </c>
      <c r="F1553" s="1122"/>
      <c r="G1553" s="1103"/>
    </row>
    <row r="1554" spans="1:7" ht="15.75">
      <c r="A1554" s="841"/>
      <c r="B1554" s="4132"/>
      <c r="C1554" s="1160"/>
      <c r="D1554" s="94"/>
      <c r="E1554" s="290" t="e">
        <f t="shared" si="71"/>
        <v>#DIV/0!</v>
      </c>
      <c r="F1554" s="1122"/>
      <c r="G1554" s="1103"/>
    </row>
    <row r="1555" spans="1:7" ht="15.75">
      <c r="A1555" s="841"/>
      <c r="B1555" s="4132"/>
      <c r="C1555" s="1160"/>
      <c r="D1555" s="94"/>
      <c r="E1555" s="290" t="e">
        <f t="shared" si="71"/>
        <v>#DIV/0!</v>
      </c>
      <c r="F1555" s="1122"/>
      <c r="G1555" s="1103"/>
    </row>
    <row r="1556" spans="1:7" ht="15.75">
      <c r="A1556" s="841"/>
      <c r="B1556" s="4132"/>
      <c r="C1556" s="1160"/>
      <c r="D1556" s="94"/>
      <c r="E1556" s="290" t="e">
        <f t="shared" si="71"/>
        <v>#DIV/0!</v>
      </c>
      <c r="F1556" s="1122"/>
      <c r="G1556" s="1103"/>
    </row>
    <row r="1557" spans="1:7" ht="15.75">
      <c r="A1557" s="841"/>
      <c r="B1557" s="4132"/>
      <c r="C1557" s="1160"/>
      <c r="D1557" s="94"/>
      <c r="E1557" s="290" t="e">
        <f t="shared" si="71"/>
        <v>#DIV/0!</v>
      </c>
      <c r="F1557" s="1122"/>
      <c r="G1557" s="1103"/>
    </row>
    <row r="1558" spans="1:7" ht="15.75">
      <c r="A1558" s="841"/>
      <c r="B1558" s="4132"/>
      <c r="C1558" s="1160"/>
      <c r="D1558" s="94"/>
      <c r="E1558" s="290" t="e">
        <f t="shared" si="71"/>
        <v>#DIV/0!</v>
      </c>
      <c r="F1558" s="1122"/>
      <c r="G1558" s="1103"/>
    </row>
    <row r="1559" spans="1:7" ht="16.5" thickBot="1">
      <c r="A1559" s="884"/>
      <c r="B1559" s="4133"/>
      <c r="C1559" s="1195"/>
      <c r="D1559" s="1196"/>
      <c r="E1559" s="290" t="e">
        <f t="shared" si="71"/>
        <v>#DIV/0!</v>
      </c>
      <c r="F1559" s="1122"/>
      <c r="G1559" s="1103"/>
    </row>
    <row r="1560" spans="1:7" ht="15.75" thickBot="1"/>
    <row r="1561" spans="1:7">
      <c r="A1561" s="3572"/>
      <c r="B1561" s="3636"/>
      <c r="C1561" s="3636"/>
      <c r="D1561" s="3636"/>
      <c r="E1561" s="3636"/>
      <c r="F1561" s="3559"/>
      <c r="G1561" s="429"/>
    </row>
    <row r="1562" spans="1:7" ht="15.75" thickBot="1">
      <c r="A1562" s="3696"/>
      <c r="B1562" s="3676"/>
      <c r="C1562" s="3676"/>
      <c r="D1562" s="3676"/>
      <c r="E1562" s="3676"/>
      <c r="F1562" s="3710"/>
      <c r="G1562" s="429"/>
    </row>
    <row r="1563" spans="1:7" ht="16.5" thickTop="1" thickBot="1">
      <c r="A1563" s="813" t="s">
        <v>2646</v>
      </c>
      <c r="B1563" s="388" t="s">
        <v>120</v>
      </c>
      <c r="C1563" s="981" t="s">
        <v>2647</v>
      </c>
      <c r="D1563" s="388"/>
      <c r="E1563" s="880">
        <f>(G1563-F1563)/G1563</f>
        <v>0.20091324200913241</v>
      </c>
      <c r="F1563" s="872">
        <v>1.75</v>
      </c>
      <c r="G1563" s="436">
        <v>2.19</v>
      </c>
    </row>
    <row r="1564" spans="1:7">
      <c r="A1564" s="491"/>
      <c r="B1564" s="982" t="s">
        <v>121</v>
      </c>
      <c r="C1564" s="981"/>
      <c r="D1564" s="388"/>
      <c r="E1564" s="880" t="e">
        <f>(G1564-F1564)/G1564</f>
        <v>#DIV/0!</v>
      </c>
      <c r="F1564" s="872"/>
      <c r="G1564" s="429"/>
    </row>
    <row r="1565" spans="1:7">
      <c r="A1565" s="491"/>
      <c r="B1565" s="982" t="s">
        <v>123</v>
      </c>
      <c r="C1565" s="981"/>
      <c r="D1565" s="388"/>
      <c r="E1565" s="980"/>
      <c r="F1565" s="872"/>
      <c r="G1565" s="429"/>
    </row>
    <row r="1566" spans="1:7">
      <c r="A1566" s="491"/>
      <c r="B1566" s="982" t="s">
        <v>122</v>
      </c>
      <c r="C1566" s="981"/>
      <c r="D1566" s="388"/>
      <c r="E1566" s="980"/>
      <c r="F1566" s="872"/>
      <c r="G1566" s="528"/>
    </row>
    <row r="1567" spans="1:7">
      <c r="A1567" s="491"/>
      <c r="B1567" s="1199" t="s">
        <v>2057</v>
      </c>
      <c r="C1567" s="1200"/>
      <c r="D1567" s="388"/>
      <c r="E1567" s="980"/>
      <c r="F1567" s="961"/>
      <c r="G1567" s="528"/>
    </row>
    <row r="1568" spans="1:7" ht="15.75" thickBot="1">
      <c r="A1568" s="500"/>
      <c r="B1568" s="1500"/>
      <c r="C1568" s="1501"/>
      <c r="D1568" s="873"/>
      <c r="E1568" s="1502"/>
      <c r="F1568" s="1149"/>
      <c r="G1568" s="528"/>
    </row>
    <row r="1569" spans="1:7" ht="15.75" thickBot="1"/>
    <row r="1570" spans="1:7">
      <c r="A1570" s="3572" t="s">
        <v>0</v>
      </c>
      <c r="B1570" s="3636" t="s">
        <v>1</v>
      </c>
      <c r="C1570" s="3636" t="s">
        <v>2</v>
      </c>
      <c r="D1570" s="3636" t="s">
        <v>3</v>
      </c>
      <c r="E1570" s="3636" t="s">
        <v>4</v>
      </c>
      <c r="F1570" s="3559" t="s">
        <v>5</v>
      </c>
      <c r="G1570" s="429"/>
    </row>
    <row r="1571" spans="1:7" ht="15.75" thickBot="1">
      <c r="A1571" s="3696"/>
      <c r="B1571" s="3676"/>
      <c r="C1571" s="3676"/>
      <c r="D1571" s="3676"/>
      <c r="E1571" s="3676"/>
      <c r="F1571" s="3710"/>
      <c r="G1571" s="429"/>
    </row>
    <row r="1572" spans="1:7" ht="16.5" thickTop="1">
      <c r="A1572" s="813" t="s">
        <v>2648</v>
      </c>
      <c r="B1572" s="388" t="s">
        <v>2029</v>
      </c>
      <c r="C1572" s="1615" t="s">
        <v>1892</v>
      </c>
      <c r="D1572" s="388"/>
      <c r="E1572" s="880">
        <f>(G1572-F1572)/G1572</f>
        <v>0.31192660550458723</v>
      </c>
      <c r="F1572" s="872">
        <v>0.75</v>
      </c>
      <c r="G1572" s="436">
        <v>1.0900000000000001</v>
      </c>
    </row>
    <row r="1573" spans="1:7">
      <c r="A1573" s="491"/>
      <c r="B1573" s="982"/>
      <c r="C1573" s="981"/>
      <c r="D1573" s="388"/>
      <c r="E1573" s="980" t="e">
        <f>(G1573-F1573)/G1573</f>
        <v>#DIV/0!</v>
      </c>
      <c r="F1573" s="872"/>
      <c r="G1573" s="429"/>
    </row>
    <row r="1574" spans="1:7" ht="15.75" thickBot="1">
      <c r="A1574" s="500"/>
      <c r="B1574" s="1500"/>
      <c r="C1574" s="1501"/>
      <c r="D1574" s="873"/>
      <c r="E1574" s="1502" t="e">
        <f>(G1574-F1574)/G1574</f>
        <v>#DIV/0!</v>
      </c>
      <c r="F1574" s="1149"/>
      <c r="G1574" s="429"/>
    </row>
    <row r="1575" spans="1:7" ht="15.75" thickBot="1"/>
    <row r="1576" spans="1:7">
      <c r="A1576" s="3572" t="s">
        <v>0</v>
      </c>
      <c r="B1576" s="3636" t="s">
        <v>1</v>
      </c>
      <c r="C1576" s="3636" t="s">
        <v>2</v>
      </c>
      <c r="D1576" s="3636" t="s">
        <v>3</v>
      </c>
      <c r="E1576" s="3636" t="s">
        <v>4</v>
      </c>
      <c r="F1576" s="3559" t="s">
        <v>5</v>
      </c>
      <c r="G1576" s="429"/>
    </row>
    <row r="1577" spans="1:7" ht="15.75" thickBot="1">
      <c r="A1577" s="3696"/>
      <c r="B1577" s="3676"/>
      <c r="C1577" s="3676"/>
      <c r="D1577" s="3676"/>
      <c r="E1577" s="3676"/>
      <c r="F1577" s="3710"/>
      <c r="G1577" s="429"/>
    </row>
    <row r="1578" spans="1:7" ht="15.75" thickTop="1">
      <c r="A1578" s="813" t="s">
        <v>2649</v>
      </c>
      <c r="B1578" s="388" t="s">
        <v>2029</v>
      </c>
      <c r="C1578" s="37" t="s">
        <v>2066</v>
      </c>
      <c r="D1578" s="388"/>
      <c r="E1578" s="880">
        <f>(G1578-F1578)/G1578</f>
        <v>0.20129870129870134</v>
      </c>
      <c r="F1578" s="872">
        <v>1.23</v>
      </c>
      <c r="G1578" s="436">
        <v>1.54</v>
      </c>
    </row>
    <row r="1579" spans="1:7">
      <c r="A1579" s="491"/>
      <c r="B1579" s="982"/>
      <c r="C1579" s="981"/>
      <c r="D1579" s="388"/>
      <c r="E1579" s="980" t="e">
        <f>(G1579-F1579)/G1579</f>
        <v>#DIV/0!</v>
      </c>
      <c r="F1579" s="872"/>
      <c r="G1579" s="429"/>
    </row>
    <row r="1580" spans="1:7" ht="15.75" thickBot="1">
      <c r="A1580" s="500"/>
      <c r="B1580" s="1500"/>
      <c r="C1580" s="1501"/>
      <c r="D1580" s="873"/>
      <c r="E1580" s="1502" t="e">
        <f>(G1580-F1580)/G1580</f>
        <v>#DIV/0!</v>
      </c>
      <c r="F1580" s="1149"/>
      <c r="G1580" s="429"/>
    </row>
    <row r="1581" spans="1:7" ht="15.75" thickBot="1"/>
    <row r="1582" spans="1:7">
      <c r="A1582" s="3572" t="s">
        <v>0</v>
      </c>
      <c r="B1582" s="3636" t="s">
        <v>1</v>
      </c>
      <c r="C1582" s="3636" t="s">
        <v>2</v>
      </c>
      <c r="D1582" s="3636" t="s">
        <v>3</v>
      </c>
      <c r="E1582" s="3636" t="s">
        <v>4</v>
      </c>
      <c r="F1582" s="3559" t="s">
        <v>5</v>
      </c>
      <c r="G1582" s="429"/>
    </row>
    <row r="1583" spans="1:7" ht="15.75" thickBot="1">
      <c r="A1583" s="3696"/>
      <c r="B1583" s="3676"/>
      <c r="C1583" s="3676"/>
      <c r="D1583" s="3676"/>
      <c r="E1583" s="3676"/>
      <c r="F1583" s="3710"/>
      <c r="G1583" s="429"/>
    </row>
    <row r="1584" spans="1:7" ht="15.75" thickTop="1">
      <c r="A1584" s="813" t="s">
        <v>2649</v>
      </c>
      <c r="B1584" s="388" t="s">
        <v>2082</v>
      </c>
      <c r="C1584" s="1219" t="s">
        <v>2066</v>
      </c>
      <c r="D1584" s="388"/>
      <c r="E1584" s="880">
        <f>(G1584-F1584)/G1584</f>
        <v>0.20129870129870134</v>
      </c>
      <c r="F1584" s="1503">
        <v>1.23</v>
      </c>
      <c r="G1584" s="436">
        <v>1.54</v>
      </c>
    </row>
    <row r="1585" spans="1:7">
      <c r="A1585" s="491"/>
      <c r="B1585" s="1504"/>
      <c r="C1585" s="1505"/>
      <c r="D1585" s="388"/>
      <c r="E1585" s="1506" t="e">
        <f>(G1585-F1585)/G1585</f>
        <v>#DIV/0!</v>
      </c>
      <c r="F1585" s="1503"/>
      <c r="G1585" s="429"/>
    </row>
    <row r="1586" spans="1:7" ht="15.75" thickBot="1">
      <c r="A1586" s="500"/>
      <c r="B1586" s="1500"/>
      <c r="C1586" s="1501"/>
      <c r="D1586" s="873"/>
      <c r="E1586" s="1502" t="e">
        <f>(G1586-F1586)/G1586</f>
        <v>#DIV/0!</v>
      </c>
      <c r="F1586" s="1149"/>
      <c r="G1586" s="429"/>
    </row>
    <row r="1587" spans="1:7" ht="15.75" thickBot="1"/>
    <row r="1588" spans="1:7">
      <c r="A1588" s="3614" t="s">
        <v>0</v>
      </c>
      <c r="B1588" s="3693" t="s">
        <v>1</v>
      </c>
      <c r="C1588" s="3693" t="s">
        <v>2</v>
      </c>
      <c r="D1588" s="3693" t="s">
        <v>3</v>
      </c>
      <c r="E1588" s="3693" t="s">
        <v>4</v>
      </c>
      <c r="F1588" s="3522" t="s">
        <v>5</v>
      </c>
      <c r="G1588" s="109"/>
    </row>
    <row r="1589" spans="1:7" ht="15.75" thickBot="1">
      <c r="A1589" s="4199"/>
      <c r="B1589" s="4094"/>
      <c r="C1589" s="4094"/>
      <c r="D1589" s="4094"/>
      <c r="E1589" s="4094"/>
      <c r="F1589" s="4200"/>
      <c r="G1589" s="109"/>
    </row>
    <row r="1590" spans="1:7">
      <c r="A1590" s="841" t="s">
        <v>2655</v>
      </c>
      <c r="B1590" s="4131" t="s">
        <v>1593</v>
      </c>
      <c r="C1590" s="1219" t="s">
        <v>2116</v>
      </c>
      <c r="D1590" s="1098"/>
      <c r="E1590" s="290">
        <f>(G1590-F1590)/G1590</f>
        <v>0.24691358024691365</v>
      </c>
      <c r="F1590" s="1122">
        <v>1.22</v>
      </c>
      <c r="G1590" s="1103">
        <v>1.62</v>
      </c>
    </row>
    <row r="1591" spans="1:7">
      <c r="A1591" s="841"/>
      <c r="B1591" s="4132"/>
      <c r="C1591" s="1219" t="s">
        <v>2066</v>
      </c>
      <c r="D1591" s="1507"/>
      <c r="E1591" s="290">
        <f>(G1591-F1591)/G1591</f>
        <v>0.24691358024691365</v>
      </c>
      <c r="F1591" s="1122">
        <v>1.22</v>
      </c>
      <c r="G1591" s="1103">
        <v>1.62</v>
      </c>
    </row>
    <row r="1592" spans="1:7" ht="16.5" thickBot="1">
      <c r="A1592" s="884"/>
      <c r="B1592" s="4133"/>
      <c r="C1592" s="1195"/>
      <c r="D1592" s="1196"/>
      <c r="E1592" s="290" t="e">
        <f>(G1592-F1592)/G1592</f>
        <v>#DIV/0!</v>
      </c>
      <c r="F1592" s="1122"/>
      <c r="G1592" s="1103"/>
    </row>
    <row r="1593" spans="1:7" ht="15.75" thickBot="1"/>
    <row r="1594" spans="1:7">
      <c r="A1594" s="3614" t="s">
        <v>0</v>
      </c>
      <c r="B1594" s="3693" t="s">
        <v>1</v>
      </c>
      <c r="C1594" s="3693" t="s">
        <v>2</v>
      </c>
      <c r="D1594" s="3693" t="s">
        <v>3</v>
      </c>
      <c r="E1594" s="3693" t="s">
        <v>4</v>
      </c>
      <c r="F1594" s="3522" t="s">
        <v>5</v>
      </c>
    </row>
    <row r="1595" spans="1:7" ht="15.75" thickBot="1">
      <c r="A1595" s="3682"/>
      <c r="B1595" s="3702"/>
      <c r="C1595" s="3702"/>
      <c r="D1595" s="3702"/>
      <c r="E1595" s="3702"/>
      <c r="F1595" s="3717"/>
    </row>
    <row r="1596" spans="1:7" ht="16.5" thickBot="1">
      <c r="A1596" s="1108" t="s">
        <v>2656</v>
      </c>
      <c r="B1596" s="1098" t="s">
        <v>460</v>
      </c>
      <c r="C1596" s="1442" t="s">
        <v>1888</v>
      </c>
      <c r="D1596" s="1098"/>
      <c r="E1596" s="1236">
        <f>(G1596-F1596)/G1596</f>
        <v>0.24778761061946897</v>
      </c>
      <c r="F1596" s="1237">
        <v>0.85</v>
      </c>
      <c r="G1596">
        <v>1.1299999999999999</v>
      </c>
    </row>
    <row r="1597" spans="1:7" ht="16.5" thickBot="1">
      <c r="A1597" s="1350"/>
      <c r="B1597" s="1507"/>
      <c r="C1597" s="1512" t="s">
        <v>387</v>
      </c>
      <c r="D1597" s="1507"/>
      <c r="E1597" s="1513">
        <f>(G1597-F1597)/G1597</f>
        <v>0.24778761061946897</v>
      </c>
      <c r="F1597" s="1237">
        <v>0.85</v>
      </c>
      <c r="G1597">
        <v>1.1299999999999999</v>
      </c>
    </row>
    <row r="1598" spans="1:7" ht="15.75">
      <c r="A1598" s="1350"/>
      <c r="B1598" s="1507"/>
      <c r="C1598" s="1512" t="s">
        <v>2042</v>
      </c>
      <c r="D1598" s="1507"/>
      <c r="E1598" s="1513">
        <f>(G1598-F1598)/G1598</f>
        <v>0.24778761061946897</v>
      </c>
      <c r="F1598" s="1237">
        <v>0.85</v>
      </c>
      <c r="G1598">
        <v>1.1299999999999999</v>
      </c>
    </row>
    <row r="1599" spans="1:7" ht="15.75">
      <c r="A1599" s="1350"/>
      <c r="B1599" s="1507"/>
      <c r="C1599" s="1512"/>
      <c r="D1599" s="1507"/>
      <c r="E1599" s="1513" t="e">
        <f>(G1599-F1599)/G1599</f>
        <v>#DIV/0!</v>
      </c>
      <c r="F1599" s="1514"/>
    </row>
    <row r="1600" spans="1:7" ht="16.5" thickBot="1">
      <c r="A1600" s="1315"/>
      <c r="B1600" s="1356"/>
      <c r="C1600" s="1356"/>
      <c r="D1600" s="1356"/>
      <c r="E1600" s="1357" t="e">
        <f>(G1600-F1600)/G1600</f>
        <v>#DIV/0!</v>
      </c>
      <c r="F1600" s="1358"/>
    </row>
    <row r="1601" spans="1:7" ht="15.75" thickBot="1"/>
    <row r="1602" spans="1:7">
      <c r="A1602" s="3614" t="s">
        <v>0</v>
      </c>
      <c r="B1602" s="3693" t="s">
        <v>1</v>
      </c>
      <c r="C1602" s="3693" t="s">
        <v>2</v>
      </c>
      <c r="D1602" s="3693" t="s">
        <v>3</v>
      </c>
      <c r="E1602" s="3693" t="s">
        <v>4</v>
      </c>
      <c r="F1602" s="3522" t="s">
        <v>5</v>
      </c>
      <c r="G1602" s="109"/>
    </row>
    <row r="1603" spans="1:7">
      <c r="A1603" s="4201"/>
      <c r="B1603" s="3703"/>
      <c r="C1603" s="3703"/>
      <c r="D1603" s="3703"/>
      <c r="E1603" s="3703"/>
      <c r="F1603" s="4146"/>
      <c r="G1603" s="109"/>
    </row>
    <row r="1604" spans="1:7" ht="15.75">
      <c r="A1604" s="1350" t="s">
        <v>2657</v>
      </c>
      <c r="B1604" s="4144" t="s">
        <v>2155</v>
      </c>
      <c r="C1604" s="1515" t="s">
        <v>1271</v>
      </c>
      <c r="D1604" s="1507"/>
      <c r="E1604" s="1516">
        <f>(G1604-F1604)/G1604</f>
        <v>9.9969888587774766E-2</v>
      </c>
      <c r="F1604" s="1517">
        <v>29.89</v>
      </c>
      <c r="G1604" s="1518">
        <v>33.21</v>
      </c>
    </row>
    <row r="1605" spans="1:7" ht="15.75">
      <c r="A1605" s="1350"/>
      <c r="B1605" s="4144"/>
      <c r="C1605" s="1515" t="s">
        <v>1258</v>
      </c>
      <c r="D1605" s="1507"/>
      <c r="E1605" s="1516">
        <f t="shared" ref="E1605:E1617" si="72">(G1605-F1605)/G1605</f>
        <v>0.10003216468317785</v>
      </c>
      <c r="F1605" s="1517">
        <v>27.98</v>
      </c>
      <c r="G1605" s="1518">
        <v>31.09</v>
      </c>
    </row>
    <row r="1606" spans="1:7" ht="15.75">
      <c r="A1606" s="1350"/>
      <c r="B1606" s="4144"/>
      <c r="C1606" s="1519" t="s">
        <v>1259</v>
      </c>
      <c r="D1606" s="1507"/>
      <c r="E1606" s="1516">
        <f t="shared" si="72"/>
        <v>9.996242014280346E-2</v>
      </c>
      <c r="F1606" s="1517">
        <v>23.95</v>
      </c>
      <c r="G1606" s="1518">
        <v>26.61</v>
      </c>
    </row>
    <row r="1607" spans="1:7" ht="15.75">
      <c r="A1607" s="1350"/>
      <c r="B1607" s="4144"/>
      <c r="C1607" s="1519" t="s">
        <v>2658</v>
      </c>
      <c r="D1607" s="1507"/>
      <c r="E1607" s="1516">
        <f t="shared" si="72"/>
        <v>0.20052083333333334</v>
      </c>
      <c r="F1607" s="1517">
        <v>3.07</v>
      </c>
      <c r="G1607" s="1518">
        <v>3.84</v>
      </c>
    </row>
    <row r="1608" spans="1:7" ht="15.75">
      <c r="A1608" s="1350"/>
      <c r="B1608" s="4144"/>
      <c r="C1608" s="1519" t="s">
        <v>2659</v>
      </c>
      <c r="D1608" s="1507"/>
      <c r="E1608" s="1516">
        <f t="shared" si="72"/>
        <v>0.20052083333333334</v>
      </c>
      <c r="F1608" s="1517">
        <v>3.07</v>
      </c>
      <c r="G1608" s="1518">
        <v>3.84</v>
      </c>
    </row>
    <row r="1609" spans="1:7" ht="15.75">
      <c r="A1609" s="1350"/>
      <c r="B1609" s="4144"/>
      <c r="C1609" s="1613" t="s">
        <v>2387</v>
      </c>
      <c r="D1609" s="1507"/>
      <c r="E1609" s="1516">
        <f t="shared" si="72"/>
        <v>0.20108695652173919</v>
      </c>
      <c r="F1609" s="1517">
        <v>1.47</v>
      </c>
      <c r="G1609" s="1518">
        <v>1.84</v>
      </c>
    </row>
    <row r="1610" spans="1:7" ht="15.75">
      <c r="A1610" s="1350"/>
      <c r="B1610" s="4144"/>
      <c r="C1610" s="1515" t="s">
        <v>183</v>
      </c>
      <c r="D1610" s="1507"/>
      <c r="E1610" s="1516">
        <f t="shared" si="72"/>
        <v>0.15079365079365076</v>
      </c>
      <c r="F1610" s="1517">
        <v>1.07</v>
      </c>
      <c r="G1610" s="1518">
        <v>1.26</v>
      </c>
    </row>
    <row r="1611" spans="1:7" ht="15.75">
      <c r="A1611" s="1350"/>
      <c r="B1611" s="4144"/>
      <c r="C1611" s="1515" t="s">
        <v>155</v>
      </c>
      <c r="D1611" s="1507"/>
      <c r="E1611" s="1516">
        <f t="shared" si="72"/>
        <v>0.15384615384615388</v>
      </c>
      <c r="F1611" s="1517">
        <v>0.88</v>
      </c>
      <c r="G1611" s="1518">
        <v>1.04</v>
      </c>
    </row>
    <row r="1612" spans="1:7" ht="15.75">
      <c r="A1612" s="1350"/>
      <c r="B1612" s="4144"/>
      <c r="C1612" s="1515" t="s">
        <v>452</v>
      </c>
      <c r="D1612" s="1507"/>
      <c r="E1612" s="1516">
        <f t="shared" si="72"/>
        <v>0.15463917525773199</v>
      </c>
      <c r="F1612" s="1517">
        <v>0.82</v>
      </c>
      <c r="G1612" s="1518">
        <v>0.97</v>
      </c>
    </row>
    <row r="1613" spans="1:7" ht="15.75">
      <c r="A1613" s="1350"/>
      <c r="B1613" s="4144"/>
      <c r="C1613" s="1515" t="s">
        <v>154</v>
      </c>
      <c r="D1613" s="1507"/>
      <c r="E1613" s="1516">
        <f t="shared" si="72"/>
        <v>0.14893617021276587</v>
      </c>
      <c r="F1613" s="1517">
        <v>0.8</v>
      </c>
      <c r="G1613" s="1518">
        <v>0.94</v>
      </c>
    </row>
    <row r="1614" spans="1:7" ht="15.75">
      <c r="A1614" s="1350"/>
      <c r="B1614" s="4144"/>
      <c r="C1614" s="1613" t="s">
        <v>2024</v>
      </c>
      <c r="D1614" s="1507"/>
      <c r="E1614" s="1516">
        <f t="shared" si="72"/>
        <v>0.19999999999999987</v>
      </c>
      <c r="F1614" s="1517">
        <v>0.56000000000000005</v>
      </c>
      <c r="G1614" s="1518">
        <v>0.7</v>
      </c>
    </row>
    <row r="1615" spans="1:7" ht="15.75">
      <c r="A1615" s="1350"/>
      <c r="B1615" s="4144"/>
      <c r="C1615" s="1613" t="s">
        <v>1975</v>
      </c>
      <c r="D1615" s="1507"/>
      <c r="E1615" s="1516">
        <f t="shared" si="72"/>
        <v>0.19767441860465121</v>
      </c>
      <c r="F1615" s="1517">
        <v>1.38</v>
      </c>
      <c r="G1615" s="1518">
        <v>1.72</v>
      </c>
    </row>
    <row r="1616" spans="1:7" ht="15.75">
      <c r="A1616" s="1350"/>
      <c r="B1616" s="4144"/>
      <c r="C1616" s="1515"/>
      <c r="D1616" s="1507"/>
      <c r="E1616" s="1516" t="e">
        <f t="shared" si="72"/>
        <v>#DIV/0!</v>
      </c>
      <c r="F1616" s="1520"/>
      <c r="G1616" s="1103"/>
    </row>
    <row r="1617" spans="1:7" ht="16.5" thickBot="1">
      <c r="A1617" s="1521"/>
      <c r="B1617" s="4145"/>
      <c r="C1617" s="1522"/>
      <c r="D1617" s="1320"/>
      <c r="E1617" s="1429" t="e">
        <f t="shared" si="72"/>
        <v>#DIV/0!</v>
      </c>
      <c r="F1617" s="1523"/>
      <c r="G1617" s="1103"/>
    </row>
    <row r="1618" spans="1:7" ht="15.75" thickBot="1"/>
    <row r="1619" spans="1:7">
      <c r="A1619" s="3614" t="s">
        <v>0</v>
      </c>
      <c r="B1619" s="3693" t="s">
        <v>1</v>
      </c>
      <c r="C1619" s="3693" t="s">
        <v>2</v>
      </c>
      <c r="D1619" s="3693" t="s">
        <v>3</v>
      </c>
      <c r="E1619" s="3693" t="s">
        <v>4</v>
      </c>
      <c r="F1619" s="3522" t="s">
        <v>5</v>
      </c>
      <c r="G1619" s="109"/>
    </row>
    <row r="1620" spans="1:7" ht="15.75" thickBot="1">
      <c r="A1620" s="4050"/>
      <c r="B1620" s="4102"/>
      <c r="C1620" s="4102"/>
      <c r="D1620" s="4102"/>
      <c r="E1620" s="4102"/>
      <c r="F1620" s="4054"/>
      <c r="G1620" s="109"/>
    </row>
    <row r="1621" spans="1:7">
      <c r="A1621" s="841" t="s">
        <v>2660</v>
      </c>
      <c r="B1621" s="4131" t="s">
        <v>1593</v>
      </c>
      <c r="C1621" s="37" t="s">
        <v>623</v>
      </c>
      <c r="D1621" s="1098"/>
      <c r="E1621" s="290">
        <f>(G1621-F1621)/G1621</f>
        <v>0.21608040201005022</v>
      </c>
      <c r="F1621" s="1122">
        <v>1.56</v>
      </c>
      <c r="G1621" s="1103">
        <v>1.99</v>
      </c>
    </row>
    <row r="1622" spans="1:7">
      <c r="A1622" s="841"/>
      <c r="B1622" s="4132"/>
      <c r="C1622" s="37" t="s">
        <v>1772</v>
      </c>
      <c r="D1622" s="1507"/>
      <c r="E1622" s="290">
        <f>(G1622-F1622)/G1622</f>
        <v>0.21608040201005022</v>
      </c>
      <c r="F1622" s="1122">
        <v>1.56</v>
      </c>
      <c r="G1622" s="1103">
        <v>1.99</v>
      </c>
    </row>
    <row r="1623" spans="1:7" ht="16.5" thickBot="1">
      <c r="A1623" s="884"/>
      <c r="B1623" s="4133"/>
      <c r="C1623" s="1319"/>
      <c r="D1623" s="1320"/>
      <c r="E1623" s="290" t="e">
        <f>(G1623-F1623)/G1623</f>
        <v>#DIV/0!</v>
      </c>
      <c r="F1623" s="1122"/>
      <c r="G1623" s="1103"/>
    </row>
    <row r="1624" spans="1:7" ht="15.75" thickBot="1"/>
    <row r="1625" spans="1:7">
      <c r="A1625" s="3614" t="s">
        <v>0</v>
      </c>
      <c r="B1625" s="3693" t="s">
        <v>1</v>
      </c>
      <c r="C1625" s="3693" t="s">
        <v>2</v>
      </c>
      <c r="D1625" s="3693" t="s">
        <v>3</v>
      </c>
      <c r="E1625" s="3693" t="s">
        <v>4</v>
      </c>
      <c r="F1625" s="3522" t="s">
        <v>5</v>
      </c>
    </row>
    <row r="1626" spans="1:7" ht="15.75" thickBot="1">
      <c r="A1626" s="3682"/>
      <c r="B1626" s="3702"/>
      <c r="C1626" s="3702"/>
      <c r="D1626" s="3702"/>
      <c r="E1626" s="3702"/>
      <c r="F1626" s="3717"/>
    </row>
    <row r="1627" spans="1:7">
      <c r="A1627" s="1108" t="s">
        <v>2671</v>
      </c>
      <c r="B1627" s="1098" t="s">
        <v>2016</v>
      </c>
      <c r="C1627" s="1628" t="s">
        <v>2251</v>
      </c>
      <c r="D1627" s="1098"/>
      <c r="E1627" s="1376">
        <f>(F1627/G1627-1)*-1</f>
        <v>0.19999999999999996</v>
      </c>
      <c r="F1627" s="1480">
        <v>1.84</v>
      </c>
      <c r="G1627" s="32">
        <v>2.2999999999999998</v>
      </c>
    </row>
    <row r="1628" spans="1:7">
      <c r="A1628" s="1350"/>
      <c r="B1628" s="1507"/>
      <c r="C1628" s="1536" t="s">
        <v>2115</v>
      </c>
      <c r="D1628" s="1507"/>
      <c r="E1628" s="1516">
        <f t="shared" ref="E1628:E1635" si="73">(F1628/G1628-1)*-1</f>
        <v>0.20129870129870131</v>
      </c>
      <c r="F1628" s="1537">
        <v>1.23</v>
      </c>
      <c r="G1628" s="32">
        <v>1.54</v>
      </c>
    </row>
    <row r="1629" spans="1:7">
      <c r="A1629" s="1350"/>
      <c r="B1629" s="1507"/>
      <c r="C1629" s="1536" t="s">
        <v>2116</v>
      </c>
      <c r="D1629" s="1507"/>
      <c r="E1629" s="1516">
        <f t="shared" si="73"/>
        <v>0.20129870129870131</v>
      </c>
      <c r="F1629" s="1537">
        <v>1.23</v>
      </c>
      <c r="G1629" s="32">
        <v>1.54</v>
      </c>
    </row>
    <row r="1630" spans="1:7">
      <c r="A1630" s="1350"/>
      <c r="B1630" s="1507"/>
      <c r="C1630" s="1536" t="s">
        <v>2066</v>
      </c>
      <c r="D1630" s="1507"/>
      <c r="E1630" s="1516">
        <f t="shared" si="73"/>
        <v>0.20129870129870131</v>
      </c>
      <c r="F1630" s="1537">
        <v>1.23</v>
      </c>
      <c r="G1630" s="32">
        <v>1.54</v>
      </c>
    </row>
    <row r="1631" spans="1:7">
      <c r="A1631" s="1350"/>
      <c r="B1631" s="1507"/>
      <c r="C1631" s="1536" t="s">
        <v>554</v>
      </c>
      <c r="D1631" s="1507"/>
      <c r="E1631" s="1516">
        <f t="shared" si="73"/>
        <v>0.20168067226890751</v>
      </c>
      <c r="F1631" s="1537">
        <v>0.95</v>
      </c>
      <c r="G1631" s="32">
        <v>1.19</v>
      </c>
    </row>
    <row r="1632" spans="1:7">
      <c r="A1632" s="1350"/>
      <c r="B1632" s="1507"/>
      <c r="C1632" s="1536" t="s">
        <v>1268</v>
      </c>
      <c r="D1632" s="1507"/>
      <c r="E1632" s="1516">
        <f t="shared" si="73"/>
        <v>0.20000000000000007</v>
      </c>
      <c r="F1632" s="1537">
        <v>0.88</v>
      </c>
      <c r="G1632" s="32">
        <v>1.1000000000000001</v>
      </c>
    </row>
    <row r="1633" spans="1:7">
      <c r="A1633" s="1350"/>
      <c r="B1633" s="1507"/>
      <c r="C1633" s="1536"/>
      <c r="D1633" s="1507"/>
      <c r="E1633" s="1516" t="e">
        <f t="shared" si="73"/>
        <v>#DIV/0!</v>
      </c>
      <c r="F1633" s="1537"/>
      <c r="G1633" s="32"/>
    </row>
    <row r="1634" spans="1:7">
      <c r="A1634" s="1350"/>
      <c r="B1634" s="1507"/>
      <c r="C1634" s="1536"/>
      <c r="D1634" s="1507"/>
      <c r="E1634" s="1516" t="e">
        <f t="shared" si="73"/>
        <v>#DIV/0!</v>
      </c>
      <c r="F1634" s="1537"/>
      <c r="G1634" s="32"/>
    </row>
    <row r="1635" spans="1:7">
      <c r="A1635" s="1377"/>
      <c r="B1635" s="1507"/>
      <c r="C1635" s="1507"/>
      <c r="D1635" s="1507"/>
      <c r="E1635" s="1516" t="e">
        <f t="shared" si="73"/>
        <v>#DIV/0!</v>
      </c>
      <c r="F1635" s="1537"/>
      <c r="G1635" s="32"/>
    </row>
    <row r="1636" spans="1:7">
      <c r="A1636" s="1377"/>
      <c r="B1636" s="1507"/>
      <c r="C1636" s="1507"/>
      <c r="D1636" s="1507"/>
      <c r="E1636" s="1516"/>
      <c r="F1636" s="1537"/>
      <c r="G1636" s="32"/>
    </row>
    <row r="1637" spans="1:7">
      <c r="A1637" s="1377"/>
      <c r="B1637" s="1507"/>
      <c r="C1637" s="33"/>
      <c r="D1637" s="1507"/>
      <c r="E1637" s="1516"/>
      <c r="F1637" s="1537"/>
      <c r="G1637" s="32"/>
    </row>
    <row r="1638" spans="1:7" ht="15.75" thickBot="1">
      <c r="A1638" s="1428"/>
      <c r="B1638" s="1320"/>
      <c r="C1638" s="1538"/>
      <c r="D1638" s="1320"/>
      <c r="E1638" s="1429" t="e">
        <f>(G1638-F1638)/G1638</f>
        <v>#DIV/0!</v>
      </c>
      <c r="F1638" s="1430"/>
      <c r="G1638" s="33"/>
    </row>
    <row r="1639" spans="1:7" ht="15.75" thickBot="1"/>
    <row r="1640" spans="1:7">
      <c r="A1640" s="3572"/>
      <c r="B1640" s="3636"/>
      <c r="C1640" s="3636"/>
      <c r="D1640" s="3636"/>
      <c r="E1640" s="3636"/>
      <c r="F1640" s="3559"/>
      <c r="G1640" s="429"/>
    </row>
    <row r="1641" spans="1:7" ht="15.75" thickBot="1">
      <c r="A1641" s="3695"/>
      <c r="B1641" s="3692"/>
      <c r="C1641" s="3692"/>
      <c r="D1641" s="3692"/>
      <c r="E1641" s="3692"/>
      <c r="F1641" s="3705"/>
      <c r="G1641" s="429"/>
    </row>
    <row r="1642" spans="1:7" ht="16.5" thickTop="1" thickBot="1">
      <c r="A1642" s="1495" t="s">
        <v>2672</v>
      </c>
      <c r="B1642" s="388" t="s">
        <v>120</v>
      </c>
      <c r="C1642" s="1505" t="s">
        <v>636</v>
      </c>
      <c r="D1642" s="388"/>
      <c r="E1642" s="1429">
        <f t="shared" ref="E1642:E1647" si="74">(G1642-F1642)/G1642</f>
        <v>0.19811320754716988</v>
      </c>
      <c r="F1642" s="1503">
        <v>0.85</v>
      </c>
      <c r="G1642" s="436">
        <v>1.06</v>
      </c>
    </row>
    <row r="1643" spans="1:7" ht="15.75" thickBot="1">
      <c r="A1643" s="491"/>
      <c r="B1643" s="1504" t="s">
        <v>121</v>
      </c>
      <c r="C1643" s="1505" t="s">
        <v>1120</v>
      </c>
      <c r="D1643" s="388"/>
      <c r="E1643" s="1429">
        <f t="shared" si="74"/>
        <v>0.19230769230769237</v>
      </c>
      <c r="F1643" s="1503">
        <v>0.42</v>
      </c>
      <c r="G1643" s="429">
        <v>0.52</v>
      </c>
    </row>
    <row r="1644" spans="1:7" ht="15.75" thickBot="1">
      <c r="A1644" s="491"/>
      <c r="B1644" s="1504" t="s">
        <v>123</v>
      </c>
      <c r="C1644" s="1505" t="s">
        <v>732</v>
      </c>
      <c r="D1644" s="388"/>
      <c r="E1644" s="1429">
        <f t="shared" si="74"/>
        <v>0.24999999999999997</v>
      </c>
      <c r="F1644" s="1503">
        <v>0.66</v>
      </c>
      <c r="G1644" s="429">
        <v>0.88</v>
      </c>
    </row>
    <row r="1645" spans="1:7" ht="15.75" thickBot="1">
      <c r="A1645" s="491"/>
      <c r="B1645" s="1504" t="s">
        <v>122</v>
      </c>
      <c r="C1645" s="1505" t="s">
        <v>2329</v>
      </c>
      <c r="D1645" s="388"/>
      <c r="E1645" s="1429">
        <f t="shared" si="74"/>
        <v>0.20000000000000004</v>
      </c>
      <c r="F1645" s="1503">
        <v>0.6</v>
      </c>
      <c r="G1645" s="528">
        <v>0.75</v>
      </c>
    </row>
    <row r="1646" spans="1:7" ht="15.75" thickBot="1">
      <c r="A1646" s="491"/>
      <c r="B1646" s="1199" t="s">
        <v>2057</v>
      </c>
      <c r="C1646" s="1200" t="s">
        <v>2673</v>
      </c>
      <c r="D1646" s="388"/>
      <c r="E1646" s="1429">
        <f t="shared" si="74"/>
        <v>0.20000000000000004</v>
      </c>
      <c r="F1646" s="961">
        <v>0.6</v>
      </c>
      <c r="G1646" s="528">
        <v>0.75</v>
      </c>
    </row>
    <row r="1647" spans="1:7" ht="15.75" thickBot="1">
      <c r="A1647" s="500"/>
      <c r="B1647" s="1344"/>
      <c r="C1647" s="1345"/>
      <c r="D1647" s="873"/>
      <c r="E1647" s="1429" t="e">
        <f t="shared" si="74"/>
        <v>#DIV/0!</v>
      </c>
      <c r="F1647" s="1347"/>
      <c r="G1647" s="528"/>
    </row>
    <row r="1648" spans="1:7" ht="15.75" thickBot="1"/>
    <row r="1649" spans="1:7">
      <c r="A1649" s="3614" t="s">
        <v>0</v>
      </c>
      <c r="B1649" s="3693" t="s">
        <v>1</v>
      </c>
      <c r="C1649" s="3693" t="s">
        <v>2</v>
      </c>
      <c r="D1649" s="3693" t="s">
        <v>3</v>
      </c>
      <c r="E1649" s="3693" t="s">
        <v>4</v>
      </c>
      <c r="F1649" s="3522" t="s">
        <v>5</v>
      </c>
      <c r="G1649" s="109"/>
    </row>
    <row r="1650" spans="1:7" ht="15.75" thickBot="1">
      <c r="A1650" s="4050"/>
      <c r="B1650" s="4102"/>
      <c r="C1650" s="4102"/>
      <c r="D1650" s="4102"/>
      <c r="E1650" s="4102"/>
      <c r="F1650" s="4054"/>
      <c r="G1650" s="109"/>
    </row>
    <row r="1651" spans="1:7" ht="15.75">
      <c r="A1651" s="841" t="s">
        <v>2677</v>
      </c>
      <c r="B1651" s="4131" t="s">
        <v>2155</v>
      </c>
      <c r="C1651" s="1097" t="s">
        <v>2550</v>
      </c>
      <c r="D1651" s="1098"/>
      <c r="E1651" s="290">
        <f>(G1651-F1651)/G1651</f>
        <v>0.39384615384615385</v>
      </c>
      <c r="F1651" s="1122">
        <v>5.91</v>
      </c>
      <c r="G1651" s="1103">
        <v>9.75</v>
      </c>
    </row>
    <row r="1652" spans="1:7" ht="15.75">
      <c r="A1652" s="841"/>
      <c r="B1652" s="4132"/>
      <c r="C1652" s="1544" t="s">
        <v>2551</v>
      </c>
      <c r="D1652" s="1545"/>
      <c r="E1652" s="290">
        <f t="shared" ref="E1652:E1664" si="75">(G1652-F1652)/G1652</f>
        <v>0.39384615384615385</v>
      </c>
      <c r="F1652" s="1122">
        <v>5.91</v>
      </c>
      <c r="G1652" s="1103">
        <v>9.75</v>
      </c>
    </row>
    <row r="1653" spans="1:7">
      <c r="A1653" s="841"/>
      <c r="B1653" s="4132"/>
      <c r="C1653" s="1546" t="s">
        <v>2552</v>
      </c>
      <c r="D1653" s="1547"/>
      <c r="E1653" s="290">
        <f t="shared" si="75"/>
        <v>0.39384615384615385</v>
      </c>
      <c r="F1653" s="1122">
        <v>5.91</v>
      </c>
      <c r="G1653" s="1103">
        <v>9.75</v>
      </c>
    </row>
    <row r="1654" spans="1:7">
      <c r="A1654" s="841"/>
      <c r="B1654" s="4132"/>
      <c r="C1654" s="1546" t="s">
        <v>686</v>
      </c>
      <c r="D1654" s="1547"/>
      <c r="E1654" s="290">
        <f t="shared" si="75"/>
        <v>0.35000000000000009</v>
      </c>
      <c r="F1654" s="1122">
        <v>1.43</v>
      </c>
      <c r="G1654" s="1103">
        <v>2.2000000000000002</v>
      </c>
    </row>
    <row r="1655" spans="1:7">
      <c r="A1655" s="841"/>
      <c r="B1655" s="4132"/>
      <c r="C1655" s="1546" t="s">
        <v>687</v>
      </c>
      <c r="D1655" s="1547"/>
      <c r="E1655" s="290">
        <f t="shared" si="75"/>
        <v>0.35000000000000009</v>
      </c>
      <c r="F1655" s="1122">
        <v>1.43</v>
      </c>
      <c r="G1655" s="1103">
        <v>2.2000000000000002</v>
      </c>
    </row>
    <row r="1656" spans="1:7" ht="15.75">
      <c r="A1656" s="841"/>
      <c r="B1656" s="4132"/>
      <c r="C1656" s="1548"/>
      <c r="D1656" s="1549"/>
      <c r="E1656" s="290" t="e">
        <f t="shared" si="75"/>
        <v>#DIV/0!</v>
      </c>
      <c r="F1656" s="1122"/>
      <c r="G1656" s="1103"/>
    </row>
    <row r="1657" spans="1:7" ht="15.75">
      <c r="A1657" s="841"/>
      <c r="B1657" s="4132"/>
      <c r="C1657" s="1548"/>
      <c r="D1657" s="1549"/>
      <c r="E1657" s="290" t="e">
        <f t="shared" si="75"/>
        <v>#DIV/0!</v>
      </c>
      <c r="F1657" s="1122"/>
      <c r="G1657" s="1103"/>
    </row>
    <row r="1658" spans="1:7" ht="15.75">
      <c r="A1658" s="841"/>
      <c r="B1658" s="4132"/>
      <c r="C1658" s="1548"/>
      <c r="D1658" s="1549"/>
      <c r="E1658" s="290" t="e">
        <f t="shared" si="75"/>
        <v>#DIV/0!</v>
      </c>
      <c r="F1658" s="1122"/>
      <c r="G1658" s="1103"/>
    </row>
    <row r="1659" spans="1:7" ht="15.75">
      <c r="A1659" s="841"/>
      <c r="B1659" s="4132"/>
      <c r="C1659" s="1548"/>
      <c r="D1659" s="1549"/>
      <c r="E1659" s="290" t="e">
        <f t="shared" si="75"/>
        <v>#DIV/0!</v>
      </c>
      <c r="F1659" s="1122"/>
      <c r="G1659" s="1103"/>
    </row>
    <row r="1660" spans="1:7" ht="15.75">
      <c r="A1660" s="841"/>
      <c r="B1660" s="4132"/>
      <c r="C1660" s="1548"/>
      <c r="D1660" s="1549"/>
      <c r="E1660" s="290" t="e">
        <f t="shared" si="75"/>
        <v>#DIV/0!</v>
      </c>
      <c r="F1660" s="1122"/>
      <c r="G1660" s="1103"/>
    </row>
    <row r="1661" spans="1:7" ht="15.75">
      <c r="A1661" s="841"/>
      <c r="B1661" s="4132"/>
      <c r="C1661" s="1548"/>
      <c r="D1661" s="1549"/>
      <c r="E1661" s="290" t="e">
        <f t="shared" si="75"/>
        <v>#DIV/0!</v>
      </c>
      <c r="F1661" s="1122"/>
      <c r="G1661" s="1103"/>
    </row>
    <row r="1662" spans="1:7" ht="15.75">
      <c r="A1662" s="841"/>
      <c r="B1662" s="4132"/>
      <c r="C1662" s="1548"/>
      <c r="D1662" s="1549"/>
      <c r="E1662" s="290" t="e">
        <f t="shared" si="75"/>
        <v>#DIV/0!</v>
      </c>
      <c r="F1662" s="1122"/>
      <c r="G1662" s="1103"/>
    </row>
    <row r="1663" spans="1:7" ht="15.75">
      <c r="A1663" s="841"/>
      <c r="B1663" s="4132"/>
      <c r="C1663" s="1548"/>
      <c r="D1663" s="1549"/>
      <c r="E1663" s="290" t="e">
        <f t="shared" si="75"/>
        <v>#DIV/0!</v>
      </c>
      <c r="F1663" s="1122"/>
      <c r="G1663" s="1103"/>
    </row>
    <row r="1664" spans="1:7" ht="16.5" thickBot="1">
      <c r="A1664" s="884"/>
      <c r="B1664" s="4133"/>
      <c r="C1664" s="1319"/>
      <c r="D1664" s="1320"/>
      <c r="E1664" s="290" t="e">
        <f t="shared" si="75"/>
        <v>#DIV/0!</v>
      </c>
      <c r="F1664" s="1122"/>
      <c r="G1664" s="1103"/>
    </row>
    <row r="1666" spans="1:7" ht="15.75" thickBot="1"/>
    <row r="1667" spans="1:7">
      <c r="A1667" s="3572" t="s">
        <v>0</v>
      </c>
      <c r="B1667" s="3636" t="s">
        <v>1</v>
      </c>
      <c r="C1667" s="3636" t="s">
        <v>2</v>
      </c>
      <c r="D1667" s="3636" t="s">
        <v>3</v>
      </c>
      <c r="E1667" s="3636" t="s">
        <v>4</v>
      </c>
      <c r="F1667" s="3559" t="s">
        <v>5</v>
      </c>
      <c r="G1667" s="429"/>
    </row>
    <row r="1668" spans="1:7" ht="15.75" thickBot="1">
      <c r="A1668" s="3695"/>
      <c r="B1668" s="3692"/>
      <c r="C1668" s="3692"/>
      <c r="D1668" s="3692"/>
      <c r="E1668" s="3692"/>
      <c r="F1668" s="3705"/>
      <c r="G1668" s="429"/>
    </row>
    <row r="1669" spans="1:7" ht="15.75" thickTop="1">
      <c r="A1669" s="1495" t="s">
        <v>2679</v>
      </c>
      <c r="B1669" s="388" t="s">
        <v>2082</v>
      </c>
      <c r="C1669" s="1546" t="s">
        <v>1058</v>
      </c>
      <c r="D1669" s="388"/>
      <c r="E1669" s="1553">
        <f>(G1669-F1669)/G1669</f>
        <v>0.20289855072463767</v>
      </c>
      <c r="F1669" s="1503">
        <v>1.65</v>
      </c>
      <c r="G1669" s="436">
        <v>2.0699999999999998</v>
      </c>
    </row>
    <row r="1670" spans="1:7" ht="30">
      <c r="A1670" s="491"/>
      <c r="B1670" s="1554"/>
      <c r="C1670" s="1636" t="s">
        <v>2455</v>
      </c>
      <c r="D1670" s="388"/>
      <c r="E1670" s="1556">
        <f>(G1670-F1670)/G1670</f>
        <v>0.23125000000000007</v>
      </c>
      <c r="F1670" s="1503">
        <v>1.23</v>
      </c>
      <c r="G1670" s="436">
        <v>1.6</v>
      </c>
    </row>
    <row r="1671" spans="1:7" ht="15.75" thickBot="1">
      <c r="A1671" s="500"/>
      <c r="B1671" s="1344"/>
      <c r="C1671" s="1637" t="s">
        <v>1892</v>
      </c>
      <c r="D1671" s="873"/>
      <c r="E1671" s="1346">
        <f>(G1671-F1671)/G1671</f>
        <v>0.24793388429752061</v>
      </c>
      <c r="F1671" s="1347">
        <v>0.91</v>
      </c>
      <c r="G1671" s="429">
        <v>1.21</v>
      </c>
    </row>
    <row r="1672" spans="1:7" ht="15.75" thickBot="1"/>
    <row r="1673" spans="1:7">
      <c r="A1673" s="4138" t="s">
        <v>0</v>
      </c>
      <c r="B1673" s="4134" t="s">
        <v>1</v>
      </c>
      <c r="C1673" s="4134" t="s">
        <v>2</v>
      </c>
      <c r="D1673" s="4134" t="s">
        <v>3</v>
      </c>
      <c r="E1673" s="4134" t="s">
        <v>4</v>
      </c>
      <c r="F1673" s="4136" t="s">
        <v>5</v>
      </c>
    </row>
    <row r="1674" spans="1:7" ht="15.75" thickBot="1">
      <c r="A1674" s="4139"/>
      <c r="B1674" s="4135"/>
      <c r="C1674" s="4135"/>
      <c r="D1674" s="4135"/>
      <c r="E1674" s="4135"/>
      <c r="F1674" s="4137"/>
    </row>
    <row r="1675" spans="1:7" ht="15.75">
      <c r="A1675" s="1138" t="s">
        <v>2688</v>
      </c>
      <c r="B1675" s="902" t="s">
        <v>1708</v>
      </c>
      <c r="C1675" s="1634" t="s">
        <v>2021</v>
      </c>
      <c r="D1675" s="902"/>
      <c r="E1675" s="904">
        <f t="shared" ref="E1675:E1684" si="76">(G1675-F1675)/G1675</f>
        <v>0.20121951219512188</v>
      </c>
      <c r="F1675" s="1140">
        <v>1.31</v>
      </c>
      <c r="G1675">
        <v>1.64</v>
      </c>
    </row>
    <row r="1676" spans="1:7" ht="15.75">
      <c r="A1676" s="1311"/>
      <c r="B1676" s="1561"/>
      <c r="C1676" s="1561" t="s">
        <v>517</v>
      </c>
      <c r="D1676" s="1561"/>
      <c r="E1676" s="1562">
        <f t="shared" si="76"/>
        <v>0.17322834645669288</v>
      </c>
      <c r="F1676" s="1140">
        <v>1.05</v>
      </c>
      <c r="G1676">
        <v>1.27</v>
      </c>
    </row>
    <row r="1677" spans="1:7" ht="15.75">
      <c r="A1677" s="1311"/>
      <c r="B1677" s="1561"/>
      <c r="C1677" s="1561" t="s">
        <v>1345</v>
      </c>
      <c r="D1677" s="1561"/>
      <c r="E1677" s="1562">
        <f t="shared" si="76"/>
        <v>0.14917127071823205</v>
      </c>
      <c r="F1677" s="1140">
        <v>1.54</v>
      </c>
      <c r="G1677">
        <v>1.81</v>
      </c>
    </row>
    <row r="1678" spans="1:7" ht="15.75">
      <c r="A1678" s="1496"/>
      <c r="B1678" s="1546"/>
      <c r="C1678" s="1546" t="s">
        <v>1355</v>
      </c>
      <c r="D1678" s="1546"/>
      <c r="E1678" s="1562">
        <f t="shared" si="76"/>
        <v>0.14917127071823205</v>
      </c>
      <c r="F1678" s="1140">
        <v>1.54</v>
      </c>
      <c r="G1678">
        <v>1.81</v>
      </c>
    </row>
    <row r="1679" spans="1:7" ht="15.75">
      <c r="A1679" s="1496"/>
      <c r="B1679" s="1546"/>
      <c r="C1679" s="1546" t="s">
        <v>1413</v>
      </c>
      <c r="D1679" s="1546"/>
      <c r="E1679" s="1562">
        <f t="shared" si="76"/>
        <v>0.14917127071823205</v>
      </c>
      <c r="F1679" s="1140">
        <v>1.54</v>
      </c>
      <c r="G1679">
        <v>1.81</v>
      </c>
    </row>
    <row r="1680" spans="1:7" ht="15.75">
      <c r="A1680" s="1496"/>
      <c r="B1680" s="1546"/>
      <c r="C1680" s="1546" t="s">
        <v>1429</v>
      </c>
      <c r="D1680" s="1546"/>
      <c r="E1680" s="1562">
        <f t="shared" si="76"/>
        <v>0.14917127071823205</v>
      </c>
      <c r="F1680" s="1140">
        <v>1.54</v>
      </c>
      <c r="G1680">
        <v>1.81</v>
      </c>
    </row>
    <row r="1681" spans="1:7" ht="15.75">
      <c r="A1681" s="1496"/>
      <c r="B1681" s="1546"/>
      <c r="C1681" s="1546"/>
      <c r="D1681" s="1546"/>
      <c r="E1681" s="1562" t="e">
        <f t="shared" si="76"/>
        <v>#DIV/0!</v>
      </c>
      <c r="F1681" s="1140"/>
    </row>
    <row r="1682" spans="1:7" ht="15.75">
      <c r="A1682" s="1496"/>
      <c r="B1682" s="1546"/>
      <c r="C1682" s="1546"/>
      <c r="D1682" s="1546"/>
      <c r="E1682" s="1562" t="e">
        <f t="shared" si="76"/>
        <v>#DIV/0!</v>
      </c>
      <c r="F1682" s="1140"/>
    </row>
    <row r="1683" spans="1:7" ht="15.75">
      <c r="A1683" s="1496"/>
      <c r="B1683" s="1546"/>
      <c r="C1683" s="1546"/>
      <c r="D1683" s="1546"/>
      <c r="E1683" s="1562" t="e">
        <f t="shared" si="76"/>
        <v>#DIV/0!</v>
      </c>
      <c r="F1683" s="1140"/>
    </row>
    <row r="1684" spans="1:7" ht="16.5" thickBot="1">
      <c r="A1684" s="1315"/>
      <c r="B1684" s="1356"/>
      <c r="C1684" s="1356"/>
      <c r="D1684" s="1356"/>
      <c r="E1684" s="1562" t="e">
        <f t="shared" si="76"/>
        <v>#DIV/0!</v>
      </c>
      <c r="F1684" s="1140"/>
    </row>
    <row r="1686" spans="1:7" ht="15.75" thickBot="1"/>
    <row r="1687" spans="1:7">
      <c r="A1687" s="3614" t="s">
        <v>0</v>
      </c>
      <c r="B1687" s="3693" t="s">
        <v>1</v>
      </c>
      <c r="C1687" s="3693" t="s">
        <v>2</v>
      </c>
      <c r="D1687" s="3693" t="s">
        <v>3</v>
      </c>
      <c r="E1687" s="3693" t="s">
        <v>4</v>
      </c>
      <c r="F1687" s="3522" t="s">
        <v>5</v>
      </c>
    </row>
    <row r="1688" spans="1:7" ht="15.75" thickBot="1">
      <c r="A1688" s="3682"/>
      <c r="B1688" s="3622"/>
      <c r="C1688" s="3622"/>
      <c r="D1688" s="3622"/>
      <c r="E1688" s="3622"/>
      <c r="F1688" s="3846"/>
    </row>
    <row r="1689" spans="1:7" ht="15.75">
      <c r="A1689" s="1371" t="s">
        <v>2695</v>
      </c>
      <c r="B1689" s="1545" t="s">
        <v>2183</v>
      </c>
      <c r="C1689" s="1633" t="s">
        <v>2696</v>
      </c>
      <c r="D1689" s="1545"/>
      <c r="E1689" s="1562">
        <f>(G1689-F1689)/G1689</f>
        <v>0.19780219780219785</v>
      </c>
      <c r="F1689" s="1563">
        <v>1.46</v>
      </c>
      <c r="G1689">
        <v>1.82</v>
      </c>
    </row>
    <row r="1690" spans="1:7" ht="15.75">
      <c r="A1690" s="302"/>
      <c r="B1690" s="1545"/>
      <c r="C1690" s="1633" t="s">
        <v>2697</v>
      </c>
      <c r="D1690" s="1545"/>
      <c r="E1690" s="1562">
        <f>(G1690-F1690)/G1690</f>
        <v>0.35344827586206889</v>
      </c>
      <c r="F1690" s="1563">
        <v>0.75</v>
      </c>
      <c r="G1690">
        <v>1.1599999999999999</v>
      </c>
    </row>
    <row r="1691" spans="1:7" ht="16.5" thickBot="1">
      <c r="A1691" s="460"/>
      <c r="B1691" s="1320"/>
      <c r="C1691" s="1633" t="s">
        <v>2698</v>
      </c>
      <c r="D1691" s="1320"/>
      <c r="E1691" s="1357">
        <f>(G1691-F1691)/G1691</f>
        <v>0.20869565217391295</v>
      </c>
      <c r="F1691" s="1374">
        <v>1.82</v>
      </c>
      <c r="G1691">
        <v>2.2999999999999998</v>
      </c>
    </row>
    <row r="1692" spans="1:7" ht="15.75" thickBot="1"/>
    <row r="1693" spans="1:7">
      <c r="A1693" s="3614" t="s">
        <v>0</v>
      </c>
      <c r="B1693" s="3693" t="s">
        <v>1</v>
      </c>
      <c r="C1693" s="3693" t="s">
        <v>2</v>
      </c>
      <c r="D1693" s="3693" t="s">
        <v>3</v>
      </c>
      <c r="E1693" s="3693" t="s">
        <v>4</v>
      </c>
      <c r="F1693" s="3522" t="s">
        <v>5</v>
      </c>
      <c r="G1693" s="109"/>
    </row>
    <row r="1694" spans="1:7" ht="15.75" thickBot="1">
      <c r="A1694" s="4050"/>
      <c r="B1694" s="4102"/>
      <c r="C1694" s="4102"/>
      <c r="D1694" s="4102"/>
      <c r="E1694" s="4102"/>
      <c r="F1694" s="4054"/>
      <c r="G1694" s="109"/>
    </row>
    <row r="1695" spans="1:7" ht="15.75">
      <c r="A1695" s="841" t="s">
        <v>2699</v>
      </c>
      <c r="B1695" s="4131" t="s">
        <v>2155</v>
      </c>
      <c r="C1695" s="1097" t="s">
        <v>623</v>
      </c>
      <c r="D1695" s="1098"/>
      <c r="E1695" s="290">
        <f>(G1695-F1695)/G1695</f>
        <v>0.19999999999999996</v>
      </c>
      <c r="F1695" s="1564">
        <v>1.56</v>
      </c>
      <c r="G1695" s="1565">
        <v>1.95</v>
      </c>
    </row>
    <row r="1696" spans="1:7" ht="15.75">
      <c r="A1696" s="841"/>
      <c r="B1696" s="4132"/>
      <c r="C1696" s="1544" t="s">
        <v>1772</v>
      </c>
      <c r="D1696" s="1545"/>
      <c r="E1696" s="290">
        <f t="shared" ref="E1696:E1708" si="77">(G1696-F1696)/G1696</f>
        <v>0.19999999999999996</v>
      </c>
      <c r="F1696" s="1564">
        <v>1.56</v>
      </c>
      <c r="G1696" s="1565">
        <v>1.95</v>
      </c>
    </row>
    <row r="1697" spans="1:7">
      <c r="A1697" s="841"/>
      <c r="B1697" s="4132"/>
      <c r="C1697" s="1566" t="s">
        <v>554</v>
      </c>
      <c r="D1697" s="1549"/>
      <c r="E1697" s="290">
        <f t="shared" si="77"/>
        <v>0.16666666666666663</v>
      </c>
      <c r="F1697" s="1564">
        <v>0.95</v>
      </c>
      <c r="G1697" s="1565">
        <v>1.1399999999999999</v>
      </c>
    </row>
    <row r="1698" spans="1:7">
      <c r="A1698" s="841"/>
      <c r="B1698" s="4132"/>
      <c r="C1698" s="1566" t="s">
        <v>730</v>
      </c>
      <c r="D1698" s="1549"/>
      <c r="E1698" s="290">
        <f t="shared" si="77"/>
        <v>0.1125000000000001</v>
      </c>
      <c r="F1698" s="1564">
        <v>0.71</v>
      </c>
      <c r="G1698" s="1565">
        <v>0.8</v>
      </c>
    </row>
    <row r="1699" spans="1:7">
      <c r="A1699" s="841"/>
      <c r="B1699" s="4132"/>
      <c r="C1699" s="1566" t="s">
        <v>1413</v>
      </c>
      <c r="D1699" s="1549"/>
      <c r="E1699" s="290">
        <f t="shared" si="77"/>
        <v>0.10778443113772451</v>
      </c>
      <c r="F1699" s="1564">
        <v>1.49</v>
      </c>
      <c r="G1699" s="1565">
        <v>1.67</v>
      </c>
    </row>
    <row r="1700" spans="1:7" ht="15.75">
      <c r="A1700" s="841"/>
      <c r="B1700" s="4132"/>
      <c r="C1700" s="1548" t="s">
        <v>1429</v>
      </c>
      <c r="D1700" s="1549"/>
      <c r="E1700" s="290">
        <f t="shared" si="77"/>
        <v>0.11309523809523807</v>
      </c>
      <c r="F1700" s="1564">
        <v>1.49</v>
      </c>
      <c r="G1700" s="1565">
        <v>1.68</v>
      </c>
    </row>
    <row r="1701" spans="1:7" ht="15.75">
      <c r="A1701" s="841"/>
      <c r="B1701" s="4132"/>
      <c r="C1701" s="1639" t="s">
        <v>2024</v>
      </c>
      <c r="D1701" s="1545"/>
      <c r="E1701" s="1567">
        <f t="shared" si="77"/>
        <v>0.19999999999999987</v>
      </c>
      <c r="F1701" s="1568">
        <v>0.56000000000000005</v>
      </c>
      <c r="G1701" s="1569">
        <v>0.7</v>
      </c>
    </row>
    <row r="1702" spans="1:7" ht="15.75">
      <c r="A1702" s="841"/>
      <c r="B1702" s="4132"/>
      <c r="C1702" s="1640" t="s">
        <v>2353</v>
      </c>
      <c r="D1702" s="1549"/>
      <c r="E1702" s="290">
        <f t="shared" si="77"/>
        <v>0.1764705882352941</v>
      </c>
      <c r="F1702" s="1564">
        <v>0.14000000000000001</v>
      </c>
      <c r="G1702" s="1565">
        <v>0.17</v>
      </c>
    </row>
    <row r="1703" spans="1:7" ht="15.75">
      <c r="A1703" s="841"/>
      <c r="B1703" s="4132"/>
      <c r="C1703" s="1640" t="s">
        <v>2351</v>
      </c>
      <c r="D1703" s="1549"/>
      <c r="E1703" s="290">
        <f t="shared" si="77"/>
        <v>0.1764705882352941</v>
      </c>
      <c r="F1703" s="1564">
        <v>0.14000000000000001</v>
      </c>
      <c r="G1703" s="1565">
        <v>0.17</v>
      </c>
    </row>
    <row r="1704" spans="1:7" ht="15.75">
      <c r="A1704" s="841"/>
      <c r="B1704" s="4132"/>
      <c r="C1704" s="1640" t="s">
        <v>2352</v>
      </c>
      <c r="D1704" s="1549"/>
      <c r="E1704" s="290">
        <f t="shared" si="77"/>
        <v>0.1764705882352941</v>
      </c>
      <c r="F1704" s="1564">
        <v>0.14000000000000001</v>
      </c>
      <c r="G1704" s="1565">
        <v>0.17</v>
      </c>
    </row>
    <row r="1705" spans="1:7" ht="15.75">
      <c r="A1705" s="841"/>
      <c r="B1705" s="4132"/>
      <c r="C1705" s="1640" t="s">
        <v>1904</v>
      </c>
      <c r="D1705" s="1549"/>
      <c r="E1705" s="290">
        <f t="shared" si="77"/>
        <v>0.15894039735099338</v>
      </c>
      <c r="F1705" s="1122">
        <v>1.27</v>
      </c>
      <c r="G1705" s="1103">
        <v>1.51</v>
      </c>
    </row>
    <row r="1706" spans="1:7" ht="15.75">
      <c r="A1706" s="841"/>
      <c r="B1706" s="4132"/>
      <c r="C1706" s="1548"/>
      <c r="D1706" s="1549"/>
      <c r="E1706" s="290" t="e">
        <f t="shared" si="77"/>
        <v>#DIV/0!</v>
      </c>
      <c r="F1706" s="1122"/>
      <c r="G1706" s="1103"/>
    </row>
    <row r="1707" spans="1:7" ht="15.75">
      <c r="A1707" s="841"/>
      <c r="B1707" s="4132"/>
      <c r="C1707" s="1548"/>
      <c r="D1707" s="1549"/>
      <c r="E1707" s="290" t="e">
        <f t="shared" si="77"/>
        <v>#DIV/0!</v>
      </c>
      <c r="F1707" s="1122"/>
      <c r="G1707" s="1103"/>
    </row>
    <row r="1708" spans="1:7" ht="16.5" thickBot="1">
      <c r="A1708" s="884"/>
      <c r="B1708" s="4133"/>
      <c r="C1708" s="1319"/>
      <c r="D1708" s="1320"/>
      <c r="E1708" s="290" t="e">
        <f t="shared" si="77"/>
        <v>#DIV/0!</v>
      </c>
      <c r="F1708" s="1122"/>
      <c r="G1708" s="1103"/>
    </row>
    <row r="1709" spans="1:7" ht="15.75" thickBot="1"/>
    <row r="1710" spans="1:7">
      <c r="A1710" s="3572" t="s">
        <v>0</v>
      </c>
      <c r="B1710" s="3636" t="s">
        <v>1</v>
      </c>
      <c r="C1710" s="3636" t="s">
        <v>2</v>
      </c>
      <c r="D1710" s="3636" t="s">
        <v>3</v>
      </c>
      <c r="E1710" s="3636" t="s">
        <v>4</v>
      </c>
      <c r="F1710" s="3559" t="s">
        <v>5</v>
      </c>
      <c r="G1710" s="429"/>
    </row>
    <row r="1711" spans="1:7" ht="15.75" thickBot="1">
      <c r="A1711" s="3695"/>
      <c r="B1711" s="3692"/>
      <c r="C1711" s="3692"/>
      <c r="D1711" s="3692"/>
      <c r="E1711" s="3692"/>
      <c r="F1711" s="3705"/>
      <c r="G1711" s="429"/>
    </row>
    <row r="1712" spans="1:7" ht="16.5" thickTop="1">
      <c r="A1712" s="1495" t="s">
        <v>2708</v>
      </c>
      <c r="B1712" s="388" t="s">
        <v>2029</v>
      </c>
      <c r="C1712" s="1635" t="s">
        <v>1892</v>
      </c>
      <c r="D1712" s="388"/>
      <c r="E1712" s="880">
        <f>(G1712-F1712)/G1712</f>
        <v>0.31192660550458723</v>
      </c>
      <c r="F1712" s="1503">
        <v>0.75</v>
      </c>
      <c r="G1712" s="436">
        <v>1.0900000000000001</v>
      </c>
    </row>
    <row r="1713" spans="1:8">
      <c r="A1713" s="491"/>
      <c r="B1713" s="1554"/>
      <c r="C1713" s="1555"/>
      <c r="D1713" s="388"/>
      <c r="E1713" s="1556" t="e">
        <f>(G1713-F1713)/G1713</f>
        <v>#DIV/0!</v>
      </c>
      <c r="F1713" s="1503"/>
      <c r="G1713" s="429"/>
    </row>
    <row r="1714" spans="1:8" ht="15.75" thickBot="1">
      <c r="A1714" s="500"/>
      <c r="B1714" s="1344"/>
      <c r="C1714" s="1345"/>
      <c r="D1714" s="873"/>
      <c r="E1714" s="1346" t="e">
        <f>(G1714-F1714)/G1714</f>
        <v>#DIV/0!</v>
      </c>
      <c r="F1714" s="1347"/>
      <c r="G1714" s="429"/>
    </row>
    <row r="1716" spans="1:8" ht="15.75" thickBot="1"/>
    <row r="1717" spans="1:8">
      <c r="A1717" s="3614" t="s">
        <v>0</v>
      </c>
      <c r="B1717" s="3693" t="s">
        <v>1</v>
      </c>
      <c r="C1717" s="3693" t="s">
        <v>2</v>
      </c>
      <c r="D1717" s="3693" t="s">
        <v>3</v>
      </c>
      <c r="E1717" s="3693" t="s">
        <v>4</v>
      </c>
      <c r="F1717" s="3522" t="s">
        <v>5</v>
      </c>
    </row>
    <row r="1718" spans="1:8" ht="15.75" thickBot="1">
      <c r="A1718" s="4050"/>
      <c r="B1718" s="4102"/>
      <c r="C1718" s="4102"/>
      <c r="D1718" s="4102"/>
      <c r="E1718" s="4102"/>
      <c r="F1718" s="4054"/>
    </row>
    <row r="1719" spans="1:8">
      <c r="A1719" s="1059" t="s">
        <v>2716</v>
      </c>
      <c r="B1719" s="288" t="s">
        <v>2016</v>
      </c>
      <c r="C1719" s="1580" t="s">
        <v>1067</v>
      </c>
      <c r="D1719" s="288"/>
      <c r="E1719" s="290">
        <f>(F1719/G1719-1)*-1</f>
        <v>0.20114942528735635</v>
      </c>
      <c r="F1719" s="1581">
        <v>1.39</v>
      </c>
      <c r="G1719" s="32">
        <v>1.74</v>
      </c>
    </row>
    <row r="1720" spans="1:8">
      <c r="A1720" s="1350"/>
      <c r="B1720" s="1545"/>
      <c r="C1720" s="1582" t="s">
        <v>2329</v>
      </c>
      <c r="D1720" s="1545"/>
      <c r="E1720" s="1567">
        <f t="shared" ref="E1720:E1729" si="78">(F1720/G1720-1)*-1</f>
        <v>0.20547945205479456</v>
      </c>
      <c r="F1720" s="1537">
        <v>0.57999999999999996</v>
      </c>
      <c r="G1720" s="32">
        <v>0.73</v>
      </c>
    </row>
    <row r="1721" spans="1:8">
      <c r="A1721" s="1350"/>
      <c r="B1721" s="1545"/>
      <c r="C1721" s="1582" t="s">
        <v>2673</v>
      </c>
      <c r="D1721" s="1545"/>
      <c r="E1721" s="1567">
        <f t="shared" si="78"/>
        <v>0.20547945205479456</v>
      </c>
      <c r="F1721" s="1537">
        <v>0.57999999999999996</v>
      </c>
      <c r="G1721" s="32">
        <v>0.73</v>
      </c>
    </row>
    <row r="1722" spans="1:8">
      <c r="A1722" s="1350"/>
      <c r="B1722" s="1545"/>
      <c r="C1722" s="1582" t="s">
        <v>2682</v>
      </c>
      <c r="D1722" s="1545"/>
      <c r="E1722" s="1567">
        <f t="shared" si="78"/>
        <v>0.19047619047619035</v>
      </c>
      <c r="F1722" s="1537">
        <v>0.34</v>
      </c>
      <c r="G1722" s="32">
        <v>0.42</v>
      </c>
    </row>
    <row r="1723" spans="1:8">
      <c r="A1723" s="1350"/>
      <c r="B1723" s="1545"/>
      <c r="C1723" s="1582" t="s">
        <v>2207</v>
      </c>
      <c r="D1723" s="1545"/>
      <c r="E1723" s="1567">
        <f t="shared" si="78"/>
        <v>0.20000000000000007</v>
      </c>
      <c r="F1723" s="1537">
        <v>0.44</v>
      </c>
      <c r="G1723" s="32">
        <v>0.55000000000000004</v>
      </c>
    </row>
    <row r="1724" spans="1:8" ht="30">
      <c r="A1724" s="1350"/>
      <c r="B1724" s="1545"/>
      <c r="C1724" s="1582" t="s">
        <v>2560</v>
      </c>
      <c r="D1724" s="1545"/>
      <c r="E1724" s="1567">
        <f t="shared" si="78"/>
        <v>0.20125786163522019</v>
      </c>
      <c r="F1724" s="1537">
        <v>2.54</v>
      </c>
      <c r="G1724" s="32">
        <v>3.18</v>
      </c>
      <c r="H1724">
        <v>2.82</v>
      </c>
    </row>
    <row r="1725" spans="1:8">
      <c r="A1725" s="1350"/>
      <c r="B1725" s="1545"/>
      <c r="C1725" s="1582" t="s">
        <v>2558</v>
      </c>
      <c r="D1725" s="1545"/>
      <c r="E1725" s="1567">
        <f t="shared" si="78"/>
        <v>0.20113314447592068</v>
      </c>
      <c r="F1725" s="1537">
        <v>2.82</v>
      </c>
      <c r="G1725" s="32">
        <v>3.53</v>
      </c>
      <c r="H1725">
        <v>3.13</v>
      </c>
    </row>
    <row r="1726" spans="1:8">
      <c r="A1726" s="1350"/>
      <c r="B1726" s="1545"/>
      <c r="C1726" s="1582" t="s">
        <v>2559</v>
      </c>
      <c r="D1726" s="1545"/>
      <c r="E1726" s="1567">
        <f t="shared" si="78"/>
        <v>0.20113314447592068</v>
      </c>
      <c r="F1726" s="1537">
        <v>2.82</v>
      </c>
      <c r="G1726" s="32">
        <v>3.53</v>
      </c>
      <c r="H1726">
        <v>3.13</v>
      </c>
    </row>
    <row r="1727" spans="1:8">
      <c r="A1727" s="1377"/>
      <c r="B1727" s="1545"/>
      <c r="C1727" s="1545" t="s">
        <v>1090</v>
      </c>
      <c r="D1727" s="1545"/>
      <c r="E1727" s="1567">
        <f t="shared" si="78"/>
        <v>0.20000000000000007</v>
      </c>
      <c r="F1727" s="1537">
        <v>1.1599999999999999</v>
      </c>
      <c r="G1727" s="32">
        <v>1.45</v>
      </c>
    </row>
    <row r="1728" spans="1:8">
      <c r="A1728" s="1377"/>
      <c r="B1728" s="1545"/>
      <c r="C1728" s="1545" t="s">
        <v>1091</v>
      </c>
      <c r="D1728" s="1545"/>
      <c r="E1728" s="1567">
        <f t="shared" si="78"/>
        <v>0.20000000000000007</v>
      </c>
      <c r="F1728" s="1537">
        <v>1.1599999999999999</v>
      </c>
      <c r="G1728" s="32">
        <v>1.45</v>
      </c>
    </row>
    <row r="1729" spans="1:8">
      <c r="A1729" s="1377"/>
      <c r="B1729" s="1545"/>
      <c r="C1729" s="1629" t="s">
        <v>2176</v>
      </c>
      <c r="D1729" s="1545"/>
      <c r="E1729" s="1567">
        <f t="shared" si="78"/>
        <v>0.20000000000000007</v>
      </c>
      <c r="F1729" s="1537">
        <v>1.88</v>
      </c>
      <c r="G1729" s="32">
        <v>2.35</v>
      </c>
    </row>
    <row r="1730" spans="1:8">
      <c r="A1730" s="1377"/>
      <c r="B1730" s="1545"/>
      <c r="C1730" s="1630" t="s">
        <v>2024</v>
      </c>
      <c r="D1730" s="1545"/>
      <c r="E1730" s="1567">
        <f>(G1730-F1730)/G1730</f>
        <v>0.19718309859154931</v>
      </c>
      <c r="F1730" s="1583">
        <v>0.56999999999999995</v>
      </c>
      <c r="G1730" s="33">
        <v>0.71</v>
      </c>
    </row>
    <row r="1731" spans="1:8">
      <c r="A1731" s="1311"/>
      <c r="B1731" s="1561"/>
      <c r="C1731" s="1629" t="s">
        <v>2717</v>
      </c>
      <c r="D1731" s="1561"/>
      <c r="E1731" s="1567">
        <f>(G1731-F1731)/G1731</f>
        <v>0.19897959183673464</v>
      </c>
      <c r="F1731" s="1537">
        <v>1.57</v>
      </c>
      <c r="G1731" s="33">
        <v>1.96</v>
      </c>
    </row>
    <row r="1732" spans="1:8">
      <c r="A1732" s="1311"/>
      <c r="B1732" s="1561"/>
      <c r="C1732" s="1629" t="s">
        <v>2387</v>
      </c>
      <c r="D1732" s="1561"/>
      <c r="E1732" s="1567">
        <f>(G1732-F1732)/G1732</f>
        <v>0.2258064516129033</v>
      </c>
      <c r="F1732" s="1537">
        <v>1.44</v>
      </c>
      <c r="G1732" s="33">
        <v>1.86</v>
      </c>
    </row>
    <row r="1733" spans="1:8" ht="15.75" thickBot="1">
      <c r="A1733" s="1315"/>
      <c r="B1733" s="1356"/>
      <c r="C1733" s="1356" t="s">
        <v>1362</v>
      </c>
      <c r="D1733" s="1356"/>
      <c r="E1733" s="1429">
        <f>(G1733-F1733)/G1733</f>
        <v>0.19966722129783698</v>
      </c>
      <c r="F1733" s="1584">
        <v>4.8099999999999996</v>
      </c>
      <c r="G1733" s="33">
        <v>6.01</v>
      </c>
      <c r="H1733">
        <v>5.66</v>
      </c>
    </row>
    <row r="1735" spans="1:8" ht="15.75" thickBot="1"/>
    <row r="1736" spans="1:8">
      <c r="A1736" s="3572" t="s">
        <v>0</v>
      </c>
      <c r="B1736" s="3636" t="s">
        <v>1</v>
      </c>
      <c r="C1736" s="3636" t="s">
        <v>2</v>
      </c>
      <c r="D1736" s="3636" t="s">
        <v>3</v>
      </c>
      <c r="E1736" s="3636" t="s">
        <v>4</v>
      </c>
      <c r="F1736" s="3559" t="s">
        <v>5</v>
      </c>
      <c r="G1736" s="429"/>
    </row>
    <row r="1737" spans="1:8" ht="15.75" thickBot="1">
      <c r="A1737" s="3695"/>
      <c r="B1737" s="3692"/>
      <c r="C1737" s="3692"/>
      <c r="D1737" s="3692"/>
      <c r="E1737" s="3692"/>
      <c r="F1737" s="3705"/>
      <c r="G1737" s="429"/>
    </row>
    <row r="1738" spans="1:8" ht="15.75" thickTop="1">
      <c r="A1738" s="1495" t="s">
        <v>2721</v>
      </c>
      <c r="B1738" s="388" t="s">
        <v>2082</v>
      </c>
      <c r="C1738" s="1636" t="s">
        <v>1891</v>
      </c>
      <c r="D1738" s="388"/>
      <c r="E1738" s="1553">
        <f>(G1738-F1738)/G1738</f>
        <v>0.2314049586776859</v>
      </c>
      <c r="F1738" s="1503">
        <v>0.93</v>
      </c>
      <c r="G1738" s="436">
        <v>1.21</v>
      </c>
    </row>
    <row r="1739" spans="1:8">
      <c r="A1739" s="491"/>
      <c r="B1739" s="1554"/>
      <c r="C1739" s="1555"/>
      <c r="D1739" s="388"/>
      <c r="E1739" s="1556" t="e">
        <f>(G1739-F1739)/G1739</f>
        <v>#DIV/0!</v>
      </c>
      <c r="F1739" s="1503"/>
      <c r="G1739" s="436"/>
    </row>
    <row r="1740" spans="1:8" ht="15.75" thickBot="1">
      <c r="A1740" s="500"/>
      <c r="B1740" s="1344"/>
      <c r="C1740" s="1345"/>
      <c r="D1740" s="873"/>
      <c r="E1740" s="1346" t="e">
        <f>(G1740-F1740)/G1740</f>
        <v>#DIV/0!</v>
      </c>
      <c r="F1740" s="1347"/>
      <c r="G1740" s="429"/>
    </row>
    <row r="1741" spans="1:8" ht="15.75" thickBot="1"/>
    <row r="1742" spans="1:8">
      <c r="A1742" s="3614" t="s">
        <v>0</v>
      </c>
      <c r="B1742" s="3693" t="s">
        <v>1</v>
      </c>
      <c r="C1742" s="3693" t="s">
        <v>2</v>
      </c>
      <c r="D1742" s="3693" t="s">
        <v>3</v>
      </c>
      <c r="E1742" s="3693" t="s">
        <v>4</v>
      </c>
      <c r="F1742" s="3522" t="s">
        <v>5</v>
      </c>
      <c r="G1742" s="109"/>
    </row>
    <row r="1743" spans="1:8" ht="15.75" thickBot="1">
      <c r="A1743" s="4050"/>
      <c r="B1743" s="4102"/>
      <c r="C1743" s="4102"/>
      <c r="D1743" s="4102"/>
      <c r="E1743" s="4102"/>
      <c r="F1743" s="4054"/>
      <c r="G1743" s="109"/>
    </row>
    <row r="1744" spans="1:8">
      <c r="A1744" s="1588" t="s">
        <v>2722</v>
      </c>
      <c r="B1744" s="4140" t="s">
        <v>2155</v>
      </c>
      <c r="C1744" s="1638" t="s">
        <v>1975</v>
      </c>
      <c r="D1744" s="388"/>
      <c r="E1744" s="638">
        <v>0.19767441860465121</v>
      </c>
      <c r="F1744" s="1589">
        <v>1.38</v>
      </c>
      <c r="G1744" s="1590">
        <v>1.72</v>
      </c>
    </row>
    <row r="1745" spans="1:7">
      <c r="A1745" s="1591"/>
      <c r="B1745" s="4141"/>
      <c r="C1745" s="1641" t="s">
        <v>2353</v>
      </c>
      <c r="D1745" s="1554"/>
      <c r="E1745" s="1593">
        <v>0.1764705882352941</v>
      </c>
      <c r="F1745" s="1594">
        <v>0.14000000000000001</v>
      </c>
      <c r="G1745" s="1590">
        <v>0.17</v>
      </c>
    </row>
    <row r="1746" spans="1:7">
      <c r="A1746" s="1591"/>
      <c r="B1746" s="4141"/>
      <c r="C1746" s="1641" t="s">
        <v>2637</v>
      </c>
      <c r="D1746" s="1554"/>
      <c r="E1746" s="1593">
        <v>0.1764705882352941</v>
      </c>
      <c r="F1746" s="1594">
        <v>0.14000000000000001</v>
      </c>
      <c r="G1746" s="1590">
        <v>0.17</v>
      </c>
    </row>
    <row r="1747" spans="1:7">
      <c r="A1747" s="1591"/>
      <c r="B1747" s="4141"/>
      <c r="C1747" s="1641" t="s">
        <v>2352</v>
      </c>
      <c r="D1747" s="1554"/>
      <c r="E1747" s="1593">
        <v>0.1764705882352941</v>
      </c>
      <c r="F1747" s="1594">
        <v>0.14000000000000001</v>
      </c>
      <c r="G1747" s="1590">
        <v>0.17</v>
      </c>
    </row>
    <row r="1748" spans="1:7">
      <c r="A1748" s="1591"/>
      <c r="B1748" s="4141"/>
      <c r="C1748" s="1592" t="s">
        <v>623</v>
      </c>
      <c r="D1748" s="1554"/>
      <c r="E1748" s="1593">
        <v>0.19999999999999996</v>
      </c>
      <c r="F1748" s="1594">
        <v>1.56</v>
      </c>
      <c r="G1748" s="1590">
        <v>1.95</v>
      </c>
    </row>
    <row r="1749" spans="1:7">
      <c r="A1749" s="1591"/>
      <c r="B1749" s="4141"/>
      <c r="C1749" s="1592" t="s">
        <v>1772</v>
      </c>
      <c r="D1749" s="1554"/>
      <c r="E1749" s="1593">
        <v>0.19999999999999996</v>
      </c>
      <c r="F1749" s="1594">
        <v>1.56</v>
      </c>
      <c r="G1749" s="1590">
        <v>1.95</v>
      </c>
    </row>
    <row r="1750" spans="1:7">
      <c r="A1750" s="1591"/>
      <c r="B1750" s="4141"/>
      <c r="C1750" s="1570" t="s">
        <v>1345</v>
      </c>
      <c r="D1750" s="1554"/>
      <c r="E1750" s="1593">
        <v>0.10778443113772451</v>
      </c>
      <c r="F1750" s="1595">
        <v>1.49</v>
      </c>
      <c r="G1750" s="1596">
        <v>1.67</v>
      </c>
    </row>
    <row r="1751" spans="1:7">
      <c r="A1751" s="1591"/>
      <c r="B1751" s="4141"/>
      <c r="C1751" s="1570" t="s">
        <v>1355</v>
      </c>
      <c r="D1751" s="1554"/>
      <c r="E1751" s="1593">
        <v>0.10778443113772451</v>
      </c>
      <c r="F1751" s="1594">
        <v>1.49</v>
      </c>
      <c r="G1751" s="1590">
        <v>1.67</v>
      </c>
    </row>
    <row r="1752" spans="1:7">
      <c r="A1752" s="1591"/>
      <c r="B1752" s="4141"/>
      <c r="C1752" s="1592"/>
      <c r="D1752" s="1554"/>
      <c r="E1752" s="1593" t="e">
        <f t="shared" ref="E1752:E1757" si="79">(G1752-F1752)/G1752</f>
        <v>#DIV/0!</v>
      </c>
      <c r="F1752" s="1594"/>
      <c r="G1752" s="1590"/>
    </row>
    <row r="1753" spans="1:7">
      <c r="A1753" s="1591"/>
      <c r="B1753" s="4141"/>
      <c r="C1753" s="1592"/>
      <c r="D1753" s="1554"/>
      <c r="E1753" s="1593" t="e">
        <f t="shared" si="79"/>
        <v>#DIV/0!</v>
      </c>
      <c r="F1753" s="1594"/>
      <c r="G1753" s="1590"/>
    </row>
    <row r="1754" spans="1:7">
      <c r="A1754" s="1591"/>
      <c r="B1754" s="4141"/>
      <c r="C1754" s="1592"/>
      <c r="D1754" s="1554"/>
      <c r="E1754" s="1593" t="e">
        <f t="shared" si="79"/>
        <v>#DIV/0!</v>
      </c>
      <c r="F1754" s="1597"/>
      <c r="G1754" s="1598"/>
    </row>
    <row r="1755" spans="1:7">
      <c r="A1755" s="1591"/>
      <c r="B1755" s="4141"/>
      <c r="C1755" s="1592"/>
      <c r="D1755" s="1554"/>
      <c r="E1755" s="1593" t="e">
        <f t="shared" si="79"/>
        <v>#DIV/0!</v>
      </c>
      <c r="F1755" s="1597"/>
      <c r="G1755" s="1598"/>
    </row>
    <row r="1756" spans="1:7">
      <c r="A1756" s="1591"/>
      <c r="B1756" s="4141"/>
      <c r="C1756" s="1592"/>
      <c r="D1756" s="1554"/>
      <c r="E1756" s="1593" t="e">
        <f t="shared" si="79"/>
        <v>#DIV/0!</v>
      </c>
      <c r="F1756" s="1597"/>
      <c r="G1756" s="1598"/>
    </row>
    <row r="1757" spans="1:7" ht="15.75" thickBot="1">
      <c r="A1757" s="1599"/>
      <c r="B1757" s="4143"/>
      <c r="C1757" s="1600"/>
      <c r="D1757" s="1344"/>
      <c r="E1757" s="1601" t="e">
        <f t="shared" si="79"/>
        <v>#DIV/0!</v>
      </c>
      <c r="F1757" s="1602"/>
      <c r="G1757" s="1598"/>
    </row>
    <row r="1761" spans="1:7" ht="15.75" thickBot="1"/>
    <row r="1762" spans="1:7">
      <c r="A1762" s="3614" t="s">
        <v>0</v>
      </c>
      <c r="B1762" s="3693" t="s">
        <v>1</v>
      </c>
      <c r="C1762" s="3693" t="s">
        <v>2</v>
      </c>
      <c r="D1762" s="3693" t="s">
        <v>3</v>
      </c>
      <c r="E1762" s="3693" t="s">
        <v>4</v>
      </c>
      <c r="F1762" s="3522" t="s">
        <v>5</v>
      </c>
    </row>
    <row r="1763" spans="1:7" ht="15.75" thickBot="1">
      <c r="A1763" s="3682"/>
      <c r="B1763" s="3622"/>
      <c r="C1763" s="3622"/>
      <c r="D1763" s="3622"/>
      <c r="E1763" s="3622"/>
      <c r="F1763" s="3846"/>
    </row>
    <row r="1764" spans="1:7" ht="15.75">
      <c r="A1764" s="1108" t="s">
        <v>2727</v>
      </c>
      <c r="B1764" s="1098" t="s">
        <v>460</v>
      </c>
      <c r="C1764" s="1442" t="s">
        <v>2207</v>
      </c>
      <c r="D1764" s="1098"/>
      <c r="E1764" s="1236">
        <f t="shared" ref="E1764:E1769" si="80">(G1764-F1764)/G1764</f>
        <v>0.20689655172413784</v>
      </c>
      <c r="F1764" s="1237">
        <v>0.46</v>
      </c>
      <c r="G1764">
        <v>0.57999999999999996</v>
      </c>
    </row>
    <row r="1765" spans="1:7" ht="15.75">
      <c r="A1765" s="1350"/>
      <c r="B1765" s="1545"/>
      <c r="C1765" s="1604" t="s">
        <v>675</v>
      </c>
      <c r="D1765" s="1545"/>
      <c r="E1765" s="1562">
        <f t="shared" si="80"/>
        <v>0.20114942528735638</v>
      </c>
      <c r="F1765" s="843">
        <v>1.39</v>
      </c>
      <c r="G1765">
        <v>1.74</v>
      </c>
    </row>
    <row r="1766" spans="1:7" ht="15.75">
      <c r="A1766" s="1350"/>
      <c r="B1766" s="1545"/>
      <c r="C1766" s="1604" t="s">
        <v>1067</v>
      </c>
      <c r="D1766" s="1545"/>
      <c r="E1766" s="1562">
        <f t="shared" si="80"/>
        <v>0.20114942528735638</v>
      </c>
      <c r="F1766" s="843">
        <v>1.39</v>
      </c>
      <c r="G1766">
        <v>1.74</v>
      </c>
    </row>
    <row r="1767" spans="1:7" ht="15.75">
      <c r="A1767" s="1350"/>
      <c r="B1767" s="1545"/>
      <c r="C1767" s="1631" t="s">
        <v>1904</v>
      </c>
      <c r="D1767" s="1545"/>
      <c r="E1767" s="1562">
        <f t="shared" si="80"/>
        <v>0.24844720496894418</v>
      </c>
      <c r="F1767" s="843">
        <v>1.21</v>
      </c>
      <c r="G1767">
        <v>1.61</v>
      </c>
    </row>
    <row r="1768" spans="1:7" ht="15.75">
      <c r="A1768" s="1350"/>
      <c r="B1768" s="1545"/>
      <c r="C1768" s="1631" t="s">
        <v>2021</v>
      </c>
      <c r="D1768" s="1545"/>
      <c r="E1768" s="1562">
        <f t="shared" si="80"/>
        <v>0.24844720496894418</v>
      </c>
      <c r="F1768" s="1514">
        <v>1.21</v>
      </c>
      <c r="G1768">
        <v>1.61</v>
      </c>
    </row>
    <row r="1769" spans="1:7" ht="16.5" thickBot="1">
      <c r="A1769" s="1315"/>
      <c r="B1769" s="1356"/>
      <c r="C1769" s="1632" t="s">
        <v>1905</v>
      </c>
      <c r="D1769" s="1356"/>
      <c r="E1769" s="1357">
        <f t="shared" si="80"/>
        <v>0.24844720496894418</v>
      </c>
      <c r="F1769" s="1358">
        <v>1.21</v>
      </c>
      <c r="G1769">
        <v>1.61</v>
      </c>
    </row>
    <row r="1771" spans="1:7" ht="15.75" thickBot="1"/>
    <row r="1772" spans="1:7">
      <c r="A1772" s="3614" t="s">
        <v>0</v>
      </c>
      <c r="B1772" s="3693" t="s">
        <v>1</v>
      </c>
      <c r="C1772" s="3693" t="s">
        <v>2</v>
      </c>
      <c r="D1772" s="3693" t="s">
        <v>3</v>
      </c>
      <c r="E1772" s="3693" t="s">
        <v>4</v>
      </c>
      <c r="F1772" s="3522" t="s">
        <v>5</v>
      </c>
      <c r="G1772" s="109"/>
    </row>
    <row r="1773" spans="1:7" ht="15.75" thickBot="1">
      <c r="A1773" s="4050"/>
      <c r="B1773" s="4102"/>
      <c r="C1773" s="4102"/>
      <c r="D1773" s="4102"/>
      <c r="E1773" s="4102"/>
      <c r="F1773" s="4054"/>
      <c r="G1773" s="109"/>
    </row>
    <row r="1774" spans="1:7" ht="15.75">
      <c r="A1774" s="1588" t="s">
        <v>2728</v>
      </c>
      <c r="B1774" s="4140" t="s">
        <v>2155</v>
      </c>
      <c r="C1774" s="1635" t="s">
        <v>1892</v>
      </c>
      <c r="D1774" s="388"/>
      <c r="E1774" s="638">
        <f t="shared" ref="E1774:E1779" si="81">(G1774-F1774)/G1774</f>
        <v>0.35897435897435892</v>
      </c>
      <c r="F1774" s="1589">
        <v>0.75</v>
      </c>
      <c r="G1774" s="1590">
        <v>1.17</v>
      </c>
    </row>
    <row r="1775" spans="1:7" ht="15.75">
      <c r="A1775" s="1591"/>
      <c r="B1775" s="4141"/>
      <c r="C1775" s="1606" t="s">
        <v>858</v>
      </c>
      <c r="D1775" s="1554"/>
      <c r="E1775" s="1593">
        <f t="shared" si="81"/>
        <v>0.30337078651685395</v>
      </c>
      <c r="F1775" s="1594">
        <v>0.62</v>
      </c>
      <c r="G1775" s="1590">
        <v>0.89</v>
      </c>
    </row>
    <row r="1776" spans="1:7">
      <c r="A1776" s="1591"/>
      <c r="B1776" s="4141"/>
      <c r="C1776" s="1592"/>
      <c r="D1776" s="1554"/>
      <c r="E1776" s="1593" t="e">
        <f t="shared" si="81"/>
        <v>#DIV/0!</v>
      </c>
      <c r="F1776" s="1594"/>
      <c r="G1776" s="1590"/>
    </row>
    <row r="1777" spans="1:7">
      <c r="A1777" s="1591"/>
      <c r="B1777" s="4141"/>
      <c r="C1777" s="1592"/>
      <c r="D1777" s="1554"/>
      <c r="E1777" s="1593" t="e">
        <f t="shared" si="81"/>
        <v>#DIV/0!</v>
      </c>
      <c r="F1777" s="1594"/>
      <c r="G1777" s="1590"/>
    </row>
    <row r="1778" spans="1:7">
      <c r="A1778" s="1591"/>
      <c r="B1778" s="4141"/>
      <c r="C1778" s="1592"/>
      <c r="D1778" s="1554"/>
      <c r="E1778" s="1593" t="e">
        <f t="shared" si="81"/>
        <v>#DIV/0!</v>
      </c>
      <c r="F1778" s="1597"/>
      <c r="G1778" s="1598"/>
    </row>
    <row r="1779" spans="1:7" ht="15.75" thickBot="1">
      <c r="A1779" s="1599"/>
      <c r="B1779" s="4143"/>
      <c r="C1779" s="1600"/>
      <c r="D1779" s="1344"/>
      <c r="E1779" s="1601" t="e">
        <f t="shared" si="81"/>
        <v>#DIV/0!</v>
      </c>
      <c r="F1779" s="1602"/>
      <c r="G1779" s="1598"/>
    </row>
    <row r="1780" spans="1:7" ht="15.75" thickBot="1"/>
    <row r="1781" spans="1:7">
      <c r="A1781" s="3614" t="s">
        <v>0</v>
      </c>
      <c r="B1781" s="3693" t="s">
        <v>1</v>
      </c>
      <c r="C1781" s="3693" t="s">
        <v>2</v>
      </c>
      <c r="D1781" s="3693" t="s">
        <v>3</v>
      </c>
      <c r="E1781" s="3693" t="s">
        <v>4</v>
      </c>
      <c r="F1781" s="3522" t="s">
        <v>5</v>
      </c>
      <c r="G1781" s="109"/>
    </row>
    <row r="1782" spans="1:7" ht="15.75" thickBot="1">
      <c r="A1782" s="4050"/>
      <c r="B1782" s="4102"/>
      <c r="C1782" s="4102"/>
      <c r="D1782" s="4102"/>
      <c r="E1782" s="4102"/>
      <c r="F1782" s="4054"/>
      <c r="G1782" s="109"/>
    </row>
    <row r="1783" spans="1:7" ht="15.75">
      <c r="A1783" s="1588" t="s">
        <v>2742</v>
      </c>
      <c r="B1783" s="4140" t="s">
        <v>2155</v>
      </c>
      <c r="C1783" s="1635" t="s">
        <v>2743</v>
      </c>
      <c r="D1783" s="388"/>
      <c r="E1783" s="638">
        <f>(G1783-F1783)/G1783</f>
        <v>0.19999999999999987</v>
      </c>
      <c r="F1783" s="1589">
        <v>0.56000000000000005</v>
      </c>
      <c r="G1783" s="1590">
        <v>0.7</v>
      </c>
    </row>
    <row r="1784" spans="1:7" ht="15.75">
      <c r="A1784" s="1591"/>
      <c r="B1784" s="4141"/>
      <c r="C1784" s="1850" t="s">
        <v>2351</v>
      </c>
      <c r="D1784" s="1554"/>
      <c r="E1784" s="1593">
        <f t="shared" ref="E1784:E1793" si="82">(G1784-F1784)/G1784</f>
        <v>0.1764705882352941</v>
      </c>
      <c r="F1784" s="1594">
        <v>0.14000000000000001</v>
      </c>
      <c r="G1784" s="1590">
        <v>0.17</v>
      </c>
    </row>
    <row r="1785" spans="1:7">
      <c r="A1785" s="1591"/>
      <c r="B1785" s="4141"/>
      <c r="C1785" s="1641" t="s">
        <v>2352</v>
      </c>
      <c r="D1785" s="1554"/>
      <c r="E1785" s="1593">
        <f t="shared" si="82"/>
        <v>0.1764705882352941</v>
      </c>
      <c r="F1785" s="1594">
        <v>0.14000000000000001</v>
      </c>
      <c r="G1785" s="1590">
        <v>0.17</v>
      </c>
    </row>
    <row r="1786" spans="1:7">
      <c r="A1786" s="1591"/>
      <c r="B1786" s="4141"/>
      <c r="C1786" s="1641" t="s">
        <v>2637</v>
      </c>
      <c r="D1786" s="1554"/>
      <c r="E1786" s="1593">
        <f t="shared" si="82"/>
        <v>0.1764705882352941</v>
      </c>
      <c r="F1786" s="1594">
        <v>0.14000000000000001</v>
      </c>
      <c r="G1786" s="1590">
        <v>0.17</v>
      </c>
    </row>
    <row r="1787" spans="1:7">
      <c r="A1787" s="1591"/>
      <c r="B1787" s="4141"/>
      <c r="C1787" s="1641" t="s">
        <v>1891</v>
      </c>
      <c r="D1787" s="1554"/>
      <c r="E1787" s="1593">
        <f t="shared" si="82"/>
        <v>0.1538461538461538</v>
      </c>
      <c r="F1787" s="1594">
        <v>0.99</v>
      </c>
      <c r="G1787" s="1590">
        <v>1.17</v>
      </c>
    </row>
    <row r="1788" spans="1:7">
      <c r="A1788" s="1591"/>
      <c r="B1788" s="4141"/>
      <c r="C1788" s="1592" t="s">
        <v>2207</v>
      </c>
      <c r="D1788" s="1554"/>
      <c r="E1788" s="1593">
        <f t="shared" si="82"/>
        <v>0.20000000000000007</v>
      </c>
      <c r="F1788" s="1594">
        <v>0.44</v>
      </c>
      <c r="G1788" s="1590">
        <v>0.55000000000000004</v>
      </c>
    </row>
    <row r="1789" spans="1:7">
      <c r="A1789" s="1591"/>
      <c r="B1789" s="4141"/>
      <c r="C1789" s="1592" t="s">
        <v>1913</v>
      </c>
      <c r="D1789" s="1554"/>
      <c r="E1789" s="1593">
        <f t="shared" si="82"/>
        <v>0.20481927710843367</v>
      </c>
      <c r="F1789" s="1594">
        <v>0.66</v>
      </c>
      <c r="G1789" s="1590">
        <v>0.83</v>
      </c>
    </row>
    <row r="1790" spans="1:7">
      <c r="A1790" s="1591"/>
      <c r="B1790" s="4141"/>
      <c r="C1790" s="1857" t="s">
        <v>1914</v>
      </c>
      <c r="D1790" s="1554"/>
      <c r="E1790" s="1593">
        <f t="shared" si="82"/>
        <v>0.20481927710843367</v>
      </c>
      <c r="F1790" s="1594">
        <v>0.66</v>
      </c>
      <c r="G1790" s="1590">
        <v>0.83</v>
      </c>
    </row>
    <row r="1791" spans="1:7">
      <c r="A1791" s="1591"/>
      <c r="B1791" s="4141"/>
      <c r="C1791" s="1592" t="s">
        <v>2744</v>
      </c>
      <c r="D1791" s="1554"/>
      <c r="E1791" s="1593">
        <f t="shared" si="82"/>
        <v>0.19905213270142177</v>
      </c>
      <c r="F1791" s="1597">
        <v>1.69</v>
      </c>
      <c r="G1791" s="1598">
        <v>2.11</v>
      </c>
    </row>
    <row r="1792" spans="1:7">
      <c r="A1792" s="1495"/>
      <c r="B1792" s="4142"/>
      <c r="C1792" s="1607" t="s">
        <v>2596</v>
      </c>
      <c r="D1792" s="1585"/>
      <c r="E1792" s="1593">
        <f t="shared" si="82"/>
        <v>0.20000000000000004</v>
      </c>
      <c r="F1792" s="1608">
        <v>1.1599999999999999</v>
      </c>
      <c r="G1792" s="1598">
        <v>1.45</v>
      </c>
    </row>
    <row r="1793" spans="1:7" ht="15.75" thickBot="1">
      <c r="A1793" s="1599"/>
      <c r="B1793" s="4143"/>
      <c r="C1793" s="1849" t="s">
        <v>2077</v>
      </c>
      <c r="D1793" s="1344"/>
      <c r="E1793" s="1601">
        <f t="shared" si="82"/>
        <v>0.19047619047619038</v>
      </c>
      <c r="F1793" s="1602">
        <v>0.34</v>
      </c>
      <c r="G1793" s="1598">
        <v>0.42</v>
      </c>
    </row>
    <row r="1794" spans="1:7" ht="15.75" thickBot="1"/>
    <row r="1795" spans="1:7">
      <c r="A1795" s="3572"/>
      <c r="B1795" s="3636"/>
      <c r="C1795" s="3636"/>
      <c r="D1795" s="3636"/>
      <c r="E1795" s="3636"/>
      <c r="F1795" s="3559"/>
      <c r="G1795" s="429"/>
    </row>
    <row r="1796" spans="1:7" ht="15.75" thickBot="1">
      <c r="A1796" s="3695"/>
      <c r="B1796" s="3692"/>
      <c r="C1796" s="3692"/>
      <c r="D1796" s="3692"/>
      <c r="E1796" s="3692"/>
      <c r="F1796" s="3705"/>
      <c r="G1796" s="429"/>
    </row>
    <row r="1797" spans="1:7" ht="16.5" thickTop="1" thickBot="1">
      <c r="A1797" s="1495" t="s">
        <v>2718</v>
      </c>
      <c r="B1797" s="388" t="s">
        <v>120</v>
      </c>
      <c r="C1797" s="1555" t="s">
        <v>1772</v>
      </c>
      <c r="D1797" s="388"/>
      <c r="E1797" s="1429">
        <f t="shared" ref="E1797:E1802" si="83">(G1797-F1797)/G1797</f>
        <v>0.19879518072289148</v>
      </c>
      <c r="F1797" s="1503">
        <v>1.33</v>
      </c>
      <c r="G1797" s="436">
        <v>1.66</v>
      </c>
    </row>
    <row r="1798" spans="1:7" ht="15.75" thickBot="1">
      <c r="A1798" s="491"/>
      <c r="B1798" s="1554" t="s">
        <v>121</v>
      </c>
      <c r="C1798" s="1555" t="s">
        <v>2462</v>
      </c>
      <c r="D1798" s="388"/>
      <c r="E1798" s="1429">
        <f t="shared" si="83"/>
        <v>0.20279720279720284</v>
      </c>
      <c r="F1798" s="1503">
        <v>1.1399999999999999</v>
      </c>
      <c r="G1798" s="429">
        <v>1.43</v>
      </c>
    </row>
    <row r="1799" spans="1:7" ht="15.75" thickBot="1">
      <c r="A1799" s="491"/>
      <c r="B1799" s="1554" t="s">
        <v>123</v>
      </c>
      <c r="C1799" s="1555" t="s">
        <v>2115</v>
      </c>
      <c r="D1799" s="388"/>
      <c r="E1799" s="1429">
        <f t="shared" si="83"/>
        <v>0.20125786163522016</v>
      </c>
      <c r="F1799" s="1503">
        <v>1.27</v>
      </c>
      <c r="G1799" s="429">
        <v>1.59</v>
      </c>
    </row>
    <row r="1800" spans="1:7" ht="15.75" thickBot="1">
      <c r="A1800" s="491"/>
      <c r="B1800" s="1554" t="s">
        <v>122</v>
      </c>
      <c r="C1800" s="1555" t="s">
        <v>1891</v>
      </c>
      <c r="D1800" s="388"/>
      <c r="E1800" s="1429">
        <f t="shared" si="83"/>
        <v>0.22314049586776863</v>
      </c>
      <c r="F1800" s="1503">
        <v>0.94</v>
      </c>
      <c r="G1800" s="528">
        <v>1.21</v>
      </c>
    </row>
    <row r="1801" spans="1:7" ht="15.75" thickBot="1">
      <c r="A1801" s="491"/>
      <c r="B1801" s="1585"/>
      <c r="C1801" s="1586" t="s">
        <v>1090</v>
      </c>
      <c r="D1801" s="388"/>
      <c r="E1801" s="1429">
        <f t="shared" si="83"/>
        <v>0.20000000000000004</v>
      </c>
      <c r="F1801" s="1587">
        <v>1.2</v>
      </c>
      <c r="G1801" s="528">
        <v>1.5</v>
      </c>
    </row>
    <row r="1802" spans="1:7" ht="15.75" thickBot="1">
      <c r="A1802" s="500"/>
      <c r="B1802" s="1344"/>
      <c r="C1802" s="1345"/>
      <c r="D1802" s="873"/>
      <c r="E1802" s="1429" t="e">
        <f t="shared" si="83"/>
        <v>#DIV/0!</v>
      </c>
      <c r="F1802" s="1347"/>
      <c r="G1802" s="528"/>
    </row>
    <row r="1803" spans="1:7" ht="15.75" thickBot="1"/>
    <row r="1804" spans="1:7">
      <c r="A1804" s="3614" t="s">
        <v>0</v>
      </c>
      <c r="B1804" s="3693" t="s">
        <v>1</v>
      </c>
      <c r="C1804" s="3693" t="s">
        <v>2</v>
      </c>
      <c r="D1804" s="3693" t="s">
        <v>3</v>
      </c>
      <c r="E1804" s="3693" t="s">
        <v>4</v>
      </c>
      <c r="F1804" s="3522" t="s">
        <v>5</v>
      </c>
    </row>
    <row r="1805" spans="1:7" ht="15.75" thickBot="1">
      <c r="A1805" s="4050"/>
      <c r="B1805" s="4102"/>
      <c r="C1805" s="4102"/>
      <c r="D1805" s="4102"/>
      <c r="E1805" s="4102"/>
      <c r="F1805" s="4054"/>
    </row>
    <row r="1806" spans="1:7">
      <c r="A1806" s="1059" t="s">
        <v>2747</v>
      </c>
      <c r="B1806" s="288" t="s">
        <v>2016</v>
      </c>
      <c r="C1806" s="1580" t="s">
        <v>858</v>
      </c>
      <c r="D1806" s="288"/>
      <c r="E1806" s="290">
        <f>(F1806/G1806-1)*-1</f>
        <v>0.19791666666666663</v>
      </c>
      <c r="F1806" s="1581">
        <v>0.77</v>
      </c>
      <c r="G1806" s="32">
        <v>0.96</v>
      </c>
    </row>
    <row r="1807" spans="1:7">
      <c r="A1807" s="1350"/>
      <c r="B1807" s="1545"/>
      <c r="C1807" s="1582" t="s">
        <v>730</v>
      </c>
      <c r="D1807" s="1545"/>
      <c r="E1807" s="1567">
        <f t="shared" ref="E1807:E1816" si="84">(F1807/G1807-1)*-1</f>
        <v>0.20238095238095233</v>
      </c>
      <c r="F1807" s="1537">
        <v>0.67</v>
      </c>
      <c r="G1807" s="32">
        <v>0.84</v>
      </c>
    </row>
    <row r="1808" spans="1:7">
      <c r="A1808" s="1350"/>
      <c r="B1808" s="1545"/>
      <c r="C1808" s="1582" t="s">
        <v>687</v>
      </c>
      <c r="D1808" s="1545"/>
      <c r="E1808" s="1567">
        <f t="shared" si="84"/>
        <v>0.25000000000000011</v>
      </c>
      <c r="F1808" s="1537">
        <v>1.65</v>
      </c>
      <c r="G1808" s="32">
        <v>2.2000000000000002</v>
      </c>
    </row>
    <row r="1809" spans="1:7">
      <c r="A1809" s="1350"/>
      <c r="B1809" s="1545"/>
      <c r="C1809" s="1582" t="s">
        <v>686</v>
      </c>
      <c r="D1809" s="1545"/>
      <c r="E1809" s="1567">
        <f t="shared" si="84"/>
        <v>0.25000000000000011</v>
      </c>
      <c r="F1809" s="1537">
        <v>1.65</v>
      </c>
      <c r="G1809" s="32">
        <v>2.2000000000000002</v>
      </c>
    </row>
    <row r="1810" spans="1:7">
      <c r="A1810" s="1350"/>
      <c r="B1810" s="1545"/>
      <c r="C1810" s="1582" t="s">
        <v>2462</v>
      </c>
      <c r="D1810" s="1545"/>
      <c r="E1810" s="1567">
        <f t="shared" si="84"/>
        <v>0.20289855072463758</v>
      </c>
      <c r="F1810" s="1537">
        <v>1.1000000000000001</v>
      </c>
      <c r="G1810" s="32">
        <v>1.38</v>
      </c>
    </row>
    <row r="1811" spans="1:7">
      <c r="A1811" s="1350"/>
      <c r="B1811" s="1620" t="s">
        <v>2760</v>
      </c>
      <c r="C1811" s="1609" t="s">
        <v>906</v>
      </c>
      <c r="D1811" s="1620"/>
      <c r="E1811" s="1621">
        <f t="shared" si="84"/>
        <v>0.20000000000000007</v>
      </c>
      <c r="F1811" s="1622">
        <v>0.88</v>
      </c>
      <c r="G1811" s="1623">
        <v>1.1000000000000001</v>
      </c>
    </row>
    <row r="1812" spans="1:7">
      <c r="A1812" s="1350"/>
      <c r="B1812" s="1545"/>
      <c r="C1812" s="1582" t="s">
        <v>469</v>
      </c>
      <c r="D1812" s="1545"/>
      <c r="E1812" s="1567">
        <f t="shared" si="84"/>
        <v>0.19587628865979378</v>
      </c>
      <c r="F1812" s="1537">
        <v>0.78</v>
      </c>
      <c r="G1812" s="32">
        <v>0.97</v>
      </c>
    </row>
    <row r="1813" spans="1:7">
      <c r="A1813" s="1350"/>
      <c r="B1813" s="1545"/>
      <c r="C1813" s="1582" t="s">
        <v>675</v>
      </c>
      <c r="D1813" s="1545"/>
      <c r="E1813" s="1567">
        <f t="shared" si="84"/>
        <v>0.20114942528735635</v>
      </c>
      <c r="F1813" s="1537">
        <v>1.39</v>
      </c>
      <c r="G1813" s="32">
        <v>1.74</v>
      </c>
    </row>
    <row r="1814" spans="1:7">
      <c r="A1814" s="1377"/>
      <c r="B1814" s="1545"/>
      <c r="C1814" s="1545" t="s">
        <v>2748</v>
      </c>
      <c r="D1814" s="1545"/>
      <c r="E1814" s="1567">
        <f t="shared" si="84"/>
        <v>0.19999999999999996</v>
      </c>
      <c r="F1814" s="1537">
        <v>0.4</v>
      </c>
      <c r="G1814" s="32">
        <v>0.5</v>
      </c>
    </row>
    <row r="1815" spans="1:7">
      <c r="A1815" s="1377"/>
      <c r="B1815" s="1545"/>
      <c r="C1815" s="1545" t="s">
        <v>623</v>
      </c>
      <c r="D1815" s="1545"/>
      <c r="E1815" s="1567">
        <f t="shared" si="84"/>
        <v>0.19875776397515532</v>
      </c>
      <c r="F1815" s="1537">
        <v>1.29</v>
      </c>
      <c r="G1815" s="32">
        <v>1.61</v>
      </c>
    </row>
    <row r="1816" spans="1:7">
      <c r="A1816" s="1377"/>
      <c r="B1816" s="1545"/>
      <c r="C1816" s="1629" t="s">
        <v>2383</v>
      </c>
      <c r="D1816" s="1545"/>
      <c r="E1816" s="1567">
        <f t="shared" si="84"/>
        <v>0.1990846681922197</v>
      </c>
      <c r="F1816" s="1537">
        <v>3.5</v>
      </c>
      <c r="G1816" s="32">
        <v>4.37</v>
      </c>
    </row>
    <row r="1817" spans="1:7" ht="15.75" thickBot="1">
      <c r="A1817" s="1428"/>
      <c r="B1817" s="1320"/>
      <c r="C1817" s="1847" t="s">
        <v>1891</v>
      </c>
      <c r="D1817" s="1320"/>
      <c r="E1817" s="1429">
        <f>(G1817-F1817)/G1817</f>
        <v>0.20338983050847459</v>
      </c>
      <c r="F1817" s="1430">
        <v>0.94</v>
      </c>
      <c r="G1817" s="33">
        <v>1.18</v>
      </c>
    </row>
    <row r="1818" spans="1:7" ht="15.75" thickBot="1"/>
    <row r="1819" spans="1:7">
      <c r="A1819" s="3572"/>
      <c r="B1819" s="3636"/>
      <c r="C1819" s="3636"/>
      <c r="D1819" s="3636"/>
      <c r="E1819" s="3636"/>
      <c r="F1819" s="3559"/>
      <c r="G1819" s="429"/>
    </row>
    <row r="1820" spans="1:7">
      <c r="A1820" s="3695"/>
      <c r="B1820" s="3626"/>
      <c r="C1820" s="3626"/>
      <c r="D1820" s="3626"/>
      <c r="E1820" s="3626"/>
      <c r="F1820" s="3627"/>
      <c r="G1820" s="429"/>
    </row>
    <row r="1821" spans="1:7">
      <c r="A1821" s="1495" t="s">
        <v>2749</v>
      </c>
      <c r="B1821" s="1554" t="s">
        <v>120</v>
      </c>
      <c r="C1821" s="1555" t="s">
        <v>2207</v>
      </c>
      <c r="D1821" s="1554"/>
      <c r="E1821" s="1567">
        <f t="shared" ref="E1821:E1828" si="85">(G1821-F1821)/G1821</f>
        <v>0.19298245614035078</v>
      </c>
      <c r="F1821" s="1503">
        <v>0.46</v>
      </c>
      <c r="G1821" s="436">
        <v>0.56999999999999995</v>
      </c>
    </row>
    <row r="1822" spans="1:7">
      <c r="A1822" s="491"/>
      <c r="B1822" s="1554" t="s">
        <v>121</v>
      </c>
      <c r="C1822" s="1555" t="s">
        <v>906</v>
      </c>
      <c r="D1822" s="1554"/>
      <c r="E1822" s="1567">
        <f t="shared" si="85"/>
        <v>0.20353982300884946</v>
      </c>
      <c r="F1822" s="1503">
        <v>0.9</v>
      </c>
      <c r="G1822" s="429">
        <v>1.1299999999999999</v>
      </c>
    </row>
    <row r="1823" spans="1:7">
      <c r="A1823" s="491"/>
      <c r="B1823" s="1554" t="s">
        <v>123</v>
      </c>
      <c r="C1823" s="1555" t="s">
        <v>554</v>
      </c>
      <c r="D1823" s="1554"/>
      <c r="E1823" s="1567">
        <f t="shared" si="85"/>
        <v>0.2032520325203252</v>
      </c>
      <c r="F1823" s="1503">
        <v>0.98</v>
      </c>
      <c r="G1823" s="429">
        <v>1.23</v>
      </c>
    </row>
    <row r="1824" spans="1:7">
      <c r="A1824" s="491"/>
      <c r="B1824" s="1554" t="s">
        <v>122</v>
      </c>
      <c r="C1824" s="1555" t="s">
        <v>1413</v>
      </c>
      <c r="D1824" s="1554"/>
      <c r="E1824" s="1567">
        <f t="shared" si="85"/>
        <v>0.14917127071823205</v>
      </c>
      <c r="F1824" s="1503">
        <v>1.54</v>
      </c>
      <c r="G1824" s="528">
        <v>1.81</v>
      </c>
    </row>
    <row r="1825" spans="1:8">
      <c r="A1825" s="491"/>
      <c r="B1825" s="1554"/>
      <c r="C1825" s="1555" t="s">
        <v>1355</v>
      </c>
      <c r="D1825" s="1554"/>
      <c r="E1825" s="1567">
        <f t="shared" si="85"/>
        <v>0.14917127071823205</v>
      </c>
      <c r="F1825" s="1503">
        <v>1.54</v>
      </c>
      <c r="G1825" s="528">
        <v>1.81</v>
      </c>
    </row>
    <row r="1826" spans="1:8">
      <c r="A1826" s="491"/>
      <c r="B1826" s="1554"/>
      <c r="C1826" s="1555" t="s">
        <v>387</v>
      </c>
      <c r="D1826" s="1554"/>
      <c r="E1826" s="1567">
        <f t="shared" si="85"/>
        <v>0.19658119658119658</v>
      </c>
      <c r="F1826" s="1503">
        <v>0.94</v>
      </c>
      <c r="G1826" s="528">
        <v>1.17</v>
      </c>
    </row>
    <row r="1827" spans="1:8">
      <c r="A1827" s="491"/>
      <c r="B1827" s="1554"/>
      <c r="C1827" s="1842" t="s">
        <v>1904</v>
      </c>
      <c r="D1827" s="1554"/>
      <c r="E1827" s="1567">
        <f t="shared" si="85"/>
        <v>0.20121951219512188</v>
      </c>
      <c r="F1827" s="1503">
        <v>1.31</v>
      </c>
      <c r="G1827" s="528">
        <v>1.64</v>
      </c>
      <c r="H1827">
        <v>1.55</v>
      </c>
    </row>
    <row r="1828" spans="1:8" ht="15.75" thickBot="1">
      <c r="A1828" s="500"/>
      <c r="B1828" s="1344"/>
      <c r="C1828" s="1345"/>
      <c r="D1828" s="1344"/>
      <c r="E1828" s="1429" t="e">
        <f t="shared" si="85"/>
        <v>#DIV/0!</v>
      </c>
      <c r="F1828" s="1347"/>
      <c r="G1828" s="528"/>
    </row>
    <row r="1830" spans="1:8" ht="15.75" thickBot="1"/>
    <row r="1831" spans="1:8">
      <c r="A1831" s="3614" t="s">
        <v>0</v>
      </c>
      <c r="B1831" s="3693" t="s">
        <v>1</v>
      </c>
      <c r="C1831" s="3693" t="s">
        <v>2</v>
      </c>
      <c r="D1831" s="3693" t="s">
        <v>3</v>
      </c>
      <c r="E1831" s="3693" t="s">
        <v>4</v>
      </c>
      <c r="F1831" s="3522" t="s">
        <v>5</v>
      </c>
    </row>
    <row r="1832" spans="1:8" ht="15.75" thickBot="1">
      <c r="A1832" s="3682"/>
      <c r="B1832" s="3622"/>
      <c r="C1832" s="3622"/>
      <c r="D1832" s="3622"/>
      <c r="E1832" s="3622"/>
      <c r="F1832" s="3846"/>
    </row>
    <row r="1833" spans="1:8" ht="15.75">
      <c r="A1833" s="1371" t="s">
        <v>2750</v>
      </c>
      <c r="B1833" s="1545" t="s">
        <v>2183</v>
      </c>
      <c r="C1833" s="1633" t="s">
        <v>2251</v>
      </c>
      <c r="D1833" s="1545"/>
      <c r="E1833" s="1562">
        <f>(G1833-F1833)/G1833</f>
        <v>0.19999999999999998</v>
      </c>
      <c r="F1833" s="1563">
        <v>1.8</v>
      </c>
      <c r="G1833">
        <v>2.25</v>
      </c>
    </row>
    <row r="1834" spans="1:8" ht="15.75">
      <c r="A1834" s="302"/>
      <c r="B1834" s="1545"/>
      <c r="C1834" s="1633" t="s">
        <v>1904</v>
      </c>
      <c r="D1834" s="1545"/>
      <c r="E1834" s="1562">
        <f>(G1834-F1834)/G1834</f>
        <v>0.19620253164556964</v>
      </c>
      <c r="F1834" s="1563">
        <v>1.27</v>
      </c>
      <c r="G1834">
        <v>1.58</v>
      </c>
    </row>
    <row r="1835" spans="1:8" ht="16.5" thickBot="1">
      <c r="A1835" s="460"/>
      <c r="B1835" s="1320"/>
      <c r="C1835" s="1846" t="s">
        <v>1891</v>
      </c>
      <c r="D1835" s="1320"/>
      <c r="E1835" s="1357">
        <f>(G1835-F1835)/G1835</f>
        <v>0.19827586206896541</v>
      </c>
      <c r="F1835" s="1374">
        <v>0.93</v>
      </c>
      <c r="G1835">
        <v>1.1599999999999999</v>
      </c>
    </row>
    <row r="1836" spans="1:8" ht="15.75" thickBot="1"/>
    <row r="1837" spans="1:8">
      <c r="A1837" s="3614" t="s">
        <v>0</v>
      </c>
      <c r="B1837" s="3693" t="s">
        <v>1</v>
      </c>
      <c r="C1837" s="3693" t="s">
        <v>2</v>
      </c>
      <c r="D1837" s="3693" t="s">
        <v>3</v>
      </c>
      <c r="E1837" s="3693" t="s">
        <v>4</v>
      </c>
      <c r="F1837" s="3522" t="s">
        <v>5</v>
      </c>
    </row>
    <row r="1838" spans="1:8" ht="15.75" thickBot="1">
      <c r="A1838" s="3682"/>
      <c r="B1838" s="3622"/>
      <c r="C1838" s="3622"/>
      <c r="D1838" s="3622"/>
      <c r="E1838" s="3622"/>
      <c r="F1838" s="3846"/>
    </row>
    <row r="1839" spans="1:8" ht="15.75">
      <c r="A1839" s="1108" t="s">
        <v>2761</v>
      </c>
      <c r="B1839" s="1098" t="s">
        <v>460</v>
      </c>
      <c r="C1839" s="1624" t="s">
        <v>2207</v>
      </c>
      <c r="D1839" s="1098"/>
      <c r="E1839" s="1236">
        <f>(G1839-F1839)/G1839</f>
        <v>0.20689655172413784</v>
      </c>
      <c r="F1839" s="1237">
        <v>0.46</v>
      </c>
      <c r="G1839">
        <v>0.57999999999999996</v>
      </c>
    </row>
    <row r="1840" spans="1:8" ht="15.75">
      <c r="A1840" s="1350"/>
      <c r="B1840" s="1545"/>
      <c r="C1840" s="1625" t="s">
        <v>675</v>
      </c>
      <c r="D1840" s="1545"/>
      <c r="E1840" s="1562">
        <f>(G1840-F1840)/G1840</f>
        <v>0.20114942528735638</v>
      </c>
      <c r="F1840" s="843">
        <v>1.39</v>
      </c>
      <c r="G1840">
        <v>1.74</v>
      </c>
    </row>
    <row r="1841" spans="1:7" ht="15.75">
      <c r="A1841" s="1350"/>
      <c r="B1841" s="1545"/>
      <c r="C1841" s="1625" t="s">
        <v>1067</v>
      </c>
      <c r="D1841" s="1545"/>
      <c r="E1841" s="1562">
        <f>(G1841-F1841)/G1841</f>
        <v>0.20114942528735638</v>
      </c>
      <c r="F1841" s="843">
        <v>1.39</v>
      </c>
      <c r="G1841">
        <v>1.74</v>
      </c>
    </row>
    <row r="1842" spans="1:7" ht="15.75" thickBot="1"/>
    <row r="1843" spans="1:7">
      <c r="A1843" s="3614" t="s">
        <v>0</v>
      </c>
      <c r="B1843" s="3693" t="s">
        <v>1</v>
      </c>
      <c r="C1843" s="3693" t="s">
        <v>2</v>
      </c>
      <c r="D1843" s="3693" t="s">
        <v>3</v>
      </c>
      <c r="E1843" s="3693" t="s">
        <v>4</v>
      </c>
      <c r="F1843" s="3522" t="s">
        <v>5</v>
      </c>
      <c r="G1843" s="109"/>
    </row>
    <row r="1844" spans="1:7" ht="15.75" thickBot="1">
      <c r="A1844" s="4050"/>
      <c r="B1844" s="4102"/>
      <c r="C1844" s="4102"/>
      <c r="D1844" s="4102"/>
      <c r="E1844" s="4102"/>
      <c r="F1844" s="4054"/>
      <c r="G1844" s="109"/>
    </row>
    <row r="1845" spans="1:7">
      <c r="A1845" s="841" t="s">
        <v>2762</v>
      </c>
      <c r="B1845" s="4131" t="s">
        <v>1593</v>
      </c>
      <c r="C1845" s="1566" t="s">
        <v>623</v>
      </c>
      <c r="D1845" s="1098"/>
      <c r="E1845" s="290">
        <f>(G1845-F1845)/G1845</f>
        <v>0.32160804020100497</v>
      </c>
      <c r="F1845" s="1122">
        <v>1.35</v>
      </c>
      <c r="G1845" s="1103">
        <v>1.99</v>
      </c>
    </row>
    <row r="1846" spans="1:7">
      <c r="A1846" s="841"/>
      <c r="B1846" s="4132"/>
      <c r="C1846" s="1566"/>
      <c r="D1846" s="1545"/>
      <c r="E1846" s="290" t="e">
        <f>(G1846-F1846)/G1846</f>
        <v>#DIV/0!</v>
      </c>
      <c r="F1846" s="1122"/>
      <c r="G1846" s="1103"/>
    </row>
    <row r="1847" spans="1:7" ht="16.5" thickBot="1">
      <c r="A1847" s="884"/>
      <c r="B1847" s="4133"/>
      <c r="C1847" s="1319"/>
      <c r="D1847" s="1320"/>
      <c r="E1847" s="290" t="e">
        <f>(G1847-F1847)/G1847</f>
        <v>#DIV/0!</v>
      </c>
      <c r="F1847" s="1122"/>
      <c r="G1847" s="1103"/>
    </row>
    <row r="1848" spans="1:7" ht="15.75" thickBot="1"/>
    <row r="1849" spans="1:7">
      <c r="A1849" s="3572" t="s">
        <v>0</v>
      </c>
      <c r="B1849" s="3636" t="s">
        <v>1</v>
      </c>
      <c r="C1849" s="3636" t="s">
        <v>2</v>
      </c>
      <c r="D1849" s="3636" t="s">
        <v>3</v>
      </c>
      <c r="E1849" s="3636" t="s">
        <v>4</v>
      </c>
      <c r="F1849" s="3559" t="s">
        <v>5</v>
      </c>
      <c r="G1849" s="429"/>
    </row>
    <row r="1850" spans="1:7" ht="15.75" thickBot="1">
      <c r="A1850" s="3695"/>
      <c r="B1850" s="3692"/>
      <c r="C1850" s="3692"/>
      <c r="D1850" s="3692"/>
      <c r="E1850" s="3692"/>
      <c r="F1850" s="3705"/>
      <c r="G1850" s="429"/>
    </row>
    <row r="1851" spans="1:7" ht="15.75" thickTop="1">
      <c r="A1851" s="1495" t="s">
        <v>2773</v>
      </c>
      <c r="B1851" s="388" t="s">
        <v>2082</v>
      </c>
      <c r="C1851" s="1845" t="s">
        <v>1904</v>
      </c>
      <c r="D1851" s="388"/>
      <c r="E1851" s="1553">
        <f>(G1851-F1851)/G1851</f>
        <v>0.20245398773006126</v>
      </c>
      <c r="F1851" s="1503">
        <v>1.3</v>
      </c>
      <c r="G1851" s="436">
        <v>1.63</v>
      </c>
    </row>
    <row r="1852" spans="1:7">
      <c r="A1852" s="491"/>
      <c r="B1852" s="1554"/>
      <c r="C1852" s="1555"/>
      <c r="D1852" s="388"/>
      <c r="E1852" s="1556" t="e">
        <f>(G1852-F1852)/G1852</f>
        <v>#DIV/0!</v>
      </c>
      <c r="F1852" s="1503"/>
      <c r="G1852" s="436"/>
    </row>
    <row r="1853" spans="1:7" ht="15.75" thickBot="1">
      <c r="A1853" s="500"/>
      <c r="B1853" s="1344"/>
      <c r="C1853" s="1345"/>
      <c r="D1853" s="873"/>
      <c r="E1853" s="1346" t="e">
        <f>(G1853-F1853)/G1853</f>
        <v>#DIV/0!</v>
      </c>
      <c r="F1853" s="1347"/>
      <c r="G1853" s="429"/>
    </row>
    <row r="1854" spans="1:7" ht="15.75" thickBot="1"/>
    <row r="1855" spans="1:7">
      <c r="A1855" s="3572" t="s">
        <v>0</v>
      </c>
      <c r="B1855" s="3636" t="s">
        <v>1</v>
      </c>
      <c r="C1855" s="3636" t="s">
        <v>2</v>
      </c>
      <c r="D1855" s="3636" t="s">
        <v>3</v>
      </c>
      <c r="E1855" s="3636" t="s">
        <v>4</v>
      </c>
      <c r="F1855" s="3559" t="s">
        <v>5</v>
      </c>
      <c r="G1855" s="429"/>
    </row>
    <row r="1856" spans="1:7" ht="15.75" thickBot="1">
      <c r="A1856" s="3695"/>
      <c r="B1856" s="3692"/>
      <c r="C1856" s="3692"/>
      <c r="D1856" s="3692"/>
      <c r="E1856" s="3692"/>
      <c r="F1856" s="3705"/>
      <c r="G1856" s="429"/>
    </row>
    <row r="1857" spans="1:8" ht="15.75" thickTop="1">
      <c r="A1857" s="1495" t="s">
        <v>2776</v>
      </c>
      <c r="B1857" s="388" t="s">
        <v>2029</v>
      </c>
      <c r="C1857" s="1845" t="s">
        <v>1904</v>
      </c>
      <c r="D1857" s="388"/>
      <c r="E1857" s="880">
        <f>(G1857-F1857)/G1857</f>
        <v>0.21476510067114099</v>
      </c>
      <c r="F1857" s="1503">
        <v>1.17</v>
      </c>
      <c r="G1857" s="436">
        <v>1.49</v>
      </c>
      <c r="H1857" t="s">
        <v>2777</v>
      </c>
    </row>
    <row r="1858" spans="1:8">
      <c r="A1858" s="491"/>
      <c r="B1858" s="1554"/>
      <c r="C1858" s="1555"/>
      <c r="D1858" s="388"/>
      <c r="E1858" s="1556" t="e">
        <f>(G1858-F1858)/G1858</f>
        <v>#DIV/0!</v>
      </c>
      <c r="F1858" s="1503"/>
      <c r="G1858" s="429"/>
    </row>
    <row r="1859" spans="1:8" ht="15.75" thickBot="1">
      <c r="A1859" s="500"/>
      <c r="B1859" s="1344"/>
      <c r="C1859" s="1345"/>
      <c r="D1859" s="873"/>
      <c r="E1859" s="1346" t="e">
        <f>(G1859-F1859)/G1859</f>
        <v>#DIV/0!</v>
      </c>
      <c r="F1859" s="1347"/>
      <c r="G1859" s="429"/>
    </row>
    <row r="1860" spans="1:8" ht="15.75" thickBot="1"/>
    <row r="1861" spans="1:8">
      <c r="A1861" s="4138" t="s">
        <v>0</v>
      </c>
      <c r="B1861" s="4134" t="s">
        <v>1</v>
      </c>
      <c r="C1861" s="4134" t="s">
        <v>2</v>
      </c>
      <c r="D1861" s="4134" t="s">
        <v>3</v>
      </c>
      <c r="E1861" s="4134" t="s">
        <v>4</v>
      </c>
      <c r="F1861" s="4136" t="s">
        <v>5</v>
      </c>
    </row>
    <row r="1862" spans="1:8" ht="15.75" thickBot="1">
      <c r="A1862" s="4139"/>
      <c r="B1862" s="4135"/>
      <c r="C1862" s="4135"/>
      <c r="D1862" s="4135"/>
      <c r="E1862" s="4135"/>
      <c r="F1862" s="4137"/>
    </row>
    <row r="1863" spans="1:8" ht="15.75">
      <c r="A1863" s="1138" t="s">
        <v>2780</v>
      </c>
      <c r="B1863" s="902" t="s">
        <v>1708</v>
      </c>
      <c r="C1863" s="1139" t="s">
        <v>2139</v>
      </c>
      <c r="D1863" s="902"/>
      <c r="E1863" s="904">
        <f t="shared" ref="E1863:E1868" si="86">(G1863-F1863)/G1863</f>
        <v>0.15286624203821655</v>
      </c>
      <c r="F1863" s="1140">
        <v>1.33</v>
      </c>
      <c r="G1863">
        <v>1.57</v>
      </c>
    </row>
    <row r="1864" spans="1:8" ht="15.75">
      <c r="A1864" s="1311"/>
      <c r="B1864" s="1561"/>
      <c r="C1864" s="1561" t="s">
        <v>1058</v>
      </c>
      <c r="D1864" s="1561"/>
      <c r="E1864" s="1562">
        <f t="shared" si="86"/>
        <v>0.20093457943925239</v>
      </c>
      <c r="F1864" s="1140">
        <v>1.71</v>
      </c>
      <c r="G1864">
        <v>2.14</v>
      </c>
    </row>
    <row r="1865" spans="1:8" ht="15.75">
      <c r="A1865" s="1311"/>
      <c r="B1865" s="1561"/>
      <c r="C1865" s="1561" t="s">
        <v>920</v>
      </c>
      <c r="D1865" s="1561"/>
      <c r="E1865" s="1562">
        <f t="shared" si="86"/>
        <v>0.19512195121951212</v>
      </c>
      <c r="F1865" s="1140">
        <v>0.66</v>
      </c>
      <c r="G1865">
        <v>0.82</v>
      </c>
    </row>
    <row r="1866" spans="1:8" ht="15.75">
      <c r="A1866" s="1496"/>
      <c r="B1866" s="1566"/>
      <c r="C1866" s="1844" t="s">
        <v>2156</v>
      </c>
      <c r="D1866" s="1566"/>
      <c r="E1866" s="1562">
        <f t="shared" si="86"/>
        <v>0.21052631578947359</v>
      </c>
      <c r="F1866" s="1140">
        <v>1.8</v>
      </c>
      <c r="G1866">
        <v>2.2799999999999998</v>
      </c>
    </row>
    <row r="1867" spans="1:8" ht="15.75">
      <c r="A1867" s="1496"/>
      <c r="B1867" s="1566"/>
      <c r="C1867" s="1844" t="s">
        <v>1891</v>
      </c>
      <c r="D1867" s="1566"/>
      <c r="E1867" s="1562">
        <f t="shared" si="86"/>
        <v>0.19834710743801653</v>
      </c>
      <c r="F1867" s="1140">
        <v>0.97</v>
      </c>
      <c r="G1867">
        <v>1.21</v>
      </c>
    </row>
    <row r="1868" spans="1:8" ht="16.5" thickBot="1">
      <c r="A1868" s="1315"/>
      <c r="B1868" s="1356"/>
      <c r="C1868" s="1356"/>
      <c r="D1868" s="1356"/>
      <c r="E1868" s="1357" t="e">
        <f t="shared" si="86"/>
        <v>#DIV/0!</v>
      </c>
      <c r="F1868" s="1626"/>
    </row>
    <row r="1869" spans="1:8" ht="15.75" thickBot="1"/>
    <row r="1870" spans="1:8">
      <c r="A1870" s="3614" t="s">
        <v>0</v>
      </c>
      <c r="B1870" s="3693" t="s">
        <v>1</v>
      </c>
      <c r="C1870" s="3693" t="s">
        <v>2</v>
      </c>
      <c r="D1870" s="3693" t="s">
        <v>3</v>
      </c>
      <c r="E1870" s="3693" t="s">
        <v>4</v>
      </c>
      <c r="F1870" s="3522" t="s">
        <v>5</v>
      </c>
      <c r="G1870" s="109"/>
    </row>
    <row r="1871" spans="1:8" ht="15.75" thickBot="1">
      <c r="A1871" s="4050"/>
      <c r="B1871" s="4102"/>
      <c r="C1871" s="4102"/>
      <c r="D1871" s="4102"/>
      <c r="E1871" s="4102"/>
      <c r="F1871" s="4054"/>
      <c r="G1871" s="109"/>
    </row>
    <row r="1872" spans="1:8" ht="15.75">
      <c r="A1872" s="1588" t="s">
        <v>2781</v>
      </c>
      <c r="B1872" s="4140" t="s">
        <v>2155</v>
      </c>
      <c r="C1872" s="1097" t="s">
        <v>1258</v>
      </c>
      <c r="D1872" s="388"/>
      <c r="E1872" s="638">
        <f>(G1872-F1872)/G1872</f>
        <v>0.10003216468317785</v>
      </c>
      <c r="F1872" s="1589">
        <v>27.98</v>
      </c>
      <c r="G1872" s="1590">
        <v>31.09</v>
      </c>
    </row>
    <row r="1873" spans="1:7" ht="15.75">
      <c r="A1873" s="1591"/>
      <c r="B1873" s="4141"/>
      <c r="C1873" s="1606" t="s">
        <v>1259</v>
      </c>
      <c r="D1873" s="1554"/>
      <c r="E1873" s="1593">
        <f t="shared" ref="E1873:E1884" si="87">(G1873-F1873)/G1873</f>
        <v>9.996242014280346E-2</v>
      </c>
      <c r="F1873" s="1594">
        <v>23.95</v>
      </c>
      <c r="G1873" s="1590">
        <v>26.61</v>
      </c>
    </row>
    <row r="1874" spans="1:7">
      <c r="A1874" s="1591"/>
      <c r="B1874" s="4141"/>
      <c r="C1874" s="1641" t="s">
        <v>1975</v>
      </c>
      <c r="D1874" s="1554"/>
      <c r="E1874" s="1593">
        <f t="shared" si="87"/>
        <v>0.19767441860465121</v>
      </c>
      <c r="F1874" s="1594">
        <v>1.38</v>
      </c>
      <c r="G1874" s="1590">
        <v>1.72</v>
      </c>
    </row>
    <row r="1875" spans="1:7">
      <c r="A1875" s="1591"/>
      <c r="B1875" s="4141"/>
      <c r="C1875" s="1641" t="s">
        <v>2353</v>
      </c>
      <c r="D1875" s="1554"/>
      <c r="E1875" s="1593">
        <f t="shared" si="87"/>
        <v>0.1764705882352941</v>
      </c>
      <c r="F1875" s="1594">
        <v>0.14000000000000001</v>
      </c>
      <c r="G1875" s="1590">
        <v>0.17</v>
      </c>
    </row>
    <row r="1876" spans="1:7">
      <c r="A1876" s="1591"/>
      <c r="B1876" s="4141"/>
      <c r="C1876" s="1641" t="s">
        <v>1904</v>
      </c>
      <c r="D1876" s="1554"/>
      <c r="E1876" s="1593">
        <f t="shared" si="87"/>
        <v>0.20125786163522016</v>
      </c>
      <c r="F1876" s="1594">
        <v>1.27</v>
      </c>
      <c r="G1876" s="1590">
        <v>1.59</v>
      </c>
    </row>
    <row r="1877" spans="1:7">
      <c r="A1877" s="1591"/>
      <c r="B1877" s="4141"/>
      <c r="C1877" s="1641" t="s">
        <v>2021</v>
      </c>
      <c r="D1877" s="1554"/>
      <c r="E1877" s="1593">
        <f t="shared" si="87"/>
        <v>0.20125786163522016</v>
      </c>
      <c r="F1877" s="1594">
        <v>1.27</v>
      </c>
      <c r="G1877" s="1590">
        <v>1.59</v>
      </c>
    </row>
    <row r="1878" spans="1:7">
      <c r="A1878" s="1591"/>
      <c r="B1878" s="4141"/>
      <c r="C1878" s="1641" t="s">
        <v>1905</v>
      </c>
      <c r="D1878" s="1554"/>
      <c r="E1878" s="1593">
        <f t="shared" si="87"/>
        <v>0.20125786163522016</v>
      </c>
      <c r="F1878" s="1594">
        <v>1.27</v>
      </c>
      <c r="G1878" s="1590">
        <v>1.59</v>
      </c>
    </row>
    <row r="1879" spans="1:7">
      <c r="A1879" s="1591"/>
      <c r="B1879" s="4141"/>
      <c r="C1879" s="1592" t="s">
        <v>2462</v>
      </c>
      <c r="D1879" s="1554"/>
      <c r="E1879" s="1593">
        <f t="shared" si="87"/>
        <v>0.19871794871794873</v>
      </c>
      <c r="F1879" s="1594">
        <v>1.25</v>
      </c>
      <c r="G1879" s="1590">
        <v>1.56</v>
      </c>
    </row>
    <row r="1880" spans="1:7">
      <c r="A1880" s="1591"/>
      <c r="B1880" s="4141"/>
      <c r="C1880" s="1592" t="s">
        <v>906</v>
      </c>
      <c r="D1880" s="1554"/>
      <c r="E1880" s="1593">
        <f t="shared" si="87"/>
        <v>0.20000000000000007</v>
      </c>
      <c r="F1880" s="1597">
        <v>0.88</v>
      </c>
      <c r="G1880" s="1598">
        <v>1.1000000000000001</v>
      </c>
    </row>
    <row r="1881" spans="1:7">
      <c r="A1881" s="1495"/>
      <c r="B1881" s="4142"/>
      <c r="C1881" s="1851" t="s">
        <v>1300</v>
      </c>
      <c r="D1881" s="1585"/>
      <c r="E1881" s="1593">
        <f t="shared" si="87"/>
        <v>0.20289855072463756</v>
      </c>
      <c r="F1881" s="1608">
        <v>0.55000000000000004</v>
      </c>
      <c r="G1881" s="1598">
        <v>0.69</v>
      </c>
    </row>
    <row r="1882" spans="1:7">
      <c r="A1882" s="1495"/>
      <c r="B1882" s="4142"/>
      <c r="C1882" s="1848" t="s">
        <v>2455</v>
      </c>
      <c r="D1882" s="1585"/>
      <c r="E1882" s="1593">
        <f t="shared" si="87"/>
        <v>0.20129870129870134</v>
      </c>
      <c r="F1882" s="1608">
        <v>1.23</v>
      </c>
      <c r="G1882" s="1598">
        <v>1.54</v>
      </c>
    </row>
    <row r="1883" spans="1:7" ht="15.75">
      <c r="A1883" s="1495"/>
      <c r="B1883" s="4142"/>
      <c r="C1883" s="1850" t="s">
        <v>2351</v>
      </c>
      <c r="D1883" s="1585"/>
      <c r="E1883" s="1593">
        <f t="shared" si="87"/>
        <v>0.1764705882352941</v>
      </c>
      <c r="F1883" s="1608">
        <v>0.14000000000000001</v>
      </c>
      <c r="G1883" s="1598">
        <v>0.17</v>
      </c>
    </row>
    <row r="1884" spans="1:7" ht="15.75" thickBot="1">
      <c r="A1884" s="1599"/>
      <c r="B1884" s="4143"/>
      <c r="C1884" s="1641" t="s">
        <v>2352</v>
      </c>
      <c r="D1884" s="1344"/>
      <c r="E1884" s="1601">
        <f t="shared" si="87"/>
        <v>0.1764705882352941</v>
      </c>
      <c r="F1884" s="1608">
        <v>0.14000000000000001</v>
      </c>
      <c r="G1884" s="1598">
        <v>0.17</v>
      </c>
    </row>
    <row r="1885" spans="1:7" ht="15.75" thickBot="1">
      <c r="F1885" s="1608"/>
      <c r="G1885" s="1598"/>
    </row>
    <row r="1886" spans="1:7">
      <c r="A1886" s="3614" t="s">
        <v>0</v>
      </c>
      <c r="B1886" s="3693" t="s">
        <v>1</v>
      </c>
      <c r="C1886" s="3693" t="s">
        <v>2</v>
      </c>
      <c r="D1886" s="3693" t="s">
        <v>3</v>
      </c>
      <c r="E1886" s="3693" t="s">
        <v>4</v>
      </c>
      <c r="F1886" s="3522" t="s">
        <v>5</v>
      </c>
      <c r="G1886" s="109"/>
    </row>
    <row r="1887" spans="1:7" ht="15.75" thickBot="1">
      <c r="A1887" s="4050"/>
      <c r="B1887" s="4102"/>
      <c r="C1887" s="4102"/>
      <c r="D1887" s="4102"/>
      <c r="E1887" s="4102"/>
      <c r="F1887" s="4054"/>
      <c r="G1887" s="109"/>
    </row>
    <row r="1888" spans="1:7">
      <c r="A1888" s="841" t="s">
        <v>2782</v>
      </c>
      <c r="B1888" s="4131" t="s">
        <v>1593</v>
      </c>
      <c r="C1888" s="1566" t="s">
        <v>623</v>
      </c>
      <c r="D1888" s="1098"/>
      <c r="E1888" s="290">
        <f>(G1888-F1888)/G1888</f>
        <v>0.32160804020100497</v>
      </c>
      <c r="F1888" s="1122">
        <v>1.35</v>
      </c>
      <c r="G1888" s="1103">
        <v>1.99</v>
      </c>
    </row>
    <row r="1889" spans="1:7">
      <c r="A1889" s="841"/>
      <c r="B1889" s="4132"/>
      <c r="C1889" s="1566" t="s">
        <v>2115</v>
      </c>
      <c r="D1889" s="1545"/>
      <c r="E1889" s="290">
        <f>(G1889-F1889)/G1889</f>
        <v>0.19753086419753088</v>
      </c>
      <c r="F1889" s="1122">
        <v>1.3</v>
      </c>
      <c r="G1889" s="1103">
        <v>1.62</v>
      </c>
    </row>
    <row r="1890" spans="1:7">
      <c r="A1890" s="841"/>
      <c r="B1890" s="4132"/>
      <c r="C1890" s="1627" t="s">
        <v>2116</v>
      </c>
      <c r="D1890" s="1549"/>
      <c r="E1890" s="290">
        <f>(G1890-F1890)/G1890</f>
        <v>0.19753086419753088</v>
      </c>
      <c r="F1890" s="1122">
        <v>1.3</v>
      </c>
      <c r="G1890" s="1103">
        <v>1.62</v>
      </c>
    </row>
    <row r="1891" spans="1:7" ht="16.5" thickBot="1">
      <c r="A1891" s="884"/>
      <c r="B1891" s="4133"/>
      <c r="C1891" s="1319" t="s">
        <v>2066</v>
      </c>
      <c r="D1891" s="1320"/>
      <c r="E1891" s="290">
        <f>(G1891-F1891)/G1891</f>
        <v>0.19753086419753088</v>
      </c>
      <c r="F1891" s="1122">
        <v>1.3</v>
      </c>
      <c r="G1891" s="1103">
        <v>1.62</v>
      </c>
    </row>
    <row r="1892" spans="1:7" ht="15.75" thickBot="1"/>
    <row r="1893" spans="1:7">
      <c r="A1893" s="3572" t="s">
        <v>0</v>
      </c>
      <c r="B1893" s="3636" t="s">
        <v>1</v>
      </c>
      <c r="C1893" s="3636" t="s">
        <v>2</v>
      </c>
      <c r="D1893" s="3636" t="s">
        <v>3</v>
      </c>
      <c r="E1893" s="3636" t="s">
        <v>4</v>
      </c>
      <c r="F1893" s="3559" t="s">
        <v>5</v>
      </c>
    </row>
    <row r="1894" spans="1:7" ht="15.75" thickBot="1">
      <c r="A1894" s="3695"/>
      <c r="B1894" s="3692"/>
      <c r="C1894" s="3692"/>
      <c r="D1894" s="3692"/>
      <c r="E1894" s="3692"/>
      <c r="F1894" s="3705"/>
    </row>
    <row r="1895" spans="1:7" ht="15.75" thickTop="1">
      <c r="A1895" s="1495" t="s">
        <v>2787</v>
      </c>
      <c r="B1895" s="388" t="s">
        <v>2029</v>
      </c>
      <c r="C1895" s="1845" t="s">
        <v>2743</v>
      </c>
      <c r="D1895" s="388"/>
      <c r="E1895" s="880">
        <f>(G1895-F1895)/G1895</f>
        <v>0.25423728813559315</v>
      </c>
      <c r="F1895" s="1503">
        <v>0.44</v>
      </c>
      <c r="G1895">
        <v>0.59</v>
      </c>
    </row>
    <row r="1896" spans="1:7">
      <c r="A1896" s="491"/>
      <c r="B1896" s="1554"/>
      <c r="C1896" s="1555"/>
      <c r="D1896" s="388"/>
      <c r="E1896" s="1556" t="e">
        <f>(G1896-F1896)/G1896</f>
        <v>#DIV/0!</v>
      </c>
      <c r="F1896" s="1503"/>
    </row>
    <row r="1897" spans="1:7" ht="15.75" thickBot="1">
      <c r="A1897" s="500"/>
      <c r="B1897" s="1344"/>
      <c r="C1897" s="1345"/>
      <c r="D1897" s="873"/>
      <c r="E1897" s="1346" t="e">
        <f>(G1897-F1897)/G1897</f>
        <v>#DIV/0!</v>
      </c>
      <c r="F1897" s="1347"/>
    </row>
    <row r="1898" spans="1:7" ht="15.75" thickBot="1"/>
    <row r="1899" spans="1:7">
      <c r="A1899" s="3572" t="s">
        <v>0</v>
      </c>
      <c r="B1899" s="3636" t="s">
        <v>1</v>
      </c>
      <c r="C1899" s="3636" t="s">
        <v>2</v>
      </c>
      <c r="D1899" s="3636" t="s">
        <v>3</v>
      </c>
      <c r="E1899" s="3636" t="s">
        <v>4</v>
      </c>
      <c r="F1899" s="3559" t="s">
        <v>5</v>
      </c>
    </row>
    <row r="1900" spans="1:7" ht="15.75" thickBot="1">
      <c r="A1900" s="3695"/>
      <c r="B1900" s="3692"/>
      <c r="C1900" s="3692"/>
      <c r="D1900" s="3692"/>
      <c r="E1900" s="3692"/>
      <c r="F1900" s="3705"/>
    </row>
    <row r="1901" spans="1:7" ht="15.75" thickTop="1">
      <c r="A1901" s="1495" t="s">
        <v>2788</v>
      </c>
      <c r="B1901" s="388" t="s">
        <v>2029</v>
      </c>
      <c r="C1901" s="1845" t="s">
        <v>1891</v>
      </c>
      <c r="D1901" s="388"/>
      <c r="E1901" s="880">
        <f>(G1901-F1901)/G1901</f>
        <v>0.20183486238532117</v>
      </c>
      <c r="F1901" s="1503">
        <v>0.87</v>
      </c>
      <c r="G1901">
        <v>1.0900000000000001</v>
      </c>
    </row>
    <row r="1902" spans="1:7">
      <c r="A1902" s="491"/>
      <c r="B1902" s="1554"/>
      <c r="C1902" s="1636" t="s">
        <v>1904</v>
      </c>
      <c r="D1902" s="388"/>
      <c r="E1902" s="1556">
        <f>(G1902-F1902)/G1902</f>
        <v>0.20134228187919467</v>
      </c>
      <c r="F1902" s="1503">
        <v>1.19</v>
      </c>
      <c r="G1902">
        <v>1.49</v>
      </c>
    </row>
    <row r="1903" spans="1:7" ht="15.75" thickBot="1">
      <c r="A1903" s="500"/>
      <c r="B1903" s="1344"/>
      <c r="C1903" s="1345"/>
      <c r="D1903" s="873"/>
      <c r="E1903" s="1346" t="e">
        <f>(G1903-F1903)/G1903</f>
        <v>#DIV/0!</v>
      </c>
      <c r="F1903" s="1347"/>
    </row>
    <row r="1904" spans="1:7" ht="15.75" thickBot="1"/>
    <row r="1905" spans="1:7">
      <c r="A1905" s="3572" t="s">
        <v>0</v>
      </c>
      <c r="B1905" s="3636" t="s">
        <v>1</v>
      </c>
      <c r="C1905" s="3636" t="s">
        <v>2</v>
      </c>
      <c r="D1905" s="3636" t="s">
        <v>3</v>
      </c>
      <c r="E1905" s="3636" t="s">
        <v>4</v>
      </c>
      <c r="F1905" s="3559" t="s">
        <v>5</v>
      </c>
      <c r="G1905" s="429"/>
    </row>
    <row r="1906" spans="1:7" ht="15.75" thickBot="1">
      <c r="A1906" s="3695"/>
      <c r="B1906" s="3692"/>
      <c r="C1906" s="3692"/>
      <c r="D1906" s="3692"/>
      <c r="E1906" s="3692"/>
      <c r="F1906" s="3705"/>
      <c r="G1906" s="429"/>
    </row>
    <row r="1907" spans="1:7" ht="16.5" thickTop="1">
      <c r="A1907" s="1495" t="s">
        <v>2796</v>
      </c>
      <c r="B1907" s="388" t="s">
        <v>2082</v>
      </c>
      <c r="C1907" s="1635" t="s">
        <v>1892</v>
      </c>
      <c r="D1907" s="388"/>
      <c r="E1907" s="1553">
        <f>(G1907-F1907)/G1907</f>
        <v>0.22314049586776863</v>
      </c>
      <c r="F1907" s="1503">
        <v>0.94</v>
      </c>
      <c r="G1907" s="436">
        <v>1.21</v>
      </c>
    </row>
    <row r="1908" spans="1:7">
      <c r="A1908" s="491"/>
      <c r="B1908" s="1554"/>
      <c r="C1908" s="1555"/>
      <c r="D1908" s="388"/>
      <c r="E1908" s="1556" t="e">
        <f>(G1908-F1908)/G1908</f>
        <v>#DIV/0!</v>
      </c>
      <c r="F1908" s="1503"/>
      <c r="G1908" s="436"/>
    </row>
    <row r="1909" spans="1:7" ht="15.75" thickBot="1">
      <c r="A1909" s="500"/>
      <c r="B1909" s="1344"/>
      <c r="C1909" s="1345"/>
      <c r="D1909" s="873"/>
      <c r="E1909" s="1346" t="e">
        <f>(G1909-F1909)/G1909</f>
        <v>#DIV/0!</v>
      </c>
      <c r="F1909" s="1347"/>
      <c r="G1909" s="429"/>
    </row>
    <row r="1910" spans="1:7" ht="15.75" thickBot="1"/>
    <row r="1911" spans="1:7">
      <c r="A1911" s="3614" t="s">
        <v>0</v>
      </c>
      <c r="B1911" s="3693" t="s">
        <v>1</v>
      </c>
      <c r="C1911" s="3693" t="s">
        <v>2</v>
      </c>
      <c r="D1911" s="3693" t="s">
        <v>3</v>
      </c>
      <c r="E1911" s="3693" t="s">
        <v>4</v>
      </c>
      <c r="F1911" s="3522" t="s">
        <v>5</v>
      </c>
    </row>
    <row r="1912" spans="1:7" ht="15.75" thickBot="1">
      <c r="A1912" s="4050"/>
      <c r="B1912" s="4102"/>
      <c r="C1912" s="4102"/>
      <c r="D1912" s="4102"/>
      <c r="E1912" s="4102"/>
      <c r="F1912" s="4054"/>
    </row>
    <row r="1913" spans="1:7">
      <c r="A1913" s="1059" t="s">
        <v>2873</v>
      </c>
      <c r="B1913" s="288" t="s">
        <v>2016</v>
      </c>
      <c r="C1913" s="2005" t="s">
        <v>1772</v>
      </c>
      <c r="D1913" s="288"/>
      <c r="E1913" s="290">
        <f>(F1913/G1913-1)*-1</f>
        <v>0.19875776397515532</v>
      </c>
      <c r="F1913" s="1643">
        <v>1.29</v>
      </c>
      <c r="G1913" s="32">
        <v>1.61</v>
      </c>
    </row>
    <row r="1914" spans="1:7">
      <c r="A1914" s="1644"/>
      <c r="B1914" s="1645"/>
      <c r="C1914" s="1642" t="s">
        <v>1374</v>
      </c>
      <c r="D1914" s="1645"/>
      <c r="E1914" s="1646">
        <f t="shared" ref="E1914:E1923" si="88">(F1914/G1914-1)*-1</f>
        <v>0.14851485148514854</v>
      </c>
      <c r="F1914" s="1643">
        <v>0.86</v>
      </c>
      <c r="G1914" s="32">
        <v>1.01</v>
      </c>
    </row>
    <row r="1915" spans="1:7">
      <c r="A1915" s="1644"/>
      <c r="B1915" s="1645"/>
      <c r="C1915" s="1642" t="s">
        <v>1301</v>
      </c>
      <c r="D1915" s="1645"/>
      <c r="E1915" s="1646">
        <f t="shared" si="88"/>
        <v>0.14851485148514854</v>
      </c>
      <c r="F1915" s="1643">
        <v>0.86</v>
      </c>
      <c r="G1915" s="32">
        <v>1.01</v>
      </c>
    </row>
    <row r="1916" spans="1:7">
      <c r="A1916" s="1644"/>
      <c r="B1916" s="1645"/>
      <c r="C1916" s="1642" t="s">
        <v>2303</v>
      </c>
      <c r="D1916" s="1645"/>
      <c r="E1916" s="1646">
        <f t="shared" si="88"/>
        <v>0.14851485148514854</v>
      </c>
      <c r="F1916" s="1643">
        <v>0.86</v>
      </c>
      <c r="G1916" s="33">
        <v>1.01</v>
      </c>
    </row>
    <row r="1917" spans="1:7">
      <c r="A1917" s="1644"/>
      <c r="B1917" s="1645"/>
      <c r="C1917" s="1642" t="s">
        <v>554</v>
      </c>
      <c r="D1917" s="1645"/>
      <c r="E1917" s="1646">
        <f t="shared" si="88"/>
        <v>0.20168067226890751</v>
      </c>
      <c r="F1917" s="1643">
        <v>0.95</v>
      </c>
      <c r="G1917" s="33">
        <v>1.19</v>
      </c>
    </row>
    <row r="1918" spans="1:7">
      <c r="A1918" s="1644"/>
      <c r="B1918" s="1647"/>
      <c r="C1918" s="1642" t="s">
        <v>1268</v>
      </c>
      <c r="D1918" s="1647"/>
      <c r="E1918" s="1648">
        <f t="shared" si="88"/>
        <v>0.20000000000000007</v>
      </c>
      <c r="F1918" s="1649">
        <v>0.88</v>
      </c>
      <c r="G1918" s="1650">
        <v>1.1000000000000001</v>
      </c>
    </row>
    <row r="1919" spans="1:7">
      <c r="A1919" s="1644"/>
      <c r="B1919" s="1645"/>
      <c r="C1919" s="2005" t="s">
        <v>2797</v>
      </c>
      <c r="D1919" s="1645"/>
      <c r="E1919" s="1646">
        <f t="shared" si="88"/>
        <v>0.19780219780219788</v>
      </c>
      <c r="F1919" s="1643">
        <v>1.46</v>
      </c>
      <c r="G1919" s="33">
        <v>1.82</v>
      </c>
    </row>
    <row r="1920" spans="1:7">
      <c r="A1920" s="1644"/>
      <c r="B1920" s="1645"/>
      <c r="C1920" s="2005" t="s">
        <v>2798</v>
      </c>
      <c r="D1920" s="1645"/>
      <c r="E1920" s="1646">
        <f t="shared" si="88"/>
        <v>0.21212121212121215</v>
      </c>
      <c r="F1920" s="1643">
        <v>0.26</v>
      </c>
      <c r="G1920" s="33">
        <v>0.33</v>
      </c>
    </row>
    <row r="1921" spans="1:7">
      <c r="A1921" s="1651"/>
      <c r="B1921" s="1645"/>
      <c r="C1921" s="2005" t="s">
        <v>2251</v>
      </c>
      <c r="D1921" s="1645"/>
      <c r="E1921" s="1646">
        <f t="shared" si="88"/>
        <v>0.19999999999999996</v>
      </c>
      <c r="F1921" s="1643">
        <v>1.84</v>
      </c>
      <c r="G1921" s="33">
        <v>2.2999999999999998</v>
      </c>
    </row>
    <row r="1922" spans="1:7">
      <c r="A1922" s="1651"/>
      <c r="B1922" s="1645"/>
      <c r="C1922" s="1645"/>
      <c r="D1922" s="1645"/>
      <c r="E1922" s="1646" t="e">
        <f t="shared" si="88"/>
        <v>#DIV/0!</v>
      </c>
      <c r="F1922" s="1652"/>
      <c r="G1922" s="32"/>
    </row>
    <row r="1923" spans="1:7">
      <c r="A1923" s="1651"/>
      <c r="B1923" s="1645"/>
      <c r="C1923" s="1645"/>
      <c r="D1923" s="1645"/>
      <c r="E1923" s="1646" t="e">
        <f t="shared" si="88"/>
        <v>#DIV/0!</v>
      </c>
      <c r="F1923" s="1652"/>
      <c r="G1923" s="32"/>
    </row>
    <row r="1924" spans="1:7" ht="15.75" thickBot="1">
      <c r="A1924" s="1428"/>
      <c r="B1924" s="1445"/>
      <c r="C1924" s="1455"/>
      <c r="D1924" s="1445"/>
      <c r="E1924" s="1456" t="e">
        <f>(G1924-F1924)/G1924</f>
        <v>#DIV/0!</v>
      </c>
      <c r="F1924" s="1430"/>
      <c r="G1924" s="33"/>
    </row>
    <row r="1925" spans="1:7" ht="15.75" thickBot="1"/>
    <row r="1926" spans="1:7">
      <c r="A1926" s="3614" t="s">
        <v>0</v>
      </c>
      <c r="B1926" s="3693" t="s">
        <v>1</v>
      </c>
      <c r="C1926" s="3693" t="s">
        <v>2</v>
      </c>
      <c r="D1926" s="3693" t="s">
        <v>3</v>
      </c>
      <c r="E1926" s="3693" t="s">
        <v>4</v>
      </c>
      <c r="F1926" s="3522" t="s">
        <v>5</v>
      </c>
      <c r="G1926" s="109"/>
    </row>
    <row r="1927" spans="1:7" ht="15.75" thickBot="1">
      <c r="A1927" s="4050"/>
      <c r="B1927" s="4102"/>
      <c r="C1927" s="4102"/>
      <c r="D1927" s="4102"/>
      <c r="E1927" s="4102"/>
      <c r="F1927" s="4054"/>
      <c r="G1927" s="109"/>
    </row>
    <row r="1928" spans="1:7">
      <c r="A1928" s="841" t="s">
        <v>2821</v>
      </c>
      <c r="B1928" s="4131" t="s">
        <v>1593</v>
      </c>
      <c r="C1928" s="1671" t="s">
        <v>1949</v>
      </c>
      <c r="D1928" s="1098"/>
      <c r="E1928" s="290">
        <f>(G1928-F1928)/G1928</f>
        <v>0.19565217391304351</v>
      </c>
      <c r="F1928" s="1122">
        <v>0.74</v>
      </c>
      <c r="G1928" s="1103">
        <v>0.92</v>
      </c>
    </row>
    <row r="1929" spans="1:7">
      <c r="A1929" s="841"/>
      <c r="B1929" s="4132"/>
      <c r="C1929" s="1671" t="s">
        <v>1950</v>
      </c>
      <c r="D1929" s="1672"/>
      <c r="E1929" s="290">
        <f>(G1929-F1929)/G1929</f>
        <v>0.19565217391304351</v>
      </c>
      <c r="F1929" s="1122">
        <v>0.74</v>
      </c>
      <c r="G1929" s="1103">
        <v>0.92</v>
      </c>
    </row>
    <row r="1930" spans="1:7">
      <c r="A1930" s="841"/>
      <c r="B1930" s="4132"/>
      <c r="C1930" s="1627"/>
      <c r="D1930" s="1549"/>
      <c r="E1930" s="290" t="e">
        <f>(G1930-F1930)/G1930</f>
        <v>#DIV/0!</v>
      </c>
      <c r="F1930" s="1122"/>
      <c r="G1930" s="1103"/>
    </row>
    <row r="1931" spans="1:7" ht="16.5" thickBot="1">
      <c r="A1931" s="884"/>
      <c r="B1931" s="4133"/>
      <c r="C1931" s="1673"/>
      <c r="D1931" s="1674"/>
      <c r="E1931" s="290" t="e">
        <f>(G1931-F1931)/G1931</f>
        <v>#DIV/0!</v>
      </c>
      <c r="F1931" s="1122"/>
      <c r="G1931" s="1103"/>
    </row>
    <row r="1933" spans="1:7" ht="15.75" thickBot="1"/>
    <row r="1934" spans="1:7">
      <c r="A1934" s="3614" t="s">
        <v>0</v>
      </c>
      <c r="B1934" s="3518" t="s">
        <v>1</v>
      </c>
      <c r="C1934" s="3518" t="s">
        <v>2</v>
      </c>
      <c r="D1934" s="3518" t="s">
        <v>3</v>
      </c>
      <c r="E1934" s="3518" t="s">
        <v>4</v>
      </c>
      <c r="F1934" s="3522" t="s">
        <v>5</v>
      </c>
      <c r="G1934" s="109"/>
    </row>
    <row r="1935" spans="1:7" ht="15.75" thickBot="1">
      <c r="A1935" s="4211"/>
      <c r="B1935" s="3843"/>
      <c r="C1935" s="3843"/>
      <c r="D1935" s="3843"/>
      <c r="E1935" s="3843"/>
      <c r="F1935" s="4110"/>
      <c r="G1935" s="109"/>
    </row>
    <row r="1936" spans="1:7">
      <c r="A1936" s="1675" t="s">
        <v>2822</v>
      </c>
      <c r="B1936" s="4202" t="s">
        <v>2155</v>
      </c>
      <c r="C1936" s="2012" t="s">
        <v>2743</v>
      </c>
      <c r="D1936" s="1676"/>
      <c r="E1936" s="1677">
        <f>(G1936-F1936)/G1936</f>
        <v>0.19999999999999987</v>
      </c>
      <c r="F1936" s="1678">
        <v>0.56000000000000005</v>
      </c>
      <c r="G1936" s="1590">
        <v>0.7</v>
      </c>
    </row>
    <row r="1937" spans="1:7">
      <c r="A1937" s="1679"/>
      <c r="B1937" s="4203"/>
      <c r="C1937" s="2011" t="s">
        <v>2077</v>
      </c>
      <c r="D1937" s="1681"/>
      <c r="E1937" s="1682">
        <f t="shared" ref="E1937:E1950" si="89">(G1937-F1937)/G1937</f>
        <v>0.19047619047619038</v>
      </c>
      <c r="F1937" s="1683">
        <v>0.34</v>
      </c>
      <c r="G1937" s="1590">
        <v>0.42</v>
      </c>
    </row>
    <row r="1938" spans="1:7">
      <c r="A1938" s="1679"/>
      <c r="B1938" s="4203"/>
      <c r="C1938" s="2011" t="s">
        <v>2351</v>
      </c>
      <c r="D1938" s="1681"/>
      <c r="E1938" s="1682">
        <f t="shared" si="89"/>
        <v>0.1764705882352941</v>
      </c>
      <c r="F1938" s="1683">
        <v>0.14000000000000001</v>
      </c>
      <c r="G1938" s="1590">
        <v>0.17</v>
      </c>
    </row>
    <row r="1939" spans="1:7">
      <c r="A1939" s="1679"/>
      <c r="B1939" s="4203"/>
      <c r="C1939" s="2011" t="s">
        <v>2352</v>
      </c>
      <c r="D1939" s="1681"/>
      <c r="E1939" s="1682">
        <f t="shared" si="89"/>
        <v>0.1764705882352941</v>
      </c>
      <c r="F1939" s="1683">
        <v>0.14000000000000001</v>
      </c>
      <c r="G1939" s="1590">
        <v>0.17</v>
      </c>
    </row>
    <row r="1940" spans="1:7">
      <c r="A1940" s="1679"/>
      <c r="B1940" s="4203"/>
      <c r="C1940" s="2011" t="s">
        <v>2637</v>
      </c>
      <c r="D1940" s="1681"/>
      <c r="E1940" s="1682">
        <f t="shared" si="89"/>
        <v>0.1764705882352941</v>
      </c>
      <c r="F1940" s="1683">
        <v>0.14000000000000001</v>
      </c>
      <c r="G1940" s="1590">
        <v>0.17</v>
      </c>
    </row>
    <row r="1941" spans="1:7">
      <c r="A1941" s="1679"/>
      <c r="B1941" s="4203"/>
      <c r="C1941" s="2011" t="s">
        <v>1891</v>
      </c>
      <c r="D1941" s="1681"/>
      <c r="E1941" s="1682">
        <f t="shared" si="89"/>
        <v>0.1538461538461538</v>
      </c>
      <c r="F1941" s="1683">
        <v>0.99</v>
      </c>
      <c r="G1941" s="1590">
        <v>1.17</v>
      </c>
    </row>
    <row r="1942" spans="1:7">
      <c r="A1942" s="1679"/>
      <c r="B1942" s="4203"/>
      <c r="C1942" s="2011" t="s">
        <v>2021</v>
      </c>
      <c r="D1942" s="1681"/>
      <c r="E1942" s="1682">
        <f t="shared" si="89"/>
        <v>0.20125786163522016</v>
      </c>
      <c r="F1942" s="1683">
        <v>1.27</v>
      </c>
      <c r="G1942" s="1590">
        <v>1.59</v>
      </c>
    </row>
    <row r="1943" spans="1:7">
      <c r="A1943" s="1679"/>
      <c r="B1943" s="4203"/>
      <c r="C1943" s="2011" t="s">
        <v>1905</v>
      </c>
      <c r="D1943" s="1681"/>
      <c r="E1943" s="1682">
        <f t="shared" si="89"/>
        <v>0.20125786163522016</v>
      </c>
      <c r="F1943" s="1683">
        <v>1.27</v>
      </c>
      <c r="G1943" s="1590">
        <v>1.59</v>
      </c>
    </row>
    <row r="1944" spans="1:7">
      <c r="A1944" s="1679"/>
      <c r="B1944" s="4203"/>
      <c r="C1944" s="1680" t="s">
        <v>2823</v>
      </c>
      <c r="D1944" s="1681"/>
      <c r="E1944" s="1682">
        <f t="shared" si="89"/>
        <v>0.19924812030075195</v>
      </c>
      <c r="F1944" s="1683">
        <v>2.13</v>
      </c>
      <c r="G1944" s="1598">
        <v>2.66</v>
      </c>
    </row>
    <row r="1945" spans="1:7">
      <c r="A1945" s="1679"/>
      <c r="B1945" s="4203"/>
      <c r="C1945" s="1680" t="s">
        <v>2824</v>
      </c>
      <c r="D1945" s="1681"/>
      <c r="E1945" s="1682">
        <f t="shared" si="89"/>
        <v>0.19924812030075195</v>
      </c>
      <c r="F1945" s="1683">
        <v>2.13</v>
      </c>
      <c r="G1945" s="1598">
        <v>2.66</v>
      </c>
    </row>
    <row r="1946" spans="1:7">
      <c r="A1946" s="1679"/>
      <c r="B1946" s="4203"/>
      <c r="C1946" s="1680" t="s">
        <v>2825</v>
      </c>
      <c r="D1946" s="1681"/>
      <c r="E1946" s="1682">
        <f t="shared" si="89"/>
        <v>0.19924812030075195</v>
      </c>
      <c r="F1946" s="1683">
        <v>2.13</v>
      </c>
      <c r="G1946" s="1598">
        <v>2.66</v>
      </c>
    </row>
    <row r="1947" spans="1:7">
      <c r="A1947" s="1679"/>
      <c r="B1947" s="4203"/>
      <c r="C1947" s="1680" t="s">
        <v>2826</v>
      </c>
      <c r="D1947" s="1681"/>
      <c r="E1947" s="1682">
        <f t="shared" si="89"/>
        <v>0.19924812030075195</v>
      </c>
      <c r="F1947" s="1683">
        <v>2.13</v>
      </c>
      <c r="G1947" s="1598">
        <v>2.66</v>
      </c>
    </row>
    <row r="1948" spans="1:7">
      <c r="A1948" s="1679"/>
      <c r="B1948" s="4203"/>
      <c r="C1948" s="1680" t="s">
        <v>2115</v>
      </c>
      <c r="D1948" s="1681"/>
      <c r="E1948" s="1682">
        <f t="shared" si="89"/>
        <v>0.20129870129870134</v>
      </c>
      <c r="F1948" s="1683">
        <v>1.23</v>
      </c>
      <c r="G1948" s="1598">
        <v>1.54</v>
      </c>
    </row>
    <row r="1949" spans="1:7">
      <c r="A1949" s="1684"/>
      <c r="B1949" s="1685"/>
      <c r="C1949" s="1680" t="s">
        <v>2827</v>
      </c>
      <c r="D1949" s="1685"/>
      <c r="E1949" s="1682">
        <f t="shared" si="89"/>
        <v>0.20129870129870134</v>
      </c>
      <c r="F1949" s="1683">
        <v>1.23</v>
      </c>
      <c r="G1949" s="1598">
        <v>1.54</v>
      </c>
    </row>
    <row r="1950" spans="1:7" ht="15.75" thickBot="1">
      <c r="A1950" s="1315"/>
      <c r="B1950" s="1686"/>
      <c r="C1950" s="1687" t="s">
        <v>2066</v>
      </c>
      <c r="D1950" s="1686"/>
      <c r="E1950" s="1688">
        <f t="shared" si="89"/>
        <v>0.20129870129870134</v>
      </c>
      <c r="F1950" s="1689">
        <v>1.23</v>
      </c>
      <c r="G1950" s="1598">
        <v>1.54</v>
      </c>
    </row>
    <row r="1952" spans="1:7" ht="15.75" thickBot="1"/>
    <row r="1953" spans="1:7">
      <c r="A1953" s="3614" t="s">
        <v>0</v>
      </c>
      <c r="B1953" s="3693" t="s">
        <v>1</v>
      </c>
      <c r="C1953" s="3693" t="s">
        <v>2</v>
      </c>
      <c r="D1953" s="3693" t="s">
        <v>3</v>
      </c>
      <c r="E1953" s="3693" t="s">
        <v>4</v>
      </c>
      <c r="F1953" s="3522" t="s">
        <v>5</v>
      </c>
      <c r="G1953" s="109"/>
    </row>
    <row r="1954" spans="1:7" ht="15.75" thickBot="1">
      <c r="A1954" s="4050"/>
      <c r="B1954" s="4053"/>
      <c r="C1954" s="4053"/>
      <c r="D1954" s="4053"/>
      <c r="E1954" s="4053"/>
      <c r="F1954" s="4054"/>
      <c r="G1954" s="109"/>
    </row>
    <row r="1955" spans="1:7">
      <c r="A1955" s="1588" t="s">
        <v>2829</v>
      </c>
      <c r="B1955" s="1698" t="s">
        <v>2155</v>
      </c>
      <c r="C1955" s="2005" t="s">
        <v>1913</v>
      </c>
      <c r="D1955" s="388"/>
      <c r="E1955" s="638">
        <f>(G1955-F1955)/G1955</f>
        <v>0.20481927710843367</v>
      </c>
      <c r="F1955" s="1699">
        <v>0.66</v>
      </c>
      <c r="G1955" s="1590">
        <v>0.83</v>
      </c>
    </row>
    <row r="1956" spans="1:7">
      <c r="A1956" s="1700"/>
      <c r="B1956" s="1698"/>
      <c r="C1956" s="2005" t="s">
        <v>1914</v>
      </c>
      <c r="D1956" s="1701"/>
      <c r="E1956" s="1702">
        <f>(G1956-F1956)/G1956</f>
        <v>0.20481927710843367</v>
      </c>
      <c r="F1956" s="1703">
        <v>0.66</v>
      </c>
      <c r="G1956" s="1590">
        <v>0.83</v>
      </c>
    </row>
    <row r="1957" spans="1:7" ht="15.75" thickBot="1">
      <c r="A1957" s="1599"/>
      <c r="B1957" s="1704"/>
      <c r="C1957" s="2005" t="s">
        <v>906</v>
      </c>
      <c r="D1957" s="1705"/>
      <c r="E1957" s="1706">
        <f>(G1957-F1957)/G1957</f>
        <v>0.20000000000000007</v>
      </c>
      <c r="F1957" s="1689">
        <v>0.88</v>
      </c>
      <c r="G1957" s="1590">
        <v>1.1000000000000001</v>
      </c>
    </row>
    <row r="1959" spans="1:7" ht="15.75" thickBot="1"/>
    <row r="1960" spans="1:7">
      <c r="A1960" s="3614" t="s">
        <v>0</v>
      </c>
      <c r="B1960" s="3693" t="s">
        <v>1</v>
      </c>
      <c r="C1960" s="3693" t="s">
        <v>2</v>
      </c>
      <c r="D1960" s="3693" t="s">
        <v>3</v>
      </c>
      <c r="E1960" s="3693" t="s">
        <v>4</v>
      </c>
      <c r="F1960" s="3522" t="s">
        <v>5</v>
      </c>
    </row>
    <row r="1961" spans="1:7" ht="15.75" thickBot="1">
      <c r="A1961" s="3852"/>
      <c r="B1961" s="3843"/>
      <c r="C1961" s="3843"/>
      <c r="D1961" s="3843"/>
      <c r="E1961" s="3843"/>
      <c r="F1961" s="4110"/>
    </row>
    <row r="1962" spans="1:7" ht="15.75">
      <c r="A1962" s="1108" t="s">
        <v>2838</v>
      </c>
      <c r="B1962" s="1098" t="s">
        <v>460</v>
      </c>
      <c r="C1962" s="2016" t="s">
        <v>2207</v>
      </c>
      <c r="D1962" s="1732"/>
      <c r="E1962" s="1236">
        <f t="shared" ref="E1962:E1968" si="90">(G1962-F1962)/G1962</f>
        <v>0.20689655172413784</v>
      </c>
      <c r="F1962" s="1678">
        <v>0.46</v>
      </c>
      <c r="G1962">
        <v>0.57999999999999996</v>
      </c>
    </row>
    <row r="1963" spans="1:7" ht="15.75">
      <c r="A1963" s="1733"/>
      <c r="B1963" s="1734"/>
      <c r="C1963" s="1735" t="s">
        <v>471</v>
      </c>
      <c r="D1963" s="1736"/>
      <c r="E1963" s="1737">
        <f t="shared" si="90"/>
        <v>0.19801980198019797</v>
      </c>
      <c r="F1963" s="1738">
        <v>0.81</v>
      </c>
      <c r="G1963">
        <v>1.01</v>
      </c>
    </row>
    <row r="1964" spans="1:7" ht="15.75">
      <c r="A1964" s="1733"/>
      <c r="B1964" s="1734"/>
      <c r="C1964" s="1735" t="s">
        <v>2682</v>
      </c>
      <c r="D1964" s="1736"/>
      <c r="E1964" s="1737">
        <f t="shared" si="90"/>
        <v>0.20000000000000004</v>
      </c>
      <c r="F1964" s="1738">
        <v>0.36</v>
      </c>
      <c r="G1964">
        <v>0.45</v>
      </c>
    </row>
    <row r="1965" spans="1:7" ht="15.75">
      <c r="A1965" s="1739"/>
      <c r="B1965" s="1709"/>
      <c r="C1965" s="1735" t="s">
        <v>1820</v>
      </c>
      <c r="D1965" s="1736"/>
      <c r="E1965" s="1737">
        <f t="shared" si="90"/>
        <v>0.20098039215686281</v>
      </c>
      <c r="F1965" s="1738">
        <v>1.63</v>
      </c>
      <c r="G1965">
        <v>2.04</v>
      </c>
    </row>
    <row r="1966" spans="1:7" ht="15.75">
      <c r="A1966" s="1739"/>
      <c r="B1966" s="1709"/>
      <c r="C1966" s="1735" t="s">
        <v>2141</v>
      </c>
      <c r="D1966" s="1736"/>
      <c r="E1966" s="1737">
        <f t="shared" si="90"/>
        <v>0.20098039215686281</v>
      </c>
      <c r="F1966" s="1738">
        <v>1.63</v>
      </c>
      <c r="G1966">
        <v>2.04</v>
      </c>
    </row>
    <row r="1967" spans="1:7" ht="15.75">
      <c r="A1967" s="1739"/>
      <c r="B1967" s="1709"/>
      <c r="C1967" s="2017" t="s">
        <v>623</v>
      </c>
      <c r="D1967" s="1736"/>
      <c r="E1967" s="1737">
        <f t="shared" si="90"/>
        <v>0.30150753768844224</v>
      </c>
      <c r="F1967" s="1738">
        <v>1.39</v>
      </c>
      <c r="G1967">
        <v>1.99</v>
      </c>
    </row>
    <row r="1968" spans="1:7" ht="16.5" thickBot="1">
      <c r="A1968" s="1315"/>
      <c r="B1968" s="1718"/>
      <c r="C1968" s="2006" t="s">
        <v>2251</v>
      </c>
      <c r="D1968" s="1741"/>
      <c r="E1968" s="1742">
        <f t="shared" si="90"/>
        <v>0.2478260869565217</v>
      </c>
      <c r="F1968" s="1689">
        <v>1.73</v>
      </c>
      <c r="G1968">
        <v>2.2999999999999998</v>
      </c>
    </row>
    <row r="1969" spans="1:7" ht="15.75" thickBot="1"/>
    <row r="1970" spans="1:7">
      <c r="A1970" s="3614" t="s">
        <v>0</v>
      </c>
      <c r="B1970" s="3693" t="s">
        <v>1</v>
      </c>
      <c r="C1970" s="3693" t="s">
        <v>2</v>
      </c>
      <c r="D1970" s="3693" t="s">
        <v>3</v>
      </c>
      <c r="E1970" s="3693" t="s">
        <v>4</v>
      </c>
      <c r="F1970" s="3522" t="s">
        <v>5</v>
      </c>
    </row>
    <row r="1971" spans="1:7" ht="15.75" thickBot="1">
      <c r="A1971" s="3852"/>
      <c r="B1971" s="3843"/>
      <c r="C1971" s="3843"/>
      <c r="D1971" s="3843"/>
      <c r="E1971" s="3843"/>
      <c r="F1971" s="4110"/>
    </row>
    <row r="1972" spans="1:7" ht="15.75">
      <c r="A1972" s="1108" t="s">
        <v>2839</v>
      </c>
      <c r="B1972" s="1098" t="s">
        <v>2183</v>
      </c>
      <c r="C1972" s="2007" t="s">
        <v>2383</v>
      </c>
      <c r="D1972" s="1732"/>
      <c r="E1972" s="1236">
        <f t="shared" ref="E1972:E1978" si="91">(G1972-F1972)/G1972</f>
        <v>0.25000000000000006</v>
      </c>
      <c r="F1972" s="1678">
        <v>3.21</v>
      </c>
      <c r="G1972">
        <v>4.28</v>
      </c>
    </row>
    <row r="1973" spans="1:7" ht="15.75">
      <c r="A1973" s="1743"/>
      <c r="B1973" s="1734"/>
      <c r="C1973" s="2008" t="s">
        <v>2455</v>
      </c>
      <c r="D1973" s="1736"/>
      <c r="E1973" s="1737">
        <f t="shared" si="91"/>
        <v>0.19736842105263161</v>
      </c>
      <c r="F1973" s="1738">
        <v>1.22</v>
      </c>
      <c r="G1973">
        <v>1.52</v>
      </c>
    </row>
    <row r="1974" spans="1:7" ht="15.75">
      <c r="A1974" s="1743"/>
      <c r="B1974" s="1734"/>
      <c r="C1974" s="2008" t="s">
        <v>1975</v>
      </c>
      <c r="D1974" s="1736"/>
      <c r="E1974" s="1737">
        <f t="shared" si="91"/>
        <v>0.24705882352941172</v>
      </c>
      <c r="F1974" s="1738">
        <v>1.28</v>
      </c>
      <c r="G1974">
        <v>1.7</v>
      </c>
    </row>
    <row r="1975" spans="1:7" ht="15.75">
      <c r="A1975" s="1739"/>
      <c r="B1975" s="1709"/>
      <c r="C1975" s="1735" t="s">
        <v>2602</v>
      </c>
      <c r="D1975" s="1736"/>
      <c r="E1975" s="1737">
        <f t="shared" si="91"/>
        <v>0.2019543973941367</v>
      </c>
      <c r="F1975" s="1738">
        <v>2.4500000000000002</v>
      </c>
      <c r="G1975">
        <v>3.07</v>
      </c>
    </row>
    <row r="1976" spans="1:7" ht="15.75">
      <c r="A1976" s="1739"/>
      <c r="B1976" s="1709"/>
      <c r="C1976" s="1735" t="s">
        <v>2558</v>
      </c>
      <c r="D1976" s="1736"/>
      <c r="E1976" s="1737">
        <f t="shared" si="91"/>
        <v>0.2019543973941367</v>
      </c>
      <c r="F1976" s="1738">
        <v>2.4500000000000002</v>
      </c>
      <c r="G1976">
        <v>3.07</v>
      </c>
    </row>
    <row r="1977" spans="1:7" ht="15.75">
      <c r="A1977" s="1739"/>
      <c r="B1977" s="1709"/>
      <c r="C1977" s="1735" t="s">
        <v>2603</v>
      </c>
      <c r="D1977" s="1736"/>
      <c r="E1977" s="1737">
        <f t="shared" si="91"/>
        <v>0.2019543973941367</v>
      </c>
      <c r="F1977" s="1738">
        <v>2.4500000000000002</v>
      </c>
      <c r="G1977">
        <v>3.07</v>
      </c>
    </row>
    <row r="1978" spans="1:7" ht="16.5" thickBot="1">
      <c r="A1978" s="1315"/>
      <c r="B1978" s="1718"/>
      <c r="C1978" s="1740" t="s">
        <v>2559</v>
      </c>
      <c r="D1978" s="1741"/>
      <c r="E1978" s="1742">
        <f t="shared" si="91"/>
        <v>0.2019543973941367</v>
      </c>
      <c r="F1978" s="1689">
        <v>2.4500000000000002</v>
      </c>
      <c r="G1978">
        <v>3.07</v>
      </c>
    </row>
    <row r="1979" spans="1:7" ht="15.75" thickBot="1"/>
    <row r="1980" spans="1:7">
      <c r="A1980" s="3572" t="s">
        <v>0</v>
      </c>
      <c r="B1980" s="3636" t="s">
        <v>1</v>
      </c>
      <c r="C1980" s="3636" t="s">
        <v>2</v>
      </c>
      <c r="D1980" s="3636" t="s">
        <v>3</v>
      </c>
      <c r="E1980" s="3636" t="s">
        <v>4</v>
      </c>
      <c r="F1980" s="3559" t="s">
        <v>5</v>
      </c>
    </row>
    <row r="1981" spans="1:7" ht="15.75" thickBot="1">
      <c r="A1981" s="3995"/>
      <c r="B1981" s="3692"/>
      <c r="C1981" s="3692"/>
      <c r="D1981" s="3692"/>
      <c r="E1981" s="3692"/>
      <c r="F1981" s="3705"/>
    </row>
    <row r="1982" spans="1:7" ht="15.75" thickTop="1">
      <c r="A1982" s="1752" t="s">
        <v>2847</v>
      </c>
      <c r="B1982" s="388" t="s">
        <v>2029</v>
      </c>
      <c r="C1982" s="1845" t="s">
        <v>1891</v>
      </c>
      <c r="D1982" s="388"/>
      <c r="E1982" s="880">
        <f>(G1982-F1982)/G1982</f>
        <v>0.20183486238532117</v>
      </c>
      <c r="F1982" s="1753">
        <v>0.87</v>
      </c>
      <c r="G1982">
        <v>1.0900000000000001</v>
      </c>
    </row>
    <row r="1983" spans="1:7">
      <c r="A1983" s="491"/>
      <c r="B1983" s="1754"/>
      <c r="C1983" s="2009" t="s">
        <v>1904</v>
      </c>
      <c r="D1983" s="388"/>
      <c r="E1983" s="1755">
        <f>(G1983-F1983)/G1983</f>
        <v>0.20134228187919467</v>
      </c>
      <c r="F1983" s="1753">
        <v>1.19</v>
      </c>
      <c r="G1983">
        <v>1.49</v>
      </c>
    </row>
    <row r="1984" spans="1:7" ht="15.75" thickBot="1">
      <c r="A1984" s="500"/>
      <c r="B1984" s="1705"/>
      <c r="C1984" s="1756"/>
      <c r="D1984" s="873"/>
      <c r="E1984" s="1757" t="e">
        <f>(G1984-F1984)/G1984</f>
        <v>#DIV/0!</v>
      </c>
      <c r="F1984" s="1347"/>
    </row>
    <row r="1985" spans="1:7" ht="15.75" thickBot="1"/>
    <row r="1986" spans="1:7">
      <c r="A1986" s="4138" t="s">
        <v>0</v>
      </c>
      <c r="B1986" s="4134" t="s">
        <v>1</v>
      </c>
      <c r="C1986" s="4134" t="s">
        <v>2</v>
      </c>
      <c r="D1986" s="4134" t="s">
        <v>3</v>
      </c>
      <c r="E1986" s="4134" t="s">
        <v>4</v>
      </c>
      <c r="F1986" s="4136" t="s">
        <v>5</v>
      </c>
    </row>
    <row r="1987" spans="1:7" ht="15.75" thickBot="1">
      <c r="A1987" s="4139"/>
      <c r="B1987" s="4204"/>
      <c r="C1987" s="4204"/>
      <c r="D1987" s="4204"/>
      <c r="E1987" s="4204"/>
      <c r="F1987" s="4137"/>
    </row>
    <row r="1988" spans="1:7" ht="15.75">
      <c r="A1988" s="1138" t="s">
        <v>2848</v>
      </c>
      <c r="B1988" s="902" t="s">
        <v>1708</v>
      </c>
      <c r="C1988" s="1758" t="s">
        <v>2115</v>
      </c>
      <c r="D1988" s="1759"/>
      <c r="E1988" s="904">
        <f t="shared" ref="E1988:E1995" si="92">(G1988-F1988)/G1988</f>
        <v>0.20125786163522016</v>
      </c>
      <c r="F1988" s="1699">
        <v>1.27</v>
      </c>
      <c r="G1988">
        <v>1.59</v>
      </c>
    </row>
    <row r="1989" spans="1:7" ht="15.75">
      <c r="A1989" s="1739"/>
      <c r="B1989" s="1749"/>
      <c r="C1989" s="1760" t="s">
        <v>2116</v>
      </c>
      <c r="D1989" s="1761"/>
      <c r="E1989" s="1762">
        <f t="shared" si="92"/>
        <v>0.20125786163522016</v>
      </c>
      <c r="F1989" s="1738">
        <v>1.27</v>
      </c>
      <c r="G1989">
        <v>1.59</v>
      </c>
    </row>
    <row r="1990" spans="1:7" ht="15.75">
      <c r="A1990" s="1739"/>
      <c r="B1990" s="1749"/>
      <c r="C1990" s="1760" t="s">
        <v>2066</v>
      </c>
      <c r="D1990" s="1761"/>
      <c r="E1990" s="1762">
        <f t="shared" si="92"/>
        <v>0.20125786163522016</v>
      </c>
      <c r="F1990" s="1738">
        <v>1.27</v>
      </c>
      <c r="G1990">
        <v>1.59</v>
      </c>
    </row>
    <row r="1991" spans="1:7" ht="15.75">
      <c r="A1991" s="1739"/>
      <c r="B1991" s="1749"/>
      <c r="C1991" s="1760" t="s">
        <v>2080</v>
      </c>
      <c r="D1991" s="1761"/>
      <c r="E1991" s="1762">
        <f t="shared" si="92"/>
        <v>0.19780219780219785</v>
      </c>
      <c r="F1991" s="1738">
        <v>0.73</v>
      </c>
      <c r="G1991">
        <v>0.91</v>
      </c>
    </row>
    <row r="1992" spans="1:7" ht="15.75">
      <c r="A1992" s="1739"/>
      <c r="B1992" s="1749"/>
      <c r="C1992" s="1760" t="s">
        <v>1949</v>
      </c>
      <c r="D1992" s="1761"/>
      <c r="E1992" s="1762">
        <f t="shared" si="92"/>
        <v>0.19780219780219785</v>
      </c>
      <c r="F1992" s="1738">
        <v>0.73</v>
      </c>
      <c r="G1992">
        <v>0.91</v>
      </c>
    </row>
    <row r="1993" spans="1:7" ht="15.75">
      <c r="A1993" s="1739"/>
      <c r="B1993" s="1749"/>
      <c r="C1993" s="1760" t="s">
        <v>1950</v>
      </c>
      <c r="D1993" s="1761"/>
      <c r="E1993" s="1762">
        <f t="shared" si="92"/>
        <v>0.19780219780219785</v>
      </c>
      <c r="F1993" s="1738">
        <v>0.73</v>
      </c>
      <c r="G1993">
        <v>0.91</v>
      </c>
    </row>
    <row r="1994" spans="1:7" ht="15.75">
      <c r="A1994" s="1739"/>
      <c r="B1994" s="1749"/>
      <c r="C1994" s="1760" t="s">
        <v>905</v>
      </c>
      <c r="D1994" s="1761"/>
      <c r="E1994" s="1762">
        <f t="shared" si="92"/>
        <v>0.19753086419753088</v>
      </c>
      <c r="F1994" s="1738">
        <v>0.65</v>
      </c>
      <c r="G1994">
        <v>0.81</v>
      </c>
    </row>
    <row r="1995" spans="1:7" ht="16.5" thickBot="1">
      <c r="A1995" s="1315"/>
      <c r="B1995" s="1718"/>
      <c r="C1995" s="1740" t="s">
        <v>1077</v>
      </c>
      <c r="D1995" s="1741"/>
      <c r="E1995" s="1742">
        <f t="shared" si="92"/>
        <v>0.20202020202020199</v>
      </c>
      <c r="F1995" s="1689">
        <v>1.58</v>
      </c>
      <c r="G1995">
        <v>1.98</v>
      </c>
    </row>
    <row r="1996" spans="1:7" ht="15.75" thickBot="1"/>
    <row r="1997" spans="1:7">
      <c r="A1997" s="3614" t="s">
        <v>0</v>
      </c>
      <c r="B1997" s="3693" t="s">
        <v>1</v>
      </c>
      <c r="C1997" s="3693" t="s">
        <v>2</v>
      </c>
      <c r="D1997" s="3693" t="s">
        <v>3</v>
      </c>
      <c r="E1997" s="3693" t="s">
        <v>4</v>
      </c>
      <c r="F1997" s="3522" t="s">
        <v>5</v>
      </c>
      <c r="G1997" s="109"/>
    </row>
    <row r="1998" spans="1:7" ht="15.75" thickBot="1">
      <c r="A1998" s="4050"/>
      <c r="B1998" s="4053"/>
      <c r="C1998" s="4053"/>
      <c r="D1998" s="4053"/>
      <c r="E1998" s="4053"/>
      <c r="F1998" s="4054"/>
      <c r="G1998" s="109"/>
    </row>
    <row r="1999" spans="1:7">
      <c r="A1999" s="841" t="s">
        <v>2849</v>
      </c>
      <c r="B1999" s="4131" t="s">
        <v>1593</v>
      </c>
      <c r="C1999" s="1671" t="s">
        <v>1949</v>
      </c>
      <c r="D1999" s="1098"/>
      <c r="E1999" s="290">
        <f>(G1999-F1999)/G1999</f>
        <v>0.19565217391304351</v>
      </c>
      <c r="F1999" s="1122">
        <v>0.74</v>
      </c>
      <c r="G1999" s="1103">
        <v>0.92</v>
      </c>
    </row>
    <row r="2000" spans="1:7">
      <c r="A2000" s="841"/>
      <c r="B2000" s="4132"/>
      <c r="C2000" s="1671" t="s">
        <v>1950</v>
      </c>
      <c r="D2000" s="1763"/>
      <c r="E2000" s="290">
        <f>(G2000-F2000)/G2000</f>
        <v>0.19565217391304351</v>
      </c>
      <c r="F2000" s="1122">
        <v>0.74</v>
      </c>
      <c r="G2000" s="1103">
        <v>0.92</v>
      </c>
    </row>
    <row r="2001" spans="1:7">
      <c r="A2001" s="841"/>
      <c r="B2001" s="4132"/>
      <c r="C2001" s="1627"/>
      <c r="D2001" s="1764"/>
      <c r="E2001" s="290" t="e">
        <f>(G2001-F2001)/G2001</f>
        <v>#DIV/0!</v>
      </c>
      <c r="F2001" s="1122"/>
      <c r="G2001" s="1103"/>
    </row>
    <row r="2002" spans="1:7" ht="16.5" thickBot="1">
      <c r="A2002" s="884"/>
      <c r="B2002" s="4133"/>
      <c r="C2002" s="1673"/>
      <c r="D2002" s="1708"/>
      <c r="E2002" s="290" t="e">
        <f>(G2002-F2002)/G2002</f>
        <v>#DIV/0!</v>
      </c>
      <c r="F2002" s="1122"/>
      <c r="G2002" s="1103"/>
    </row>
    <row r="2003" spans="1:7" ht="15.75" thickBot="1"/>
    <row r="2004" spans="1:7">
      <c r="A2004" s="3614" t="s">
        <v>0</v>
      </c>
      <c r="B2004" s="3693" t="s">
        <v>1</v>
      </c>
      <c r="C2004" s="3693" t="s">
        <v>2</v>
      </c>
      <c r="D2004" s="3693" t="s">
        <v>3</v>
      </c>
      <c r="E2004" s="3693" t="s">
        <v>4</v>
      </c>
      <c r="F2004" s="3522" t="s">
        <v>5</v>
      </c>
      <c r="G2004" s="109"/>
    </row>
    <row r="2005" spans="1:7" ht="15.75" thickBot="1">
      <c r="A2005" s="4050"/>
      <c r="B2005" s="4053"/>
      <c r="C2005" s="4053"/>
      <c r="D2005" s="4053"/>
      <c r="E2005" s="4053"/>
      <c r="F2005" s="4054"/>
      <c r="G2005" s="109"/>
    </row>
    <row r="2006" spans="1:7">
      <c r="A2006" s="841" t="s">
        <v>2850</v>
      </c>
      <c r="B2006" s="4131" t="s">
        <v>1593</v>
      </c>
      <c r="C2006" s="2018" t="s">
        <v>1913</v>
      </c>
      <c r="D2006" s="1098"/>
      <c r="E2006" s="290">
        <f>(G2006-F2006)/G2006</f>
        <v>0.20454545454545461</v>
      </c>
      <c r="F2006" s="1122">
        <v>0.7</v>
      </c>
      <c r="G2006" s="1103">
        <v>0.88</v>
      </c>
    </row>
    <row r="2007" spans="1:7">
      <c r="A2007" s="841"/>
      <c r="B2007" s="4132"/>
      <c r="C2007" s="2018" t="s">
        <v>1914</v>
      </c>
      <c r="D2007" s="1766"/>
      <c r="E2007" s="290">
        <f>(G2007-F2007)/G2007</f>
        <v>0.20454545454545461</v>
      </c>
      <c r="F2007" s="1122">
        <v>0.7</v>
      </c>
      <c r="G2007" s="1103">
        <v>0.88</v>
      </c>
    </row>
    <row r="2008" spans="1:7">
      <c r="A2008" s="841"/>
      <c r="B2008" s="4132"/>
      <c r="C2008" s="1765" t="s">
        <v>2826</v>
      </c>
      <c r="D2008" s="1764"/>
      <c r="E2008" s="290">
        <f>(G2008-F2008)/G2008</f>
        <v>0.20072992700729936</v>
      </c>
      <c r="F2008" s="1122">
        <v>2.19</v>
      </c>
      <c r="G2008" s="1103">
        <v>2.74</v>
      </c>
    </row>
    <row r="2009" spans="1:7">
      <c r="A2009" s="841"/>
      <c r="B2009" s="4132"/>
      <c r="C2009" s="1642" t="s">
        <v>2825</v>
      </c>
      <c r="D2009" s="1549"/>
      <c r="E2009" s="290">
        <f>(G2009-F2009)/G2009</f>
        <v>0.20072992700729936</v>
      </c>
      <c r="F2009" s="1122">
        <v>2.19</v>
      </c>
      <c r="G2009" s="1103">
        <v>2.74</v>
      </c>
    </row>
    <row r="2010" spans="1:7" ht="15.75" thickBot="1">
      <c r="A2010" s="884"/>
      <c r="B2010" s="4133"/>
      <c r="C2010" s="1767" t="s">
        <v>2851</v>
      </c>
      <c r="D2010" s="1768"/>
      <c r="E2010" s="593">
        <f>(G2010-F2010)/G2010</f>
        <v>0.20072992700729936</v>
      </c>
      <c r="F2010" s="1124">
        <v>2.19</v>
      </c>
      <c r="G2010" s="1103">
        <v>2.74</v>
      </c>
    </row>
    <row r="2011" spans="1:7" ht="15.75" thickBot="1"/>
    <row r="2012" spans="1:7">
      <c r="A2012" s="3614" t="s">
        <v>0</v>
      </c>
      <c r="B2012" s="3693" t="s">
        <v>1</v>
      </c>
      <c r="C2012" s="3693" t="s">
        <v>2</v>
      </c>
      <c r="D2012" s="3693" t="s">
        <v>3</v>
      </c>
      <c r="E2012" s="3693" t="s">
        <v>4</v>
      </c>
      <c r="F2012" s="3522" t="s">
        <v>5</v>
      </c>
      <c r="G2012" s="109"/>
    </row>
    <row r="2013" spans="1:7" ht="15.75" thickBot="1">
      <c r="A2013" s="4207"/>
      <c r="B2013" s="3622"/>
      <c r="C2013" s="3622"/>
      <c r="D2013" s="3622"/>
      <c r="E2013" s="3622"/>
      <c r="F2013" s="3846"/>
      <c r="G2013" s="109"/>
    </row>
    <row r="2014" spans="1:7">
      <c r="A2014" s="1675" t="s">
        <v>2855</v>
      </c>
      <c r="B2014" s="1771" t="s">
        <v>2155</v>
      </c>
      <c r="C2014" s="2007" t="s">
        <v>2353</v>
      </c>
      <c r="D2014" s="1732">
        <v>0.14000000000000001</v>
      </c>
      <c r="E2014" s="1772">
        <f>(G2014-F2014)/G2014</f>
        <v>0.1764705882352941</v>
      </c>
      <c r="F2014" s="1678">
        <v>0.14000000000000001</v>
      </c>
      <c r="G2014" s="1590">
        <v>0.17</v>
      </c>
    </row>
    <row r="2015" spans="1:7">
      <c r="A2015" s="1700"/>
      <c r="B2015" s="1773"/>
      <c r="C2015" s="2010" t="s">
        <v>2352</v>
      </c>
      <c r="D2015" s="1775">
        <v>0.14000000000000001</v>
      </c>
      <c r="E2015" s="1776">
        <f t="shared" ref="E2015:E2021" si="93">(G2015-F2015)/G2015</f>
        <v>0.1764705882352941</v>
      </c>
      <c r="F2015" s="1738">
        <v>0.14000000000000001</v>
      </c>
      <c r="G2015" s="1590">
        <v>0.17</v>
      </c>
    </row>
    <row r="2016" spans="1:7">
      <c r="A2016" s="1700"/>
      <c r="B2016" s="1773"/>
      <c r="C2016" s="2010" t="s">
        <v>2637</v>
      </c>
      <c r="D2016" s="1775">
        <v>0.14000000000000001</v>
      </c>
      <c r="E2016" s="1776">
        <f t="shared" si="93"/>
        <v>0.1764705882352941</v>
      </c>
      <c r="F2016" s="1738">
        <v>0.14000000000000001</v>
      </c>
      <c r="G2016" s="1590">
        <v>0.17</v>
      </c>
    </row>
    <row r="2017" spans="1:8">
      <c r="A2017" s="1739"/>
      <c r="B2017" s="1777"/>
      <c r="C2017" s="1774" t="s">
        <v>1949</v>
      </c>
      <c r="D2017" s="1775">
        <v>0.7</v>
      </c>
      <c r="E2017" s="1776">
        <f t="shared" si="93"/>
        <v>0.20454545454545461</v>
      </c>
      <c r="F2017" s="1738">
        <v>0.7</v>
      </c>
      <c r="G2017" s="1590">
        <v>0.88</v>
      </c>
    </row>
    <row r="2018" spans="1:8">
      <c r="A2018" s="1739"/>
      <c r="B2018" s="1777"/>
      <c r="C2018" s="1774" t="s">
        <v>1950</v>
      </c>
      <c r="D2018" s="1775">
        <v>0.7</v>
      </c>
      <c r="E2018" s="1776">
        <f t="shared" si="93"/>
        <v>0.20454545454545461</v>
      </c>
      <c r="F2018" s="1738">
        <v>0.7</v>
      </c>
      <c r="G2018" s="1590">
        <v>0.88</v>
      </c>
    </row>
    <row r="2019" spans="1:8">
      <c r="A2019" s="1739"/>
      <c r="B2019" s="1777"/>
      <c r="C2019" s="1774" t="s">
        <v>2856</v>
      </c>
      <c r="D2019" s="1775">
        <v>2.67</v>
      </c>
      <c r="E2019" s="1776">
        <f t="shared" si="93"/>
        <v>0.20059880239520958</v>
      </c>
      <c r="F2019" s="1738">
        <v>2.67</v>
      </c>
      <c r="G2019" s="1590">
        <v>3.34</v>
      </c>
    </row>
    <row r="2020" spans="1:8">
      <c r="A2020" s="1739"/>
      <c r="B2020" s="1777"/>
      <c r="C2020" s="1774" t="s">
        <v>2857</v>
      </c>
      <c r="D2020" s="1775">
        <v>2.67</v>
      </c>
      <c r="E2020" s="1776">
        <f t="shared" si="93"/>
        <v>0.20059880239520958</v>
      </c>
      <c r="F2020" s="1738">
        <v>2.67</v>
      </c>
      <c r="G2020" s="1590">
        <v>3.34</v>
      </c>
    </row>
    <row r="2021" spans="1:8" ht="15.75" thickBot="1">
      <c r="A2021" s="1315"/>
      <c r="B2021" s="1718"/>
      <c r="C2021" s="1740" t="s">
        <v>2858</v>
      </c>
      <c r="D2021" s="1741">
        <v>2.67</v>
      </c>
      <c r="E2021" s="1706">
        <f t="shared" si="93"/>
        <v>0.20059880239520958</v>
      </c>
      <c r="F2021" s="1689">
        <v>2.67</v>
      </c>
      <c r="G2021" s="1590">
        <v>3.34</v>
      </c>
    </row>
    <row r="2023" spans="1:8" ht="15.75" thickBot="1"/>
    <row r="2024" spans="1:8">
      <c r="A2024" s="3572"/>
      <c r="B2024" s="3636"/>
      <c r="C2024" s="3636"/>
      <c r="D2024" s="3636"/>
      <c r="E2024" s="3636"/>
      <c r="F2024" s="3559"/>
      <c r="G2024" s="429"/>
    </row>
    <row r="2025" spans="1:8">
      <c r="A2025" s="3840"/>
      <c r="B2025" s="3626"/>
      <c r="C2025" s="3626"/>
      <c r="D2025" s="3626"/>
      <c r="E2025" s="3626"/>
      <c r="F2025" s="3850"/>
      <c r="G2025" s="429"/>
    </row>
    <row r="2026" spans="1:8">
      <c r="A2026" s="1778" t="s">
        <v>2863</v>
      </c>
      <c r="B2026" s="1779" t="s">
        <v>120</v>
      </c>
      <c r="C2026" s="1780" t="s">
        <v>2662</v>
      </c>
      <c r="D2026" s="1781"/>
      <c r="E2026" s="1782">
        <f t="shared" ref="E2026:E2033" si="94">(G2026-F2026)/G2026</f>
        <v>0.35135135135135143</v>
      </c>
      <c r="F2026" s="1783">
        <v>0.72</v>
      </c>
      <c r="G2026" s="436">
        <v>1.1100000000000001</v>
      </c>
    </row>
    <row r="2027" spans="1:8">
      <c r="A2027" s="491"/>
      <c r="B2027" s="1784" t="s">
        <v>121</v>
      </c>
      <c r="C2027" s="1780" t="s">
        <v>1851</v>
      </c>
      <c r="D2027" s="1781"/>
      <c r="E2027" s="1782">
        <f t="shared" si="94"/>
        <v>0.35135135135135143</v>
      </c>
      <c r="F2027" s="1783">
        <v>0.72</v>
      </c>
      <c r="G2027" s="429">
        <v>1.1100000000000001</v>
      </c>
    </row>
    <row r="2028" spans="1:8">
      <c r="A2028" s="491"/>
      <c r="B2028" s="1784" t="s">
        <v>123</v>
      </c>
      <c r="C2028" s="1780" t="s">
        <v>1913</v>
      </c>
      <c r="D2028" s="1781"/>
      <c r="E2028" s="1782">
        <f t="shared" si="94"/>
        <v>0.19767441860465121</v>
      </c>
      <c r="F2028" s="1783">
        <v>0.69</v>
      </c>
      <c r="G2028" s="429">
        <v>0.86</v>
      </c>
    </row>
    <row r="2029" spans="1:8">
      <c r="A2029" s="491"/>
      <c r="B2029" s="1784" t="s">
        <v>122</v>
      </c>
      <c r="C2029" s="1780" t="s">
        <v>473</v>
      </c>
      <c r="D2029" s="1781"/>
      <c r="E2029" s="1782">
        <f t="shared" si="94"/>
        <v>0.19801980198019797</v>
      </c>
      <c r="F2029" s="1783">
        <v>0.81</v>
      </c>
      <c r="G2029" s="528">
        <v>1.01</v>
      </c>
    </row>
    <row r="2030" spans="1:8">
      <c r="A2030" s="491"/>
      <c r="B2030" s="1784"/>
      <c r="C2030" s="2210" t="s">
        <v>1892</v>
      </c>
      <c r="D2030" s="1781"/>
      <c r="E2030" s="1782">
        <f t="shared" si="94"/>
        <v>0.19834710743801653</v>
      </c>
      <c r="F2030" s="1783">
        <v>0.97</v>
      </c>
      <c r="G2030" s="528">
        <v>1.21</v>
      </c>
      <c r="H2030">
        <v>1.05</v>
      </c>
    </row>
    <row r="2031" spans="1:8">
      <c r="A2031" s="491"/>
      <c r="B2031" s="1784"/>
      <c r="C2031" s="1785"/>
      <c r="D2031" s="1784"/>
      <c r="E2031" s="1782" t="e">
        <f t="shared" si="94"/>
        <v>#DIV/0!</v>
      </c>
      <c r="F2031" s="1786"/>
      <c r="G2031" s="528"/>
    </row>
    <row r="2032" spans="1:8">
      <c r="A2032" s="491"/>
      <c r="B2032" s="1784"/>
      <c r="C2032" s="1785"/>
      <c r="D2032" s="1784"/>
      <c r="E2032" s="1782" t="e">
        <f t="shared" si="94"/>
        <v>#DIV/0!</v>
      </c>
      <c r="F2032" s="1786"/>
      <c r="G2032" s="528"/>
    </row>
    <row r="2033" spans="1:7" ht="15.75" thickBot="1">
      <c r="A2033" s="500"/>
      <c r="B2033" s="1787"/>
      <c r="C2033" s="1788"/>
      <c r="D2033" s="1787"/>
      <c r="E2033" s="1789" t="e">
        <f t="shared" si="94"/>
        <v>#DIV/0!</v>
      </c>
      <c r="F2033" s="1790"/>
      <c r="G2033" s="528"/>
    </row>
    <row r="2034" spans="1:7" ht="15.75" thickBot="1"/>
    <row r="2035" spans="1:7">
      <c r="A2035" s="3572" t="s">
        <v>0</v>
      </c>
      <c r="B2035" s="3636" t="s">
        <v>1</v>
      </c>
      <c r="C2035" s="3636" t="s">
        <v>2</v>
      </c>
      <c r="D2035" s="3636" t="s">
        <v>3</v>
      </c>
      <c r="E2035" s="3636" t="s">
        <v>4</v>
      </c>
      <c r="F2035" s="3559" t="s">
        <v>5</v>
      </c>
      <c r="G2035" s="429"/>
    </row>
    <row r="2036" spans="1:7" ht="15.75" thickBot="1">
      <c r="A2036" s="4000"/>
      <c r="B2036" s="3626"/>
      <c r="C2036" s="3626"/>
      <c r="D2036" s="3626"/>
      <c r="E2036" s="3626"/>
      <c r="F2036" s="3850"/>
      <c r="G2036" s="429"/>
    </row>
    <row r="2037" spans="1:7">
      <c r="A2037" s="1675" t="s">
        <v>2864</v>
      </c>
      <c r="B2037" s="451" t="s">
        <v>2016</v>
      </c>
      <c r="C2037" s="1791" t="s">
        <v>2826</v>
      </c>
      <c r="D2037" s="1792" t="s">
        <v>2033</v>
      </c>
      <c r="E2037" s="1772">
        <f>(F2037/G2037-1)*-1</f>
        <v>0.19924812030075201</v>
      </c>
      <c r="F2037" s="1793">
        <v>2.13</v>
      </c>
      <c r="G2037" s="1794">
        <v>2.66</v>
      </c>
    </row>
    <row r="2038" spans="1:7">
      <c r="A2038" s="1795"/>
      <c r="B2038" s="1784"/>
      <c r="C2038" s="1796" t="s">
        <v>2823</v>
      </c>
      <c r="D2038" s="1797" t="s">
        <v>2033</v>
      </c>
      <c r="E2038" s="1782">
        <f t="shared" ref="E2038:E2047" si="95">(F2038/G2038-1)*-1</f>
        <v>0.19924812030075201</v>
      </c>
      <c r="F2038" s="1798">
        <v>2.13</v>
      </c>
      <c r="G2038" s="1794">
        <v>2.66</v>
      </c>
    </row>
    <row r="2039" spans="1:7">
      <c r="A2039" s="1795"/>
      <c r="B2039" s="1784"/>
      <c r="C2039" s="1796" t="s">
        <v>2824</v>
      </c>
      <c r="D2039" s="1797" t="s">
        <v>2033</v>
      </c>
      <c r="E2039" s="1782">
        <f t="shared" si="95"/>
        <v>0.19924812030075201</v>
      </c>
      <c r="F2039" s="1798">
        <v>2.13</v>
      </c>
      <c r="G2039" s="1794">
        <v>2.66</v>
      </c>
    </row>
    <row r="2040" spans="1:7">
      <c r="A2040" s="1795"/>
      <c r="B2040" s="1784"/>
      <c r="C2040" s="1796" t="s">
        <v>2851</v>
      </c>
      <c r="D2040" s="1797" t="s">
        <v>2033</v>
      </c>
      <c r="E2040" s="1782">
        <f t="shared" si="95"/>
        <v>0.19924812030075201</v>
      </c>
      <c r="F2040" s="1798">
        <v>2.13</v>
      </c>
      <c r="G2040" s="1794">
        <v>2.66</v>
      </c>
    </row>
    <row r="2041" spans="1:7">
      <c r="A2041" s="1795"/>
      <c r="B2041" s="1784"/>
      <c r="C2041" s="1796" t="s">
        <v>2825</v>
      </c>
      <c r="D2041" s="1797" t="s">
        <v>2033</v>
      </c>
      <c r="E2041" s="1782">
        <f t="shared" si="95"/>
        <v>0.19924812030075201</v>
      </c>
      <c r="F2041" s="1798">
        <v>2.13</v>
      </c>
      <c r="G2041" s="1794">
        <v>2.66</v>
      </c>
    </row>
    <row r="2042" spans="1:7">
      <c r="A2042" s="1795"/>
      <c r="B2042" s="1799"/>
      <c r="C2042" s="1796" t="s">
        <v>2462</v>
      </c>
      <c r="D2042" s="1797"/>
      <c r="E2042" s="1800">
        <f t="shared" si="95"/>
        <v>0.20289855072463758</v>
      </c>
      <c r="F2042" s="1798">
        <v>1.1000000000000001</v>
      </c>
      <c r="G2042" s="1650">
        <v>1.38</v>
      </c>
    </row>
    <row r="2043" spans="1:7">
      <c r="A2043" s="1795"/>
      <c r="B2043" s="1784"/>
      <c r="C2043" s="2211" t="s">
        <v>1904</v>
      </c>
      <c r="D2043" s="1797"/>
      <c r="E2043" s="1782">
        <f t="shared" si="95"/>
        <v>0.19875776397515532</v>
      </c>
      <c r="F2043" s="1798">
        <v>1.29</v>
      </c>
      <c r="G2043" s="528">
        <v>1.61</v>
      </c>
    </row>
    <row r="2044" spans="1:7">
      <c r="A2044" s="1795"/>
      <c r="B2044" s="1784"/>
      <c r="C2044" s="2211" t="s">
        <v>2021</v>
      </c>
      <c r="D2044" s="1797"/>
      <c r="E2044" s="1782">
        <f t="shared" si="95"/>
        <v>0.19875776397515532</v>
      </c>
      <c r="F2044" s="1798">
        <v>1.29</v>
      </c>
      <c r="G2044" s="528">
        <v>1.61</v>
      </c>
    </row>
    <row r="2045" spans="1:7">
      <c r="A2045" s="1801"/>
      <c r="B2045" s="1784"/>
      <c r="C2045" s="2211" t="s">
        <v>1905</v>
      </c>
      <c r="D2045" s="1797"/>
      <c r="E2045" s="1782">
        <f t="shared" si="95"/>
        <v>0.19875776397515532</v>
      </c>
      <c r="F2045" s="1798">
        <v>1.29</v>
      </c>
      <c r="G2045" s="528">
        <v>1.61</v>
      </c>
    </row>
    <row r="2046" spans="1:7">
      <c r="A2046" s="1801"/>
      <c r="B2046" s="1784"/>
      <c r="C2046" s="1796" t="s">
        <v>1058</v>
      </c>
      <c r="D2046" s="1797"/>
      <c r="E2046" s="1782">
        <f t="shared" si="95"/>
        <v>0.19806763285024154</v>
      </c>
      <c r="F2046" s="1798">
        <v>1.66</v>
      </c>
      <c r="G2046" s="528">
        <v>2.0699999999999998</v>
      </c>
    </row>
    <row r="2047" spans="1:7">
      <c r="A2047" s="1801"/>
      <c r="B2047" s="1784"/>
      <c r="C2047" s="1796" t="s">
        <v>1867</v>
      </c>
      <c r="D2047" s="1797"/>
      <c r="E2047" s="1782">
        <f t="shared" si="95"/>
        <v>0.15140845070422526</v>
      </c>
      <c r="F2047" s="1798">
        <v>2.41</v>
      </c>
      <c r="G2047" s="528">
        <v>2.84</v>
      </c>
    </row>
    <row r="2048" spans="1:7">
      <c r="A2048" s="1801"/>
      <c r="B2048" s="1784"/>
      <c r="C2048" s="1796" t="s">
        <v>1563</v>
      </c>
      <c r="D2048" s="1797"/>
      <c r="E2048" s="1782">
        <f t="shared" ref="E2048:E2054" si="96">(G2048-F2048)/G2048</f>
        <v>0.20161290322580647</v>
      </c>
      <c r="F2048" s="1798">
        <v>0.99</v>
      </c>
      <c r="G2048" s="528">
        <v>1.24</v>
      </c>
    </row>
    <row r="2049" spans="1:7">
      <c r="A2049" s="1801"/>
      <c r="B2049" s="1784"/>
      <c r="C2049" s="2211" t="s">
        <v>2305</v>
      </c>
      <c r="D2049" s="1797"/>
      <c r="E2049" s="1782">
        <f t="shared" si="96"/>
        <v>0.20099255583126552</v>
      </c>
      <c r="F2049" s="1798">
        <v>3.22</v>
      </c>
      <c r="G2049" s="528">
        <v>4.03</v>
      </c>
    </row>
    <row r="2050" spans="1:7">
      <c r="A2050" s="1801"/>
      <c r="B2050" s="1784"/>
      <c r="C2050" s="1796" t="s">
        <v>2207</v>
      </c>
      <c r="D2050" s="1797"/>
      <c r="E2050" s="1782">
        <f t="shared" si="96"/>
        <v>0.20000000000000007</v>
      </c>
      <c r="F2050" s="1798">
        <v>0.44</v>
      </c>
      <c r="G2050" s="528">
        <v>0.55000000000000004</v>
      </c>
    </row>
    <row r="2051" spans="1:7">
      <c r="A2051" s="1801"/>
      <c r="B2051" s="1784"/>
      <c r="C2051" s="1796" t="s">
        <v>906</v>
      </c>
      <c r="D2051" s="1797"/>
      <c r="E2051" s="1782">
        <f t="shared" si="96"/>
        <v>0.20000000000000007</v>
      </c>
      <c r="F2051" s="1798">
        <v>0.88</v>
      </c>
      <c r="G2051" s="528">
        <v>1.1000000000000001</v>
      </c>
    </row>
    <row r="2052" spans="1:7">
      <c r="A2052" s="1802"/>
      <c r="B2052" s="1803"/>
      <c r="C2052" s="1803" t="s">
        <v>2856</v>
      </c>
      <c r="D2052" s="1803"/>
      <c r="E2052" s="1782">
        <f t="shared" si="96"/>
        <v>0.19939577039274928</v>
      </c>
      <c r="F2052" s="1798">
        <v>2.65</v>
      </c>
      <c r="G2052" s="528">
        <v>3.31</v>
      </c>
    </row>
    <row r="2053" spans="1:7">
      <c r="A2053" s="1802"/>
      <c r="B2053" s="1803"/>
      <c r="C2053" s="1803" t="s">
        <v>2857</v>
      </c>
      <c r="D2053" s="1803"/>
      <c r="E2053" s="1782">
        <f t="shared" si="96"/>
        <v>0.19939577039274928</v>
      </c>
      <c r="F2053" s="1798">
        <v>2.65</v>
      </c>
      <c r="G2053" s="528">
        <v>3.31</v>
      </c>
    </row>
    <row r="2054" spans="1:7" ht="15.75" thickBot="1">
      <c r="A2054" s="1315"/>
      <c r="B2054" s="1804"/>
      <c r="C2054" s="1804" t="s">
        <v>2865</v>
      </c>
      <c r="D2054" s="1804"/>
      <c r="E2054" s="1789">
        <f t="shared" si="96"/>
        <v>0.19939577039274928</v>
      </c>
      <c r="F2054" s="1805">
        <v>2.65</v>
      </c>
      <c r="G2054" s="528">
        <v>3.31</v>
      </c>
    </row>
    <row r="2055" spans="1:7" ht="15.75" thickBot="1"/>
    <row r="2056" spans="1:7">
      <c r="A2056" s="3614" t="s">
        <v>0</v>
      </c>
      <c r="B2056" s="3693" t="s">
        <v>1</v>
      </c>
      <c r="C2056" s="3693" t="s">
        <v>2</v>
      </c>
      <c r="D2056" s="3693" t="s">
        <v>3</v>
      </c>
      <c r="E2056" s="3693" t="s">
        <v>4</v>
      </c>
      <c r="F2056" s="3522" t="s">
        <v>5</v>
      </c>
      <c r="G2056" s="109"/>
    </row>
    <row r="2057" spans="1:7" ht="15.75" thickBot="1">
      <c r="A2057" s="4212"/>
      <c r="B2057" s="3622"/>
      <c r="C2057" s="3622"/>
      <c r="D2057" s="3622"/>
      <c r="E2057" s="3622"/>
      <c r="F2057" s="4110"/>
      <c r="G2057" s="109"/>
    </row>
    <row r="2058" spans="1:7">
      <c r="A2058" s="1675" t="s">
        <v>2870</v>
      </c>
      <c r="B2058" s="1771" t="s">
        <v>2155</v>
      </c>
      <c r="C2058" s="1828" t="s">
        <v>2115</v>
      </c>
      <c r="D2058" s="1732"/>
      <c r="E2058" s="1772">
        <f>(G2058-F2058)/G2058</f>
        <v>0.35064935064935066</v>
      </c>
      <c r="F2058" s="1678">
        <v>1</v>
      </c>
      <c r="G2058" s="1590">
        <v>1.54</v>
      </c>
    </row>
    <row r="2059" spans="1:7">
      <c r="A2059" s="1795"/>
      <c r="B2059" s="1829"/>
      <c r="C2059" s="1830" t="s">
        <v>2116</v>
      </c>
      <c r="D2059" s="1831"/>
      <c r="E2059" s="1782">
        <f t="shared" ref="E2059:E2065" si="97">(G2059-F2059)/G2059</f>
        <v>0.35064935064935066</v>
      </c>
      <c r="F2059" s="1832">
        <v>1</v>
      </c>
      <c r="G2059" s="1590">
        <v>1.54</v>
      </c>
    </row>
    <row r="2060" spans="1:7">
      <c r="A2060" s="1795"/>
      <c r="B2060" s="1829"/>
      <c r="C2060" s="1830" t="s">
        <v>2871</v>
      </c>
      <c r="D2060" s="1831"/>
      <c r="E2060" s="1782">
        <f t="shared" si="97"/>
        <v>0.35064935064935066</v>
      </c>
      <c r="F2060" s="1832">
        <v>1</v>
      </c>
      <c r="G2060" s="1590">
        <v>1.54</v>
      </c>
    </row>
    <row r="2061" spans="1:7">
      <c r="A2061" s="1802"/>
      <c r="B2061" s="1803"/>
      <c r="C2061" s="1830" t="s">
        <v>2066</v>
      </c>
      <c r="D2061" s="1831"/>
      <c r="E2061" s="1782">
        <f t="shared" si="97"/>
        <v>0.35064935064935066</v>
      </c>
      <c r="F2061" s="1832">
        <v>1</v>
      </c>
      <c r="G2061" s="1590">
        <v>1.54</v>
      </c>
    </row>
    <row r="2062" spans="1:7">
      <c r="A2062" s="1802"/>
      <c r="B2062" s="1803"/>
      <c r="C2062" s="1833"/>
      <c r="D2062" s="1831"/>
      <c r="E2062" s="1782">
        <f t="shared" si="97"/>
        <v>0.35064935064935066</v>
      </c>
      <c r="F2062" s="1832">
        <v>1</v>
      </c>
      <c r="G2062" s="1590">
        <v>1.54</v>
      </c>
    </row>
    <row r="2063" spans="1:7">
      <c r="A2063" s="1802"/>
      <c r="B2063" s="1803"/>
      <c r="C2063" s="1833"/>
      <c r="D2063" s="1831"/>
      <c r="E2063" s="1782" t="e">
        <f t="shared" si="97"/>
        <v>#DIV/0!</v>
      </c>
      <c r="F2063" s="1832"/>
      <c r="G2063" s="1590"/>
    </row>
    <row r="2064" spans="1:7">
      <c r="A2064" s="1802"/>
      <c r="B2064" s="1803"/>
      <c r="C2064" s="1833"/>
      <c r="D2064" s="1831"/>
      <c r="E2064" s="1782" t="e">
        <f t="shared" si="97"/>
        <v>#DIV/0!</v>
      </c>
      <c r="F2064" s="1832"/>
      <c r="G2064" s="1590"/>
    </row>
    <row r="2065" spans="1:7" ht="15.75" thickBot="1">
      <c r="A2065" s="1315"/>
      <c r="B2065" s="1804"/>
      <c r="C2065" s="1834"/>
      <c r="D2065" s="1835"/>
      <c r="E2065" s="1789" t="e">
        <f t="shared" si="97"/>
        <v>#DIV/0!</v>
      </c>
      <c r="F2065" s="1689"/>
      <c r="G2065" s="1590"/>
    </row>
    <row r="2066" spans="1:7" ht="15.75" thickBot="1"/>
    <row r="2067" spans="1:7">
      <c r="A2067" s="3572" t="s">
        <v>0</v>
      </c>
      <c r="B2067" s="3636" t="s">
        <v>1</v>
      </c>
      <c r="C2067" s="3636" t="s">
        <v>2</v>
      </c>
      <c r="D2067" s="3636" t="s">
        <v>3</v>
      </c>
      <c r="E2067" s="3636" t="s">
        <v>4</v>
      </c>
      <c r="F2067" s="3559" t="s">
        <v>5</v>
      </c>
      <c r="G2067" s="429"/>
    </row>
    <row r="2068" spans="1:7" ht="15.75" thickBot="1">
      <c r="A2068" s="4000"/>
      <c r="B2068" s="3692"/>
      <c r="C2068" s="3692"/>
      <c r="D2068" s="3692"/>
      <c r="E2068" s="3692"/>
      <c r="F2068" s="3705"/>
      <c r="G2068" s="429"/>
    </row>
    <row r="2069" spans="1:7" ht="16.5" thickTop="1">
      <c r="A2069" s="1836" t="s">
        <v>2872</v>
      </c>
      <c r="B2069" s="388" t="s">
        <v>2082</v>
      </c>
      <c r="C2069" s="1635" t="s">
        <v>1891</v>
      </c>
      <c r="D2069" s="388"/>
      <c r="E2069" s="1553">
        <f>(G2069-F2069)/G2069</f>
        <v>0.22314049586776863</v>
      </c>
      <c r="F2069" s="1837">
        <v>0.94</v>
      </c>
      <c r="G2069" s="436">
        <v>1.21</v>
      </c>
    </row>
    <row r="2070" spans="1:7">
      <c r="A2070" s="491"/>
      <c r="B2070" s="1784"/>
      <c r="C2070" s="1838"/>
      <c r="D2070" s="388"/>
      <c r="E2070" s="1839" t="e">
        <f>(G2070-F2070)/G2070</f>
        <v>#DIV/0!</v>
      </c>
      <c r="F2070" s="1837"/>
      <c r="G2070" s="436"/>
    </row>
    <row r="2071" spans="1:7" ht="15.75" thickBot="1">
      <c r="A2071" s="500"/>
      <c r="B2071" s="1787"/>
      <c r="C2071" s="1840"/>
      <c r="D2071" s="873"/>
      <c r="E2071" s="1841" t="e">
        <f>(G2071-F2071)/G2071</f>
        <v>#DIV/0!</v>
      </c>
      <c r="F2071" s="1347"/>
      <c r="G2071" s="429"/>
    </row>
    <row r="2073" spans="1:7" ht="15.75" thickBot="1"/>
    <row r="2074" spans="1:7">
      <c r="A2074" s="3572" t="s">
        <v>0</v>
      </c>
      <c r="B2074" s="3636" t="s">
        <v>1</v>
      </c>
      <c r="C2074" s="3636" t="s">
        <v>2</v>
      </c>
      <c r="D2074" s="3636" t="s">
        <v>3</v>
      </c>
      <c r="E2074" s="3636" t="s">
        <v>4</v>
      </c>
      <c r="F2074" s="3559" t="s">
        <v>5</v>
      </c>
      <c r="G2074" s="1906"/>
    </row>
    <row r="2075" spans="1:7">
      <c r="A2075" s="4206"/>
      <c r="B2075" s="4208"/>
      <c r="C2075" s="4208"/>
      <c r="D2075" s="4208"/>
      <c r="E2075" s="4208"/>
      <c r="F2075" s="4209"/>
      <c r="G2075" s="1906"/>
    </row>
    <row r="2076" spans="1:7">
      <c r="A2076" s="1907" t="s">
        <v>2887</v>
      </c>
      <c r="B2076" s="1908" t="s">
        <v>2155</v>
      </c>
      <c r="C2076" s="2216" t="s">
        <v>2743</v>
      </c>
      <c r="D2076" s="1910"/>
      <c r="E2076" s="1911">
        <f>(G2076-F2076)/G2076</f>
        <v>0.19999999999999987</v>
      </c>
      <c r="F2076" s="1912">
        <v>0.56000000000000005</v>
      </c>
      <c r="G2076" s="1590">
        <v>0.7</v>
      </c>
    </row>
    <row r="2077" spans="1:7">
      <c r="A2077" s="1907"/>
      <c r="B2077" s="1908"/>
      <c r="C2077" s="2216" t="s">
        <v>2077</v>
      </c>
      <c r="D2077" s="1910"/>
      <c r="E2077" s="1911">
        <f t="shared" ref="E2077:E2089" si="98">(G2077-F2077)/G2077</f>
        <v>0.19047619047619038</v>
      </c>
      <c r="F2077" s="1912">
        <v>0.34</v>
      </c>
      <c r="G2077" s="1590">
        <v>0.42</v>
      </c>
    </row>
    <row r="2078" spans="1:7">
      <c r="A2078" s="1907"/>
      <c r="B2078" s="1908"/>
      <c r="C2078" s="2216" t="s">
        <v>2156</v>
      </c>
      <c r="D2078" s="1910"/>
      <c r="E2078" s="1911">
        <f t="shared" si="98"/>
        <v>0.14932126696832582</v>
      </c>
      <c r="F2078" s="1912">
        <v>1.88</v>
      </c>
      <c r="G2078" s="1590">
        <v>2.21</v>
      </c>
    </row>
    <row r="2079" spans="1:7">
      <c r="A2079" s="1899"/>
      <c r="B2079" s="1884"/>
      <c r="C2079" s="2216" t="s">
        <v>1891</v>
      </c>
      <c r="D2079" s="1910"/>
      <c r="E2079" s="1911">
        <f t="shared" si="98"/>
        <v>0.1538461538461538</v>
      </c>
      <c r="F2079" s="1912">
        <v>0.99</v>
      </c>
      <c r="G2079" s="1590">
        <v>1.17</v>
      </c>
    </row>
    <row r="2080" spans="1:7">
      <c r="A2080" s="1899"/>
      <c r="B2080" s="1884"/>
      <c r="C2080" s="2216" t="s">
        <v>2353</v>
      </c>
      <c r="D2080" s="1910"/>
      <c r="E2080" s="1911">
        <f t="shared" si="98"/>
        <v>0.1764705882352941</v>
      </c>
      <c r="F2080" s="1912">
        <v>0.14000000000000001</v>
      </c>
      <c r="G2080" s="1590">
        <v>0.17</v>
      </c>
    </row>
    <row r="2081" spans="1:7">
      <c r="A2081" s="1899"/>
      <c r="B2081" s="1884"/>
      <c r="C2081" s="2216" t="s">
        <v>2351</v>
      </c>
      <c r="D2081" s="1910"/>
      <c r="E2081" s="1911">
        <f t="shared" si="98"/>
        <v>0.1764705882352941</v>
      </c>
      <c r="F2081" s="1912">
        <v>0.14000000000000001</v>
      </c>
      <c r="G2081" s="1590">
        <v>0.17</v>
      </c>
    </row>
    <row r="2082" spans="1:7">
      <c r="A2082" s="1899"/>
      <c r="B2082" s="1884"/>
      <c r="C2082" s="2216" t="s">
        <v>2352</v>
      </c>
      <c r="D2082" s="1910"/>
      <c r="E2082" s="1911">
        <f t="shared" si="98"/>
        <v>0.1764705882352941</v>
      </c>
      <c r="F2082" s="1912">
        <v>0.14000000000000001</v>
      </c>
      <c r="G2082" s="1590">
        <v>0.17</v>
      </c>
    </row>
    <row r="2083" spans="1:7">
      <c r="A2083" s="1899"/>
      <c r="B2083" s="1884"/>
      <c r="C2083" s="1909" t="s">
        <v>1459</v>
      </c>
      <c r="D2083" s="1910"/>
      <c r="E2083" s="1911">
        <f t="shared" si="98"/>
        <v>0.16279069767441862</v>
      </c>
      <c r="F2083" s="1912">
        <v>0.72</v>
      </c>
      <c r="G2083" s="1590">
        <v>0.86</v>
      </c>
    </row>
    <row r="2084" spans="1:7">
      <c r="A2084" s="1899"/>
      <c r="B2084" s="1884"/>
      <c r="C2084" s="1909" t="s">
        <v>623</v>
      </c>
      <c r="D2084" s="1910"/>
      <c r="E2084" s="1911">
        <f t="shared" si="98"/>
        <v>0.25128205128205128</v>
      </c>
      <c r="F2084" s="1912">
        <v>1.46</v>
      </c>
      <c r="G2084" s="1590">
        <v>1.95</v>
      </c>
    </row>
    <row r="2085" spans="1:7">
      <c r="A2085" s="1899"/>
      <c r="B2085" s="1884"/>
      <c r="C2085" s="1909" t="s">
        <v>1772</v>
      </c>
      <c r="D2085" s="1910"/>
      <c r="E2085" s="1911">
        <f t="shared" si="98"/>
        <v>0.25128205128205128</v>
      </c>
      <c r="F2085" s="1912">
        <v>1.46</v>
      </c>
      <c r="G2085" s="1590">
        <v>1.95</v>
      </c>
    </row>
    <row r="2086" spans="1:7">
      <c r="A2086" s="1899"/>
      <c r="B2086" s="1884"/>
      <c r="C2086" s="1909" t="s">
        <v>549</v>
      </c>
      <c r="D2086" s="1910"/>
      <c r="E2086" s="1911">
        <f t="shared" si="98"/>
        <v>0.10003216468317785</v>
      </c>
      <c r="F2086" s="1912">
        <v>27.98</v>
      </c>
      <c r="G2086" s="1590">
        <v>31.09</v>
      </c>
    </row>
    <row r="2087" spans="1:7">
      <c r="A2087" s="1899"/>
      <c r="B2087" s="1884"/>
      <c r="C2087" s="1909" t="s">
        <v>1258</v>
      </c>
      <c r="D2087" s="1910"/>
      <c r="E2087" s="1911">
        <f t="shared" si="98"/>
        <v>0.10003216468317785</v>
      </c>
      <c r="F2087" s="1912">
        <v>27.98</v>
      </c>
      <c r="G2087" s="1590">
        <v>31.09</v>
      </c>
    </row>
    <row r="2088" spans="1:7">
      <c r="A2088" s="1899"/>
      <c r="B2088" s="1884"/>
      <c r="C2088" s="1909" t="s">
        <v>550</v>
      </c>
      <c r="D2088" s="1910"/>
      <c r="E2088" s="1911">
        <f t="shared" si="98"/>
        <v>9.996242014280346E-2</v>
      </c>
      <c r="F2088" s="1912">
        <v>23.95</v>
      </c>
      <c r="G2088" s="1590">
        <v>26.61</v>
      </c>
    </row>
    <row r="2089" spans="1:7" ht="15.75" thickBot="1">
      <c r="A2089" s="1903"/>
      <c r="B2089" s="1826"/>
      <c r="C2089" s="1913" t="s">
        <v>1259</v>
      </c>
      <c r="D2089" s="1914"/>
      <c r="E2089" s="1789">
        <f t="shared" si="98"/>
        <v>9.996242014280346E-2</v>
      </c>
      <c r="F2089" s="1805">
        <v>23.95</v>
      </c>
      <c r="G2089" s="1590">
        <v>26.61</v>
      </c>
    </row>
    <row r="2090" spans="1:7" ht="15.75" thickBot="1"/>
    <row r="2091" spans="1:7">
      <c r="A2091" s="3572" t="s">
        <v>0</v>
      </c>
      <c r="B2091" s="3636" t="s">
        <v>1</v>
      </c>
      <c r="C2091" s="3636" t="s">
        <v>2</v>
      </c>
      <c r="D2091" s="3636" t="s">
        <v>3</v>
      </c>
      <c r="E2091" s="3636" t="s">
        <v>4</v>
      </c>
      <c r="F2091" s="3559" t="s">
        <v>5</v>
      </c>
      <c r="G2091" s="1906"/>
    </row>
    <row r="2092" spans="1:7">
      <c r="A2092" s="3635"/>
      <c r="B2092" s="4205"/>
      <c r="C2092" s="4205"/>
      <c r="D2092" s="4205"/>
      <c r="E2092" s="4205"/>
      <c r="F2092" s="4210"/>
      <c r="G2092" s="1906"/>
    </row>
    <row r="2093" spans="1:7">
      <c r="A2093" s="1700" t="s">
        <v>2896</v>
      </c>
      <c r="B2093" s="1773" t="s">
        <v>2897</v>
      </c>
      <c r="C2093" s="1917" t="s">
        <v>1763</v>
      </c>
      <c r="D2093" s="1918"/>
      <c r="E2093" s="1776">
        <f>(G2093-F2093)/G2093</f>
        <v>0.24534383954154731</v>
      </c>
      <c r="F2093" s="1919">
        <v>21.07</v>
      </c>
      <c r="G2093" s="1590">
        <v>27.92</v>
      </c>
    </row>
    <row r="2094" spans="1:7">
      <c r="A2094" s="1700"/>
      <c r="B2094" s="1773"/>
      <c r="C2094" s="1917" t="s">
        <v>1556</v>
      </c>
      <c r="D2094" s="1918"/>
      <c r="E2094" s="1776">
        <f t="shared" ref="E2094:E2101" si="99">(G2094-F2094)/G2094</f>
        <v>0.24534383954154731</v>
      </c>
      <c r="F2094" s="1919">
        <v>21.07</v>
      </c>
      <c r="G2094" s="1590">
        <v>27.92</v>
      </c>
    </row>
    <row r="2095" spans="1:7">
      <c r="A2095" s="1700"/>
      <c r="B2095" s="1773"/>
      <c r="C2095" s="1917" t="s">
        <v>1557</v>
      </c>
      <c r="D2095" s="1918"/>
      <c r="E2095" s="1776">
        <f t="shared" si="99"/>
        <v>0.24534383954154731</v>
      </c>
      <c r="F2095" s="1919">
        <v>21.07</v>
      </c>
      <c r="G2095" s="1590">
        <v>27.92</v>
      </c>
    </row>
    <row r="2096" spans="1:7">
      <c r="A2096" s="1920"/>
      <c r="B2096" s="1921"/>
      <c r="C2096" s="1917" t="s">
        <v>1555</v>
      </c>
      <c r="D2096" s="1918"/>
      <c r="E2096" s="1776">
        <f t="shared" si="99"/>
        <v>0.24534383954154731</v>
      </c>
      <c r="F2096" s="1919">
        <v>21.07</v>
      </c>
      <c r="G2096" s="1590">
        <v>27.92</v>
      </c>
    </row>
    <row r="2097" spans="1:7">
      <c r="A2097" s="1920"/>
      <c r="B2097" s="1921"/>
      <c r="C2097" s="1917" t="s">
        <v>1810</v>
      </c>
      <c r="D2097" s="1918"/>
      <c r="E2097" s="1776">
        <f t="shared" si="99"/>
        <v>0.24534383954154731</v>
      </c>
      <c r="F2097" s="1919">
        <v>21.07</v>
      </c>
      <c r="G2097" s="1590">
        <v>27.92</v>
      </c>
    </row>
    <row r="2098" spans="1:7">
      <c r="A2098" s="1920"/>
      <c r="B2098" s="1921"/>
      <c r="C2098" s="1917" t="s">
        <v>2550</v>
      </c>
      <c r="D2098" s="1918"/>
      <c r="E2098" s="1776">
        <f t="shared" si="99"/>
        <v>0.43594306049822068</v>
      </c>
      <c r="F2098" s="1919">
        <v>6.34</v>
      </c>
      <c r="G2098" s="1590">
        <v>11.24</v>
      </c>
    </row>
    <row r="2099" spans="1:7">
      <c r="A2099" s="1920"/>
      <c r="B2099" s="1921"/>
      <c r="C2099" s="1917" t="s">
        <v>2551</v>
      </c>
      <c r="D2099" s="1918"/>
      <c r="E2099" s="1776">
        <f t="shared" si="99"/>
        <v>0.43594306049822068</v>
      </c>
      <c r="F2099" s="1919">
        <v>6.34</v>
      </c>
      <c r="G2099" s="1590">
        <v>11.24</v>
      </c>
    </row>
    <row r="2100" spans="1:7">
      <c r="A2100" s="1920"/>
      <c r="B2100" s="1921"/>
      <c r="C2100" s="1917" t="s">
        <v>2552</v>
      </c>
      <c r="D2100" s="1918"/>
      <c r="E2100" s="1776">
        <f t="shared" si="99"/>
        <v>0.43594306049822068</v>
      </c>
      <c r="F2100" s="1919">
        <v>6.34</v>
      </c>
      <c r="G2100" s="1590">
        <v>11.24</v>
      </c>
    </row>
    <row r="2101" spans="1:7" ht="15.75" thickBot="1">
      <c r="A2101" s="1903"/>
      <c r="B2101" s="1922"/>
      <c r="C2101" s="1923" t="s">
        <v>2553</v>
      </c>
      <c r="D2101" s="1924"/>
      <c r="E2101" s="1925">
        <f t="shared" si="99"/>
        <v>0.43594306049822068</v>
      </c>
      <c r="F2101" s="1926">
        <v>6.34</v>
      </c>
      <c r="G2101" s="1590">
        <v>11.24</v>
      </c>
    </row>
    <row r="2103" spans="1:7" ht="15.75" thickBot="1"/>
    <row r="2104" spans="1:7">
      <c r="A2104" s="3572"/>
      <c r="B2104" s="3636"/>
      <c r="C2104" s="3636"/>
      <c r="D2104" s="3636"/>
      <c r="E2104" s="3636"/>
      <c r="F2104" s="3559"/>
      <c r="G2104" s="429"/>
    </row>
    <row r="2105" spans="1:7">
      <c r="A2105" s="3859"/>
      <c r="B2105" s="3626"/>
      <c r="C2105" s="3626"/>
      <c r="D2105" s="3626"/>
      <c r="E2105" s="3626"/>
      <c r="F2105" s="3627"/>
      <c r="G2105" s="429"/>
    </row>
    <row r="2106" spans="1:7">
      <c r="A2106" s="1927" t="s">
        <v>2899</v>
      </c>
      <c r="B2106" s="1928" t="s">
        <v>120</v>
      </c>
      <c r="C2106" s="1929" t="s">
        <v>623</v>
      </c>
      <c r="D2106" s="1930"/>
      <c r="E2106" s="1931">
        <f t="shared" ref="E2106:E2113" si="100">(G2106-F2106)/G2106</f>
        <v>0.19879518072289148</v>
      </c>
      <c r="F2106" s="1930">
        <v>1.33</v>
      </c>
      <c r="G2106" s="436">
        <v>1.66</v>
      </c>
    </row>
    <row r="2107" spans="1:7">
      <c r="A2107" s="491"/>
      <c r="B2107" s="1932" t="s">
        <v>121</v>
      </c>
      <c r="C2107" s="1929" t="s">
        <v>906</v>
      </c>
      <c r="D2107" s="1930"/>
      <c r="E2107" s="1931">
        <f t="shared" si="100"/>
        <v>0.20353982300884946</v>
      </c>
      <c r="F2107" s="1930">
        <v>0.9</v>
      </c>
      <c r="G2107" s="429">
        <v>1.1299999999999999</v>
      </c>
    </row>
    <row r="2108" spans="1:7">
      <c r="A2108" s="491"/>
      <c r="B2108" s="1932" t="s">
        <v>123</v>
      </c>
      <c r="C2108" s="1929" t="s">
        <v>2560</v>
      </c>
      <c r="D2108" s="1930"/>
      <c r="E2108" s="1931">
        <f t="shared" si="100"/>
        <v>0.20138888888888892</v>
      </c>
      <c r="F2108" s="1930">
        <v>2.2999999999999998</v>
      </c>
      <c r="G2108" s="429">
        <v>2.88</v>
      </c>
    </row>
    <row r="2109" spans="1:7">
      <c r="A2109" s="491"/>
      <c r="B2109" s="1932" t="s">
        <v>122</v>
      </c>
      <c r="C2109" s="1929" t="s">
        <v>1067</v>
      </c>
      <c r="D2109" s="1930"/>
      <c r="E2109" s="1931">
        <f t="shared" si="100"/>
        <v>0.20000000000000004</v>
      </c>
      <c r="F2109" s="1930">
        <v>1.44</v>
      </c>
      <c r="G2109" s="528">
        <v>1.8</v>
      </c>
    </row>
    <row r="2110" spans="1:7">
      <c r="A2110" s="491"/>
      <c r="B2110" s="1932"/>
      <c r="C2110" s="1929" t="s">
        <v>2748</v>
      </c>
      <c r="D2110" s="1930"/>
      <c r="E2110" s="1931">
        <f t="shared" si="100"/>
        <v>0.19607843137254907</v>
      </c>
      <c r="F2110" s="1930">
        <v>0.41</v>
      </c>
      <c r="G2110" s="528">
        <v>0.51</v>
      </c>
    </row>
    <row r="2111" spans="1:7">
      <c r="A2111" s="491"/>
      <c r="B2111" s="1932"/>
      <c r="C2111" s="1929" t="s">
        <v>554</v>
      </c>
      <c r="D2111" s="1930"/>
      <c r="E2111" s="1931">
        <f t="shared" si="100"/>
        <v>0.2032520325203252</v>
      </c>
      <c r="F2111" s="1930">
        <v>0.98</v>
      </c>
      <c r="G2111" s="528">
        <v>1.23</v>
      </c>
    </row>
    <row r="2112" spans="1:7">
      <c r="A2112" s="491"/>
      <c r="B2112" s="1932"/>
      <c r="C2112" s="1933"/>
      <c r="D2112" s="1933"/>
      <c r="E2112" s="1931" t="e">
        <f t="shared" si="100"/>
        <v>#DIV/0!</v>
      </c>
      <c r="F2112" s="1934"/>
      <c r="G2112" s="528"/>
    </row>
    <row r="2113" spans="1:7" ht="15.75" thickBot="1">
      <c r="A2113" s="500"/>
      <c r="B2113" s="1935"/>
      <c r="C2113" s="1936"/>
      <c r="D2113" s="1935"/>
      <c r="E2113" s="1937" t="e">
        <f t="shared" si="100"/>
        <v>#DIV/0!</v>
      </c>
      <c r="F2113" s="1790"/>
      <c r="G2113" s="528"/>
    </row>
    <row r="2114" spans="1:7" ht="15.75" thickBot="1"/>
    <row r="2115" spans="1:7">
      <c r="A2115" s="3572"/>
      <c r="B2115" s="3636"/>
      <c r="C2115" s="3636"/>
      <c r="D2115" s="3636"/>
      <c r="E2115" s="3636"/>
      <c r="F2115" s="3559"/>
      <c r="G2115" s="429"/>
    </row>
    <row r="2116" spans="1:7" ht="15.75" thickBot="1">
      <c r="A2116" s="4130"/>
      <c r="B2116" s="3626"/>
      <c r="C2116" s="3626"/>
      <c r="D2116" s="3626"/>
      <c r="E2116" s="3626"/>
      <c r="F2116" s="3627"/>
      <c r="G2116" s="429"/>
    </row>
    <row r="2117" spans="1:7">
      <c r="A2117" s="1938" t="s">
        <v>2900</v>
      </c>
      <c r="B2117" s="451" t="s">
        <v>2016</v>
      </c>
      <c r="C2117" s="2213" t="s">
        <v>2156</v>
      </c>
      <c r="D2117" s="1939"/>
      <c r="E2117" s="1940">
        <f t="shared" ref="E2117:E2130" si="101">(G2117-F2117)/G2117</f>
        <v>0.20179372197309414</v>
      </c>
      <c r="F2117" s="1939">
        <v>1.78</v>
      </c>
      <c r="G2117" s="436">
        <v>2.23</v>
      </c>
    </row>
    <row r="2118" spans="1:7">
      <c r="A2118" s="491"/>
      <c r="B2118" s="1941"/>
      <c r="C2118" s="2213" t="s">
        <v>2176</v>
      </c>
      <c r="D2118" s="1939"/>
      <c r="E2118" s="1940">
        <f t="shared" si="101"/>
        <v>0.20000000000000007</v>
      </c>
      <c r="F2118" s="1939">
        <v>1.88</v>
      </c>
      <c r="G2118" s="429">
        <v>2.35</v>
      </c>
    </row>
    <row r="2119" spans="1:7">
      <c r="A2119" s="491"/>
      <c r="B2119" s="1585"/>
      <c r="C2119" s="1942" t="s">
        <v>554</v>
      </c>
      <c r="D2119" s="1943"/>
      <c r="E2119" s="1944">
        <f t="shared" si="101"/>
        <v>0.20168067226890757</v>
      </c>
      <c r="F2119" s="1943">
        <v>0.95</v>
      </c>
      <c r="G2119" s="429">
        <v>1.19</v>
      </c>
    </row>
    <row r="2120" spans="1:7">
      <c r="A2120" s="1945"/>
      <c r="B2120" s="1932"/>
      <c r="C2120" s="1946" t="s">
        <v>1267</v>
      </c>
      <c r="D2120" s="1947"/>
      <c r="E2120" s="1931">
        <f t="shared" si="101"/>
        <v>0.19736842105263161</v>
      </c>
      <c r="F2120" s="1947">
        <v>0.61</v>
      </c>
      <c r="G2120" s="528">
        <v>0.76</v>
      </c>
    </row>
    <row r="2121" spans="1:7">
      <c r="A2121" s="1945"/>
      <c r="B2121" s="1932"/>
      <c r="C2121" s="1946" t="s">
        <v>2827</v>
      </c>
      <c r="D2121" s="1947"/>
      <c r="E2121" s="1931">
        <f t="shared" si="101"/>
        <v>0.20129870129870134</v>
      </c>
      <c r="F2121" s="1947">
        <v>1.23</v>
      </c>
      <c r="G2121" s="528">
        <v>1.54</v>
      </c>
    </row>
    <row r="2122" spans="1:7">
      <c r="A2122" s="1945"/>
      <c r="B2122" s="1932"/>
      <c r="C2122" s="1946" t="s">
        <v>2890</v>
      </c>
      <c r="D2122" s="1947"/>
      <c r="E2122" s="1931">
        <f t="shared" si="101"/>
        <v>0.20129870129870134</v>
      </c>
      <c r="F2122" s="1947">
        <v>1.23</v>
      </c>
      <c r="G2122" s="528">
        <v>1.54</v>
      </c>
    </row>
    <row r="2123" spans="1:7">
      <c r="A2123" s="1945"/>
      <c r="B2123" s="1932"/>
      <c r="C2123" s="1946" t="s">
        <v>2871</v>
      </c>
      <c r="D2123" s="1947"/>
      <c r="E2123" s="1931">
        <f t="shared" si="101"/>
        <v>0.20129870129870134</v>
      </c>
      <c r="F2123" s="1947">
        <v>1.23</v>
      </c>
      <c r="G2123" s="528">
        <v>1.54</v>
      </c>
    </row>
    <row r="2124" spans="1:7" ht="15.75" customHeight="1">
      <c r="A2124" s="1945"/>
      <c r="B2124" s="1932"/>
      <c r="C2124" s="1946" t="s">
        <v>905</v>
      </c>
      <c r="D2124" s="1947"/>
      <c r="E2124" s="1931">
        <f t="shared" si="101"/>
        <v>0.20253164556962028</v>
      </c>
      <c r="F2124" s="1947">
        <v>0.63</v>
      </c>
      <c r="G2124" s="528">
        <v>0.79</v>
      </c>
    </row>
    <row r="2125" spans="1:7">
      <c r="A2125" s="1945"/>
      <c r="B2125" s="1932"/>
      <c r="C2125" s="2214" t="s">
        <v>2455</v>
      </c>
      <c r="D2125" s="1947"/>
      <c r="E2125" s="1931">
        <f t="shared" si="101"/>
        <v>0.20000000000000004</v>
      </c>
      <c r="F2125" s="1947">
        <v>1.24</v>
      </c>
      <c r="G2125" s="528">
        <v>1.55</v>
      </c>
    </row>
    <row r="2126" spans="1:7">
      <c r="A2126" s="1945"/>
      <c r="B2126" s="1932"/>
      <c r="C2126" s="1946" t="s">
        <v>1429</v>
      </c>
      <c r="D2126" s="1947"/>
      <c r="E2126" s="1931">
        <f t="shared" si="101"/>
        <v>0.14857142857142858</v>
      </c>
      <c r="F2126" s="1947">
        <v>1.49</v>
      </c>
      <c r="G2126" s="528">
        <v>1.75</v>
      </c>
    </row>
    <row r="2127" spans="1:7">
      <c r="A2127" s="1945"/>
      <c r="B2127" s="1932"/>
      <c r="C2127" s="1946" t="s">
        <v>623</v>
      </c>
      <c r="D2127" s="1932"/>
      <c r="E2127" s="1931">
        <f t="shared" si="101"/>
        <v>0.19875776397515529</v>
      </c>
      <c r="F2127" s="1948">
        <v>1.29</v>
      </c>
      <c r="G2127" s="528">
        <v>1.61</v>
      </c>
    </row>
    <row r="2128" spans="1:7">
      <c r="A2128" s="1949"/>
      <c r="B2128" s="1949"/>
      <c r="C2128" s="1946" t="s">
        <v>1772</v>
      </c>
      <c r="D2128" s="1949"/>
      <c r="E2128" s="1931">
        <f t="shared" si="101"/>
        <v>0.19875776397515529</v>
      </c>
      <c r="F2128" s="1947">
        <v>1.29</v>
      </c>
      <c r="G2128" s="528">
        <v>1.61</v>
      </c>
    </row>
    <row r="2129" spans="1:7">
      <c r="A2129" s="1949"/>
      <c r="B2129" s="1949"/>
      <c r="C2129" s="1946" t="s">
        <v>2748</v>
      </c>
      <c r="D2129" s="1949"/>
      <c r="E2129" s="1931">
        <f t="shared" si="101"/>
        <v>0.19999999999999996</v>
      </c>
      <c r="F2129" s="1947">
        <v>0.4</v>
      </c>
      <c r="G2129" s="528">
        <v>0.5</v>
      </c>
    </row>
    <row r="2130" spans="1:7">
      <c r="A2130" s="1949"/>
      <c r="B2130" s="1949"/>
      <c r="C2130" s="1946" t="s">
        <v>1067</v>
      </c>
      <c r="D2130" s="1949"/>
      <c r="E2130" s="1931">
        <f t="shared" si="101"/>
        <v>0.20114942528735638</v>
      </c>
      <c r="F2130" s="1947">
        <v>1.39</v>
      </c>
      <c r="G2130" s="528">
        <v>1.74</v>
      </c>
    </row>
    <row r="2131" spans="1:7" ht="15.75" thickBot="1"/>
    <row r="2132" spans="1:7">
      <c r="A2132" s="3614" t="s">
        <v>0</v>
      </c>
      <c r="B2132" s="3693" t="s">
        <v>1</v>
      </c>
      <c r="C2132" s="3693" t="s">
        <v>2</v>
      </c>
      <c r="D2132" s="3693" t="s">
        <v>3</v>
      </c>
      <c r="E2132" s="3693" t="s">
        <v>4</v>
      </c>
      <c r="F2132" s="3522" t="s">
        <v>5</v>
      </c>
    </row>
    <row r="2133" spans="1:7" ht="15.75" thickBot="1">
      <c r="A2133" s="3860"/>
      <c r="B2133" s="3622"/>
      <c r="C2133" s="3622"/>
      <c r="D2133" s="3622"/>
      <c r="E2133" s="3622"/>
      <c r="F2133" s="4110"/>
    </row>
    <row r="2134" spans="1:7" ht="15.75">
      <c r="A2134" s="1108" t="s">
        <v>2909</v>
      </c>
      <c r="B2134" s="1098" t="s">
        <v>2183</v>
      </c>
      <c r="C2134" s="2212" t="s">
        <v>1892</v>
      </c>
      <c r="D2134" s="1732"/>
      <c r="E2134" s="1236">
        <f t="shared" ref="E2134:E2140" si="102">(G2134-F2134)/G2134</f>
        <v>0.35344827586206889</v>
      </c>
      <c r="F2134" s="1939">
        <v>0.75</v>
      </c>
      <c r="G2134">
        <v>1.1599999999999999</v>
      </c>
    </row>
    <row r="2135" spans="1:7" ht="15.75">
      <c r="A2135" s="1743"/>
      <c r="B2135" s="1953"/>
      <c r="C2135" s="2219" t="s">
        <v>2443</v>
      </c>
      <c r="D2135" s="1775"/>
      <c r="E2135" s="1954">
        <f t="shared" si="102"/>
        <v>0.202247191011236</v>
      </c>
      <c r="F2135" s="1930">
        <v>0.71</v>
      </c>
      <c r="G2135">
        <v>0.89</v>
      </c>
    </row>
    <row r="2136" spans="1:7" ht="15.75">
      <c r="A2136" s="1743"/>
      <c r="B2136" s="1955"/>
      <c r="C2136" s="2219" t="s">
        <v>2176</v>
      </c>
      <c r="D2136" s="1775"/>
      <c r="E2136" s="1954">
        <f t="shared" si="102"/>
        <v>0.20869565217391295</v>
      </c>
      <c r="F2136" s="1930">
        <v>1.82</v>
      </c>
      <c r="G2136">
        <v>2.2999999999999998</v>
      </c>
    </row>
    <row r="2137" spans="1:7" ht="15.75">
      <c r="A2137" s="1739"/>
      <c r="B2137" s="1777"/>
      <c r="C2137" s="1774"/>
      <c r="D2137" s="1775"/>
      <c r="E2137" s="1954" t="e">
        <f t="shared" si="102"/>
        <v>#DIV/0!</v>
      </c>
      <c r="F2137" s="1738"/>
    </row>
    <row r="2138" spans="1:7" ht="15.75">
      <c r="A2138" s="1739"/>
      <c r="B2138" s="1777"/>
      <c r="C2138" s="1774"/>
      <c r="D2138" s="1775"/>
      <c r="E2138" s="1954" t="e">
        <f t="shared" si="102"/>
        <v>#DIV/0!</v>
      </c>
      <c r="F2138" s="1738"/>
    </row>
    <row r="2139" spans="1:7" ht="15.75">
      <c r="A2139" s="1739"/>
      <c r="B2139" s="1777"/>
      <c r="C2139" s="1774"/>
      <c r="D2139" s="1775"/>
      <c r="E2139" s="1954" t="e">
        <f t="shared" si="102"/>
        <v>#DIV/0!</v>
      </c>
      <c r="F2139" s="1738"/>
    </row>
    <row r="2140" spans="1:7" ht="16.5" thickBot="1">
      <c r="A2140" s="1315"/>
      <c r="B2140" s="1718"/>
      <c r="C2140" s="1740"/>
      <c r="D2140" s="1741"/>
      <c r="E2140" s="1742" t="e">
        <f t="shared" si="102"/>
        <v>#DIV/0!</v>
      </c>
      <c r="F2140" s="1689"/>
    </row>
    <row r="2141" spans="1:7" ht="15.75" thickBot="1"/>
    <row r="2142" spans="1:7">
      <c r="A2142" s="3572" t="s">
        <v>0</v>
      </c>
      <c r="B2142" s="3636" t="s">
        <v>1</v>
      </c>
      <c r="C2142" s="3636" t="s">
        <v>2</v>
      </c>
      <c r="D2142" s="3636" t="s">
        <v>3</v>
      </c>
      <c r="E2142" s="3636" t="s">
        <v>4</v>
      </c>
      <c r="F2142" s="3559" t="s">
        <v>5</v>
      </c>
      <c r="G2142" s="1906"/>
    </row>
    <row r="2143" spans="1:7" ht="15.75" thickBot="1">
      <c r="A2143" s="3999"/>
      <c r="B2143" s="3994"/>
      <c r="C2143" s="3994"/>
      <c r="D2143" s="3994"/>
      <c r="E2143" s="3994"/>
      <c r="F2143" s="3850"/>
      <c r="G2143" s="1906"/>
    </row>
    <row r="2144" spans="1:7">
      <c r="A2144" s="1675" t="s">
        <v>2913</v>
      </c>
      <c r="B2144" s="1771" t="s">
        <v>2155</v>
      </c>
      <c r="C2144" s="2217" t="s">
        <v>2743</v>
      </c>
      <c r="D2144" s="1957"/>
      <c r="E2144" s="1418">
        <f>(G2144-F2144)/G2144</f>
        <v>0.19999999999999987</v>
      </c>
      <c r="F2144" s="1958">
        <v>0.56000000000000005</v>
      </c>
      <c r="G2144" s="1590">
        <v>0.7</v>
      </c>
    </row>
    <row r="2145" spans="1:7">
      <c r="A2145" s="1700"/>
      <c r="B2145" s="1959"/>
      <c r="C2145" s="1960" t="s">
        <v>623</v>
      </c>
      <c r="D2145" s="1961"/>
      <c r="E2145" s="1962">
        <f t="shared" ref="E2145:E2161" si="103">(G2145-F2145)/G2145</f>
        <v>0.25128205128205128</v>
      </c>
      <c r="F2145" s="1963">
        <v>1.46</v>
      </c>
      <c r="G2145" s="1590">
        <v>1.95</v>
      </c>
    </row>
    <row r="2146" spans="1:7">
      <c r="A2146" s="1700"/>
      <c r="B2146" s="1959"/>
      <c r="C2146" s="1960" t="s">
        <v>1772</v>
      </c>
      <c r="D2146" s="1961"/>
      <c r="E2146" s="1962">
        <f t="shared" si="103"/>
        <v>0.25128205128205128</v>
      </c>
      <c r="F2146" s="1963">
        <v>1.46</v>
      </c>
      <c r="G2146" s="1590">
        <v>1.95</v>
      </c>
    </row>
    <row r="2147" spans="1:7">
      <c r="A2147" s="1920"/>
      <c r="B2147" s="1964"/>
      <c r="C2147" s="1960" t="s">
        <v>2462</v>
      </c>
      <c r="D2147" s="1961"/>
      <c r="E2147" s="1962">
        <f t="shared" si="103"/>
        <v>0.19871794871794873</v>
      </c>
      <c r="F2147" s="1963">
        <v>1.25</v>
      </c>
      <c r="G2147" s="1590">
        <v>1.56</v>
      </c>
    </row>
    <row r="2148" spans="1:7">
      <c r="A2148" s="1920"/>
      <c r="B2148" s="1964"/>
      <c r="C2148" s="1960" t="s">
        <v>549</v>
      </c>
      <c r="D2148" s="1961"/>
      <c r="E2148" s="1962">
        <f t="shared" si="103"/>
        <v>0.10003216468317785</v>
      </c>
      <c r="F2148" s="1963">
        <v>27.98</v>
      </c>
      <c r="G2148" s="1590">
        <v>31.09</v>
      </c>
    </row>
    <row r="2149" spans="1:7">
      <c r="A2149" s="1920"/>
      <c r="B2149" s="1964"/>
      <c r="C2149" s="1960" t="s">
        <v>1258</v>
      </c>
      <c r="D2149" s="1961"/>
      <c r="E2149" s="1962">
        <f t="shared" si="103"/>
        <v>0.10003216468317785</v>
      </c>
      <c r="F2149" s="1963">
        <v>27.98</v>
      </c>
      <c r="G2149" s="1590">
        <v>31.09</v>
      </c>
    </row>
    <row r="2150" spans="1:7">
      <c r="A2150" s="1920"/>
      <c r="B2150" s="1964"/>
      <c r="C2150" s="1960" t="s">
        <v>550</v>
      </c>
      <c r="D2150" s="1961"/>
      <c r="E2150" s="1962">
        <f t="shared" si="103"/>
        <v>9.996242014280346E-2</v>
      </c>
      <c r="F2150" s="1963">
        <v>23.95</v>
      </c>
      <c r="G2150" s="1590">
        <v>26.61</v>
      </c>
    </row>
    <row r="2151" spans="1:7">
      <c r="A2151" s="1920"/>
      <c r="B2151" s="1964"/>
      <c r="C2151" s="1960" t="s">
        <v>1259</v>
      </c>
      <c r="D2151" s="1961"/>
      <c r="E2151" s="1962">
        <f t="shared" si="103"/>
        <v>9.996242014280346E-2</v>
      </c>
      <c r="F2151" s="1963">
        <v>23.95</v>
      </c>
      <c r="G2151" s="1590">
        <v>26.61</v>
      </c>
    </row>
    <row r="2152" spans="1:7">
      <c r="A2152" s="1920"/>
      <c r="B2152" s="1964"/>
      <c r="C2152" s="2218" t="s">
        <v>1904</v>
      </c>
      <c r="D2152" s="1961"/>
      <c r="E2152" s="1962">
        <f t="shared" si="103"/>
        <v>0.20125786163522016</v>
      </c>
      <c r="F2152" s="1963">
        <v>1.27</v>
      </c>
      <c r="G2152" s="1590">
        <v>1.59</v>
      </c>
    </row>
    <row r="2153" spans="1:7">
      <c r="A2153" s="1920"/>
      <c r="B2153" s="1964"/>
      <c r="C2153" s="2218" t="s">
        <v>2021</v>
      </c>
      <c r="D2153" s="1961"/>
      <c r="E2153" s="1962">
        <f t="shared" si="103"/>
        <v>0.20125786163522016</v>
      </c>
      <c r="F2153" s="1963">
        <v>1.27</v>
      </c>
      <c r="G2153" s="1590">
        <v>1.59</v>
      </c>
    </row>
    <row r="2154" spans="1:7">
      <c r="A2154" s="1920"/>
      <c r="B2154" s="1964"/>
      <c r="C2154" s="2218" t="s">
        <v>1905</v>
      </c>
      <c r="D2154" s="1961"/>
      <c r="E2154" s="1962">
        <f t="shared" si="103"/>
        <v>0.20125786163522016</v>
      </c>
      <c r="F2154" s="1963">
        <v>1.27</v>
      </c>
      <c r="G2154" s="1590">
        <v>1.59</v>
      </c>
    </row>
    <row r="2155" spans="1:7">
      <c r="A2155" s="1920"/>
      <c r="B2155" s="1964"/>
      <c r="C2155" s="2218" t="s">
        <v>1975</v>
      </c>
      <c r="D2155" s="1961"/>
      <c r="E2155" s="1962">
        <f t="shared" si="103"/>
        <v>0.19767441860465121</v>
      </c>
      <c r="F2155" s="1963">
        <v>1.38</v>
      </c>
      <c r="G2155" s="1590">
        <v>1.72</v>
      </c>
    </row>
    <row r="2156" spans="1:7">
      <c r="A2156" s="1920"/>
      <c r="B2156" s="1964"/>
      <c r="C2156" s="2215" t="s">
        <v>2637</v>
      </c>
      <c r="D2156" s="1961"/>
      <c r="E2156" s="1962">
        <f t="shared" si="103"/>
        <v>0.1764705882352941</v>
      </c>
      <c r="F2156" s="1963">
        <v>0.14000000000000001</v>
      </c>
      <c r="G2156" s="1590">
        <v>0.17</v>
      </c>
    </row>
    <row r="2157" spans="1:7">
      <c r="A2157" s="1920"/>
      <c r="B2157" s="1964"/>
      <c r="C2157" s="1960" t="s">
        <v>2823</v>
      </c>
      <c r="D2157" s="1961"/>
      <c r="E2157" s="1962">
        <f t="shared" si="103"/>
        <v>0.19924812030075195</v>
      </c>
      <c r="F2157" s="1963">
        <v>2.13</v>
      </c>
      <c r="G2157" s="1590">
        <v>2.66</v>
      </c>
    </row>
    <row r="2158" spans="1:7">
      <c r="A2158" s="1739"/>
      <c r="B2158" s="1949"/>
      <c r="C2158" s="1960" t="s">
        <v>2824</v>
      </c>
      <c r="D2158" s="1965"/>
      <c r="E2158" s="1962">
        <f t="shared" si="103"/>
        <v>0.19924812030075195</v>
      </c>
      <c r="F2158" s="1963">
        <v>2.13</v>
      </c>
      <c r="G2158" s="1590">
        <v>2.66</v>
      </c>
    </row>
    <row r="2159" spans="1:7">
      <c r="A2159" s="1739"/>
      <c r="B2159" s="1949"/>
      <c r="C2159" s="1960" t="s">
        <v>2914</v>
      </c>
      <c r="D2159" s="1965"/>
      <c r="E2159" s="1962">
        <f t="shared" si="103"/>
        <v>0.19924812030075195</v>
      </c>
      <c r="F2159" s="1963">
        <v>2.13</v>
      </c>
      <c r="G2159" s="1590">
        <v>2.66</v>
      </c>
    </row>
    <row r="2160" spans="1:7">
      <c r="A2160" s="1739"/>
      <c r="B2160" s="1949"/>
      <c r="C2160" s="1960" t="s">
        <v>2851</v>
      </c>
      <c r="D2160" s="1965"/>
      <c r="E2160" s="1962">
        <f t="shared" si="103"/>
        <v>0.19924812030075195</v>
      </c>
      <c r="F2160" s="1963">
        <v>2.13</v>
      </c>
      <c r="G2160" s="1590">
        <v>2.66</v>
      </c>
    </row>
    <row r="2161" spans="1:10" ht="15.75" thickBot="1">
      <c r="A2161" s="1315"/>
      <c r="B2161" s="1718"/>
      <c r="C2161" s="1966" t="s">
        <v>2825</v>
      </c>
      <c r="D2161" s="1967"/>
      <c r="E2161" s="1968">
        <f t="shared" si="103"/>
        <v>0.19924812030075195</v>
      </c>
      <c r="F2161" s="1969">
        <v>2.13</v>
      </c>
      <c r="G2161" s="1590">
        <v>2.66</v>
      </c>
    </row>
    <row r="2163" spans="1:10">
      <c r="A2163" s="2209"/>
      <c r="B2163" s="2209"/>
      <c r="C2163" s="2209"/>
      <c r="D2163" s="2209"/>
      <c r="E2163" s="2209"/>
      <c r="F2163" s="2209"/>
      <c r="G2163" s="2209"/>
      <c r="H2163" s="2209"/>
      <c r="I2163" s="2209"/>
      <c r="J2163" s="2209"/>
    </row>
    <row r="2164" spans="1:10" ht="15.75" thickBot="1"/>
    <row r="2165" spans="1:10">
      <c r="A2165" s="3614" t="s">
        <v>0</v>
      </c>
      <c r="B2165" s="3693" t="s">
        <v>1</v>
      </c>
      <c r="C2165" s="3693" t="s">
        <v>2</v>
      </c>
      <c r="D2165" s="3693" t="s">
        <v>3</v>
      </c>
      <c r="E2165" s="3693" t="s">
        <v>4</v>
      </c>
      <c r="F2165" s="3522" t="s">
        <v>5</v>
      </c>
      <c r="G2165" s="109"/>
    </row>
    <row r="2166" spans="1:10" ht="15.75" thickBot="1">
      <c r="A2166" s="4050"/>
      <c r="B2166" s="4112"/>
      <c r="C2166" s="4112"/>
      <c r="D2166" s="4112"/>
      <c r="E2166" s="4112"/>
      <c r="F2166" s="4054"/>
      <c r="G2166" s="109"/>
    </row>
    <row r="2167" spans="1:10">
      <c r="A2167" s="1675" t="s">
        <v>2924</v>
      </c>
      <c r="B2167" s="4131" t="s">
        <v>1593</v>
      </c>
      <c r="C2167" s="1956" t="s">
        <v>623</v>
      </c>
      <c r="D2167" s="1098"/>
      <c r="E2167" s="290">
        <f>(G2167-F2167)/G2167</f>
        <v>0.271356783919598</v>
      </c>
      <c r="F2167" s="1122">
        <v>1.45</v>
      </c>
      <c r="G2167" s="1103">
        <v>1.99</v>
      </c>
    </row>
    <row r="2168" spans="1:10">
      <c r="A2168" s="841"/>
      <c r="B2168" s="4132"/>
      <c r="C2168" s="1990"/>
      <c r="D2168" s="1991"/>
      <c r="E2168" s="290" t="e">
        <f>(G2168-F2168)/G2168</f>
        <v>#DIV/0!</v>
      </c>
      <c r="F2168" s="1122"/>
      <c r="G2168" s="1103"/>
    </row>
    <row r="2169" spans="1:10">
      <c r="A2169" s="841"/>
      <c r="B2169" s="4132"/>
      <c r="C2169" s="1627"/>
      <c r="D2169" s="1992"/>
      <c r="E2169" s="290" t="e">
        <f>(G2169-F2169)/G2169</f>
        <v>#DIV/0!</v>
      </c>
      <c r="F2169" s="1122"/>
      <c r="G2169" s="1103"/>
    </row>
    <row r="2170" spans="1:10" ht="16.5" thickBot="1">
      <c r="A2170" s="884"/>
      <c r="B2170" s="4133"/>
      <c r="C2170" s="1993"/>
      <c r="D2170" s="1994"/>
      <c r="E2170" s="290" t="e">
        <f>(G2170-F2170)/G2170</f>
        <v>#DIV/0!</v>
      </c>
      <c r="F2170" s="1122"/>
      <c r="G2170" s="1103"/>
    </row>
    <row r="2172" spans="1:10" ht="15.75" thickBot="1"/>
    <row r="2173" spans="1:10">
      <c r="A2173" s="3572" t="s">
        <v>0</v>
      </c>
      <c r="B2173" s="3636" t="s">
        <v>1</v>
      </c>
      <c r="C2173" s="3636" t="s">
        <v>2</v>
      </c>
      <c r="D2173" s="3636" t="s">
        <v>3</v>
      </c>
      <c r="E2173" s="3636" t="s">
        <v>4</v>
      </c>
      <c r="F2173" s="3559" t="s">
        <v>5</v>
      </c>
      <c r="G2173" s="1906"/>
    </row>
    <row r="2174" spans="1:10" ht="15.75" thickBot="1">
      <c r="A2174" s="3677"/>
      <c r="B2174" s="3628"/>
      <c r="C2174" s="3628"/>
      <c r="D2174" s="3628"/>
      <c r="E2174" s="3628"/>
      <c r="F2174" s="3629"/>
      <c r="G2174" s="1906"/>
    </row>
    <row r="2175" spans="1:10">
      <c r="A2175" s="1675" t="s">
        <v>2924</v>
      </c>
      <c r="B2175" s="1771" t="s">
        <v>2155</v>
      </c>
      <c r="C2175" s="1956" t="s">
        <v>623</v>
      </c>
      <c r="D2175" s="1957"/>
      <c r="E2175" s="1418">
        <f>(G2175-F2175)/G2175</f>
        <v>0.35897435897435898</v>
      </c>
      <c r="F2175" s="1958">
        <v>1.25</v>
      </c>
      <c r="G2175" s="1590">
        <v>1.95</v>
      </c>
    </row>
    <row r="2176" spans="1:10">
      <c r="A2176" s="1995"/>
      <c r="B2176" s="1996"/>
      <c r="C2176" s="1997" t="s">
        <v>1772</v>
      </c>
      <c r="D2176" s="1998"/>
      <c r="E2176" s="1999">
        <f>(G2176-F2176)/G2176</f>
        <v>0.35897435897435898</v>
      </c>
      <c r="F2176" s="2000">
        <v>1.25</v>
      </c>
      <c r="G2176" s="1590">
        <v>1.95</v>
      </c>
    </row>
    <row r="2177" spans="1:7">
      <c r="A2177" s="1995"/>
      <c r="B2177" s="1996"/>
      <c r="C2177" s="1580" t="s">
        <v>858</v>
      </c>
      <c r="D2177" s="1998"/>
      <c r="E2177" s="1999">
        <f>(G2177-F2177)/G2177</f>
        <v>0.35416666666666663</v>
      </c>
      <c r="F2177" s="2000">
        <v>0.62</v>
      </c>
      <c r="G2177" s="1590">
        <v>0.96</v>
      </c>
    </row>
    <row r="2178" spans="1:7" ht="15.75" thickBot="1">
      <c r="A2178" s="1903"/>
      <c r="B2178" s="2001"/>
      <c r="C2178" s="2002" t="s">
        <v>730</v>
      </c>
      <c r="D2178" s="2003"/>
      <c r="E2178" s="2004">
        <f>(G2178-F2178)/G2178</f>
        <v>0.34523809523809518</v>
      </c>
      <c r="F2178" s="1969">
        <v>0.55000000000000004</v>
      </c>
      <c r="G2178" s="1590">
        <v>0.84</v>
      </c>
    </row>
    <row r="2180" spans="1:7" ht="15.75" thickBot="1"/>
    <row r="2181" spans="1:7">
      <c r="A2181" s="3572"/>
      <c r="B2181" s="3636"/>
      <c r="C2181" s="3636"/>
      <c r="D2181" s="3636"/>
      <c r="E2181" s="3636"/>
      <c r="F2181" s="3559"/>
      <c r="G2181" s="429"/>
    </row>
    <row r="2182" spans="1:7">
      <c r="A2182" s="3677"/>
      <c r="B2182" s="3628"/>
      <c r="C2182" s="3628"/>
      <c r="D2182" s="3628"/>
      <c r="E2182" s="3628"/>
      <c r="F2182" s="3629"/>
      <c r="G2182" s="429"/>
    </row>
    <row r="2183" spans="1:7">
      <c r="A2183" s="2037" t="s">
        <v>2936</v>
      </c>
      <c r="B2183" s="1779" t="s">
        <v>120</v>
      </c>
      <c r="C2183" s="1642" t="s">
        <v>1891</v>
      </c>
      <c r="D2183" s="2038"/>
      <c r="E2183" s="2039">
        <f t="shared" ref="E2183:E2190" si="104">(G2183-F2183)/G2183</f>
        <v>0.19834710743801653</v>
      </c>
      <c r="F2183" s="2038">
        <v>0.97</v>
      </c>
      <c r="G2183" s="436">
        <v>1.21</v>
      </c>
    </row>
    <row r="2184" spans="1:7">
      <c r="A2184" s="491"/>
      <c r="B2184" s="2040" t="s">
        <v>121</v>
      </c>
      <c r="C2184" s="1642" t="s">
        <v>1904</v>
      </c>
      <c r="D2184" s="2038"/>
      <c r="E2184" s="2039">
        <f t="shared" si="104"/>
        <v>0.15483870967741933</v>
      </c>
      <c r="F2184" s="2038">
        <v>1.31</v>
      </c>
      <c r="G2184" s="429">
        <v>1.55</v>
      </c>
    </row>
    <row r="2185" spans="1:7">
      <c r="A2185" s="491"/>
      <c r="B2185" s="2040" t="s">
        <v>123</v>
      </c>
      <c r="C2185" s="1642" t="s">
        <v>1091</v>
      </c>
      <c r="D2185" s="2038"/>
      <c r="E2185" s="2039">
        <f t="shared" si="104"/>
        <v>0.20000000000000004</v>
      </c>
      <c r="F2185" s="2038">
        <v>1.2</v>
      </c>
      <c r="G2185" s="429">
        <v>1.5</v>
      </c>
    </row>
    <row r="2186" spans="1:7">
      <c r="A2186" s="491"/>
      <c r="B2186" s="2040" t="s">
        <v>122</v>
      </c>
      <c r="C2186" s="1642" t="s">
        <v>572</v>
      </c>
      <c r="D2186" s="2038"/>
      <c r="E2186" s="2039">
        <f t="shared" si="104"/>
        <v>0.203125</v>
      </c>
      <c r="F2186" s="2038">
        <v>1.02</v>
      </c>
      <c r="G2186" s="528">
        <v>1.28</v>
      </c>
    </row>
    <row r="2187" spans="1:7">
      <c r="A2187" s="491"/>
      <c r="B2187" s="2040" t="s">
        <v>2057</v>
      </c>
      <c r="C2187" s="1642" t="s">
        <v>730</v>
      </c>
      <c r="D2187" s="2038"/>
      <c r="E2187" s="2039">
        <f t="shared" si="104"/>
        <v>0.19540229885057475</v>
      </c>
      <c r="F2187" s="2038">
        <v>0.7</v>
      </c>
      <c r="G2187" s="528">
        <v>0.87</v>
      </c>
    </row>
    <row r="2188" spans="1:7">
      <c r="A2188" s="491"/>
      <c r="B2188" s="2040"/>
      <c r="C2188" s="1642" t="s">
        <v>470</v>
      </c>
      <c r="D2188" s="2038"/>
      <c r="E2188" s="2039">
        <f t="shared" si="104"/>
        <v>0.19801980198019797</v>
      </c>
      <c r="F2188" s="2038">
        <v>0.81</v>
      </c>
      <c r="G2188" s="528">
        <v>1.01</v>
      </c>
    </row>
    <row r="2189" spans="1:7">
      <c r="A2189" s="491"/>
      <c r="B2189" s="2040"/>
      <c r="C2189" s="1642" t="s">
        <v>2462</v>
      </c>
      <c r="D2189" s="1933"/>
      <c r="E2189" s="2039">
        <f t="shared" si="104"/>
        <v>0.20279720279720284</v>
      </c>
      <c r="F2189" s="2038">
        <v>1.1399999999999999</v>
      </c>
      <c r="G2189" s="528">
        <v>1.43</v>
      </c>
    </row>
    <row r="2190" spans="1:7" ht="15.75" thickBot="1">
      <c r="A2190" s="500"/>
      <c r="B2190" s="2041"/>
      <c r="C2190" s="2042"/>
      <c r="D2190" s="2041"/>
      <c r="E2190" s="2043" t="e">
        <f t="shared" si="104"/>
        <v>#DIV/0!</v>
      </c>
      <c r="F2190" s="1790"/>
      <c r="G2190" s="528"/>
    </row>
    <row r="2191" spans="1:7" ht="15.75" thickBot="1"/>
    <row r="2192" spans="1:7">
      <c r="A2192" s="3572"/>
      <c r="B2192" s="3636"/>
      <c r="C2192" s="3636"/>
      <c r="D2192" s="3636"/>
      <c r="E2192" s="3636"/>
      <c r="F2192" s="3559"/>
      <c r="G2192" s="429"/>
    </row>
    <row r="2193" spans="1:7" ht="15.75" thickBot="1">
      <c r="A2193" s="3844"/>
      <c r="B2193" s="3845"/>
      <c r="C2193" s="3845"/>
      <c r="D2193" s="3845"/>
      <c r="E2193" s="3845"/>
      <c r="F2193" s="3848"/>
      <c r="G2193" s="429"/>
    </row>
    <row r="2194" spans="1:7">
      <c r="A2194" s="1588" t="s">
        <v>2938</v>
      </c>
      <c r="B2194" s="388" t="s">
        <v>2016</v>
      </c>
      <c r="C2194" s="2322" t="s">
        <v>1891</v>
      </c>
      <c r="D2194" s="2300"/>
      <c r="E2194" s="2301">
        <f t="shared" ref="E2194:E2199" si="105">(G2194-F2194)/G2194</f>
        <v>0.2711864406779661</v>
      </c>
      <c r="F2194" s="2302">
        <v>0.86</v>
      </c>
      <c r="G2194" s="583">
        <v>1.18</v>
      </c>
    </row>
    <row r="2195" spans="1:7">
      <c r="A2195" s="2047"/>
      <c r="B2195" s="1779"/>
      <c r="C2195" s="2323" t="s">
        <v>1892</v>
      </c>
      <c r="D2195" s="2303"/>
      <c r="E2195" s="2304">
        <f t="shared" si="105"/>
        <v>0.2711864406779661</v>
      </c>
      <c r="F2195" s="2305">
        <v>0.86</v>
      </c>
      <c r="G2195" s="584">
        <v>1.18</v>
      </c>
    </row>
    <row r="2196" spans="1:7">
      <c r="A2196" s="2047"/>
      <c r="B2196" s="1585"/>
      <c r="C2196" s="1917" t="s">
        <v>1268</v>
      </c>
      <c r="D2196" s="2050"/>
      <c r="E2196" s="1944">
        <f t="shared" si="105"/>
        <v>0.20000000000000007</v>
      </c>
      <c r="F2196" s="2049">
        <v>0.88</v>
      </c>
      <c r="G2196" s="429">
        <v>1.1000000000000001</v>
      </c>
    </row>
    <row r="2197" spans="1:7">
      <c r="A2197" s="2047"/>
      <c r="B2197" s="1779"/>
      <c r="C2197" s="1917" t="s">
        <v>858</v>
      </c>
      <c r="D2197" s="1775"/>
      <c r="E2197" s="1776">
        <f t="shared" si="105"/>
        <v>0.19791666666666663</v>
      </c>
      <c r="F2197" s="2049">
        <v>0.77</v>
      </c>
      <c r="G2197" s="528">
        <v>0.96</v>
      </c>
    </row>
    <row r="2198" spans="1:7">
      <c r="A2198" s="2047"/>
      <c r="B2198" s="1779"/>
      <c r="C2198" s="1917" t="s">
        <v>2558</v>
      </c>
      <c r="D2198" s="1775"/>
      <c r="E2198" s="1776">
        <f t="shared" si="105"/>
        <v>0.2492012779552715</v>
      </c>
      <c r="F2198" s="2049">
        <v>2.35</v>
      </c>
      <c r="G2198" s="528">
        <v>3.13</v>
      </c>
    </row>
    <row r="2199" spans="1:7" ht="15.75" thickBot="1">
      <c r="A2199" s="2051"/>
      <c r="B2199" s="2052"/>
      <c r="C2199" s="2053" t="s">
        <v>2559</v>
      </c>
      <c r="D2199" s="2054"/>
      <c r="E2199" s="1925">
        <f t="shared" si="105"/>
        <v>0.2492012779552715</v>
      </c>
      <c r="F2199" s="2055">
        <v>2.35</v>
      </c>
      <c r="G2199" s="528">
        <v>3.13</v>
      </c>
    </row>
    <row r="2200" spans="1:7" ht="15.75" thickBot="1"/>
    <row r="2201" spans="1:7">
      <c r="A2201" s="3572" t="s">
        <v>0</v>
      </c>
      <c r="B2201" s="3636" t="s">
        <v>1</v>
      </c>
      <c r="C2201" s="3636" t="s">
        <v>2</v>
      </c>
      <c r="D2201" s="3636" t="s">
        <v>3</v>
      </c>
      <c r="E2201" s="3636" t="s">
        <v>4</v>
      </c>
      <c r="F2201" s="3559" t="s">
        <v>5</v>
      </c>
      <c r="G2201" s="429"/>
    </row>
    <row r="2202" spans="1:7" ht="15.75" thickBot="1">
      <c r="A2202" s="4008"/>
      <c r="B2202" s="3692"/>
      <c r="C2202" s="3692"/>
      <c r="D2202" s="3692"/>
      <c r="E2202" s="3692"/>
      <c r="F2202" s="3705"/>
      <c r="G2202" s="429"/>
    </row>
    <row r="2203" spans="1:7" ht="16.5" thickTop="1">
      <c r="A2203" s="2071" t="s">
        <v>2953</v>
      </c>
      <c r="B2203" s="2072" t="s">
        <v>2082</v>
      </c>
      <c r="C2203" s="1635" t="s">
        <v>2743</v>
      </c>
      <c r="D2203" s="2316"/>
      <c r="E2203" s="2317">
        <f>(G2203-F2203)/G2203</f>
        <v>0.20547945205479456</v>
      </c>
      <c r="F2203" s="2318">
        <v>0.57999999999999996</v>
      </c>
      <c r="G2203" s="2319">
        <v>0.73</v>
      </c>
    </row>
    <row r="2204" spans="1:7" ht="15.75">
      <c r="A2204" s="491"/>
      <c r="B2204" s="2073"/>
      <c r="C2204" s="2320" t="s">
        <v>1892</v>
      </c>
      <c r="D2204" s="2316"/>
      <c r="E2204" s="2321">
        <f>(G2204-F2204)/G2204</f>
        <v>0.22314049586776863</v>
      </c>
      <c r="F2204" s="2318">
        <v>0.94</v>
      </c>
      <c r="G2204" s="2319">
        <v>1.21</v>
      </c>
    </row>
    <row r="2205" spans="1:7" ht="15.75" thickBot="1">
      <c r="A2205" s="500"/>
      <c r="B2205" s="2074"/>
      <c r="C2205" s="2075" t="s">
        <v>2827</v>
      </c>
      <c r="D2205" s="873"/>
      <c r="E2205" s="2076">
        <f>(G2205-F2205)/G2205</f>
        <v>0.20129870129870134</v>
      </c>
      <c r="F2205" s="1347">
        <v>1.23</v>
      </c>
      <c r="G2205" s="429">
        <v>1.54</v>
      </c>
    </row>
    <row r="2206" spans="1:7" ht="15.75" thickBot="1"/>
    <row r="2207" spans="1:7">
      <c r="A2207" s="3614" t="s">
        <v>0</v>
      </c>
      <c r="B2207" s="3693" t="s">
        <v>1</v>
      </c>
      <c r="C2207" s="3693" t="s">
        <v>2</v>
      </c>
      <c r="D2207" s="3693" t="s">
        <v>3</v>
      </c>
      <c r="E2207" s="3693" t="s">
        <v>4</v>
      </c>
      <c r="F2207" s="3522" t="s">
        <v>5</v>
      </c>
    </row>
    <row r="2208" spans="1:7" ht="15.75" thickBot="1">
      <c r="A2208" s="3673"/>
      <c r="B2208" s="3622"/>
      <c r="C2208" s="3622"/>
      <c r="D2208" s="3622"/>
      <c r="E2208" s="3622"/>
      <c r="F2208" s="3846"/>
    </row>
    <row r="2209" spans="1:7" ht="15.75">
      <c r="A2209" s="1108" t="s">
        <v>2955</v>
      </c>
      <c r="B2209" s="1098" t="s">
        <v>460</v>
      </c>
      <c r="C2209" s="2077" t="s">
        <v>623</v>
      </c>
      <c r="D2209" s="1732"/>
      <c r="E2209" s="1236">
        <f t="shared" ref="E2209:E2215" si="106">(G2209-F2209)/G2209</f>
        <v>0.35175879396984921</v>
      </c>
      <c r="F2209" s="1678">
        <v>1.29</v>
      </c>
      <c r="G2209">
        <v>1.99</v>
      </c>
    </row>
    <row r="2210" spans="1:7" ht="15.75">
      <c r="A2210" s="2078"/>
      <c r="B2210" s="2079"/>
      <c r="C2210" s="2315" t="s">
        <v>1891</v>
      </c>
      <c r="D2210" s="2306"/>
      <c r="E2210" s="2307">
        <f t="shared" si="106"/>
        <v>0.25217391304347819</v>
      </c>
      <c r="F2210" s="2308">
        <v>0.86</v>
      </c>
      <c r="G2210" s="176">
        <v>1.1499999999999999</v>
      </c>
    </row>
    <row r="2211" spans="1:7" ht="15.75">
      <c r="A2211" s="2078"/>
      <c r="B2211" s="2079"/>
      <c r="C2211" s="2080"/>
      <c r="D2211" s="2081"/>
      <c r="E2211" s="2082" t="e">
        <f t="shared" si="106"/>
        <v>#DIV/0!</v>
      </c>
      <c r="F2211" s="2083"/>
    </row>
    <row r="2212" spans="1:7" ht="15.75">
      <c r="A2212" s="2034"/>
      <c r="B2212" s="2084"/>
      <c r="C2212" s="2080"/>
      <c r="D2212" s="2081"/>
      <c r="E2212" s="2082" t="e">
        <f t="shared" si="106"/>
        <v>#DIV/0!</v>
      </c>
      <c r="F2212" s="2083"/>
    </row>
    <row r="2213" spans="1:7" ht="15.75">
      <c r="A2213" s="2034"/>
      <c r="B2213" s="2084"/>
      <c r="C2213" s="2080"/>
      <c r="D2213" s="2081"/>
      <c r="E2213" s="2082" t="e">
        <f t="shared" si="106"/>
        <v>#DIV/0!</v>
      </c>
      <c r="F2213" s="2083"/>
    </row>
    <row r="2214" spans="1:7" ht="15.75">
      <c r="A2214" s="2034"/>
      <c r="B2214" s="2084"/>
      <c r="C2214" s="2080"/>
      <c r="D2214" s="2081"/>
      <c r="E2214" s="2082" t="e">
        <f t="shared" si="106"/>
        <v>#DIV/0!</v>
      </c>
      <c r="F2214" s="2083"/>
    </row>
    <row r="2215" spans="1:7" ht="16.5" thickBot="1">
      <c r="A2215" s="1315"/>
      <c r="B2215" s="2035"/>
      <c r="C2215" s="2085"/>
      <c r="D2215" s="2086"/>
      <c r="E2215" s="2087" t="e">
        <f t="shared" si="106"/>
        <v>#DIV/0!</v>
      </c>
      <c r="F2215" s="1689"/>
    </row>
    <row r="2216" spans="1:7" ht="15.75" thickBot="1"/>
    <row r="2217" spans="1:7">
      <c r="A2217" s="3572" t="s">
        <v>0</v>
      </c>
      <c r="B2217" s="3636" t="s">
        <v>1</v>
      </c>
      <c r="C2217" s="3636" t="s">
        <v>2</v>
      </c>
      <c r="D2217" s="3636" t="s">
        <v>3</v>
      </c>
      <c r="E2217" s="3636" t="s">
        <v>4</v>
      </c>
      <c r="F2217" s="3559" t="s">
        <v>5</v>
      </c>
      <c r="G2217" s="1906"/>
    </row>
    <row r="2218" spans="1:7">
      <c r="A2218" s="4129"/>
      <c r="B2218" s="4128"/>
      <c r="C2218" s="4128"/>
      <c r="D2218" s="4128"/>
      <c r="E2218" s="4128"/>
      <c r="F2218" s="4007"/>
      <c r="G2218" s="1906"/>
    </row>
    <row r="2219" spans="1:7">
      <c r="A2219" s="2088" t="s">
        <v>2957</v>
      </c>
      <c r="B2219" s="2089" t="s">
        <v>2897</v>
      </c>
      <c r="C2219" s="2090" t="s">
        <v>1763</v>
      </c>
      <c r="D2219" s="2091"/>
      <c r="E2219" s="2092">
        <f>(G2219-F2219)/G2219</f>
        <v>0.24534383954154731</v>
      </c>
      <c r="F2219" s="2093">
        <v>21.07</v>
      </c>
      <c r="G2219" s="1590">
        <v>27.92</v>
      </c>
    </row>
    <row r="2220" spans="1:7">
      <c r="A2220" s="2088"/>
      <c r="B2220" s="2089"/>
      <c r="C2220" s="2090" t="s">
        <v>1556</v>
      </c>
      <c r="D2220" s="2091"/>
      <c r="E2220" s="2092">
        <f t="shared" ref="E2220:E2227" si="107">(G2220-F2220)/G2220</f>
        <v>0.24534383954154731</v>
      </c>
      <c r="F2220" s="2093">
        <v>21.07</v>
      </c>
      <c r="G2220" s="1590">
        <v>27.92</v>
      </c>
    </row>
    <row r="2221" spans="1:7">
      <c r="A2221" s="2088"/>
      <c r="B2221" s="2089"/>
      <c r="C2221" s="2090" t="s">
        <v>1557</v>
      </c>
      <c r="D2221" s="2091"/>
      <c r="E2221" s="2092">
        <f t="shared" si="107"/>
        <v>0.24534383954154731</v>
      </c>
      <c r="F2221" s="2093">
        <v>21.07</v>
      </c>
      <c r="G2221" s="1590">
        <v>27.92</v>
      </c>
    </row>
    <row r="2222" spans="1:7">
      <c r="A2222" s="2094"/>
      <c r="B2222" s="2095"/>
      <c r="C2222" s="2090" t="s">
        <v>1555</v>
      </c>
      <c r="D2222" s="2091"/>
      <c r="E2222" s="2092">
        <f t="shared" si="107"/>
        <v>0.24534383954154731</v>
      </c>
      <c r="F2222" s="2093">
        <v>21.07</v>
      </c>
      <c r="G2222" s="1590">
        <v>27.92</v>
      </c>
    </row>
    <row r="2223" spans="1:7">
      <c r="A2223" s="2094"/>
      <c r="B2223" s="2095"/>
      <c r="C2223" s="2090" t="s">
        <v>1810</v>
      </c>
      <c r="D2223" s="2091"/>
      <c r="E2223" s="2092">
        <f t="shared" si="107"/>
        <v>0.24534383954154731</v>
      </c>
      <c r="F2223" s="2093">
        <v>21.07</v>
      </c>
      <c r="G2223" s="1590">
        <v>27.92</v>
      </c>
    </row>
    <row r="2224" spans="1:7">
      <c r="A2224" s="2094"/>
      <c r="B2224" s="2095"/>
      <c r="C2224" s="2090" t="s">
        <v>2550</v>
      </c>
      <c r="D2224" s="2091"/>
      <c r="E2224" s="2092">
        <f t="shared" si="107"/>
        <v>0.43594306049822068</v>
      </c>
      <c r="F2224" s="2093">
        <v>6.34</v>
      </c>
      <c r="G2224" s="1590">
        <v>11.24</v>
      </c>
    </row>
    <row r="2225" spans="1:7">
      <c r="A2225" s="2094"/>
      <c r="B2225" s="2095"/>
      <c r="C2225" s="2090" t="s">
        <v>2551</v>
      </c>
      <c r="D2225" s="2091"/>
      <c r="E2225" s="2092">
        <f t="shared" si="107"/>
        <v>0.43594306049822068</v>
      </c>
      <c r="F2225" s="2093">
        <v>6.34</v>
      </c>
      <c r="G2225" s="1590">
        <v>11.24</v>
      </c>
    </row>
    <row r="2226" spans="1:7">
      <c r="A2226" s="2094"/>
      <c r="B2226" s="2095"/>
      <c r="C2226" s="2090" t="s">
        <v>2552</v>
      </c>
      <c r="D2226" s="2091"/>
      <c r="E2226" s="2092">
        <f t="shared" si="107"/>
        <v>0.43594306049822068</v>
      </c>
      <c r="F2226" s="2093">
        <v>6.34</v>
      </c>
      <c r="G2226" s="1590">
        <v>11.24</v>
      </c>
    </row>
    <row r="2227" spans="1:7" ht="15.75" thickBot="1">
      <c r="A2227" s="1903"/>
      <c r="B2227" s="2096"/>
      <c r="C2227" s="2097" t="s">
        <v>2553</v>
      </c>
      <c r="D2227" s="2098"/>
      <c r="E2227" s="1925">
        <f t="shared" si="107"/>
        <v>0.43594306049822068</v>
      </c>
      <c r="F2227" s="2099">
        <v>6.34</v>
      </c>
      <c r="G2227" s="1590">
        <v>11.24</v>
      </c>
    </row>
    <row r="2228" spans="1:7" ht="15.75" thickBot="1"/>
    <row r="2229" spans="1:7">
      <c r="A2229" s="3614" t="s">
        <v>0</v>
      </c>
      <c r="B2229" s="3693" t="s">
        <v>1</v>
      </c>
      <c r="C2229" s="3693" t="s">
        <v>2</v>
      </c>
      <c r="D2229" s="3693" t="s">
        <v>3</v>
      </c>
      <c r="E2229" s="3693" t="s">
        <v>4</v>
      </c>
      <c r="F2229" s="3522" t="s">
        <v>5</v>
      </c>
    </row>
    <row r="2230" spans="1:7" ht="15.75" thickBot="1">
      <c r="A2230" s="3865"/>
      <c r="B2230" s="3622"/>
      <c r="C2230" s="3622"/>
      <c r="D2230" s="3622"/>
      <c r="E2230" s="3622"/>
      <c r="F2230" s="3846"/>
    </row>
    <row r="2231" spans="1:7" ht="15.75">
      <c r="A2231" s="1108" t="s">
        <v>2965</v>
      </c>
      <c r="B2231" s="1098" t="s">
        <v>2183</v>
      </c>
      <c r="C2231" s="2324" t="s">
        <v>2387</v>
      </c>
      <c r="D2231" s="2309"/>
      <c r="E2231" s="1191">
        <f t="shared" ref="E2231:E2241" si="108">(G2231-F2231)/G2231</f>
        <v>0.20879120879120885</v>
      </c>
      <c r="F2231" s="2310">
        <v>1.44</v>
      </c>
      <c r="G2231" s="176">
        <v>1.82</v>
      </c>
    </row>
    <row r="2232" spans="1:7" ht="15.75">
      <c r="A2232" s="2115"/>
      <c r="B2232" s="2116"/>
      <c r="C2232" s="2325" t="s">
        <v>2743</v>
      </c>
      <c r="D2232" s="2311"/>
      <c r="E2232" s="2312">
        <f t="shared" si="108"/>
        <v>0.24637681159420283</v>
      </c>
      <c r="F2232" s="2313">
        <v>0.52</v>
      </c>
      <c r="G2232" s="176">
        <v>0.69</v>
      </c>
    </row>
    <row r="2233" spans="1:7" ht="15.75">
      <c r="A2233" s="2115"/>
      <c r="B2233" s="2116"/>
      <c r="C2233" s="2325" t="s">
        <v>1891</v>
      </c>
      <c r="D2233" s="2311"/>
      <c r="E2233" s="2312">
        <f t="shared" si="108"/>
        <v>0.24999999999999994</v>
      </c>
      <c r="F2233" s="2313">
        <v>0.87</v>
      </c>
      <c r="G2233" s="176">
        <v>1.1599999999999999</v>
      </c>
    </row>
    <row r="2234" spans="1:7" ht="15.75">
      <c r="A2234" s="2121"/>
      <c r="B2234" s="2064"/>
      <c r="C2234" s="2117" t="s">
        <v>2602</v>
      </c>
      <c r="D2234" s="2118"/>
      <c r="E2234" s="2119">
        <f t="shared" si="108"/>
        <v>0.250814332247557</v>
      </c>
      <c r="F2234" s="2120">
        <v>2.2999999999999998</v>
      </c>
      <c r="G2234">
        <v>3.07</v>
      </c>
    </row>
    <row r="2235" spans="1:7" ht="15.75">
      <c r="A2235" s="2121"/>
      <c r="B2235" s="2064"/>
      <c r="C2235" s="2117" t="s">
        <v>2558</v>
      </c>
      <c r="D2235" s="2118"/>
      <c r="E2235" s="2119">
        <f t="shared" si="108"/>
        <v>0.250814332247557</v>
      </c>
      <c r="F2235" s="2120">
        <v>2.2999999999999998</v>
      </c>
      <c r="G2235">
        <v>3.07</v>
      </c>
    </row>
    <row r="2236" spans="1:7" ht="15.75">
      <c r="A2236" s="2121"/>
      <c r="B2236" s="2064"/>
      <c r="C2236" s="2117" t="s">
        <v>2603</v>
      </c>
      <c r="D2236" s="2118"/>
      <c r="E2236" s="2119">
        <f t="shared" si="108"/>
        <v>0.250814332247557</v>
      </c>
      <c r="F2236" s="2120">
        <v>2.2999999999999998</v>
      </c>
      <c r="G2236">
        <v>3.07</v>
      </c>
    </row>
    <row r="2237" spans="1:7" ht="15.75">
      <c r="A2237" s="2121"/>
      <c r="B2237" s="2064"/>
      <c r="C2237" s="2117" t="s">
        <v>2559</v>
      </c>
      <c r="D2237" s="2118"/>
      <c r="E2237" s="2119">
        <f t="shared" si="108"/>
        <v>0.250814332247557</v>
      </c>
      <c r="F2237" s="2120">
        <v>2.2999999999999998</v>
      </c>
      <c r="G2237">
        <v>3.07</v>
      </c>
    </row>
    <row r="2238" spans="1:7" ht="15.75">
      <c r="A2238" s="2121"/>
      <c r="B2238" s="2064"/>
      <c r="C2238" s="2122" t="s">
        <v>2824</v>
      </c>
      <c r="D2238" s="2064"/>
      <c r="E2238" s="2119">
        <f t="shared" si="108"/>
        <v>0.25000000000000006</v>
      </c>
      <c r="F2238" s="2120">
        <v>1.95</v>
      </c>
      <c r="G2238">
        <v>2.6</v>
      </c>
    </row>
    <row r="2239" spans="1:7" ht="15.75">
      <c r="A2239" s="2121"/>
      <c r="B2239" s="2064"/>
      <c r="C2239" s="2122" t="s">
        <v>2914</v>
      </c>
      <c r="D2239" s="2064"/>
      <c r="E2239" s="2119">
        <f t="shared" si="108"/>
        <v>0.25000000000000006</v>
      </c>
      <c r="F2239" s="2120">
        <v>1.95</v>
      </c>
      <c r="G2239">
        <v>2.6</v>
      </c>
    </row>
    <row r="2240" spans="1:7" ht="15.75">
      <c r="A2240" s="2121"/>
      <c r="B2240" s="2064"/>
      <c r="C2240" s="2122" t="s">
        <v>2851</v>
      </c>
      <c r="D2240" s="2064"/>
      <c r="E2240" s="2119">
        <f t="shared" si="108"/>
        <v>0.25000000000000006</v>
      </c>
      <c r="F2240" s="2120">
        <v>1.95</v>
      </c>
      <c r="G2240">
        <v>2.6</v>
      </c>
    </row>
    <row r="2241" spans="1:7" ht="16.5" thickBot="1">
      <c r="A2241" s="1315"/>
      <c r="B2241" s="2123"/>
      <c r="C2241" s="2124" t="s">
        <v>2825</v>
      </c>
      <c r="D2241" s="2123"/>
      <c r="E2241" s="2125">
        <f t="shared" si="108"/>
        <v>0.25000000000000006</v>
      </c>
      <c r="F2241" s="2126">
        <v>1.95</v>
      </c>
      <c r="G2241">
        <v>2.6</v>
      </c>
    </row>
    <row r="2242" spans="1:7" ht="15.75" thickBot="1"/>
    <row r="2243" spans="1:7">
      <c r="A2243" s="3572" t="s">
        <v>0</v>
      </c>
      <c r="B2243" s="3636" t="s">
        <v>1</v>
      </c>
      <c r="C2243" s="3636" t="s">
        <v>2</v>
      </c>
      <c r="D2243" s="3636" t="s">
        <v>3</v>
      </c>
      <c r="E2243" s="3636" t="s">
        <v>4</v>
      </c>
      <c r="F2243" s="3559" t="s">
        <v>5</v>
      </c>
      <c r="G2243" s="1906"/>
    </row>
    <row r="2244" spans="1:7" ht="15.75" thickBot="1">
      <c r="A2244" s="4009"/>
      <c r="B2244" s="3626"/>
      <c r="C2244" s="3626"/>
      <c r="D2244" s="3626"/>
      <c r="E2244" s="3626"/>
      <c r="F2244" s="3627"/>
      <c r="G2244" s="1906"/>
    </row>
    <row r="2245" spans="1:7">
      <c r="A2245" s="1675" t="s">
        <v>2966</v>
      </c>
      <c r="B2245" s="1771" t="s">
        <v>2155</v>
      </c>
      <c r="C2245" s="2217" t="s">
        <v>2077</v>
      </c>
      <c r="D2245" s="1957"/>
      <c r="E2245" s="1418">
        <f t="shared" ref="E2245:E2252" si="109">(G2245-F2245)/G2245</f>
        <v>0.19047619047619038</v>
      </c>
      <c r="F2245" s="1958">
        <v>0.34</v>
      </c>
      <c r="G2245" s="1590">
        <v>0.42</v>
      </c>
    </row>
    <row r="2246" spans="1:7">
      <c r="A2246" s="2127"/>
      <c r="B2246" s="2128"/>
      <c r="C2246" s="2326" t="s">
        <v>2156</v>
      </c>
      <c r="D2246" s="2129"/>
      <c r="E2246" s="2130">
        <f t="shared" si="109"/>
        <v>0.14932126696832582</v>
      </c>
      <c r="F2246" s="2131">
        <v>1.88</v>
      </c>
      <c r="G2246" s="1590">
        <v>2.21</v>
      </c>
    </row>
    <row r="2247" spans="1:7">
      <c r="A2247" s="2127"/>
      <c r="B2247" s="2128"/>
      <c r="C2247" s="2327" t="s">
        <v>1891</v>
      </c>
      <c r="D2247" s="2129"/>
      <c r="E2247" s="2130">
        <f t="shared" si="109"/>
        <v>0.27350427350427348</v>
      </c>
      <c r="F2247" s="2131">
        <v>0.85</v>
      </c>
      <c r="G2247" s="1590">
        <v>1.17</v>
      </c>
    </row>
    <row r="2248" spans="1:7">
      <c r="A2248" s="2132"/>
      <c r="B2248" s="2060"/>
      <c r="C2248" s="2327" t="s">
        <v>2351</v>
      </c>
      <c r="D2248" s="2129"/>
      <c r="E2248" s="2130">
        <f t="shared" si="109"/>
        <v>0.1764705882352941</v>
      </c>
      <c r="F2248" s="2131">
        <v>0.14000000000000001</v>
      </c>
      <c r="G2248" s="1590">
        <v>0.17</v>
      </c>
    </row>
    <row r="2249" spans="1:7">
      <c r="A2249" s="2121"/>
      <c r="B2249" s="2064"/>
      <c r="C2249" s="2331" t="s">
        <v>2352</v>
      </c>
      <c r="D2249" s="2064"/>
      <c r="E2249" s="2130">
        <f t="shared" si="109"/>
        <v>0.1764705882352941</v>
      </c>
      <c r="F2249" s="2133">
        <v>0.14000000000000001</v>
      </c>
      <c r="G2249" s="1590">
        <v>0.17</v>
      </c>
    </row>
    <row r="2250" spans="1:7">
      <c r="A2250" s="2121"/>
      <c r="B2250" s="2064"/>
      <c r="C2250" s="2064" t="s">
        <v>2462</v>
      </c>
      <c r="D2250" s="2064"/>
      <c r="E2250" s="2130">
        <f t="shared" si="109"/>
        <v>0.19871794871794873</v>
      </c>
      <c r="F2250" s="2133">
        <v>1.25</v>
      </c>
      <c r="G2250" s="1590">
        <v>1.56</v>
      </c>
    </row>
    <row r="2251" spans="1:7">
      <c r="A2251" s="2121"/>
      <c r="B2251" s="2064"/>
      <c r="C2251" s="2064" t="s">
        <v>2192</v>
      </c>
      <c r="D2251" s="2064"/>
      <c r="E2251" s="2130">
        <f t="shared" si="109"/>
        <v>0.19971870604781997</v>
      </c>
      <c r="F2251" s="2133">
        <v>5.69</v>
      </c>
      <c r="G2251" s="1590">
        <v>7.11</v>
      </c>
    </row>
    <row r="2252" spans="1:7" ht="15.75" thickBot="1">
      <c r="A2252" s="1315"/>
      <c r="B2252" s="2123"/>
      <c r="C2252" s="2123" t="s">
        <v>2194</v>
      </c>
      <c r="D2252" s="2123"/>
      <c r="E2252" s="2134">
        <f t="shared" si="109"/>
        <v>0.19971870604781997</v>
      </c>
      <c r="F2252" s="1368">
        <v>5.69</v>
      </c>
      <c r="G2252" s="1590">
        <v>7.11</v>
      </c>
    </row>
    <row r="2253" spans="1:7" ht="15.75" thickBot="1"/>
    <row r="2254" spans="1:7">
      <c r="A2254" s="3572"/>
      <c r="B2254" s="3636"/>
      <c r="C2254" s="3636"/>
      <c r="D2254" s="3636"/>
      <c r="E2254" s="3636"/>
      <c r="F2254" s="3559"/>
      <c r="G2254" s="429"/>
    </row>
    <row r="2255" spans="1:7" ht="15.75" thickBot="1">
      <c r="A2255" s="4010"/>
      <c r="B2255" s="3626"/>
      <c r="C2255" s="3626"/>
      <c r="D2255" s="3626"/>
      <c r="E2255" s="3626"/>
      <c r="F2255" s="3627"/>
      <c r="G2255" s="429"/>
    </row>
    <row r="2256" spans="1:7">
      <c r="A2256" s="1675" t="s">
        <v>2982</v>
      </c>
      <c r="B2256" s="451" t="s">
        <v>2016</v>
      </c>
      <c r="C2256" s="1791" t="s">
        <v>2207</v>
      </c>
      <c r="D2256" s="1732"/>
      <c r="E2256" s="1772">
        <f t="shared" ref="E2256:E2267" si="110">(G2256-F2256)/G2256</f>
        <v>0.20000000000000007</v>
      </c>
      <c r="F2256" s="1793">
        <v>0.44</v>
      </c>
      <c r="G2256" s="436">
        <v>0.55000000000000004</v>
      </c>
    </row>
    <row r="2257" spans="1:8">
      <c r="A2257" s="2187"/>
      <c r="B2257" s="2188"/>
      <c r="C2257" s="2189" t="s">
        <v>906</v>
      </c>
      <c r="D2257" s="2190"/>
      <c r="E2257" s="2168">
        <f t="shared" si="110"/>
        <v>0.20000000000000007</v>
      </c>
      <c r="F2257" s="2191">
        <v>0.88</v>
      </c>
      <c r="G2257" s="429">
        <v>1.1000000000000001</v>
      </c>
    </row>
    <row r="2258" spans="1:8">
      <c r="A2258" s="2187"/>
      <c r="B2258" s="2188"/>
      <c r="C2258" s="2189" t="s">
        <v>1522</v>
      </c>
      <c r="D2258" s="2190"/>
      <c r="E2258" s="2168">
        <f t="shared" si="110"/>
        <v>0.16814159292035394</v>
      </c>
      <c r="F2258" s="2191">
        <v>0.94</v>
      </c>
      <c r="G2258" s="429">
        <v>1.1299999999999999</v>
      </c>
    </row>
    <row r="2259" spans="1:8">
      <c r="A2259" s="2187"/>
      <c r="B2259" s="2188"/>
      <c r="C2259" s="2189" t="s">
        <v>1563</v>
      </c>
      <c r="D2259" s="2190"/>
      <c r="E2259" s="2168">
        <f t="shared" si="110"/>
        <v>0.20161290322580647</v>
      </c>
      <c r="F2259" s="2191">
        <v>0.99</v>
      </c>
      <c r="G2259" s="528">
        <v>1.24</v>
      </c>
    </row>
    <row r="2260" spans="1:8">
      <c r="A2260" s="2187"/>
      <c r="B2260" s="2188"/>
      <c r="C2260" s="2189" t="s">
        <v>2983</v>
      </c>
      <c r="D2260" s="2190"/>
      <c r="E2260" s="2168">
        <f t="shared" si="110"/>
        <v>0.19999999999999993</v>
      </c>
      <c r="F2260" s="2191">
        <v>1.32</v>
      </c>
      <c r="G2260" s="528">
        <v>1.65</v>
      </c>
    </row>
    <row r="2261" spans="1:8">
      <c r="A2261" s="2187"/>
      <c r="B2261" s="2188"/>
      <c r="C2261" s="2189" t="s">
        <v>2984</v>
      </c>
      <c r="D2261" s="2190"/>
      <c r="E2261" s="2168">
        <f t="shared" si="110"/>
        <v>0.19999999999999993</v>
      </c>
      <c r="F2261" s="2191">
        <v>1.32</v>
      </c>
      <c r="G2261" s="528">
        <v>1.65</v>
      </c>
    </row>
    <row r="2262" spans="1:8">
      <c r="A2262" s="2192"/>
      <c r="B2262" s="2177"/>
      <c r="C2262" s="2177" t="s">
        <v>2940</v>
      </c>
      <c r="D2262" s="2177"/>
      <c r="E2262" s="2168">
        <f t="shared" si="110"/>
        <v>0.19999999999999993</v>
      </c>
      <c r="F2262" s="2178">
        <v>1.32</v>
      </c>
      <c r="G2262" s="528">
        <v>1.65</v>
      </c>
    </row>
    <row r="2263" spans="1:8">
      <c r="A2263" s="2192"/>
      <c r="B2263" s="2177"/>
      <c r="C2263" s="2177" t="s">
        <v>2941</v>
      </c>
      <c r="D2263" s="2177"/>
      <c r="E2263" s="2168">
        <f t="shared" si="110"/>
        <v>0.19999999999999993</v>
      </c>
      <c r="F2263" s="2178">
        <v>1.32</v>
      </c>
      <c r="G2263" s="528">
        <v>1.65</v>
      </c>
    </row>
    <row r="2264" spans="1:8">
      <c r="A2264" s="2192"/>
      <c r="B2264" s="2177"/>
      <c r="C2264" s="2332" t="s">
        <v>2985</v>
      </c>
      <c r="D2264" s="2177"/>
      <c r="E2264" s="2168">
        <f t="shared" si="110"/>
        <v>0.19672131147540983</v>
      </c>
      <c r="F2264" s="2178">
        <v>0.98</v>
      </c>
      <c r="G2264" s="528">
        <v>1.22</v>
      </c>
    </row>
    <row r="2265" spans="1:8">
      <c r="A2265" s="2192"/>
      <c r="B2265" s="2177"/>
      <c r="C2265" s="2332" t="s">
        <v>2251</v>
      </c>
      <c r="D2265" s="2177"/>
      <c r="E2265" s="2168">
        <f t="shared" si="110"/>
        <v>0.1999999999999999</v>
      </c>
      <c r="F2265" s="2178">
        <v>1.84</v>
      </c>
      <c r="G2265" s="528">
        <v>2.2999999999999998</v>
      </c>
    </row>
    <row r="2266" spans="1:8">
      <c r="A2266" s="2192"/>
      <c r="B2266" s="2177"/>
      <c r="C2266" s="2332" t="s">
        <v>2176</v>
      </c>
      <c r="D2266" s="2177"/>
      <c r="E2266" s="2168">
        <f t="shared" si="110"/>
        <v>0.20000000000000007</v>
      </c>
      <c r="F2266" s="2178">
        <v>1.88</v>
      </c>
      <c r="G2266" s="528">
        <v>2.35</v>
      </c>
    </row>
    <row r="2267" spans="1:8" ht="15.75" thickBot="1">
      <c r="A2267" s="1315"/>
      <c r="B2267" s="2035"/>
      <c r="C2267" s="2035" t="s">
        <v>2986</v>
      </c>
      <c r="D2267" s="2035"/>
      <c r="E2267" s="2036">
        <f t="shared" si="110"/>
        <v>0.20164609053497951</v>
      </c>
      <c r="F2267" s="1368">
        <v>1.94</v>
      </c>
      <c r="G2267" s="528">
        <v>2.4300000000000002</v>
      </c>
    </row>
    <row r="2268" spans="1:8" ht="15.75" thickBot="1"/>
    <row r="2269" spans="1:8">
      <c r="A2269" s="3572"/>
      <c r="B2269" s="3636"/>
      <c r="C2269" s="3636"/>
      <c r="D2269" s="3636"/>
      <c r="E2269" s="3636"/>
      <c r="F2269" s="3559"/>
      <c r="G2269" s="429"/>
      <c r="H2269" t="s">
        <v>2987</v>
      </c>
    </row>
    <row r="2270" spans="1:8" ht="15.75" thickBot="1">
      <c r="A2270" s="3677"/>
      <c r="B2270" s="3626"/>
      <c r="C2270" s="3626"/>
      <c r="D2270" s="3626"/>
      <c r="E2270" s="3626"/>
      <c r="F2270" s="3627"/>
      <c r="G2270" s="429"/>
    </row>
    <row r="2271" spans="1:8">
      <c r="A2271" s="1675" t="s">
        <v>2988</v>
      </c>
      <c r="B2271" s="451" t="s">
        <v>120</v>
      </c>
      <c r="C2271" s="1791" t="s">
        <v>273</v>
      </c>
      <c r="D2271" s="1792"/>
      <c r="E2271" s="1772">
        <f t="shared" ref="E2271:E2278" si="111">(G2271-F2271)/G2271</f>
        <v>0.19753086419753088</v>
      </c>
      <c r="F2271" s="1793">
        <v>0.65</v>
      </c>
      <c r="G2271" s="436">
        <v>0.81</v>
      </c>
      <c r="H2271">
        <v>1.01</v>
      </c>
    </row>
    <row r="2272" spans="1:8">
      <c r="A2272" s="2187"/>
      <c r="B2272" s="2188" t="s">
        <v>121</v>
      </c>
      <c r="C2272" s="2189" t="s">
        <v>177</v>
      </c>
      <c r="D2272" s="2193"/>
      <c r="E2272" s="2168">
        <f t="shared" si="111"/>
        <v>0.19753086419753088</v>
      </c>
      <c r="F2272" s="2191">
        <v>0.65</v>
      </c>
      <c r="G2272" s="429">
        <v>0.81</v>
      </c>
      <c r="H2272">
        <v>1.01</v>
      </c>
    </row>
    <row r="2273" spans="1:8">
      <c r="A2273" s="2187"/>
      <c r="B2273" s="2188" t="s">
        <v>123</v>
      </c>
      <c r="C2273" s="2189" t="s">
        <v>178</v>
      </c>
      <c r="D2273" s="2193"/>
      <c r="E2273" s="2168">
        <f t="shared" si="111"/>
        <v>0.19753086419753088</v>
      </c>
      <c r="F2273" s="2191">
        <v>0.65</v>
      </c>
      <c r="G2273" s="429">
        <v>0.81</v>
      </c>
      <c r="H2273">
        <v>1.01</v>
      </c>
    </row>
    <row r="2274" spans="1:8">
      <c r="A2274" s="2187"/>
      <c r="B2274" s="2188" t="s">
        <v>122</v>
      </c>
      <c r="C2274" s="2189" t="s">
        <v>1914</v>
      </c>
      <c r="D2274" s="2193"/>
      <c r="E2274" s="2168">
        <f t="shared" si="111"/>
        <v>0.19767441860465121</v>
      </c>
      <c r="F2274" s="2191">
        <v>0.69</v>
      </c>
      <c r="G2274" s="528">
        <v>0.86</v>
      </c>
    </row>
    <row r="2275" spans="1:8">
      <c r="A2275" s="2187"/>
      <c r="B2275" s="2188" t="s">
        <v>2057</v>
      </c>
      <c r="C2275" s="2189" t="s">
        <v>906</v>
      </c>
      <c r="D2275" s="2193"/>
      <c r="E2275" s="2168">
        <f t="shared" si="111"/>
        <v>0.20353982300884946</v>
      </c>
      <c r="F2275" s="2191">
        <v>0.9</v>
      </c>
      <c r="G2275" s="528">
        <v>1.1299999999999999</v>
      </c>
    </row>
    <row r="2276" spans="1:8">
      <c r="A2276" s="2187"/>
      <c r="B2276" s="2188"/>
      <c r="C2276" s="2189" t="s">
        <v>1120</v>
      </c>
      <c r="D2276" s="2193"/>
      <c r="E2276" s="2168">
        <f t="shared" si="111"/>
        <v>0.19230769230769237</v>
      </c>
      <c r="F2276" s="2191">
        <v>0.42</v>
      </c>
      <c r="G2276" s="528">
        <v>0.52</v>
      </c>
    </row>
    <row r="2277" spans="1:8">
      <c r="A2277" s="2187"/>
      <c r="B2277" s="2188"/>
      <c r="C2277" s="2189" t="s">
        <v>858</v>
      </c>
      <c r="D2277" s="2194"/>
      <c r="E2277" s="2168">
        <f t="shared" si="111"/>
        <v>0.19999999999999996</v>
      </c>
      <c r="F2277" s="2191">
        <v>0.8</v>
      </c>
      <c r="G2277" s="2195">
        <v>1</v>
      </c>
    </row>
    <row r="2278" spans="1:8" ht="15.75" thickBot="1">
      <c r="A2278" s="2051"/>
      <c r="B2278" s="2074"/>
      <c r="C2278" s="2196" t="s">
        <v>1892</v>
      </c>
      <c r="D2278" s="2074"/>
      <c r="E2278" s="2036">
        <f t="shared" si="111"/>
        <v>0.28099173553719009</v>
      </c>
      <c r="F2278" s="1358">
        <v>0.87</v>
      </c>
      <c r="G2278" s="528">
        <v>1.21</v>
      </c>
      <c r="H2278">
        <v>1.05</v>
      </c>
    </row>
    <row r="2281" spans="1:8" ht="15.75" thickBot="1"/>
    <row r="2282" spans="1:8">
      <c r="A2282" s="3572" t="s">
        <v>0</v>
      </c>
      <c r="B2282" s="3636" t="s">
        <v>1</v>
      </c>
      <c r="C2282" s="3636" t="s">
        <v>2</v>
      </c>
      <c r="D2282" s="3636" t="s">
        <v>3</v>
      </c>
      <c r="E2282" s="3636" t="s">
        <v>4</v>
      </c>
      <c r="F2282" s="3559" t="s">
        <v>5</v>
      </c>
      <c r="G2282" s="1906"/>
    </row>
    <row r="2283" spans="1:8" ht="15.75" thickBot="1">
      <c r="A2283" s="4010"/>
      <c r="B2283" s="3628"/>
      <c r="C2283" s="3628"/>
      <c r="D2283" s="3628"/>
      <c r="E2283" s="3628"/>
      <c r="F2283" s="3629"/>
      <c r="G2283" s="1906"/>
    </row>
    <row r="2284" spans="1:8">
      <c r="A2284" s="1675" t="s">
        <v>2994</v>
      </c>
      <c r="B2284" s="1771" t="s">
        <v>2155</v>
      </c>
      <c r="C2284" s="2328" t="s">
        <v>2743</v>
      </c>
      <c r="D2284" s="1957"/>
      <c r="E2284" s="1418">
        <f t="shared" ref="E2284:E2291" si="112">(G2284-F2284)/G2284</f>
        <v>0.19999999999999987</v>
      </c>
      <c r="F2284" s="1958">
        <v>0.56000000000000005</v>
      </c>
      <c r="G2284" s="1590">
        <v>0.7</v>
      </c>
    </row>
    <row r="2285" spans="1:8">
      <c r="A2285" s="2200"/>
      <c r="B2285" s="2201"/>
      <c r="C2285" s="2329" t="s">
        <v>2021</v>
      </c>
      <c r="D2285" s="2202"/>
      <c r="E2285" s="2203">
        <f t="shared" si="112"/>
        <v>0.20125786163522016</v>
      </c>
      <c r="F2285" s="2204">
        <v>1.27</v>
      </c>
      <c r="G2285" s="1590">
        <v>1.59</v>
      </c>
    </row>
    <row r="2286" spans="1:8">
      <c r="A2286" s="2200"/>
      <c r="B2286" s="2201"/>
      <c r="C2286" s="2330" t="s">
        <v>1905</v>
      </c>
      <c r="D2286" s="2202"/>
      <c r="E2286" s="2203">
        <f t="shared" si="112"/>
        <v>0.20125786163522016</v>
      </c>
      <c r="F2286" s="2204">
        <v>1.27</v>
      </c>
      <c r="G2286" s="1590">
        <v>1.59</v>
      </c>
    </row>
    <row r="2287" spans="1:8">
      <c r="A2287" s="2183"/>
      <c r="B2287" s="2170"/>
      <c r="C2287" s="2330" t="s">
        <v>2176</v>
      </c>
      <c r="D2287" s="2202"/>
      <c r="E2287" s="2203">
        <f t="shared" si="112"/>
        <v>0.19827586206896541</v>
      </c>
      <c r="F2287" s="2204">
        <v>1.86</v>
      </c>
      <c r="G2287" s="1590">
        <v>2.3199999999999998</v>
      </c>
    </row>
    <row r="2288" spans="1:8">
      <c r="A2288" s="2206"/>
      <c r="B2288" s="2177"/>
      <c r="C2288" s="2332" t="s">
        <v>2637</v>
      </c>
      <c r="D2288" s="2177"/>
      <c r="E2288" s="2203">
        <f t="shared" si="112"/>
        <v>0.1764705882352941</v>
      </c>
      <c r="F2288" s="2178">
        <v>0.14000000000000001</v>
      </c>
      <c r="G2288" s="1590">
        <v>0.17</v>
      </c>
    </row>
    <row r="2289" spans="1:7">
      <c r="A2289" s="2206"/>
      <c r="B2289" s="2177"/>
      <c r="C2289" s="2177"/>
      <c r="D2289" s="2177"/>
      <c r="E2289" s="2203" t="e">
        <f t="shared" si="112"/>
        <v>#DIV/0!</v>
      </c>
      <c r="F2289" s="2178"/>
      <c r="G2289" s="1590"/>
    </row>
    <row r="2290" spans="1:7">
      <c r="A2290" s="2206"/>
      <c r="B2290" s="2177"/>
      <c r="C2290" s="2177"/>
      <c r="D2290" s="2177"/>
      <c r="E2290" s="2203" t="e">
        <f t="shared" si="112"/>
        <v>#DIV/0!</v>
      </c>
      <c r="F2290" s="2178"/>
      <c r="G2290" s="1590"/>
    </row>
    <row r="2291" spans="1:7" ht="15.75" thickBot="1">
      <c r="A2291" s="1315"/>
      <c r="B2291" s="2035"/>
      <c r="C2291" s="2035"/>
      <c r="D2291" s="2035"/>
      <c r="E2291" s="2207" t="e">
        <f t="shared" si="112"/>
        <v>#DIV/0!</v>
      </c>
      <c r="F2291" s="1368"/>
      <c r="G2291" s="1590"/>
    </row>
    <row r="2292" spans="1:7" ht="15.75" hidden="1" thickBot="1"/>
    <row r="2293" spans="1:7" hidden="1">
      <c r="A2293" s="3572" t="s">
        <v>0</v>
      </c>
      <c r="B2293" s="3636" t="s">
        <v>1</v>
      </c>
      <c r="C2293" s="3636" t="s">
        <v>2</v>
      </c>
      <c r="D2293" s="3636" t="s">
        <v>3</v>
      </c>
      <c r="E2293" s="3636" t="s">
        <v>4</v>
      </c>
      <c r="F2293" s="3559" t="s">
        <v>5</v>
      </c>
    </row>
    <row r="2294" spans="1:7" ht="15.75" hidden="1" thickBot="1">
      <c r="A2294" s="3844"/>
      <c r="B2294" s="4001"/>
      <c r="C2294" s="4001"/>
      <c r="D2294" s="4001"/>
      <c r="E2294" s="4001"/>
      <c r="F2294" s="3848"/>
    </row>
    <row r="2295" spans="1:7" hidden="1">
      <c r="A2295" s="2220" t="s">
        <v>2995</v>
      </c>
      <c r="B2295" s="2072" t="s">
        <v>2029</v>
      </c>
      <c r="C2295" s="2221" t="s">
        <v>1891</v>
      </c>
      <c r="D2295" s="2072"/>
      <c r="E2295" s="2222">
        <f>(G2295-F2295)/G2295</f>
        <v>0.21100917431192667</v>
      </c>
      <c r="F2295" s="2223">
        <v>0.86</v>
      </c>
      <c r="G2295">
        <v>1.0900000000000001</v>
      </c>
    </row>
    <row r="2296" spans="1:7" ht="15.75" hidden="1" thickBot="1">
      <c r="A2296" s="491"/>
      <c r="B2296" s="2188" t="s">
        <v>3002</v>
      </c>
      <c r="C2296" s="2196" t="s">
        <v>1892</v>
      </c>
      <c r="D2296" s="2072"/>
      <c r="E2296" s="2224">
        <f>(G2296-F2296)/G2296</f>
        <v>0.21100917431192667</v>
      </c>
      <c r="F2296" s="2225">
        <v>0.86</v>
      </c>
      <c r="G2296">
        <v>1.0900000000000001</v>
      </c>
    </row>
    <row r="2297" spans="1:7" ht="15.75" hidden="1" thickBot="1">
      <c r="A2297" s="500"/>
      <c r="B2297" s="2074"/>
      <c r="C2297" s="2075"/>
      <c r="D2297" s="873"/>
      <c r="E2297" s="2076" t="e">
        <f>(G2297-F2297)/G2297</f>
        <v>#DIV/0!</v>
      </c>
      <c r="F2297" s="1347"/>
    </row>
    <row r="2298" spans="1:7" hidden="1"/>
    <row r="2299" spans="1:7" ht="15.75" hidden="1" thickBot="1"/>
    <row r="2300" spans="1:7">
      <c r="A2300" s="3572" t="s">
        <v>0</v>
      </c>
      <c r="B2300" s="3636" t="s">
        <v>1</v>
      </c>
      <c r="C2300" s="3636" t="s">
        <v>2</v>
      </c>
      <c r="D2300" s="3636" t="s">
        <v>3</v>
      </c>
      <c r="E2300" s="3636" t="s">
        <v>4</v>
      </c>
      <c r="F2300" s="3559" t="s">
        <v>5</v>
      </c>
      <c r="G2300" s="1906"/>
    </row>
    <row r="2301" spans="1:7" ht="15.75" thickBot="1">
      <c r="A2301" s="4010"/>
      <c r="B2301" s="3628"/>
      <c r="C2301" s="3628"/>
      <c r="D2301" s="3628"/>
      <c r="E2301" s="3628"/>
      <c r="F2301" s="3629"/>
      <c r="G2301" s="1906"/>
    </row>
    <row r="2302" spans="1:7">
      <c r="A2302" s="1675" t="s">
        <v>2996</v>
      </c>
      <c r="B2302" s="1771" t="s">
        <v>2155</v>
      </c>
      <c r="C2302" s="1791" t="s">
        <v>2827</v>
      </c>
      <c r="D2302" s="1957"/>
      <c r="E2302" s="1418">
        <f t="shared" ref="E2302:E2309" si="113">(G2302-F2302)/G2302</f>
        <v>0.35064935064935066</v>
      </c>
      <c r="F2302" s="1958">
        <v>1</v>
      </c>
      <c r="G2302" s="1590">
        <v>1.54</v>
      </c>
    </row>
    <row r="2303" spans="1:7">
      <c r="A2303" s="2200"/>
      <c r="B2303" s="2201"/>
      <c r="C2303" s="2189" t="s">
        <v>2890</v>
      </c>
      <c r="D2303" s="2202"/>
      <c r="E2303" s="2203">
        <f t="shared" si="113"/>
        <v>0.35064935064935066</v>
      </c>
      <c r="F2303" s="2204">
        <v>1</v>
      </c>
      <c r="G2303" s="1590">
        <v>1.54</v>
      </c>
    </row>
    <row r="2304" spans="1:7">
      <c r="A2304" s="2200"/>
      <c r="B2304" s="2201"/>
      <c r="C2304" s="2205" t="s">
        <v>2871</v>
      </c>
      <c r="D2304" s="2202"/>
      <c r="E2304" s="2203">
        <f t="shared" si="113"/>
        <v>0.35064935064935066</v>
      </c>
      <c r="F2304" s="2204">
        <v>1</v>
      </c>
      <c r="G2304" s="1590">
        <v>1.54</v>
      </c>
    </row>
    <row r="2305" spans="1:7">
      <c r="A2305" s="2183"/>
      <c r="B2305" s="2170"/>
      <c r="C2305" s="2330" t="s">
        <v>1892</v>
      </c>
      <c r="D2305" s="2202"/>
      <c r="E2305" s="2203">
        <f t="shared" si="113"/>
        <v>0.35897435897435892</v>
      </c>
      <c r="F2305" s="2204">
        <v>0.75</v>
      </c>
      <c r="G2305" s="1590">
        <v>1.17</v>
      </c>
    </row>
    <row r="2306" spans="1:7">
      <c r="A2306" s="2206"/>
      <c r="B2306" s="2177"/>
      <c r="C2306" s="2177"/>
      <c r="D2306" s="2177"/>
      <c r="E2306" s="2203" t="e">
        <f t="shared" si="113"/>
        <v>#DIV/0!</v>
      </c>
      <c r="F2306" s="2178"/>
      <c r="G2306" s="1590"/>
    </row>
    <row r="2307" spans="1:7">
      <c r="A2307" s="2206"/>
      <c r="B2307" s="2177"/>
      <c r="C2307" s="2177"/>
      <c r="D2307" s="2177"/>
      <c r="E2307" s="2203" t="e">
        <f t="shared" si="113"/>
        <v>#DIV/0!</v>
      </c>
      <c r="F2307" s="2178"/>
      <c r="G2307" s="1590"/>
    </row>
    <row r="2308" spans="1:7">
      <c r="A2308" s="2206"/>
      <c r="B2308" s="2177"/>
      <c r="C2308" s="2177"/>
      <c r="D2308" s="2177"/>
      <c r="E2308" s="2203" t="e">
        <f t="shared" si="113"/>
        <v>#DIV/0!</v>
      </c>
      <c r="F2308" s="2178"/>
      <c r="G2308" s="1590"/>
    </row>
    <row r="2309" spans="1:7" ht="15.75" thickBot="1">
      <c r="A2309" s="1315"/>
      <c r="B2309" s="2035"/>
      <c r="C2309" s="2035"/>
      <c r="D2309" s="2035"/>
      <c r="E2309" s="2207" t="e">
        <f t="shared" si="113"/>
        <v>#DIV/0!</v>
      </c>
      <c r="F2309" s="1368"/>
      <c r="G2309" s="1590"/>
    </row>
    <row r="2311" spans="1:7" ht="15.75" thickBot="1"/>
    <row r="2312" spans="1:7">
      <c r="A2312" s="3614" t="s">
        <v>0</v>
      </c>
      <c r="B2312" s="3693" t="s">
        <v>1</v>
      </c>
      <c r="C2312" s="3693" t="s">
        <v>2</v>
      </c>
      <c r="D2312" s="3693" t="s">
        <v>3</v>
      </c>
      <c r="E2312" s="3693" t="s">
        <v>4</v>
      </c>
      <c r="F2312" s="3522" t="s">
        <v>5</v>
      </c>
    </row>
    <row r="2313" spans="1:7" ht="15.75" thickBot="1">
      <c r="A2313" s="4213"/>
      <c r="B2313" s="3622"/>
      <c r="C2313" s="3622"/>
      <c r="D2313" s="3622"/>
      <c r="E2313" s="3622"/>
      <c r="F2313" s="3846"/>
    </row>
    <row r="2314" spans="1:7">
      <c r="A2314" s="1675" t="s">
        <v>3003</v>
      </c>
      <c r="B2314" s="451" t="s">
        <v>460</v>
      </c>
      <c r="C2314" s="1791" t="s">
        <v>3004</v>
      </c>
      <c r="D2314" s="1792"/>
      <c r="E2314" s="1772">
        <f t="shared" ref="E2314:E2324" si="114">(G2314-F2314)/G2314</f>
        <v>0.15079365079365076</v>
      </c>
      <c r="F2314" s="1793">
        <v>2.14</v>
      </c>
      <c r="G2314">
        <v>2.52</v>
      </c>
    </row>
    <row r="2315" spans="1:7">
      <c r="A2315" s="2200"/>
      <c r="B2315" s="2188"/>
      <c r="C2315" s="2189" t="s">
        <v>3005</v>
      </c>
      <c r="D2315" s="2193"/>
      <c r="E2315" s="2168">
        <f t="shared" si="114"/>
        <v>0.15079365079365076</v>
      </c>
      <c r="F2315" s="2191">
        <v>2.14</v>
      </c>
      <c r="G2315">
        <v>2.52</v>
      </c>
    </row>
    <row r="2316" spans="1:7">
      <c r="A2316" s="2200"/>
      <c r="B2316" s="2188"/>
      <c r="C2316" s="2189" t="s">
        <v>2192</v>
      </c>
      <c r="D2316" s="2193"/>
      <c r="E2316" s="2168">
        <f t="shared" si="114"/>
        <v>0.14977307110438731</v>
      </c>
      <c r="F2316" s="2191">
        <v>5.62</v>
      </c>
      <c r="G2316">
        <v>6.61</v>
      </c>
    </row>
    <row r="2317" spans="1:7">
      <c r="A2317" s="2183"/>
      <c r="B2317" s="2170"/>
      <c r="C2317" s="2189" t="s">
        <v>2194</v>
      </c>
      <c r="D2317" s="2193"/>
      <c r="E2317" s="2168">
        <f t="shared" si="114"/>
        <v>0.14977307110438731</v>
      </c>
      <c r="F2317" s="2191">
        <v>5.62</v>
      </c>
      <c r="G2317">
        <v>6.61</v>
      </c>
    </row>
    <row r="2318" spans="1:7">
      <c r="A2318" s="2183"/>
      <c r="B2318" s="2170"/>
      <c r="C2318" s="2189" t="s">
        <v>2266</v>
      </c>
      <c r="D2318" s="2193"/>
      <c r="E2318" s="2168">
        <f t="shared" si="114"/>
        <v>0.14977307110438731</v>
      </c>
      <c r="F2318" s="2191">
        <v>5.62</v>
      </c>
      <c r="G2318">
        <v>6.61</v>
      </c>
    </row>
    <row r="2319" spans="1:7">
      <c r="A2319" s="2183"/>
      <c r="B2319" s="2170"/>
      <c r="C2319" s="2189" t="s">
        <v>2359</v>
      </c>
      <c r="D2319" s="2193"/>
      <c r="E2319" s="2168">
        <f t="shared" si="114"/>
        <v>0.14977307110438731</v>
      </c>
      <c r="F2319" s="2191">
        <v>5.62</v>
      </c>
      <c r="G2319">
        <v>6.61</v>
      </c>
    </row>
    <row r="2320" spans="1:7">
      <c r="A2320" s="2183"/>
      <c r="B2320" s="2170"/>
      <c r="C2320" s="2189" t="s">
        <v>469</v>
      </c>
      <c r="D2320" s="2193"/>
      <c r="E2320" s="2168">
        <f t="shared" si="114"/>
        <v>0.19801980198019797</v>
      </c>
      <c r="F2320" s="2191">
        <v>0.81</v>
      </c>
      <c r="G2320">
        <v>1.01</v>
      </c>
    </row>
    <row r="2321" spans="1:7">
      <c r="A2321" s="2183"/>
      <c r="B2321" s="2170"/>
      <c r="C2321" s="2170" t="s">
        <v>470</v>
      </c>
      <c r="D2321" s="2170"/>
      <c r="E2321" s="2168">
        <f t="shared" si="114"/>
        <v>0.19801980198019797</v>
      </c>
      <c r="F2321" s="2191">
        <v>0.81</v>
      </c>
      <c r="G2321">
        <v>1.01</v>
      </c>
    </row>
    <row r="2322" spans="1:7">
      <c r="A2322" s="2183"/>
      <c r="B2322" s="2170"/>
      <c r="C2322" s="2170" t="s">
        <v>471</v>
      </c>
      <c r="D2322" s="2170"/>
      <c r="E2322" s="2168">
        <f t="shared" si="114"/>
        <v>0.19801980198019797</v>
      </c>
      <c r="F2322" s="2191">
        <v>0.81</v>
      </c>
      <c r="G2322">
        <v>1.01</v>
      </c>
    </row>
    <row r="2323" spans="1:7">
      <c r="A2323" s="2183"/>
      <c r="B2323" s="2170"/>
      <c r="C2323" s="2170" t="s">
        <v>472</v>
      </c>
      <c r="D2323" s="2170"/>
      <c r="E2323" s="2168">
        <f t="shared" si="114"/>
        <v>0.19801980198019797</v>
      </c>
      <c r="F2323" s="2191">
        <v>0.81</v>
      </c>
      <c r="G2323">
        <v>1.01</v>
      </c>
    </row>
    <row r="2324" spans="1:7" ht="15.75" thickBot="1">
      <c r="A2324" s="1903"/>
      <c r="B2324" s="2171"/>
      <c r="C2324" s="2171" t="s">
        <v>473</v>
      </c>
      <c r="D2324" s="2171"/>
      <c r="E2324" s="2172">
        <f t="shared" si="114"/>
        <v>0.19801980198019797</v>
      </c>
      <c r="F2324" s="1805">
        <v>0.81</v>
      </c>
      <c r="G2324">
        <v>1.01</v>
      </c>
    </row>
    <row r="2325" spans="1:7" ht="15.75" thickBot="1"/>
    <row r="2326" spans="1:7">
      <c r="A2326" s="3614" t="s">
        <v>0</v>
      </c>
      <c r="B2326" s="3693" t="s">
        <v>1</v>
      </c>
      <c r="C2326" s="3693" t="s">
        <v>2</v>
      </c>
      <c r="D2326" s="3693" t="s">
        <v>3</v>
      </c>
      <c r="E2326" s="3693" t="s">
        <v>4</v>
      </c>
      <c r="F2326" s="3522" t="s">
        <v>5</v>
      </c>
    </row>
    <row r="2327" spans="1:7" ht="15.75" thickBot="1">
      <c r="A2327" s="4213"/>
      <c r="B2327" s="3622"/>
      <c r="C2327" s="3622"/>
      <c r="D2327" s="3622"/>
      <c r="E2327" s="3622"/>
      <c r="F2327" s="3846"/>
    </row>
    <row r="2328" spans="1:7" ht="15.75">
      <c r="A2328" s="1108" t="s">
        <v>3006</v>
      </c>
      <c r="B2328" s="1098" t="s">
        <v>2183</v>
      </c>
      <c r="C2328" s="2324" t="s">
        <v>2455</v>
      </c>
      <c r="D2328" s="1732"/>
      <c r="E2328" s="1236">
        <f>(G2328-F2328)/G2328</f>
        <v>0.15131578947368421</v>
      </c>
      <c r="F2328" s="2114">
        <v>1.29</v>
      </c>
      <c r="G2328">
        <v>1.52</v>
      </c>
    </row>
    <row r="2329" spans="1:7" ht="16.5" thickBot="1">
      <c r="A2329" s="1428"/>
      <c r="B2329" s="2165"/>
      <c r="C2329" s="2430" t="s">
        <v>1975</v>
      </c>
      <c r="D2329" s="2237"/>
      <c r="E2329" s="2238">
        <f>(G2329-F2329)/G2329</f>
        <v>0.14705882352941177</v>
      </c>
      <c r="F2329" s="2126">
        <v>1.45</v>
      </c>
      <c r="G2329">
        <v>1.7</v>
      </c>
    </row>
    <row r="2330" spans="1:7" ht="15.75" thickBot="1"/>
    <row r="2331" spans="1:7">
      <c r="A2331" s="3572" t="s">
        <v>0</v>
      </c>
      <c r="B2331" s="3636" t="s">
        <v>1</v>
      </c>
      <c r="C2331" s="3636" t="s">
        <v>2</v>
      </c>
      <c r="D2331" s="3636" t="s">
        <v>3</v>
      </c>
      <c r="E2331" s="3636" t="s">
        <v>4</v>
      </c>
      <c r="F2331" s="3559" t="s">
        <v>5</v>
      </c>
      <c r="G2331" s="1906"/>
    </row>
    <row r="2332" spans="1:7" ht="15.75" thickBot="1">
      <c r="A2332" s="4214"/>
      <c r="B2332" s="3626"/>
      <c r="C2332" s="3626"/>
      <c r="D2332" s="3626"/>
      <c r="E2332" s="3626"/>
      <c r="F2332" s="3627"/>
      <c r="G2332" s="1906"/>
    </row>
    <row r="2333" spans="1:7">
      <c r="A2333" s="1675" t="s">
        <v>3007</v>
      </c>
      <c r="B2333" s="1771" t="s">
        <v>2155</v>
      </c>
      <c r="C2333" s="2328" t="s">
        <v>2351</v>
      </c>
      <c r="D2333" s="1957"/>
      <c r="E2333" s="1418">
        <f t="shared" ref="E2333:E2339" si="115">(G2333-F2333)/G2333</f>
        <v>0.1764705882352941</v>
      </c>
      <c r="F2333" s="1958">
        <v>0.14000000000000001</v>
      </c>
      <c r="G2333" s="1590">
        <v>0.17</v>
      </c>
    </row>
    <row r="2334" spans="1:7">
      <c r="A2334" s="1700"/>
      <c r="B2334" s="2239"/>
      <c r="C2334" s="2432" t="s">
        <v>2352</v>
      </c>
      <c r="D2334" s="2240"/>
      <c r="E2334" s="2241">
        <f t="shared" si="115"/>
        <v>0.1764705882352941</v>
      </c>
      <c r="F2334" s="2242">
        <v>0.14000000000000001</v>
      </c>
      <c r="G2334" s="1590">
        <v>0.17</v>
      </c>
    </row>
    <row r="2335" spans="1:7">
      <c r="A2335" s="1700"/>
      <c r="B2335" s="2239"/>
      <c r="C2335" s="2433" t="s">
        <v>2251</v>
      </c>
      <c r="D2335" s="2240"/>
      <c r="E2335" s="2241">
        <f t="shared" si="115"/>
        <v>0.1999999999999999</v>
      </c>
      <c r="F2335" s="2242">
        <v>1.84</v>
      </c>
      <c r="G2335" s="1590">
        <v>2.2999999999999998</v>
      </c>
    </row>
    <row r="2336" spans="1:7">
      <c r="A2336" s="1920"/>
      <c r="B2336" s="1976"/>
      <c r="C2336" s="2243" t="s">
        <v>2983</v>
      </c>
      <c r="D2336" s="2240"/>
      <c r="E2336" s="2241">
        <f t="shared" si="115"/>
        <v>0.25142857142857139</v>
      </c>
      <c r="F2336" s="2242">
        <v>1.31</v>
      </c>
      <c r="G2336" s="1590">
        <v>1.75</v>
      </c>
    </row>
    <row r="2337" spans="1:7">
      <c r="A2337" s="1739"/>
      <c r="B2337" s="1978"/>
      <c r="C2337" s="1978" t="s">
        <v>2984</v>
      </c>
      <c r="D2337" s="1978"/>
      <c r="E2337" s="2241">
        <f t="shared" si="115"/>
        <v>0.25142857142857139</v>
      </c>
      <c r="F2337" s="2244">
        <v>1.31</v>
      </c>
      <c r="G2337" s="1590">
        <v>1.75</v>
      </c>
    </row>
    <row r="2338" spans="1:7">
      <c r="A2338" s="1739"/>
      <c r="B2338" s="1978"/>
      <c r="C2338" s="1978" t="s">
        <v>2940</v>
      </c>
      <c r="D2338" s="1978"/>
      <c r="E2338" s="2241">
        <f t="shared" si="115"/>
        <v>0.25142857142857139</v>
      </c>
      <c r="F2338" s="2244">
        <v>1.31</v>
      </c>
      <c r="G2338" s="1590">
        <v>1.75</v>
      </c>
    </row>
    <row r="2339" spans="1:7" ht="15.75" thickBot="1">
      <c r="A2339" s="1315"/>
      <c r="B2339" s="1718"/>
      <c r="C2339" s="1718" t="s">
        <v>2941</v>
      </c>
      <c r="D2339" s="1718"/>
      <c r="E2339" s="1968">
        <f t="shared" si="115"/>
        <v>0.25142857142857139</v>
      </c>
      <c r="F2339" s="1368">
        <v>1.31</v>
      </c>
      <c r="G2339" s="1590">
        <v>1.75</v>
      </c>
    </row>
    <row r="2340" spans="1:7" ht="15.75" thickBot="1"/>
    <row r="2341" spans="1:7">
      <c r="A2341" s="3572"/>
      <c r="B2341" s="3636"/>
      <c r="C2341" s="3636"/>
      <c r="D2341" s="3636"/>
      <c r="E2341" s="3636"/>
      <c r="F2341" s="3559"/>
      <c r="G2341" s="429"/>
    </row>
    <row r="2342" spans="1:7" ht="15.75" thickBot="1">
      <c r="A2342" s="3877"/>
      <c r="B2342" s="3626"/>
      <c r="C2342" s="3626"/>
      <c r="D2342" s="3626"/>
      <c r="E2342" s="3626"/>
      <c r="F2342" s="3627"/>
      <c r="G2342" s="429"/>
    </row>
    <row r="2343" spans="1:7">
      <c r="A2343" s="1675" t="s">
        <v>3022</v>
      </c>
      <c r="B2343" s="451" t="s">
        <v>120</v>
      </c>
      <c r="C2343" s="1791" t="s">
        <v>2268</v>
      </c>
      <c r="D2343" s="1792"/>
      <c r="E2343" s="1772">
        <f t="shared" ref="E2343:E2352" si="116">(G2343-F2343)/G2343</f>
        <v>0.14723926380368099</v>
      </c>
      <c r="F2343" s="1793">
        <v>1.39</v>
      </c>
      <c r="G2343" s="436">
        <v>1.63</v>
      </c>
    </row>
    <row r="2344" spans="1:7">
      <c r="A2344" s="2047"/>
      <c r="B2344" s="2253" t="s">
        <v>121</v>
      </c>
      <c r="C2344" s="2254" t="s">
        <v>2207</v>
      </c>
      <c r="D2344" s="2255"/>
      <c r="E2344" s="2256">
        <f t="shared" si="116"/>
        <v>0.19298245614035078</v>
      </c>
      <c r="F2344" s="2257">
        <v>0.46</v>
      </c>
      <c r="G2344" s="429">
        <v>0.56999999999999995</v>
      </c>
    </row>
    <row r="2345" spans="1:7">
      <c r="A2345" s="2047"/>
      <c r="B2345" s="2253" t="s">
        <v>123</v>
      </c>
      <c r="C2345" s="2254" t="s">
        <v>3023</v>
      </c>
      <c r="D2345" s="2255"/>
      <c r="E2345" s="2256">
        <f t="shared" si="116"/>
        <v>0.19834710743801653</v>
      </c>
      <c r="F2345" s="2257">
        <v>0.97</v>
      </c>
      <c r="G2345">
        <v>1.21</v>
      </c>
    </row>
    <row r="2346" spans="1:7">
      <c r="A2346" s="2047"/>
      <c r="B2346" s="2253" t="s">
        <v>122</v>
      </c>
      <c r="C2346" s="2254" t="s">
        <v>3024</v>
      </c>
      <c r="D2346" s="2255"/>
      <c r="E2346" s="2256">
        <f t="shared" si="116"/>
        <v>0.19834710743801653</v>
      </c>
      <c r="F2346" s="2257">
        <v>0.97</v>
      </c>
      <c r="G2346" s="429">
        <v>1.21</v>
      </c>
    </row>
    <row r="2347" spans="1:7">
      <c r="A2347" s="2047"/>
      <c r="B2347" s="2253" t="s">
        <v>2057</v>
      </c>
      <c r="C2347" s="2254" t="s">
        <v>1300</v>
      </c>
      <c r="D2347" s="2255"/>
      <c r="E2347" s="2256">
        <f t="shared" si="116"/>
        <v>0.19718309859154931</v>
      </c>
      <c r="F2347" s="2257">
        <v>0.56999999999999995</v>
      </c>
      <c r="G2347" s="528">
        <v>0.71</v>
      </c>
    </row>
    <row r="2348" spans="1:7">
      <c r="A2348" s="2047"/>
      <c r="B2348" s="2253"/>
      <c r="C2348" s="2254" t="s">
        <v>730</v>
      </c>
      <c r="D2348" s="2255"/>
      <c r="E2348" s="2256">
        <f t="shared" si="116"/>
        <v>0.19540229885057475</v>
      </c>
      <c r="F2348" s="2257">
        <v>0.7</v>
      </c>
      <c r="G2348" s="528">
        <v>0.87</v>
      </c>
    </row>
    <row r="2349" spans="1:7">
      <c r="A2349" s="2047"/>
      <c r="B2349" s="2253"/>
      <c r="C2349" s="2254" t="s">
        <v>554</v>
      </c>
      <c r="D2349" s="2255"/>
      <c r="E2349" s="2256">
        <f t="shared" si="116"/>
        <v>0.2032520325203252</v>
      </c>
      <c r="F2349" s="2257">
        <v>0.98</v>
      </c>
      <c r="G2349" s="528">
        <v>1.23</v>
      </c>
    </row>
    <row r="2350" spans="1:7">
      <c r="A2350" s="2047"/>
      <c r="B2350" s="2253"/>
      <c r="C2350" s="2254" t="s">
        <v>2827</v>
      </c>
      <c r="D2350" s="2255"/>
      <c r="E2350" s="2256">
        <f t="shared" si="116"/>
        <v>0.20125786163522016</v>
      </c>
      <c r="F2350" s="2257">
        <v>1.27</v>
      </c>
      <c r="G2350" s="528">
        <v>1.59</v>
      </c>
    </row>
    <row r="2351" spans="1:7">
      <c r="A2351" s="2047"/>
      <c r="B2351" s="2253"/>
      <c r="C2351" s="2254" t="s">
        <v>2890</v>
      </c>
      <c r="D2351" s="2258"/>
      <c r="E2351" s="2256">
        <f t="shared" si="116"/>
        <v>0.20125786163522016</v>
      </c>
      <c r="F2351" s="2257">
        <v>1.27</v>
      </c>
      <c r="G2351" s="528">
        <v>1.59</v>
      </c>
    </row>
    <row r="2352" spans="1:7" ht="15.75" thickBot="1">
      <c r="A2352" s="2051"/>
      <c r="B2352" s="1705"/>
      <c r="C2352" s="2259" t="s">
        <v>473</v>
      </c>
      <c r="D2352" s="1705"/>
      <c r="E2352" s="1706">
        <f t="shared" si="116"/>
        <v>0.26363636363636367</v>
      </c>
      <c r="F2352" s="1358">
        <v>0.81</v>
      </c>
      <c r="G2352" s="2195">
        <v>1.1000000000000001</v>
      </c>
    </row>
    <row r="2353" spans="1:7" ht="15.75" thickBot="1"/>
    <row r="2354" spans="1:7">
      <c r="A2354" s="3572"/>
      <c r="B2354" s="3636"/>
      <c r="C2354" s="3636"/>
      <c r="D2354" s="3636"/>
      <c r="E2354" s="3636"/>
      <c r="F2354" s="3559"/>
      <c r="G2354" s="429"/>
    </row>
    <row r="2355" spans="1:7" ht="15.75" thickBot="1">
      <c r="A2355" s="4012"/>
      <c r="B2355" s="3626"/>
      <c r="C2355" s="3626"/>
      <c r="D2355" s="3626"/>
      <c r="E2355" s="3626"/>
      <c r="F2355" s="3627"/>
      <c r="G2355" s="429"/>
    </row>
    <row r="2356" spans="1:7">
      <c r="A2356" s="1675" t="s">
        <v>3031</v>
      </c>
      <c r="B2356" s="451" t="s">
        <v>2016</v>
      </c>
      <c r="C2356" s="2324" t="s">
        <v>2156</v>
      </c>
      <c r="D2356" s="1792"/>
      <c r="E2356" s="1772">
        <f t="shared" ref="E2356:E2368" si="117">(G2356-F2356)/G2356</f>
        <v>0.1479820627802691</v>
      </c>
      <c r="F2356" s="1793">
        <v>1.9</v>
      </c>
      <c r="G2356" s="436">
        <v>2.23</v>
      </c>
    </row>
    <row r="2357" spans="1:7">
      <c r="A2357" s="2047"/>
      <c r="B2357" s="2253"/>
      <c r="C2357" s="2429" t="s">
        <v>1975</v>
      </c>
      <c r="D2357" s="2255"/>
      <c r="E2357" s="2256">
        <f t="shared" si="117"/>
        <v>0.14942528735632185</v>
      </c>
      <c r="F2357" s="2262">
        <v>1.48</v>
      </c>
      <c r="G2357" s="429">
        <v>1.74</v>
      </c>
    </row>
    <row r="2358" spans="1:7">
      <c r="A2358" s="2047"/>
      <c r="B2358" s="2253"/>
      <c r="C2358" s="2254" t="s">
        <v>1300</v>
      </c>
      <c r="D2358" s="2255"/>
      <c r="E2358" s="2256">
        <f t="shared" si="117"/>
        <v>0.20289855072463756</v>
      </c>
      <c r="F2358" s="2262">
        <v>0.55000000000000004</v>
      </c>
      <c r="G2358">
        <v>0.69</v>
      </c>
    </row>
    <row r="2359" spans="1:7">
      <c r="A2359" s="2047"/>
      <c r="B2359" s="2253"/>
      <c r="C2359" s="2254" t="s">
        <v>554</v>
      </c>
      <c r="D2359" s="2255"/>
      <c r="E2359" s="2256">
        <f t="shared" si="117"/>
        <v>0.20168067226890757</v>
      </c>
      <c r="F2359" s="2262">
        <v>0.95</v>
      </c>
      <c r="G2359" s="429">
        <v>1.19</v>
      </c>
    </row>
    <row r="2360" spans="1:7">
      <c r="A2360" s="2047"/>
      <c r="B2360" s="2253"/>
      <c r="C2360" s="2254" t="s">
        <v>730</v>
      </c>
      <c r="D2360" s="2255"/>
      <c r="E2360" s="2256">
        <f t="shared" si="117"/>
        <v>0.2023809523809523</v>
      </c>
      <c r="F2360" s="2262">
        <v>0.67</v>
      </c>
      <c r="G2360" s="528">
        <v>0.84</v>
      </c>
    </row>
    <row r="2361" spans="1:7">
      <c r="A2361" s="2047"/>
      <c r="B2361" s="2253"/>
      <c r="C2361" s="2254" t="s">
        <v>2827</v>
      </c>
      <c r="D2361" s="2255"/>
      <c r="E2361" s="2256">
        <f t="shared" si="117"/>
        <v>0.20129870129870134</v>
      </c>
      <c r="F2361" s="2262">
        <v>1.23</v>
      </c>
      <c r="G2361" s="528">
        <v>1.54</v>
      </c>
    </row>
    <row r="2362" spans="1:7">
      <c r="A2362" s="2047"/>
      <c r="B2362" s="2253"/>
      <c r="C2362" s="2254" t="s">
        <v>2890</v>
      </c>
      <c r="D2362" s="2255"/>
      <c r="E2362" s="2256">
        <f t="shared" si="117"/>
        <v>0.20129870129870134</v>
      </c>
      <c r="F2362" s="2262">
        <v>1.23</v>
      </c>
      <c r="G2362" s="528">
        <v>1.54</v>
      </c>
    </row>
    <row r="2363" spans="1:7">
      <c r="A2363" s="2047"/>
      <c r="B2363" s="2253"/>
      <c r="C2363" s="2254" t="s">
        <v>2871</v>
      </c>
      <c r="D2363" s="2255"/>
      <c r="E2363" s="2256">
        <f t="shared" si="117"/>
        <v>0.20129870129870134</v>
      </c>
      <c r="F2363" s="2262">
        <v>1.23</v>
      </c>
      <c r="G2363" s="528">
        <v>1.54</v>
      </c>
    </row>
    <row r="2364" spans="1:7">
      <c r="A2364" s="2047"/>
      <c r="B2364" s="2253"/>
      <c r="C2364" s="2254" t="s">
        <v>1058</v>
      </c>
      <c r="D2364" s="2258"/>
      <c r="E2364" s="2256">
        <f t="shared" si="117"/>
        <v>0.19806763285024151</v>
      </c>
      <c r="F2364" s="2262">
        <v>1.66</v>
      </c>
      <c r="G2364" s="528">
        <v>2.0699999999999998</v>
      </c>
    </row>
    <row r="2365" spans="1:7">
      <c r="A2365" s="2047"/>
      <c r="B2365" s="2253"/>
      <c r="C2365" s="2263" t="s">
        <v>2960</v>
      </c>
      <c r="D2365" s="2253"/>
      <c r="E2365" s="2256">
        <f t="shared" si="117"/>
        <v>0.2975206611570248</v>
      </c>
      <c r="F2365" s="2264">
        <v>0.85</v>
      </c>
      <c r="G2365" s="2195">
        <v>1.21</v>
      </c>
    </row>
    <row r="2366" spans="1:7">
      <c r="A2366" s="1739"/>
      <c r="B2366" s="1978"/>
      <c r="C2366" s="1978" t="s">
        <v>2961</v>
      </c>
      <c r="D2366" s="1978"/>
      <c r="E2366" s="2256">
        <f t="shared" si="117"/>
        <v>0.2975206611570248</v>
      </c>
      <c r="F2366" s="2265">
        <v>0.85</v>
      </c>
      <c r="G2366" s="528">
        <v>1.21</v>
      </c>
    </row>
    <row r="2367" spans="1:7">
      <c r="A2367" s="1739"/>
      <c r="B2367" s="1978"/>
      <c r="C2367" s="1978" t="s">
        <v>2962</v>
      </c>
      <c r="D2367" s="1978"/>
      <c r="E2367" s="2256">
        <f t="shared" si="117"/>
        <v>0.2975206611570248</v>
      </c>
      <c r="F2367" s="2265">
        <v>0.85</v>
      </c>
      <c r="G2367" s="528">
        <v>1.21</v>
      </c>
    </row>
    <row r="2368" spans="1:7" ht="15.75" thickBot="1">
      <c r="A2368" s="1315"/>
      <c r="B2368" s="1718"/>
      <c r="C2368" s="1718" t="s">
        <v>470</v>
      </c>
      <c r="D2368" s="1718"/>
      <c r="E2368" s="1706">
        <f t="shared" si="117"/>
        <v>0.19587628865979376</v>
      </c>
      <c r="F2368" s="1368">
        <v>0.78</v>
      </c>
      <c r="G2368" s="528">
        <v>0.97</v>
      </c>
    </row>
    <row r="2370" spans="1:7" ht="15.75" thickBot="1"/>
    <row r="2371" spans="1:7">
      <c r="A2371" s="3572" t="s">
        <v>0</v>
      </c>
      <c r="B2371" s="3636" t="s">
        <v>1</v>
      </c>
      <c r="C2371" s="3636" t="s">
        <v>2</v>
      </c>
      <c r="D2371" s="3636" t="s">
        <v>3</v>
      </c>
      <c r="E2371" s="3636" t="s">
        <v>4</v>
      </c>
      <c r="F2371" s="3559" t="s">
        <v>5</v>
      </c>
      <c r="G2371" s="429"/>
    </row>
    <row r="2372" spans="1:7" ht="15.75" thickBot="1">
      <c r="A2372" s="4012"/>
      <c r="B2372" s="3692"/>
      <c r="C2372" s="3692"/>
      <c r="D2372" s="3692"/>
      <c r="E2372" s="3692"/>
      <c r="F2372" s="3705"/>
      <c r="G2372" s="429"/>
    </row>
    <row r="2373" spans="1:7" ht="16.5" thickTop="1">
      <c r="A2373" s="2277" t="s">
        <v>3040</v>
      </c>
      <c r="B2373" s="2072" t="s">
        <v>2082</v>
      </c>
      <c r="C2373" s="1097" t="s">
        <v>1283</v>
      </c>
      <c r="D2373" s="2072"/>
      <c r="E2373" s="1553">
        <f>(G2373-F2373)/G2373</f>
        <v>0.15135135135135136</v>
      </c>
      <c r="F2373" s="2278">
        <v>1.57</v>
      </c>
      <c r="G2373" s="436">
        <v>1.85</v>
      </c>
    </row>
    <row r="2374" spans="1:7">
      <c r="A2374" s="491"/>
      <c r="B2374" s="2253"/>
      <c r="C2374" s="2431" t="s">
        <v>1891</v>
      </c>
      <c r="D2374" s="2072"/>
      <c r="E2374" s="2279">
        <f>(G2374-F2374)/G2374</f>
        <v>0.28925619834710742</v>
      </c>
      <c r="F2374" s="2278">
        <v>0.86</v>
      </c>
      <c r="G2374" s="436">
        <v>1.21</v>
      </c>
    </row>
    <row r="2375" spans="1:7" ht="15.75" thickBot="1">
      <c r="A2375" s="500"/>
      <c r="B2375" s="1705"/>
      <c r="C2375" s="1756"/>
      <c r="D2375" s="873"/>
      <c r="E2375" s="1757" t="e">
        <f>(G2375-F2375)/G2375</f>
        <v>#DIV/0!</v>
      </c>
      <c r="F2375" s="1347"/>
      <c r="G2375" s="429"/>
    </row>
    <row r="2376" spans="1:7" ht="15.75" thickBot="1"/>
    <row r="2377" spans="1:7">
      <c r="A2377" s="3572" t="s">
        <v>0</v>
      </c>
      <c r="B2377" s="3636" t="s">
        <v>1</v>
      </c>
      <c r="C2377" s="3636" t="s">
        <v>2</v>
      </c>
      <c r="D2377" s="3636" t="s">
        <v>3</v>
      </c>
      <c r="E2377" s="3636" t="s">
        <v>4</v>
      </c>
      <c r="F2377" s="3559" t="s">
        <v>5</v>
      </c>
      <c r="G2377" s="1906"/>
    </row>
    <row r="2378" spans="1:7" ht="15.75" thickBot="1">
      <c r="A2378" s="4012"/>
      <c r="B2378" s="3626"/>
      <c r="C2378" s="3626"/>
      <c r="D2378" s="3626"/>
      <c r="E2378" s="3626"/>
      <c r="F2378" s="3629"/>
      <c r="G2378" s="1906"/>
    </row>
    <row r="2379" spans="1:7">
      <c r="A2379" s="1675" t="s">
        <v>3043</v>
      </c>
      <c r="B2379" s="1771" t="s">
        <v>2155</v>
      </c>
      <c r="C2379" s="2328" t="s">
        <v>1891</v>
      </c>
      <c r="D2379" s="1957"/>
      <c r="E2379" s="1418">
        <f t="shared" ref="E2379:E2386" si="118">(G2379-F2379)/G2379</f>
        <v>0.2649572649572649</v>
      </c>
      <c r="F2379" s="1958">
        <v>0.86</v>
      </c>
      <c r="G2379" s="1590">
        <v>1.17</v>
      </c>
    </row>
    <row r="2380" spans="1:7">
      <c r="A2380" s="1700"/>
      <c r="B2380" s="2239"/>
      <c r="C2380" s="2432" t="s">
        <v>2353</v>
      </c>
      <c r="D2380" s="2240"/>
      <c r="E2380" s="2241">
        <f t="shared" si="118"/>
        <v>0.1764705882352941</v>
      </c>
      <c r="F2380" s="2285">
        <v>0.14000000000000001</v>
      </c>
      <c r="G2380" s="1590">
        <v>0.17</v>
      </c>
    </row>
    <row r="2381" spans="1:7">
      <c r="A2381" s="1700"/>
      <c r="B2381" s="2239"/>
      <c r="C2381" s="2433" t="s">
        <v>2455</v>
      </c>
      <c r="D2381" s="2240"/>
      <c r="E2381" s="2241">
        <f t="shared" si="118"/>
        <v>0.20129870129870134</v>
      </c>
      <c r="F2381" s="2285">
        <v>1.23</v>
      </c>
      <c r="G2381" s="1590">
        <v>1.54</v>
      </c>
    </row>
    <row r="2382" spans="1:7">
      <c r="A2382" s="1920"/>
      <c r="B2382" s="1976"/>
      <c r="C2382" s="2243"/>
      <c r="D2382" s="2240"/>
      <c r="E2382" s="2241" t="e">
        <f t="shared" si="118"/>
        <v>#DIV/0!</v>
      </c>
      <c r="F2382" s="2285"/>
      <c r="G2382" s="1590"/>
    </row>
    <row r="2383" spans="1:7">
      <c r="A2383" s="1739"/>
      <c r="B2383" s="1978"/>
      <c r="C2383" s="1978"/>
      <c r="D2383" s="1978"/>
      <c r="E2383" s="2241" t="e">
        <f t="shared" si="118"/>
        <v>#DIV/0!</v>
      </c>
      <c r="F2383" s="2286"/>
      <c r="G2383" s="1590"/>
    </row>
    <row r="2384" spans="1:7">
      <c r="A2384" s="1739"/>
      <c r="B2384" s="1978"/>
      <c r="C2384" s="1978"/>
      <c r="D2384" s="1978"/>
      <c r="E2384" s="2241" t="e">
        <f t="shared" si="118"/>
        <v>#DIV/0!</v>
      </c>
      <c r="F2384" s="2286"/>
      <c r="G2384" s="1590"/>
    </row>
    <row r="2385" spans="1:7">
      <c r="A2385" s="1739"/>
      <c r="B2385" s="1978"/>
      <c r="C2385" s="1978"/>
      <c r="D2385" s="1978"/>
      <c r="E2385" s="2241" t="e">
        <f t="shared" si="118"/>
        <v>#DIV/0!</v>
      </c>
      <c r="F2385" s="2286"/>
      <c r="G2385" s="1590"/>
    </row>
    <row r="2386" spans="1:7" ht="15.75" thickBot="1">
      <c r="A2386" s="1315"/>
      <c r="B2386" s="1718"/>
      <c r="C2386" s="1718"/>
      <c r="D2386" s="1718"/>
      <c r="E2386" s="1968" t="e">
        <f t="shared" si="118"/>
        <v>#DIV/0!</v>
      </c>
      <c r="F2386" s="1368"/>
      <c r="G2386" s="1590"/>
    </row>
    <row r="2387" spans="1:7" ht="15.75" thickBot="1"/>
    <row r="2388" spans="1:7">
      <c r="A2388" s="3572"/>
      <c r="B2388" s="3636"/>
      <c r="C2388" s="3636"/>
      <c r="D2388" s="3636"/>
      <c r="E2388" s="3636"/>
      <c r="F2388" s="3559"/>
      <c r="G2388" s="429"/>
    </row>
    <row r="2389" spans="1:7" ht="15.75" thickBot="1">
      <c r="A2389" s="3866"/>
      <c r="B2389" s="3626"/>
      <c r="C2389" s="3626"/>
      <c r="D2389" s="3626"/>
      <c r="E2389" s="3626"/>
      <c r="F2389" s="3627"/>
      <c r="G2389" s="429"/>
    </row>
    <row r="2390" spans="1:7">
      <c r="A2390" s="1675" t="s">
        <v>3058</v>
      </c>
      <c r="B2390" s="451" t="s">
        <v>120</v>
      </c>
      <c r="C2390" s="1791" t="s">
        <v>2983</v>
      </c>
      <c r="D2390" s="1792"/>
      <c r="E2390" s="1772">
        <f>(G2390-F2390)/G2390</f>
        <v>0.19892473118279574</v>
      </c>
      <c r="F2390" s="1793">
        <v>1.49</v>
      </c>
      <c r="G2390" s="429">
        <v>1.86</v>
      </c>
    </row>
    <row r="2391" spans="1:7">
      <c r="A2391" s="2047"/>
      <c r="B2391" s="2253" t="s">
        <v>121</v>
      </c>
      <c r="C2391" s="2254" t="s">
        <v>2940</v>
      </c>
      <c r="D2391" s="2255"/>
      <c r="E2391" s="2256">
        <f>(G2391-F2391)/G2391</f>
        <v>0.19892473118279574</v>
      </c>
      <c r="F2391" s="2294">
        <v>1.49</v>
      </c>
      <c r="G2391">
        <v>1.86</v>
      </c>
    </row>
    <row r="2392" spans="1:7">
      <c r="A2392" s="2047"/>
      <c r="B2392" s="2253" t="s">
        <v>123</v>
      </c>
      <c r="C2392" s="2254" t="s">
        <v>2999</v>
      </c>
      <c r="D2392" s="2255"/>
      <c r="E2392" s="2256">
        <f>(G2392-F2392)/G2392</f>
        <v>0.19801980198019797</v>
      </c>
      <c r="F2392" s="2294">
        <v>1.62</v>
      </c>
      <c r="G2392" s="429">
        <v>2.02</v>
      </c>
    </row>
    <row r="2393" spans="1:7">
      <c r="A2393" s="2047"/>
      <c r="B2393" s="2253" t="s">
        <v>122</v>
      </c>
      <c r="C2393" s="2254"/>
      <c r="D2393" s="2255"/>
      <c r="E2393" s="2256"/>
      <c r="F2393" s="2294"/>
      <c r="G2393" s="528"/>
    </row>
    <row r="2394" spans="1:7" ht="15.75" thickBot="1">
      <c r="A2394" s="2051"/>
      <c r="B2394" s="1705" t="s">
        <v>2057</v>
      </c>
      <c r="C2394" s="1718"/>
      <c r="D2394" s="1718"/>
      <c r="E2394" s="1718"/>
      <c r="F2394" s="1368"/>
    </row>
    <row r="2395" spans="1:7" ht="15.75" thickBot="1"/>
    <row r="2396" spans="1:7">
      <c r="A2396" s="3572"/>
      <c r="B2396" s="3636"/>
      <c r="C2396" s="3636"/>
      <c r="D2396" s="3636"/>
      <c r="E2396" s="3636"/>
      <c r="F2396" s="3559"/>
      <c r="G2396" s="429"/>
    </row>
    <row r="2397" spans="1:7" ht="15.75" thickBot="1">
      <c r="A2397" s="4126"/>
      <c r="B2397" s="3626"/>
      <c r="C2397" s="3626"/>
      <c r="D2397" s="3626"/>
      <c r="E2397" s="3626"/>
      <c r="F2397" s="3627"/>
      <c r="G2397" s="429"/>
    </row>
    <row r="2398" spans="1:7">
      <c r="A2398" s="1675" t="s">
        <v>3060</v>
      </c>
      <c r="B2398" s="451" t="s">
        <v>2016</v>
      </c>
      <c r="C2398" s="1791" t="s">
        <v>1913</v>
      </c>
      <c r="D2398" s="1792"/>
      <c r="E2398" s="1772">
        <f t="shared" ref="E2398:E2413" si="119">(G2398-F2398)/G2398</f>
        <v>0.20481927710843367</v>
      </c>
      <c r="F2398" s="1793">
        <v>0.66</v>
      </c>
      <c r="G2398" s="436">
        <v>0.83</v>
      </c>
    </row>
    <row r="2399" spans="1:7">
      <c r="A2399" s="2047"/>
      <c r="B2399" s="2253"/>
      <c r="C2399" s="2254" t="s">
        <v>1914</v>
      </c>
      <c r="D2399" s="2255"/>
      <c r="E2399" s="2256">
        <f t="shared" si="119"/>
        <v>0.20481927710843367</v>
      </c>
      <c r="F2399" s="2297">
        <v>0.66</v>
      </c>
      <c r="G2399" s="429">
        <v>0.83</v>
      </c>
    </row>
    <row r="2400" spans="1:7">
      <c r="A2400" s="2047"/>
      <c r="B2400" s="2253"/>
      <c r="C2400" s="2254" t="s">
        <v>940</v>
      </c>
      <c r="D2400" s="2255"/>
      <c r="E2400" s="2256">
        <f t="shared" si="119"/>
        <v>0.19944979367262716</v>
      </c>
      <c r="F2400" s="2297">
        <v>5.82</v>
      </c>
      <c r="G2400">
        <v>7.27</v>
      </c>
    </row>
    <row r="2401" spans="1:7">
      <c r="A2401" s="2047"/>
      <c r="B2401" s="2253"/>
      <c r="C2401" s="2254" t="s">
        <v>636</v>
      </c>
      <c r="D2401" s="2255"/>
      <c r="E2401" s="2256">
        <f t="shared" si="119"/>
        <v>0.19811320754716988</v>
      </c>
      <c r="F2401" s="2297">
        <v>0.85</v>
      </c>
      <c r="G2401" s="429">
        <v>1.06</v>
      </c>
    </row>
    <row r="2402" spans="1:7">
      <c r="A2402" s="2047"/>
      <c r="B2402" s="2253"/>
      <c r="C2402" s="2254" t="s">
        <v>1268</v>
      </c>
      <c r="D2402" s="2255"/>
      <c r="E2402" s="2256">
        <f t="shared" si="119"/>
        <v>0.20353982300884946</v>
      </c>
      <c r="F2402" s="2297">
        <v>0.9</v>
      </c>
      <c r="G2402" s="528">
        <v>1.1299999999999999</v>
      </c>
    </row>
    <row r="2403" spans="1:7">
      <c r="A2403" s="2047"/>
      <c r="B2403" s="2253"/>
      <c r="C2403" s="2254" t="s">
        <v>1614</v>
      </c>
      <c r="D2403" s="2255"/>
      <c r="E2403" s="2256">
        <f t="shared" si="119"/>
        <v>0.20300751879699247</v>
      </c>
      <c r="F2403" s="2297">
        <v>1.06</v>
      </c>
      <c r="G2403" s="528">
        <v>1.33</v>
      </c>
    </row>
    <row r="2404" spans="1:7">
      <c r="A2404" s="2047"/>
      <c r="B2404" s="2253"/>
      <c r="C2404" s="2254" t="s">
        <v>2792</v>
      </c>
      <c r="D2404" s="2255"/>
      <c r="E2404" s="2256">
        <f t="shared" si="119"/>
        <v>0.20300751879699247</v>
      </c>
      <c r="F2404" s="2297">
        <v>1.06</v>
      </c>
      <c r="G2404" s="528">
        <v>1.33</v>
      </c>
    </row>
    <row r="2405" spans="1:7">
      <c r="A2405" s="2047"/>
      <c r="B2405" s="2253"/>
      <c r="C2405" s="2254" t="s">
        <v>686</v>
      </c>
      <c r="D2405" s="2255"/>
      <c r="E2405" s="2256">
        <f t="shared" si="119"/>
        <v>0.19823788546255505</v>
      </c>
      <c r="F2405" s="2297">
        <v>1.82</v>
      </c>
      <c r="G2405" s="528">
        <v>2.27</v>
      </c>
    </row>
    <row r="2406" spans="1:7">
      <c r="A2406" s="2047"/>
      <c r="B2406" s="2253"/>
      <c r="C2406" s="2254" t="s">
        <v>687</v>
      </c>
      <c r="D2406" s="2258"/>
      <c r="E2406" s="2256">
        <f t="shared" si="119"/>
        <v>0.19823788546255505</v>
      </c>
      <c r="F2406" s="2297">
        <v>1.82</v>
      </c>
      <c r="G2406" s="528">
        <v>2.27</v>
      </c>
    </row>
    <row r="2407" spans="1:7">
      <c r="A2407" s="2047"/>
      <c r="B2407" s="2253"/>
      <c r="C2407" s="2433" t="s">
        <v>2284</v>
      </c>
      <c r="D2407" s="2253"/>
      <c r="E2407" s="2256">
        <f t="shared" si="119"/>
        <v>0.19907407407407413</v>
      </c>
      <c r="F2407" s="2298">
        <v>1.73</v>
      </c>
      <c r="G2407" s="2195">
        <v>2.16</v>
      </c>
    </row>
    <row r="2408" spans="1:7">
      <c r="A2408" s="1739"/>
      <c r="B2408" s="1978"/>
      <c r="C2408" s="1978" t="s">
        <v>3061</v>
      </c>
      <c r="D2408" s="1978"/>
      <c r="E2408" s="2256">
        <f t="shared" si="119"/>
        <v>0.48936170212765956</v>
      </c>
      <c r="F2408" s="2299">
        <v>0.24</v>
      </c>
      <c r="G2408" s="528">
        <v>0.47</v>
      </c>
    </row>
    <row r="2409" spans="1:7">
      <c r="A2409" s="1739"/>
      <c r="B2409" s="1978"/>
      <c r="C2409" s="1978" t="s">
        <v>2748</v>
      </c>
      <c r="D2409" s="1978"/>
      <c r="E2409" s="2256">
        <f t="shared" si="119"/>
        <v>0.19999999999999996</v>
      </c>
      <c r="F2409" s="2299">
        <v>0.4</v>
      </c>
      <c r="G2409" s="528">
        <v>0.5</v>
      </c>
    </row>
    <row r="2410" spans="1:7">
      <c r="A2410" s="1739"/>
      <c r="B2410" s="1978"/>
      <c r="C2410" s="1978" t="s">
        <v>3062</v>
      </c>
      <c r="D2410" s="1978"/>
      <c r="E2410" s="2256">
        <f t="shared" si="119"/>
        <v>0.4935064935064935</v>
      </c>
      <c r="F2410" s="2299">
        <v>0.39</v>
      </c>
      <c r="G2410" s="528">
        <v>0.77</v>
      </c>
    </row>
    <row r="2411" spans="1:7">
      <c r="A2411" s="1739"/>
      <c r="B2411" s="1978"/>
      <c r="C2411" s="1978" t="s">
        <v>3063</v>
      </c>
      <c r="D2411" s="1978"/>
      <c r="E2411" s="2256">
        <f t="shared" si="119"/>
        <v>0.5</v>
      </c>
      <c r="F2411" s="2299">
        <v>0.32</v>
      </c>
      <c r="G2411" s="528">
        <v>0.64</v>
      </c>
    </row>
    <row r="2412" spans="1:7">
      <c r="A2412" s="1739"/>
      <c r="B2412" s="1978"/>
      <c r="C2412" s="2489" t="s">
        <v>2387</v>
      </c>
      <c r="D2412" s="1978"/>
      <c r="E2412" s="2256">
        <f t="shared" si="119"/>
        <v>0.19892473118279574</v>
      </c>
      <c r="F2412" s="2299">
        <v>1.49</v>
      </c>
      <c r="G2412" s="528">
        <v>1.86</v>
      </c>
    </row>
    <row r="2413" spans="1:7" ht="15.75" thickBot="1">
      <c r="A2413" s="1315"/>
      <c r="B2413" s="1718"/>
      <c r="C2413" s="2488" t="s">
        <v>3064</v>
      </c>
      <c r="D2413" s="1718"/>
      <c r="E2413" s="1706">
        <f t="shared" si="119"/>
        <v>0.24961715160796322</v>
      </c>
      <c r="F2413" s="1368">
        <v>4.9000000000000004</v>
      </c>
      <c r="G2413" s="528">
        <v>6.53</v>
      </c>
    </row>
    <row r="2415" spans="1:7" ht="15.75" thickBot="1"/>
    <row r="2416" spans="1:7">
      <c r="A2416" s="3614" t="s">
        <v>0</v>
      </c>
      <c r="B2416" s="3693" t="s">
        <v>1</v>
      </c>
      <c r="C2416" s="3693" t="s">
        <v>2</v>
      </c>
      <c r="D2416" s="3693" t="s">
        <v>3</v>
      </c>
      <c r="E2416" s="3693" t="s">
        <v>4</v>
      </c>
      <c r="F2416" s="3522" t="s">
        <v>5</v>
      </c>
    </row>
    <row r="2417" spans="1:7">
      <c r="A2417" s="3858"/>
      <c r="B2417" s="3622"/>
      <c r="C2417" s="3622"/>
      <c r="D2417" s="3622"/>
      <c r="E2417" s="3622"/>
      <c r="F2417" s="3846"/>
    </row>
    <row r="2418" spans="1:7" ht="15.75">
      <c r="A2418" s="1733" t="s">
        <v>3068</v>
      </c>
      <c r="B2418" s="1766" t="s">
        <v>2183</v>
      </c>
      <c r="C2418" s="2429" t="s">
        <v>1892</v>
      </c>
      <c r="D2418" s="2341"/>
      <c r="E2418" s="2342">
        <f t="shared" ref="E2418:E2429" si="120">(G2418-F2418)/G2418</f>
        <v>0.24999999999999994</v>
      </c>
      <c r="F2418" s="2343">
        <v>0.93</v>
      </c>
      <c r="G2418">
        <v>1.24</v>
      </c>
    </row>
    <row r="2419" spans="1:7" ht="15.75">
      <c r="A2419" s="1743"/>
      <c r="B2419" s="1766"/>
      <c r="C2419" s="2429" t="s">
        <v>2251</v>
      </c>
      <c r="D2419" s="2341"/>
      <c r="E2419" s="2342">
        <f t="shared" si="120"/>
        <v>0.2</v>
      </c>
      <c r="F2419" s="2343">
        <v>1.92</v>
      </c>
      <c r="G2419">
        <v>2.4</v>
      </c>
    </row>
    <row r="2420" spans="1:7" ht="15.75">
      <c r="A2420" s="1743"/>
      <c r="B2420" s="1766"/>
      <c r="C2420" s="2429" t="s">
        <v>1891</v>
      </c>
      <c r="D2420" s="2341"/>
      <c r="E2420" s="2342">
        <f t="shared" si="120"/>
        <v>0.24999999999999994</v>
      </c>
      <c r="F2420" s="2343">
        <v>0.93</v>
      </c>
      <c r="G2420">
        <v>1.24</v>
      </c>
    </row>
    <row r="2421" spans="1:7" ht="15.75">
      <c r="A2421" s="1739"/>
      <c r="B2421" s="1978"/>
      <c r="C2421" s="2254" t="s">
        <v>2602</v>
      </c>
      <c r="D2421" s="2341"/>
      <c r="E2421" s="2342">
        <f t="shared" si="120"/>
        <v>0.20186335403726718</v>
      </c>
      <c r="F2421" s="2343">
        <v>2.57</v>
      </c>
      <c r="G2421">
        <v>3.22</v>
      </c>
    </row>
    <row r="2422" spans="1:7" ht="15.75">
      <c r="A2422" s="1739"/>
      <c r="B2422" s="1978"/>
      <c r="C2422" s="2254" t="s">
        <v>2558</v>
      </c>
      <c r="D2422" s="2341"/>
      <c r="E2422" s="2342">
        <f t="shared" si="120"/>
        <v>0.20186335403726718</v>
      </c>
      <c r="F2422" s="2343">
        <v>2.57</v>
      </c>
      <c r="G2422">
        <v>3.22</v>
      </c>
    </row>
    <row r="2423" spans="1:7" ht="15.75">
      <c r="A2423" s="1739"/>
      <c r="B2423" s="1978"/>
      <c r="C2423" s="2254" t="s">
        <v>2603</v>
      </c>
      <c r="D2423" s="2341"/>
      <c r="E2423" s="2342">
        <f t="shared" si="120"/>
        <v>0.20186335403726718</v>
      </c>
      <c r="F2423" s="2343">
        <v>2.57</v>
      </c>
      <c r="G2423">
        <v>3.22</v>
      </c>
    </row>
    <row r="2424" spans="1:7" ht="15.75">
      <c r="A2424" s="1739"/>
      <c r="B2424" s="1978"/>
      <c r="C2424" s="2254" t="s">
        <v>2559</v>
      </c>
      <c r="D2424" s="2341"/>
      <c r="E2424" s="2342">
        <f t="shared" si="120"/>
        <v>0.20186335403726718</v>
      </c>
      <c r="F2424" s="2343">
        <v>2.57</v>
      </c>
      <c r="G2424">
        <v>3.22</v>
      </c>
    </row>
    <row r="2425" spans="1:7" ht="15.75">
      <c r="A2425" s="1739"/>
      <c r="B2425" s="1978"/>
      <c r="C2425" s="2344" t="s">
        <v>2960</v>
      </c>
      <c r="D2425" s="1978"/>
      <c r="E2425" s="2342">
        <f t="shared" si="120"/>
        <v>0.3529411764705882</v>
      </c>
      <c r="F2425" s="2343">
        <v>0.77</v>
      </c>
      <c r="G2425">
        <v>1.19</v>
      </c>
    </row>
    <row r="2426" spans="1:7" ht="15.75">
      <c r="A2426" s="1739"/>
      <c r="B2426" s="1978"/>
      <c r="C2426" s="2344" t="s">
        <v>2961</v>
      </c>
      <c r="D2426" s="1978"/>
      <c r="E2426" s="2342">
        <f t="shared" si="120"/>
        <v>0.3529411764705882</v>
      </c>
      <c r="F2426" s="2343">
        <v>0.77</v>
      </c>
      <c r="G2426">
        <v>1.19</v>
      </c>
    </row>
    <row r="2427" spans="1:7" ht="15.75">
      <c r="A2427" s="1739"/>
      <c r="B2427" s="1978"/>
      <c r="C2427" s="2344" t="s">
        <v>2962</v>
      </c>
      <c r="D2427" s="1978"/>
      <c r="E2427" s="2342">
        <f t="shared" si="120"/>
        <v>0.3529411764705882</v>
      </c>
      <c r="F2427" s="2343">
        <v>0.77</v>
      </c>
      <c r="G2427">
        <v>1.19</v>
      </c>
    </row>
    <row r="2428" spans="1:7" ht="15.75">
      <c r="A2428" s="1739"/>
      <c r="B2428" s="1978"/>
      <c r="C2428" s="1976" t="s">
        <v>3004</v>
      </c>
      <c r="D2428" s="1978"/>
      <c r="E2428" s="2342">
        <f t="shared" si="120"/>
        <v>0.15151515151515155</v>
      </c>
      <c r="F2428" s="2343">
        <v>1.96</v>
      </c>
      <c r="G2428">
        <v>2.31</v>
      </c>
    </row>
    <row r="2429" spans="1:7" ht="16.5" thickBot="1">
      <c r="A2429" s="1315"/>
      <c r="B2429" s="1718"/>
      <c r="C2429" s="1718" t="s">
        <v>3005</v>
      </c>
      <c r="D2429" s="1718"/>
      <c r="E2429" s="1742">
        <f t="shared" si="120"/>
        <v>0.15151515151515155</v>
      </c>
      <c r="F2429" s="1368">
        <v>1.96</v>
      </c>
      <c r="G2429">
        <v>2.31</v>
      </c>
    </row>
    <row r="2430" spans="1:7" ht="15.75" thickBot="1"/>
    <row r="2431" spans="1:7">
      <c r="A2431" s="3572" t="s">
        <v>0</v>
      </c>
      <c r="B2431" s="3636" t="s">
        <v>1</v>
      </c>
      <c r="C2431" s="3636" t="s">
        <v>2</v>
      </c>
      <c r="D2431" s="3636" t="s">
        <v>3</v>
      </c>
      <c r="E2431" s="3636" t="s">
        <v>4</v>
      </c>
      <c r="F2431" s="3559" t="s">
        <v>5</v>
      </c>
      <c r="G2431" s="1906"/>
    </row>
    <row r="2432" spans="1:7" ht="15.75" thickBot="1">
      <c r="A2432" s="4126"/>
      <c r="B2432" s="3626"/>
      <c r="C2432" s="3626"/>
      <c r="D2432" s="3626"/>
      <c r="E2432" s="3626"/>
      <c r="F2432" s="3627"/>
      <c r="G2432" s="1906"/>
    </row>
    <row r="2433" spans="1:7">
      <c r="A2433" s="1675" t="s">
        <v>3069</v>
      </c>
      <c r="B2433" s="1771" t="s">
        <v>2155</v>
      </c>
      <c r="C2433" s="2328" t="s">
        <v>1904</v>
      </c>
      <c r="D2433" s="1957"/>
      <c r="E2433" s="1418">
        <f>(G2433-F2433)/G2433</f>
        <v>0.14465408805031443</v>
      </c>
      <c r="F2433" s="1958">
        <v>1.36</v>
      </c>
      <c r="G2433" s="1590">
        <v>1.59</v>
      </c>
    </row>
    <row r="2434" spans="1:7">
      <c r="A2434" s="1700"/>
      <c r="B2434" s="2239"/>
      <c r="C2434" s="2432" t="s">
        <v>2351</v>
      </c>
      <c r="D2434" s="2240"/>
      <c r="E2434" s="2241">
        <f>(G2434-F2434)/G2434</f>
        <v>0.11764705882352951</v>
      </c>
      <c r="F2434" s="2345">
        <v>0.15</v>
      </c>
      <c r="G2434" s="1590">
        <v>0.17</v>
      </c>
    </row>
    <row r="2435" spans="1:7">
      <c r="A2435" s="1700"/>
      <c r="B2435" s="2239"/>
      <c r="C2435" s="2433" t="s">
        <v>2352</v>
      </c>
      <c r="D2435" s="2240"/>
      <c r="E2435" s="2241">
        <f>(G2435-F2435)/G2435</f>
        <v>0.11764705882352951</v>
      </c>
      <c r="F2435" s="2345">
        <v>0.15</v>
      </c>
      <c r="G2435" s="1590">
        <v>0.17</v>
      </c>
    </row>
    <row r="2436" spans="1:7">
      <c r="A2436" s="1920"/>
      <c r="B2436" s="1976"/>
      <c r="C2436" s="2243"/>
      <c r="D2436" s="2240"/>
      <c r="E2436" s="2241" t="e">
        <f>(G2436-F2436)/G2436</f>
        <v>#DIV/0!</v>
      </c>
      <c r="F2436" s="2345"/>
      <c r="G2436" s="1590"/>
    </row>
    <row r="2439" spans="1:7" ht="15.75" thickBot="1"/>
    <row r="2440" spans="1:7">
      <c r="A2440" s="3572" t="s">
        <v>0</v>
      </c>
      <c r="B2440" s="3636" t="s">
        <v>1</v>
      </c>
      <c r="C2440" s="3636" t="s">
        <v>2</v>
      </c>
      <c r="D2440" s="3636" t="s">
        <v>3</v>
      </c>
      <c r="E2440" s="3636" t="s">
        <v>4</v>
      </c>
      <c r="F2440" s="3559" t="s">
        <v>5</v>
      </c>
      <c r="G2440" s="1906"/>
    </row>
    <row r="2441" spans="1:7" ht="15.75" thickBot="1">
      <c r="A2441" s="4013"/>
      <c r="B2441" s="3626"/>
      <c r="C2441" s="3626"/>
      <c r="D2441" s="3626"/>
      <c r="E2441" s="3626"/>
      <c r="F2441" s="3627"/>
      <c r="G2441" s="1906"/>
    </row>
    <row r="2442" spans="1:7">
      <c r="A2442" s="1675" t="s">
        <v>3082</v>
      </c>
      <c r="B2442" s="1771" t="s">
        <v>2155</v>
      </c>
      <c r="C2442" s="2328" t="s">
        <v>2743</v>
      </c>
      <c r="D2442" s="1957"/>
      <c r="E2442" s="1418">
        <f t="shared" ref="E2442:E2449" si="121">(G2442-F2442)/G2442</f>
        <v>0.19736842105263161</v>
      </c>
      <c r="F2442" s="1958">
        <v>0.61</v>
      </c>
      <c r="G2442" s="1590">
        <v>0.76</v>
      </c>
    </row>
    <row r="2443" spans="1:7">
      <c r="A2443" s="1700"/>
      <c r="B2443" s="2359"/>
      <c r="C2443" s="2490" t="s">
        <v>2077</v>
      </c>
      <c r="D2443" s="2360"/>
      <c r="E2443" s="2361">
        <f t="shared" si="121"/>
        <v>0.22222222222222229</v>
      </c>
      <c r="F2443" s="2362">
        <v>0.35</v>
      </c>
      <c r="G2443" s="1590">
        <v>0.45</v>
      </c>
    </row>
    <row r="2444" spans="1:7">
      <c r="A2444" s="1700"/>
      <c r="B2444" s="2359"/>
      <c r="C2444" s="2491" t="s">
        <v>2353</v>
      </c>
      <c r="D2444" s="2360"/>
      <c r="E2444" s="2361">
        <f t="shared" si="121"/>
        <v>0.16666666666666666</v>
      </c>
      <c r="F2444" s="2362">
        <v>0.15</v>
      </c>
      <c r="G2444" s="1590">
        <v>0.18</v>
      </c>
    </row>
    <row r="2445" spans="1:7">
      <c r="A2445" s="1920"/>
      <c r="B2445" s="2364"/>
      <c r="C2445" s="2363" t="s">
        <v>1763</v>
      </c>
      <c r="D2445" s="2360"/>
      <c r="E2445" s="2361">
        <f t="shared" si="121"/>
        <v>0.15007716049382716</v>
      </c>
      <c r="F2445" s="2362">
        <v>22.03</v>
      </c>
      <c r="G2445" s="1590">
        <v>25.92</v>
      </c>
    </row>
    <row r="2446" spans="1:7">
      <c r="A2446" s="1739"/>
      <c r="B2446" s="2365"/>
      <c r="C2446" s="2365" t="s">
        <v>1556</v>
      </c>
      <c r="D2446" s="2365"/>
      <c r="E2446" s="2361">
        <f t="shared" si="121"/>
        <v>0.15007716049382716</v>
      </c>
      <c r="F2446" s="2366">
        <v>22.03</v>
      </c>
      <c r="G2446" s="1590">
        <v>25.92</v>
      </c>
    </row>
    <row r="2447" spans="1:7">
      <c r="A2447" s="1739"/>
      <c r="B2447" s="2365"/>
      <c r="C2447" s="2365" t="s">
        <v>1557</v>
      </c>
      <c r="D2447" s="2365"/>
      <c r="E2447" s="2361">
        <f t="shared" si="121"/>
        <v>0.15007716049382716</v>
      </c>
      <c r="F2447" s="2366">
        <v>22.03</v>
      </c>
      <c r="G2447" s="1590">
        <v>25.92</v>
      </c>
    </row>
    <row r="2448" spans="1:7">
      <c r="A2448" s="1739"/>
      <c r="B2448" s="2365"/>
      <c r="C2448" s="2365" t="s">
        <v>1258</v>
      </c>
      <c r="D2448" s="2365"/>
      <c r="E2448" s="2361">
        <f t="shared" si="121"/>
        <v>9.9846860643185237E-2</v>
      </c>
      <c r="F2448" s="2366">
        <v>29.39</v>
      </c>
      <c r="G2448" s="1590">
        <v>32.65</v>
      </c>
    </row>
    <row r="2449" spans="1:7" ht="15.75" thickBot="1">
      <c r="A2449" s="1315"/>
      <c r="B2449" s="1718"/>
      <c r="C2449" s="1718" t="s">
        <v>1259</v>
      </c>
      <c r="D2449" s="1718"/>
      <c r="E2449" s="1968">
        <f t="shared" si="121"/>
        <v>9.9856836077308608E-2</v>
      </c>
      <c r="F2449" s="1368">
        <v>25.15</v>
      </c>
      <c r="G2449" s="1590">
        <v>27.94</v>
      </c>
    </row>
    <row r="2450" spans="1:7" ht="15.75" thickBot="1"/>
    <row r="2451" spans="1:7">
      <c r="A2451" s="3572" t="s">
        <v>0</v>
      </c>
      <c r="B2451" s="3557" t="s">
        <v>1</v>
      </c>
      <c r="C2451" s="3557" t="s">
        <v>2</v>
      </c>
      <c r="D2451" s="3557" t="s">
        <v>3</v>
      </c>
      <c r="E2451" s="3557" t="s">
        <v>4</v>
      </c>
      <c r="F2451" s="3559" t="s">
        <v>5</v>
      </c>
    </row>
    <row r="2452" spans="1:7" ht="15.75" thickBot="1">
      <c r="A2452" s="4013"/>
      <c r="B2452" s="3628"/>
      <c r="C2452" s="3628"/>
      <c r="D2452" s="3628"/>
      <c r="E2452" s="3628"/>
      <c r="F2452" s="3629"/>
    </row>
    <row r="2453" spans="1:7">
      <c r="A2453" s="1675" t="s">
        <v>3096</v>
      </c>
      <c r="B2453" s="2400" t="s">
        <v>2155</v>
      </c>
      <c r="C2453" s="2607" t="s">
        <v>1891</v>
      </c>
      <c r="D2453" s="2402"/>
      <c r="E2453" s="2403">
        <f t="shared" ref="E2453:E2468" si="122">(G2453-F2453)/G2453</f>
        <v>0.24800000000000005</v>
      </c>
      <c r="F2453" s="1958">
        <v>0.94</v>
      </c>
      <c r="G2453">
        <v>1.25</v>
      </c>
    </row>
    <row r="2454" spans="1:7">
      <c r="A2454" s="1700"/>
      <c r="B2454" s="2359"/>
      <c r="C2454" s="2608" t="s">
        <v>1892</v>
      </c>
      <c r="D2454" s="2360"/>
      <c r="E2454" s="2361">
        <f t="shared" si="122"/>
        <v>0.24800000000000005</v>
      </c>
      <c r="F2454" s="2404">
        <v>0.94</v>
      </c>
      <c r="G2454">
        <v>1.25</v>
      </c>
    </row>
    <row r="2455" spans="1:7">
      <c r="A2455" s="1700"/>
      <c r="B2455" s="2359"/>
      <c r="C2455" s="2363" t="s">
        <v>2192</v>
      </c>
      <c r="D2455" s="2360"/>
      <c r="E2455" s="2361">
        <f t="shared" si="122"/>
        <v>0.15952732644017714</v>
      </c>
      <c r="F2455" s="2404">
        <v>5.69</v>
      </c>
      <c r="G2455">
        <v>6.77</v>
      </c>
    </row>
    <row r="2456" spans="1:7">
      <c r="A2456" s="1920"/>
      <c r="B2456" s="2364"/>
      <c r="C2456" s="2363" t="s">
        <v>2194</v>
      </c>
      <c r="D2456" s="2360"/>
      <c r="E2456" s="2361">
        <f t="shared" si="122"/>
        <v>0.15952732644017714</v>
      </c>
      <c r="F2456" s="2404">
        <v>5.69</v>
      </c>
      <c r="G2456">
        <v>6.77</v>
      </c>
    </row>
    <row r="2457" spans="1:7">
      <c r="A2457" s="1739"/>
      <c r="B2457" s="2365"/>
      <c r="C2457" s="2365" t="s">
        <v>549</v>
      </c>
      <c r="D2457" s="2365"/>
      <c r="E2457" s="2361">
        <f t="shared" si="122"/>
        <v>9.9846860643185237E-2</v>
      </c>
      <c r="F2457" s="2380">
        <v>29.39</v>
      </c>
      <c r="G2457">
        <v>32.65</v>
      </c>
    </row>
    <row r="2458" spans="1:7">
      <c r="A2458" s="1739"/>
      <c r="B2458" s="2365"/>
      <c r="C2458" s="2365" t="s">
        <v>1258</v>
      </c>
      <c r="D2458" s="2365"/>
      <c r="E2458" s="2361">
        <f t="shared" si="122"/>
        <v>9.9846860643185237E-2</v>
      </c>
      <c r="F2458" s="2380">
        <v>29.39</v>
      </c>
      <c r="G2458">
        <v>32.65</v>
      </c>
    </row>
    <row r="2459" spans="1:7">
      <c r="A2459" s="1739"/>
      <c r="B2459" s="2365"/>
      <c r="C2459" s="2365" t="s">
        <v>550</v>
      </c>
      <c r="D2459" s="2365"/>
      <c r="E2459" s="2361">
        <f t="shared" si="122"/>
        <v>9.9856836077308608E-2</v>
      </c>
      <c r="F2459" s="2380">
        <v>25.15</v>
      </c>
      <c r="G2459">
        <v>27.94</v>
      </c>
    </row>
    <row r="2460" spans="1:7">
      <c r="A2460" s="1739"/>
      <c r="B2460" s="2365"/>
      <c r="C2460" s="2365" t="s">
        <v>1259</v>
      </c>
      <c r="D2460" s="2365"/>
      <c r="E2460" s="2361">
        <f t="shared" si="122"/>
        <v>9.9856836077308608E-2</v>
      </c>
      <c r="F2460" s="2380">
        <v>25.15</v>
      </c>
      <c r="G2460">
        <v>27.94</v>
      </c>
    </row>
    <row r="2461" spans="1:7">
      <c r="A2461" s="1739"/>
      <c r="B2461" s="2365"/>
      <c r="C2461" s="2365" t="s">
        <v>2273</v>
      </c>
      <c r="D2461" s="2365"/>
      <c r="E2461" s="2361">
        <f t="shared" si="122"/>
        <v>0.12994071146245056</v>
      </c>
      <c r="F2461" s="2380">
        <v>17.61</v>
      </c>
      <c r="G2461">
        <v>20.239999999999998</v>
      </c>
    </row>
    <row r="2462" spans="1:7">
      <c r="A2462" s="1739"/>
      <c r="B2462" s="2365"/>
      <c r="C2462" s="2365" t="s">
        <v>71</v>
      </c>
      <c r="D2462" s="2365"/>
      <c r="E2462" s="2361">
        <f t="shared" si="122"/>
        <v>0.12994071146245056</v>
      </c>
      <c r="F2462" s="2380">
        <v>17.61</v>
      </c>
      <c r="G2462">
        <v>20.239999999999998</v>
      </c>
    </row>
    <row r="2463" spans="1:7">
      <c r="A2463" s="1739"/>
      <c r="B2463" s="2365"/>
      <c r="C2463" s="2365" t="s">
        <v>2880</v>
      </c>
      <c r="D2463" s="2365"/>
      <c r="E2463" s="2361">
        <f t="shared" si="122"/>
        <v>0.12994071146245056</v>
      </c>
      <c r="F2463" s="2380">
        <v>17.61</v>
      </c>
      <c r="G2463">
        <v>20.239999999999998</v>
      </c>
    </row>
    <row r="2464" spans="1:7">
      <c r="A2464" s="1739"/>
      <c r="B2464" s="2365"/>
      <c r="C2464" s="2365" t="s">
        <v>2881</v>
      </c>
      <c r="D2464" s="2365"/>
      <c r="E2464" s="2361">
        <f t="shared" si="122"/>
        <v>0.12994071146245056</v>
      </c>
      <c r="F2464" s="2380">
        <v>17.61</v>
      </c>
      <c r="G2464">
        <v>20.239999999999998</v>
      </c>
    </row>
    <row r="2465" spans="1:7">
      <c r="A2465" s="1739"/>
      <c r="B2465" s="2365"/>
      <c r="C2465" s="2365" t="s">
        <v>1883</v>
      </c>
      <c r="D2465" s="2365"/>
      <c r="E2465" s="2361">
        <f t="shared" si="122"/>
        <v>0.12994071146245056</v>
      </c>
      <c r="F2465" s="2380">
        <v>17.61</v>
      </c>
      <c r="G2465">
        <v>20.239999999999998</v>
      </c>
    </row>
    <row r="2466" spans="1:7">
      <c r="A2466" s="1739"/>
      <c r="B2466" s="2365"/>
      <c r="C2466" s="2365" t="s">
        <v>2276</v>
      </c>
      <c r="D2466" s="2365"/>
      <c r="E2466" s="2361">
        <f t="shared" si="122"/>
        <v>0.12994071146245056</v>
      </c>
      <c r="F2466" s="2380">
        <v>17.61</v>
      </c>
      <c r="G2466">
        <v>20.239999999999998</v>
      </c>
    </row>
    <row r="2467" spans="1:7">
      <c r="A2467" s="1739"/>
      <c r="B2467" s="2365"/>
      <c r="C2467" s="2365" t="s">
        <v>2566</v>
      </c>
      <c r="D2467" s="2365"/>
      <c r="E2467" s="2361">
        <f t="shared" si="122"/>
        <v>0.12994071146245056</v>
      </c>
      <c r="F2467" s="2380">
        <v>17.61</v>
      </c>
      <c r="G2467">
        <v>20.239999999999998</v>
      </c>
    </row>
    <row r="2468" spans="1:7" ht="15.75" thickBot="1">
      <c r="A2468" s="1315"/>
      <c r="B2468" s="1718"/>
      <c r="C2468" s="1718" t="s">
        <v>72</v>
      </c>
      <c r="D2468" s="1718"/>
      <c r="E2468" s="2361">
        <f t="shared" si="122"/>
        <v>0.12994071146245056</v>
      </c>
      <c r="F2468" s="1368">
        <v>17.61</v>
      </c>
      <c r="G2468">
        <v>20.239999999999998</v>
      </c>
    </row>
    <row r="2469" spans="1:7" ht="15.75" thickBot="1"/>
    <row r="2470" spans="1:7">
      <c r="A2470" s="3614" t="s">
        <v>0</v>
      </c>
      <c r="B2470" s="3518" t="s">
        <v>1</v>
      </c>
      <c r="C2470" s="3518" t="s">
        <v>2</v>
      </c>
      <c r="D2470" s="3518" t="s">
        <v>3</v>
      </c>
      <c r="E2470" s="3518" t="s">
        <v>4</v>
      </c>
      <c r="F2470" s="3522" t="s">
        <v>5</v>
      </c>
    </row>
    <row r="2471" spans="1:7">
      <c r="A2471" s="4127"/>
      <c r="B2471" s="3622"/>
      <c r="C2471" s="3622"/>
      <c r="D2471" s="3622"/>
      <c r="E2471" s="3622"/>
      <c r="F2471" s="3846"/>
    </row>
    <row r="2472" spans="1:7" ht="15.75">
      <c r="A2472" s="2405" t="s">
        <v>3097</v>
      </c>
      <c r="B2472" s="2369" t="s">
        <v>2183</v>
      </c>
      <c r="C2472" s="2602" t="s">
        <v>2176</v>
      </c>
      <c r="D2472" s="2406"/>
      <c r="E2472" s="2407">
        <f>(G2472-F2472)/G2472</f>
        <v>0.20000000000000007</v>
      </c>
      <c r="F2472" s="2408">
        <v>1.96</v>
      </c>
      <c r="G2472">
        <v>2.4500000000000002</v>
      </c>
    </row>
    <row r="2473" spans="1:7" ht="15.75">
      <c r="A2473" s="2409"/>
      <c r="B2473" s="2369"/>
      <c r="C2473" s="2602" t="s">
        <v>2443</v>
      </c>
      <c r="D2473" s="2406"/>
      <c r="E2473" s="2407">
        <f>(G2473-F2473)/G2473</f>
        <v>0.25</v>
      </c>
      <c r="F2473" s="2408">
        <v>0.72</v>
      </c>
      <c r="G2473">
        <v>0.96</v>
      </c>
    </row>
    <row r="2474" spans="1:7" ht="15.75">
      <c r="A2474" s="2409"/>
      <c r="B2474" s="2369"/>
      <c r="C2474" s="2602" t="s">
        <v>1904</v>
      </c>
      <c r="D2474" s="2406"/>
      <c r="E2474" s="2407">
        <f>(G2474-F2474)/G2474</f>
        <v>0.2023809523809523</v>
      </c>
      <c r="F2474" s="2408">
        <v>1.34</v>
      </c>
      <c r="G2474">
        <v>1.68</v>
      </c>
    </row>
    <row r="2475" spans="1:7" ht="15.75">
      <c r="A2475" s="2206"/>
      <c r="B2475" s="2365"/>
      <c r="C2475" s="2602" t="s">
        <v>2383</v>
      </c>
      <c r="D2475" s="2406"/>
      <c r="E2475" s="2407">
        <f>(G2475-F2475)/G2475</f>
        <v>0.20960698689956331</v>
      </c>
      <c r="F2475" s="2408">
        <v>3.62</v>
      </c>
      <c r="G2475">
        <v>4.58</v>
      </c>
    </row>
    <row r="2476" spans="1:7" ht="16.5" thickBot="1">
      <c r="A2476" s="1315"/>
      <c r="B2476" s="2180"/>
      <c r="C2476" s="2236"/>
      <c r="D2476" s="2237"/>
      <c r="E2476" s="2238" t="e">
        <f>(G2476-F2476)/G2476</f>
        <v>#DIV/0!</v>
      </c>
      <c r="F2476" s="2410"/>
    </row>
    <row r="2477" spans="1:7" ht="15.75" thickBot="1"/>
    <row r="2478" spans="1:7">
      <c r="A2478" s="3614" t="s">
        <v>0</v>
      </c>
      <c r="B2478" s="3518" t="s">
        <v>1</v>
      </c>
      <c r="C2478" s="3518" t="s">
        <v>2</v>
      </c>
      <c r="D2478" s="3518" t="s">
        <v>3</v>
      </c>
      <c r="E2478" s="3518" t="s">
        <v>4</v>
      </c>
      <c r="F2478" s="3522" t="s">
        <v>5</v>
      </c>
    </row>
    <row r="2479" spans="1:7" ht="15.75" thickBot="1">
      <c r="A2479" s="4127"/>
      <c r="B2479" s="3622"/>
      <c r="C2479" s="3622"/>
      <c r="D2479" s="3622"/>
      <c r="E2479" s="3622"/>
      <c r="F2479" s="3846"/>
    </row>
    <row r="2480" spans="1:7">
      <c r="A2480" s="1675" t="s">
        <v>3102</v>
      </c>
      <c r="B2480" s="1676" t="s">
        <v>460</v>
      </c>
      <c r="C2480" s="2609" t="s">
        <v>1959</v>
      </c>
      <c r="D2480" s="2415"/>
      <c r="E2480" s="1677">
        <f t="shared" ref="E2480:E2487" si="123">(G2480-F2480)/G2480</f>
        <v>0.20149253731343283</v>
      </c>
      <c r="F2480" s="1793">
        <v>1.07</v>
      </c>
      <c r="G2480">
        <v>1.34</v>
      </c>
    </row>
    <row r="2481" spans="1:7">
      <c r="A2481" s="2200"/>
      <c r="B2481" s="2416"/>
      <c r="C2481" s="2602" t="s">
        <v>1960</v>
      </c>
      <c r="D2481" s="2417"/>
      <c r="E2481" s="2389">
        <f t="shared" si="123"/>
        <v>0.20149253731343283</v>
      </c>
      <c r="F2481" s="2418">
        <v>1.07</v>
      </c>
      <c r="G2481">
        <v>1.34</v>
      </c>
    </row>
    <row r="2482" spans="1:7">
      <c r="A2482" s="2200"/>
      <c r="B2482" s="2416"/>
      <c r="C2482" s="2602" t="s">
        <v>906</v>
      </c>
      <c r="D2482" s="2417"/>
      <c r="E2482" s="2389">
        <f t="shared" si="123"/>
        <v>0.19827586206896541</v>
      </c>
      <c r="F2482" s="2418">
        <v>0.93</v>
      </c>
      <c r="G2482">
        <v>1.1599999999999999</v>
      </c>
    </row>
    <row r="2483" spans="1:7">
      <c r="A2483" s="2183"/>
      <c r="B2483" s="2364"/>
      <c r="C2483" s="2602" t="s">
        <v>154</v>
      </c>
      <c r="D2483" s="2417"/>
      <c r="E2483" s="2389">
        <f t="shared" si="123"/>
        <v>0.25252525252525254</v>
      </c>
      <c r="F2483" s="2418">
        <v>0.74</v>
      </c>
      <c r="G2483">
        <v>0.99</v>
      </c>
    </row>
    <row r="2484" spans="1:7">
      <c r="A2484" s="2183"/>
      <c r="B2484" s="2364"/>
      <c r="C2484" s="2600" t="s">
        <v>1904</v>
      </c>
      <c r="D2484" s="2417"/>
      <c r="E2484" s="2389">
        <f t="shared" si="123"/>
        <v>0.22023809523809518</v>
      </c>
      <c r="F2484" s="2418">
        <v>1.31</v>
      </c>
      <c r="G2484">
        <v>1.68</v>
      </c>
    </row>
    <row r="2485" spans="1:7">
      <c r="A2485" s="2183"/>
      <c r="B2485" s="2364"/>
      <c r="C2485" s="2600" t="s">
        <v>2021</v>
      </c>
      <c r="D2485" s="2417"/>
      <c r="E2485" s="2389">
        <f t="shared" si="123"/>
        <v>0.22023809523809518</v>
      </c>
      <c r="F2485" s="2418">
        <v>1.31</v>
      </c>
      <c r="G2485">
        <v>1.68</v>
      </c>
    </row>
    <row r="2486" spans="1:7">
      <c r="A2486" s="2183"/>
      <c r="B2486" s="2364"/>
      <c r="C2486" s="2600" t="s">
        <v>1905</v>
      </c>
      <c r="D2486" s="2417"/>
      <c r="E2486" s="2389">
        <f t="shared" si="123"/>
        <v>0.22023809523809518</v>
      </c>
      <c r="F2486" s="2418">
        <v>1.31</v>
      </c>
      <c r="G2486">
        <v>1.68</v>
      </c>
    </row>
    <row r="2487" spans="1:7" ht="15.75" thickBot="1">
      <c r="A2487" s="1903"/>
      <c r="B2487" s="2171"/>
      <c r="C2487" s="2601" t="s">
        <v>1891</v>
      </c>
      <c r="D2487" s="2171"/>
      <c r="E2487" s="2172">
        <f t="shared" si="123"/>
        <v>0.217741935483871</v>
      </c>
      <c r="F2487" s="2419">
        <v>0.97</v>
      </c>
      <c r="G2487">
        <v>1.24</v>
      </c>
    </row>
    <row r="2489" spans="1:7" ht="15.75" thickBot="1"/>
    <row r="2490" spans="1:7">
      <c r="A2490" s="3572"/>
      <c r="B2490" s="3557"/>
      <c r="C2490" s="3557"/>
      <c r="D2490" s="3557"/>
      <c r="E2490" s="3557"/>
      <c r="F2490" s="3559"/>
      <c r="G2490" s="429"/>
    </row>
    <row r="2491" spans="1:7" ht="15.75" thickBot="1">
      <c r="A2491" s="3876"/>
      <c r="B2491" s="3626"/>
      <c r="C2491" s="3626"/>
      <c r="D2491" s="3626"/>
      <c r="E2491" s="3626"/>
      <c r="F2491" s="3627"/>
      <c r="G2491" s="429"/>
    </row>
    <row r="2492" spans="1:7">
      <c r="A2492" s="1675" t="s">
        <v>3115</v>
      </c>
      <c r="B2492" s="1676" t="s">
        <v>120</v>
      </c>
      <c r="C2492" s="2609" t="s">
        <v>154</v>
      </c>
      <c r="D2492" s="2415"/>
      <c r="E2492" s="1677">
        <f t="shared" ref="E2492:E2500" si="124">(G2492-F2492)/G2492</f>
        <v>0.29702970297029707</v>
      </c>
      <c r="F2492" s="1793">
        <v>0.71</v>
      </c>
      <c r="G2492" s="429">
        <v>1.01</v>
      </c>
    </row>
    <row r="2493" spans="1:7">
      <c r="A2493" s="2434"/>
      <c r="B2493" s="2435" t="s">
        <v>121</v>
      </c>
      <c r="C2493" s="2610" t="s">
        <v>153</v>
      </c>
      <c r="D2493" s="2437"/>
      <c r="E2493" s="2438">
        <f t="shared" si="124"/>
        <v>0.30000000000000004</v>
      </c>
      <c r="F2493" s="2439">
        <v>0.7</v>
      </c>
      <c r="G2493" s="39">
        <v>1</v>
      </c>
    </row>
    <row r="2494" spans="1:7">
      <c r="A2494" s="2434"/>
      <c r="B2494" s="2435" t="s">
        <v>123</v>
      </c>
      <c r="C2494" s="2610" t="s">
        <v>155</v>
      </c>
      <c r="D2494" s="2437"/>
      <c r="E2494" s="2438">
        <f t="shared" si="124"/>
        <v>0.3008849557522123</v>
      </c>
      <c r="F2494" s="2439">
        <v>0.79</v>
      </c>
      <c r="G2494" s="429">
        <v>1.1299999999999999</v>
      </c>
    </row>
    <row r="2495" spans="1:7">
      <c r="A2495" s="2434"/>
      <c r="B2495" s="2435" t="s">
        <v>122</v>
      </c>
      <c r="C2495" s="2436" t="s">
        <v>2827</v>
      </c>
      <c r="D2495" s="2437"/>
      <c r="E2495" s="2438">
        <f t="shared" si="124"/>
        <v>0.28658536585365851</v>
      </c>
      <c r="F2495" s="2439">
        <v>1.17</v>
      </c>
      <c r="G2495" s="528">
        <v>1.64</v>
      </c>
    </row>
    <row r="2496" spans="1:7">
      <c r="A2496" s="2434"/>
      <c r="B2496" s="2435" t="s">
        <v>2057</v>
      </c>
      <c r="C2496" s="2440" t="s">
        <v>2890</v>
      </c>
      <c r="D2496" s="2440"/>
      <c r="E2496" s="2438">
        <f t="shared" si="124"/>
        <v>0.28658536585365851</v>
      </c>
      <c r="F2496" s="2441">
        <v>1.17</v>
      </c>
      <c r="G2496" s="528">
        <v>1.64</v>
      </c>
    </row>
    <row r="2497" spans="1:7">
      <c r="A2497" s="2206"/>
      <c r="B2497" s="2440"/>
      <c r="C2497" s="2440" t="s">
        <v>858</v>
      </c>
      <c r="D2497" s="2440"/>
      <c r="E2497" s="2438">
        <f t="shared" si="124"/>
        <v>0.25510204081632654</v>
      </c>
      <c r="F2497" s="2441">
        <v>0.73</v>
      </c>
      <c r="G2497" s="528">
        <v>0.98</v>
      </c>
    </row>
    <row r="2498" spans="1:7">
      <c r="A2498" s="2206"/>
      <c r="B2498" s="2440"/>
      <c r="C2498" s="2440" t="s">
        <v>3116</v>
      </c>
      <c r="D2498" s="2440"/>
      <c r="E2498" s="2438">
        <f t="shared" si="124"/>
        <v>0.27777777777777779</v>
      </c>
      <c r="F2498" s="2441">
        <v>0.39</v>
      </c>
      <c r="G2498" s="528">
        <v>0.54</v>
      </c>
    </row>
    <row r="2499" spans="1:7">
      <c r="A2499" s="2206"/>
      <c r="B2499" s="2440"/>
      <c r="C2499" s="2440" t="s">
        <v>1120</v>
      </c>
      <c r="D2499" s="2440"/>
      <c r="E2499" s="2438">
        <f t="shared" si="124"/>
        <v>0.27777777777777779</v>
      </c>
      <c r="F2499" s="2441">
        <v>0.39</v>
      </c>
      <c r="G2499" s="528">
        <v>0.54</v>
      </c>
    </row>
    <row r="2500" spans="1:7" ht="15.75" thickBot="1">
      <c r="A2500" s="1315"/>
      <c r="B2500" s="2180"/>
      <c r="C2500" s="2604" t="s">
        <v>2455</v>
      </c>
      <c r="D2500" s="2180"/>
      <c r="E2500" s="2172">
        <f t="shared" si="124"/>
        <v>0.14792899408284024</v>
      </c>
      <c r="F2500" s="2413">
        <v>1.44</v>
      </c>
      <c r="G2500" s="528">
        <v>1.69</v>
      </c>
    </row>
    <row r="2501" spans="1:7" ht="15.75" thickBot="1"/>
    <row r="2502" spans="1:7">
      <c r="A2502" s="3572" t="s">
        <v>0</v>
      </c>
      <c r="B2502" s="3557" t="s">
        <v>1</v>
      </c>
      <c r="C2502" s="3557" t="s">
        <v>2</v>
      </c>
      <c r="D2502" s="3557" t="s">
        <v>3</v>
      </c>
      <c r="E2502" s="3557" t="s">
        <v>4</v>
      </c>
      <c r="F2502" s="3559" t="s">
        <v>5</v>
      </c>
      <c r="G2502" s="1906"/>
    </row>
    <row r="2503" spans="1:7" ht="15.75" thickBot="1">
      <c r="A2503" s="3871"/>
      <c r="B2503" s="3626"/>
      <c r="C2503" s="3626"/>
      <c r="D2503" s="3626"/>
      <c r="E2503" s="3626"/>
      <c r="F2503" s="3627"/>
      <c r="G2503" s="1906"/>
    </row>
    <row r="2504" spans="1:7">
      <c r="A2504" s="1675" t="s">
        <v>3117</v>
      </c>
      <c r="B2504" s="2400" t="s">
        <v>2155</v>
      </c>
      <c r="C2504" s="2401" t="s">
        <v>730</v>
      </c>
      <c r="D2504" s="2402"/>
      <c r="E2504" s="2403">
        <f>(G2504-F2504)/G2504</f>
        <v>0.35227272727272735</v>
      </c>
      <c r="F2504" s="1958">
        <v>0.56999999999999995</v>
      </c>
      <c r="G2504" s="1590">
        <v>0.88</v>
      </c>
    </row>
    <row r="2505" spans="1:7" ht="15.75" thickBot="1">
      <c r="A2505" s="1599"/>
      <c r="B2505" s="2442"/>
      <c r="C2505" s="2443" t="s">
        <v>858</v>
      </c>
      <c r="D2505" s="2444"/>
      <c r="E2505" s="2445">
        <f>(G2505-F2505)/G2505</f>
        <v>0.34653465346534651</v>
      </c>
      <c r="F2505" s="2446">
        <v>0.66</v>
      </c>
      <c r="G2505" s="1590">
        <v>1.01</v>
      </c>
    </row>
    <row r="2506" spans="1:7" ht="15.75" thickBot="1"/>
    <row r="2507" spans="1:7">
      <c r="A2507" s="3614" t="s">
        <v>0</v>
      </c>
      <c r="B2507" s="3518" t="s">
        <v>1</v>
      </c>
      <c r="C2507" s="3518" t="s">
        <v>2</v>
      </c>
      <c r="D2507" s="3518" t="s">
        <v>3</v>
      </c>
      <c r="E2507" s="3518" t="s">
        <v>4</v>
      </c>
      <c r="F2507" s="3522" t="s">
        <v>5</v>
      </c>
    </row>
    <row r="2508" spans="1:7" ht="15.75" thickBot="1">
      <c r="A2508" s="3610"/>
      <c r="B2508" s="3622"/>
      <c r="C2508" s="3622"/>
      <c r="D2508" s="3622"/>
      <c r="E2508" s="3622"/>
      <c r="F2508" s="3846"/>
    </row>
    <row r="2509" spans="1:7">
      <c r="A2509" s="1675" t="s">
        <v>3128</v>
      </c>
      <c r="B2509" s="1676" t="s">
        <v>460</v>
      </c>
      <c r="C2509" s="2609" t="s">
        <v>155</v>
      </c>
      <c r="D2509" s="2415"/>
      <c r="E2509" s="1677">
        <f>(G2509-F2509)/G2509</f>
        <v>0.24545454545454556</v>
      </c>
      <c r="F2509" s="1793">
        <v>0.83</v>
      </c>
      <c r="G2509">
        <v>1.1000000000000001</v>
      </c>
    </row>
    <row r="2510" spans="1:7" ht="15.75" thickBot="1">
      <c r="A2510" s="1599"/>
      <c r="B2510" s="2466"/>
      <c r="C2510" s="2430" t="s">
        <v>452</v>
      </c>
      <c r="D2510" s="2467"/>
      <c r="E2510" s="2172">
        <f>(G2510-F2510)/G2510</f>
        <v>0.24509803921568626</v>
      </c>
      <c r="F2510" s="2419">
        <v>0.77</v>
      </c>
      <c r="G2510">
        <v>1.02</v>
      </c>
    </row>
    <row r="2511" spans="1:7" ht="15.75" thickBot="1"/>
    <row r="2512" spans="1:7">
      <c r="A2512" s="3572" t="s">
        <v>0</v>
      </c>
      <c r="B2512" s="3557" t="s">
        <v>1</v>
      </c>
      <c r="C2512" s="3557" t="s">
        <v>2</v>
      </c>
      <c r="D2512" s="3557" t="s">
        <v>3</v>
      </c>
      <c r="E2512" s="3557" t="s">
        <v>4</v>
      </c>
      <c r="F2512" s="3559" t="s">
        <v>5</v>
      </c>
    </row>
    <row r="2513" spans="1:7" ht="15.75" thickBot="1">
      <c r="A2513" s="3871"/>
      <c r="B2513" s="3626"/>
      <c r="C2513" s="3626"/>
      <c r="D2513" s="3626"/>
      <c r="E2513" s="3626"/>
      <c r="F2513" s="3627"/>
    </row>
    <row r="2514" spans="1:7">
      <c r="A2514" s="1675" t="s">
        <v>3134</v>
      </c>
      <c r="B2514" s="2400" t="s">
        <v>2155</v>
      </c>
      <c r="C2514" s="2401" t="s">
        <v>2603</v>
      </c>
      <c r="D2514" s="2402"/>
      <c r="E2514" s="2403">
        <f t="shared" ref="E2514:E2520" si="125">(G2514-F2514)/G2514</f>
        <v>0.31764705882352945</v>
      </c>
      <c r="F2514" s="1958">
        <v>2.3199999999999998</v>
      </c>
      <c r="G2514">
        <v>3.4</v>
      </c>
    </row>
    <row r="2515" spans="1:7">
      <c r="A2515" s="2200"/>
      <c r="B2515" s="2475"/>
      <c r="C2515" s="2476" t="s">
        <v>2559</v>
      </c>
      <c r="D2515" s="2477"/>
      <c r="E2515" s="2478">
        <f t="shared" si="125"/>
        <v>0.31764705882352945</v>
      </c>
      <c r="F2515" s="2479">
        <v>2.3199999999999998</v>
      </c>
      <c r="G2515">
        <v>3.4</v>
      </c>
    </row>
    <row r="2516" spans="1:7">
      <c r="A2516" s="2200"/>
      <c r="B2516" s="2475"/>
      <c r="C2516" s="2480" t="s">
        <v>2983</v>
      </c>
      <c r="D2516" s="2477"/>
      <c r="E2516" s="2478">
        <f t="shared" si="125"/>
        <v>0.38043478260869573</v>
      </c>
      <c r="F2516" s="2479">
        <v>1.1399999999999999</v>
      </c>
      <c r="G2516">
        <v>1.84</v>
      </c>
    </row>
    <row r="2517" spans="1:7">
      <c r="A2517" s="2183"/>
      <c r="B2517" s="2462"/>
      <c r="C2517" s="2480" t="s">
        <v>2984</v>
      </c>
      <c r="D2517" s="2477"/>
      <c r="E2517" s="2478">
        <f t="shared" si="125"/>
        <v>0.38043478260869573</v>
      </c>
      <c r="F2517" s="2479">
        <v>1.1399999999999999</v>
      </c>
      <c r="G2517">
        <v>1.84</v>
      </c>
    </row>
    <row r="2518" spans="1:7">
      <c r="A2518" s="2206"/>
      <c r="B2518" s="2464"/>
      <c r="C2518" s="2464" t="s">
        <v>2940</v>
      </c>
      <c r="D2518" s="2464"/>
      <c r="E2518" s="2478">
        <f t="shared" si="125"/>
        <v>0.38043478260869573</v>
      </c>
      <c r="F2518" s="2441">
        <v>1.1399999999999999</v>
      </c>
      <c r="G2518">
        <v>1.84</v>
      </c>
    </row>
    <row r="2519" spans="1:7">
      <c r="A2519" s="2206"/>
      <c r="B2519" s="2464"/>
      <c r="C2519" s="2464" t="s">
        <v>2941</v>
      </c>
      <c r="D2519" s="2464"/>
      <c r="E2519" s="2478">
        <f t="shared" si="125"/>
        <v>0.38043478260869573</v>
      </c>
      <c r="F2519" s="2441">
        <v>1.1399999999999999</v>
      </c>
      <c r="G2519">
        <v>1.84</v>
      </c>
    </row>
    <row r="2520" spans="1:7" ht="15.75" thickBot="1">
      <c r="A2520" s="1315"/>
      <c r="B2520" s="2180"/>
      <c r="C2520" s="2180" t="s">
        <v>2560</v>
      </c>
      <c r="D2520" s="2180"/>
      <c r="E2520" s="2445">
        <f t="shared" si="125"/>
        <v>0.34983498349834979</v>
      </c>
      <c r="F2520" s="2413">
        <v>1.97</v>
      </c>
      <c r="G2520">
        <v>3.03</v>
      </c>
    </row>
    <row r="2521" spans="1:7" ht="15.75" thickBot="1"/>
    <row r="2522" spans="1:7">
      <c r="A2522" s="3572" t="s">
        <v>0</v>
      </c>
      <c r="B2522" s="3557" t="s">
        <v>1</v>
      </c>
      <c r="C2522" s="3557" t="s">
        <v>2</v>
      </c>
      <c r="D2522" s="3557" t="s">
        <v>3</v>
      </c>
      <c r="E2522" s="3557" t="s">
        <v>4</v>
      </c>
      <c r="F2522" s="3559" t="s">
        <v>5</v>
      </c>
    </row>
    <row r="2523" spans="1:7" ht="15.75" thickBot="1">
      <c r="A2523" s="3871"/>
      <c r="B2523" s="3626"/>
      <c r="C2523" s="3626"/>
      <c r="D2523" s="3626"/>
      <c r="E2523" s="3626"/>
      <c r="F2523" s="3627"/>
    </row>
    <row r="2524" spans="1:7">
      <c r="A2524" s="1675" t="s">
        <v>3135</v>
      </c>
      <c r="B2524" s="2400" t="s">
        <v>2155</v>
      </c>
      <c r="C2524" s="2401" t="s">
        <v>2960</v>
      </c>
      <c r="D2524" s="2402"/>
      <c r="E2524" s="2403">
        <f t="shared" ref="E2524:E2532" si="126">(G2524-F2524)/G2524</f>
        <v>0.33613445378151252</v>
      </c>
      <c r="F2524" s="1958">
        <v>0.79</v>
      </c>
      <c r="G2524">
        <v>1.19</v>
      </c>
    </row>
    <row r="2525" spans="1:7">
      <c r="A2525" s="2200"/>
      <c r="B2525" s="2475"/>
      <c r="C2525" s="2476" t="s">
        <v>2961</v>
      </c>
      <c r="D2525" s="2477"/>
      <c r="E2525" s="2478">
        <f t="shared" si="126"/>
        <v>0.33613445378151252</v>
      </c>
      <c r="F2525" s="2479">
        <v>0.79</v>
      </c>
      <c r="G2525">
        <v>1.19</v>
      </c>
    </row>
    <row r="2526" spans="1:7">
      <c r="A2526" s="2200"/>
      <c r="B2526" s="2475"/>
      <c r="C2526" s="2480" t="s">
        <v>2962</v>
      </c>
      <c r="D2526" s="2477"/>
      <c r="E2526" s="2478">
        <f t="shared" si="126"/>
        <v>0.33613445378151252</v>
      </c>
      <c r="F2526" s="2479">
        <v>0.79</v>
      </c>
      <c r="G2526">
        <v>1.19</v>
      </c>
    </row>
    <row r="2527" spans="1:7">
      <c r="A2527" s="2183"/>
      <c r="B2527" s="2462"/>
      <c r="C2527" s="2662" t="s">
        <v>2351</v>
      </c>
      <c r="D2527" s="2477"/>
      <c r="E2527" s="2478">
        <f t="shared" si="126"/>
        <v>0.16666666666666666</v>
      </c>
      <c r="F2527" s="2479">
        <v>0.15</v>
      </c>
      <c r="G2527">
        <v>0.18</v>
      </c>
    </row>
    <row r="2528" spans="1:7">
      <c r="A2528" s="2206"/>
      <c r="B2528" s="2464"/>
      <c r="C2528" s="2661" t="s">
        <v>2352</v>
      </c>
      <c r="D2528" s="2464"/>
      <c r="E2528" s="2478">
        <f t="shared" si="126"/>
        <v>0.16666666666666666</v>
      </c>
      <c r="F2528" s="2441">
        <v>0.15</v>
      </c>
      <c r="G2528">
        <v>0.18</v>
      </c>
    </row>
    <row r="2529" spans="1:7">
      <c r="A2529" s="2206"/>
      <c r="B2529" s="2464"/>
      <c r="C2529" s="2661" t="s">
        <v>2251</v>
      </c>
      <c r="D2529" s="2464"/>
      <c r="E2529" s="2478">
        <f t="shared" si="126"/>
        <v>0.20164609053497951</v>
      </c>
      <c r="F2529" s="2441">
        <v>1.94</v>
      </c>
      <c r="G2529">
        <v>2.4300000000000002</v>
      </c>
    </row>
    <row r="2530" spans="1:7">
      <c r="A2530" s="2206"/>
      <c r="B2530" s="2464"/>
      <c r="C2530" s="2464" t="s">
        <v>2827</v>
      </c>
      <c r="D2530" s="2464"/>
      <c r="E2530" s="2478">
        <f t="shared" si="126"/>
        <v>0.24691358024691365</v>
      </c>
      <c r="F2530" s="2441">
        <v>1.22</v>
      </c>
      <c r="G2530">
        <v>1.62</v>
      </c>
    </row>
    <row r="2531" spans="1:7">
      <c r="A2531" s="2206"/>
      <c r="B2531" s="2464"/>
      <c r="C2531" s="2464" t="s">
        <v>2890</v>
      </c>
      <c r="D2531" s="2464"/>
      <c r="E2531" s="2478">
        <f t="shared" si="126"/>
        <v>0.24691358024691365</v>
      </c>
      <c r="F2531" s="2441">
        <v>1.22</v>
      </c>
      <c r="G2531">
        <v>1.62</v>
      </c>
    </row>
    <row r="2532" spans="1:7" ht="15.75" thickBot="1">
      <c r="A2532" s="1315"/>
      <c r="B2532" s="2180"/>
      <c r="C2532" s="2180" t="s">
        <v>2871</v>
      </c>
      <c r="D2532" s="2180"/>
      <c r="E2532" s="2445">
        <f t="shared" si="126"/>
        <v>0.24691358024691365</v>
      </c>
      <c r="F2532" s="2413">
        <v>1.22</v>
      </c>
      <c r="G2532">
        <v>1.62</v>
      </c>
    </row>
    <row r="2533" spans="1:7" ht="15.75" thickBot="1"/>
    <row r="2534" spans="1:7">
      <c r="A2534" s="3572" t="s">
        <v>0</v>
      </c>
      <c r="B2534" s="3557" t="s">
        <v>1</v>
      </c>
      <c r="C2534" s="3557" t="s">
        <v>2</v>
      </c>
      <c r="D2534" s="3557" t="s">
        <v>3</v>
      </c>
      <c r="E2534" s="3557" t="s">
        <v>4</v>
      </c>
      <c r="F2534" s="3559" t="s">
        <v>5</v>
      </c>
    </row>
    <row r="2535" spans="1:7" ht="15.75" thickBot="1">
      <c r="A2535" s="3871"/>
      <c r="B2535" s="3626"/>
      <c r="C2535" s="3626"/>
      <c r="D2535" s="3626"/>
      <c r="E2535" s="3626"/>
      <c r="F2535" s="3627"/>
    </row>
    <row r="2536" spans="1:7">
      <c r="A2536" s="1675" t="s">
        <v>3150</v>
      </c>
      <c r="B2536" s="2400" t="s">
        <v>2155</v>
      </c>
      <c r="C2536" s="2401" t="s">
        <v>1614</v>
      </c>
      <c r="D2536" s="2402"/>
      <c r="E2536" s="2403">
        <f>(G2536-F2536)/G2536</f>
        <v>0.34814814814814821</v>
      </c>
      <c r="F2536" s="1958">
        <v>0.88</v>
      </c>
      <c r="G2536">
        <v>1.35</v>
      </c>
    </row>
    <row r="2537" spans="1:7">
      <c r="A2537" s="2200"/>
      <c r="B2537" s="2529"/>
      <c r="C2537" s="2530" t="s">
        <v>2792</v>
      </c>
      <c r="D2537" s="2531"/>
      <c r="E2537" s="2532">
        <f>(G2537-F2537)/G2537</f>
        <v>0.34814814814814821</v>
      </c>
      <c r="F2537" s="2533">
        <v>0.88</v>
      </c>
      <c r="G2537">
        <v>1.35</v>
      </c>
    </row>
    <row r="2538" spans="1:7">
      <c r="A2538" s="2200"/>
      <c r="B2538" s="2529"/>
      <c r="C2538" s="2534" t="s">
        <v>686</v>
      </c>
      <c r="D2538" s="2531"/>
      <c r="E2538" s="2532">
        <f>(G2538-F2538)/G2538</f>
        <v>0.35064935064935066</v>
      </c>
      <c r="F2538" s="2533">
        <v>1.5</v>
      </c>
      <c r="G2538">
        <v>2.31</v>
      </c>
    </row>
    <row r="2539" spans="1:7" ht="15.75" thickBot="1">
      <c r="A2539" s="1903"/>
      <c r="B2539" s="2171"/>
      <c r="C2539" s="2535" t="s">
        <v>687</v>
      </c>
      <c r="D2539" s="2444"/>
      <c r="E2539" s="2445">
        <f>(G2539-F2539)/G2539</f>
        <v>0.35064935064935066</v>
      </c>
      <c r="F2539" s="2446">
        <v>1.5</v>
      </c>
      <c r="G2539">
        <v>2.31</v>
      </c>
    </row>
    <row r="2541" spans="1:7" ht="15.75" thickBot="1"/>
    <row r="2542" spans="1:7">
      <c r="A2542" s="3572" t="s">
        <v>0</v>
      </c>
      <c r="B2542" s="3557" t="s">
        <v>1</v>
      </c>
      <c r="C2542" s="3557" t="s">
        <v>2</v>
      </c>
      <c r="D2542" s="3557" t="s">
        <v>3</v>
      </c>
      <c r="E2542" s="3557" t="s">
        <v>4</v>
      </c>
      <c r="F2542" s="3559" t="s">
        <v>5</v>
      </c>
      <c r="G2542" s="429"/>
    </row>
    <row r="2543" spans="1:7" ht="15.75" thickBot="1">
      <c r="A2543" s="3871"/>
      <c r="B2543" s="3692"/>
      <c r="C2543" s="3692"/>
      <c r="D2543" s="3692"/>
      <c r="E2543" s="3692"/>
      <c r="F2543" s="3705"/>
      <c r="G2543" s="429"/>
    </row>
    <row r="2544" spans="1:7" ht="16.5" thickTop="1">
      <c r="A2544" s="2537" t="s">
        <v>3164</v>
      </c>
      <c r="B2544" s="2072" t="s">
        <v>2082</v>
      </c>
      <c r="C2544" s="1635" t="s">
        <v>1891</v>
      </c>
      <c r="D2544" s="2072"/>
      <c r="E2544" s="1553">
        <f>(G2544-F2544)/G2544</f>
        <v>0.24806201550387602</v>
      </c>
      <c r="F2544" s="2538">
        <v>0.97</v>
      </c>
      <c r="G2544" s="436">
        <v>1.29</v>
      </c>
    </row>
    <row r="2545" spans="1:7">
      <c r="A2545" s="491"/>
      <c r="B2545" s="2539"/>
      <c r="C2545" s="2656" t="s">
        <v>1892</v>
      </c>
      <c r="D2545" s="2072"/>
      <c r="E2545" s="2540">
        <f>(G2545-F2545)/G2545</f>
        <v>0.24806201550387602</v>
      </c>
      <c r="F2545" s="2538">
        <v>0.97</v>
      </c>
      <c r="G2545" s="436">
        <v>1.29</v>
      </c>
    </row>
    <row r="2546" spans="1:7" ht="15.75" thickBot="1">
      <c r="A2546" s="500"/>
      <c r="B2546" s="2466"/>
      <c r="C2546" s="2541" t="s">
        <v>2827</v>
      </c>
      <c r="D2546" s="873"/>
      <c r="E2546" s="2542">
        <f>(G2546-F2546)/G2546</f>
        <v>0.1976047904191616</v>
      </c>
      <c r="F2546" s="2543">
        <v>1.34</v>
      </c>
      <c r="G2546" s="429">
        <v>1.67</v>
      </c>
    </row>
    <row r="2547" spans="1:7" ht="15.75" thickBot="1"/>
    <row r="2548" spans="1:7">
      <c r="A2548" s="3614" t="s">
        <v>0</v>
      </c>
      <c r="B2548" s="3693" t="s">
        <v>1</v>
      </c>
      <c r="C2548" s="3693" t="s">
        <v>2</v>
      </c>
      <c r="D2548" s="3693" t="s">
        <v>3</v>
      </c>
      <c r="E2548" s="3693" t="s">
        <v>4</v>
      </c>
      <c r="F2548" s="3522" t="s">
        <v>5</v>
      </c>
    </row>
    <row r="2549" spans="1:7" ht="15.75" thickBot="1">
      <c r="A2549" s="3610"/>
      <c r="B2549" s="3622"/>
      <c r="C2549" s="3622"/>
      <c r="D2549" s="3622"/>
      <c r="E2549" s="3622"/>
      <c r="F2549" s="3846"/>
    </row>
    <row r="2550" spans="1:7">
      <c r="A2550" s="1675" t="s">
        <v>3165</v>
      </c>
      <c r="B2550" s="451" t="s">
        <v>460</v>
      </c>
      <c r="C2550" s="2324" t="s">
        <v>1959</v>
      </c>
      <c r="D2550" s="1792"/>
      <c r="E2550" s="1772">
        <f t="shared" ref="E2550:E2557" si="127">(G2550-F2550)/G2550</f>
        <v>0.20149253731343283</v>
      </c>
      <c r="F2550" s="1793">
        <v>1.07</v>
      </c>
      <c r="G2550">
        <v>1.34</v>
      </c>
    </row>
    <row r="2551" spans="1:7">
      <c r="A2551" s="2200"/>
      <c r="B2551" s="2539"/>
      <c r="C2551" s="2652" t="s">
        <v>1960</v>
      </c>
      <c r="D2551" s="2545"/>
      <c r="E2551" s="2546">
        <f t="shared" si="127"/>
        <v>0.20149253731343283</v>
      </c>
      <c r="F2551" s="2547">
        <v>1.07</v>
      </c>
      <c r="G2551">
        <v>1.34</v>
      </c>
    </row>
    <row r="2552" spans="1:7">
      <c r="A2552" s="2200"/>
      <c r="B2552" s="2539"/>
      <c r="C2552" s="2652" t="s">
        <v>906</v>
      </c>
      <c r="D2552" s="2545"/>
      <c r="E2552" s="2546">
        <f t="shared" si="127"/>
        <v>0.19827586206896541</v>
      </c>
      <c r="F2552" s="2547">
        <v>0.93</v>
      </c>
      <c r="G2552">
        <v>1.1599999999999999</v>
      </c>
    </row>
    <row r="2553" spans="1:7">
      <c r="A2553" s="2183"/>
      <c r="B2553" s="2548"/>
      <c r="C2553" s="2652" t="s">
        <v>154</v>
      </c>
      <c r="D2553" s="2545"/>
      <c r="E2553" s="2546">
        <f t="shared" si="127"/>
        <v>0.25252525252525254</v>
      </c>
      <c r="F2553" s="2547">
        <v>0.74</v>
      </c>
      <c r="G2553">
        <v>0.99</v>
      </c>
    </row>
    <row r="2554" spans="1:7">
      <c r="A2554" s="2183"/>
      <c r="B2554" s="2548"/>
      <c r="C2554" s="2652" t="s">
        <v>1904</v>
      </c>
      <c r="D2554" s="2545"/>
      <c r="E2554" s="2546">
        <f t="shared" si="127"/>
        <v>0.22023809523809518</v>
      </c>
      <c r="F2554" s="2547">
        <v>1.31</v>
      </c>
      <c r="G2554">
        <v>1.68</v>
      </c>
    </row>
    <row r="2555" spans="1:7">
      <c r="A2555" s="2183"/>
      <c r="B2555" s="2548"/>
      <c r="C2555" s="2652" t="s">
        <v>2021</v>
      </c>
      <c r="D2555" s="2545"/>
      <c r="E2555" s="2546">
        <f t="shared" si="127"/>
        <v>0.22023809523809518</v>
      </c>
      <c r="F2555" s="2547">
        <v>1.31</v>
      </c>
      <c r="G2555">
        <v>1.68</v>
      </c>
    </row>
    <row r="2556" spans="1:7">
      <c r="A2556" s="2183"/>
      <c r="B2556" s="2548"/>
      <c r="C2556" s="2652" t="s">
        <v>1905</v>
      </c>
      <c r="D2556" s="2545"/>
      <c r="E2556" s="2546">
        <f t="shared" si="127"/>
        <v>0.22023809523809518</v>
      </c>
      <c r="F2556" s="2547">
        <v>1.31</v>
      </c>
      <c r="G2556">
        <v>1.68</v>
      </c>
    </row>
    <row r="2557" spans="1:7" ht="15.75" thickBot="1">
      <c r="A2557" s="1903"/>
      <c r="B2557" s="2171"/>
      <c r="C2557" s="2604" t="s">
        <v>1891</v>
      </c>
      <c r="D2557" s="2171"/>
      <c r="E2557" s="2172">
        <f t="shared" si="127"/>
        <v>0.217741935483871</v>
      </c>
      <c r="F2557" s="2419">
        <v>0.97</v>
      </c>
      <c r="G2557">
        <v>1.24</v>
      </c>
    </row>
    <row r="2558" spans="1:7" ht="15.75" thickBot="1"/>
    <row r="2559" spans="1:7">
      <c r="A2559" s="3614" t="s">
        <v>0</v>
      </c>
      <c r="B2559" s="3693" t="s">
        <v>1</v>
      </c>
      <c r="C2559" s="3693" t="s">
        <v>2</v>
      </c>
      <c r="D2559" s="3693" t="s">
        <v>3</v>
      </c>
      <c r="E2559" s="3693" t="s">
        <v>4</v>
      </c>
      <c r="F2559" s="3522" t="s">
        <v>5</v>
      </c>
    </row>
    <row r="2560" spans="1:7" ht="15.75" thickBot="1">
      <c r="A2560" s="3610"/>
      <c r="B2560" s="3622"/>
      <c r="C2560" s="3622"/>
      <c r="D2560" s="3622"/>
      <c r="E2560" s="3622"/>
      <c r="F2560" s="3846"/>
    </row>
    <row r="2561" spans="1:7">
      <c r="A2561" s="1675" t="s">
        <v>3165</v>
      </c>
      <c r="B2561" s="451" t="s">
        <v>460</v>
      </c>
      <c r="C2561" s="2324" t="s">
        <v>155</v>
      </c>
      <c r="D2561" s="1792"/>
      <c r="E2561" s="1772">
        <f>(G2561-F2561)/G2561</f>
        <v>0.24545454545454556</v>
      </c>
      <c r="F2561" s="1793">
        <v>0.83</v>
      </c>
      <c r="G2561">
        <v>1.1000000000000001</v>
      </c>
    </row>
    <row r="2562" spans="1:7" ht="15.75" thickBot="1">
      <c r="A2562" s="1599"/>
      <c r="B2562" s="2466"/>
      <c r="C2562" s="2430" t="s">
        <v>452</v>
      </c>
      <c r="D2562" s="2467"/>
      <c r="E2562" s="2172">
        <f>(G2562-F2562)/G2562</f>
        <v>0.24509803921568626</v>
      </c>
      <c r="F2562" s="2419">
        <v>0.77</v>
      </c>
      <c r="G2562">
        <v>1.02</v>
      </c>
    </row>
    <row r="2564" spans="1:7" ht="15.75" thickBot="1"/>
    <row r="2565" spans="1:7">
      <c r="A2565" s="3572" t="s">
        <v>0</v>
      </c>
      <c r="B2565" s="3557" t="s">
        <v>1</v>
      </c>
      <c r="C2565" s="3557" t="s">
        <v>2</v>
      </c>
      <c r="D2565" s="3557" t="s">
        <v>3</v>
      </c>
      <c r="E2565" s="3557" t="s">
        <v>4</v>
      </c>
      <c r="F2565" s="3559" t="s">
        <v>5</v>
      </c>
      <c r="G2565" s="429"/>
    </row>
    <row r="2566" spans="1:7" ht="15.75" thickBot="1">
      <c r="A2566" s="3871"/>
      <c r="B2566" s="3626"/>
      <c r="C2566" s="3626"/>
      <c r="D2566" s="3626"/>
      <c r="E2566" s="3626"/>
      <c r="F2566" s="3627"/>
      <c r="G2566" s="429"/>
    </row>
    <row r="2567" spans="1:7">
      <c r="A2567" s="1675" t="s">
        <v>3171</v>
      </c>
      <c r="B2567" s="1676" t="s">
        <v>120</v>
      </c>
      <c r="C2567" s="2414" t="s">
        <v>686</v>
      </c>
      <c r="D2567" s="2415"/>
      <c r="E2567" s="1677">
        <f>(G2567-F2567)/G2567</f>
        <v>0.25104602510460255</v>
      </c>
      <c r="F2567" s="1793">
        <v>1.79</v>
      </c>
      <c r="G2567" s="429">
        <v>2.39</v>
      </c>
    </row>
    <row r="2568" spans="1:7">
      <c r="A2568" s="2434"/>
      <c r="B2568" s="2539" t="s">
        <v>121</v>
      </c>
      <c r="C2568" s="2544" t="s">
        <v>687</v>
      </c>
      <c r="D2568" s="2545"/>
      <c r="E2568" s="2546">
        <f>(G2568-F2568)/G2568</f>
        <v>0.25104602510460255</v>
      </c>
      <c r="F2568" s="2547">
        <v>1.79</v>
      </c>
      <c r="G2568" s="39">
        <v>2.39</v>
      </c>
    </row>
    <row r="2569" spans="1:7">
      <c r="A2569" s="2434"/>
      <c r="B2569" s="2539" t="s">
        <v>123</v>
      </c>
      <c r="C2569" s="2544" t="s">
        <v>1891</v>
      </c>
      <c r="D2569" s="2545"/>
      <c r="E2569" s="2546">
        <f>(G2569-F2569)/G2569</f>
        <v>0.27906976744186046</v>
      </c>
      <c r="F2569" s="2547">
        <v>0.93</v>
      </c>
      <c r="G2569" s="429">
        <v>1.29</v>
      </c>
    </row>
    <row r="2570" spans="1:7">
      <c r="A2570" s="2434"/>
      <c r="B2570" s="2539" t="s">
        <v>122</v>
      </c>
      <c r="C2570" s="2544" t="s">
        <v>1892</v>
      </c>
      <c r="D2570" s="2545"/>
      <c r="E2570" s="2546">
        <f>(G2570-F2570)/G2570</f>
        <v>0.27906976744186046</v>
      </c>
      <c r="F2570" s="2547">
        <v>0.93</v>
      </c>
      <c r="G2570" s="528">
        <v>1.29</v>
      </c>
    </row>
    <row r="2571" spans="1:7" ht="15.75" thickBot="1">
      <c r="A2571" s="2051"/>
      <c r="B2571" s="2466" t="s">
        <v>2057</v>
      </c>
      <c r="C2571" s="2180"/>
      <c r="D2571" s="2180"/>
      <c r="E2571" s="2172" t="e">
        <f>(G2571-F2571)/G2571</f>
        <v>#DIV/0!</v>
      </c>
      <c r="F2571" s="2413"/>
      <c r="G2571" s="528"/>
    </row>
    <row r="2572" spans="1:7" ht="15.75" thickBot="1"/>
    <row r="2573" spans="1:7">
      <c r="A2573" s="3614" t="s">
        <v>0</v>
      </c>
      <c r="B2573" s="3518" t="s">
        <v>1</v>
      </c>
      <c r="C2573" s="3518" t="s">
        <v>2</v>
      </c>
      <c r="D2573" s="3518" t="s">
        <v>3</v>
      </c>
      <c r="E2573" s="3518" t="s">
        <v>4</v>
      </c>
      <c r="F2573" s="3522" t="s">
        <v>5</v>
      </c>
    </row>
    <row r="2574" spans="1:7" ht="15.75" thickBot="1">
      <c r="A2574" s="3610"/>
      <c r="B2574" s="3622"/>
      <c r="C2574" s="3622"/>
      <c r="D2574" s="3622"/>
      <c r="E2574" s="3622"/>
      <c r="F2574" s="3846"/>
    </row>
    <row r="2575" spans="1:7" ht="15.75">
      <c r="A2575" s="1675" t="s">
        <v>3172</v>
      </c>
      <c r="B2575" s="1163" t="s">
        <v>2183</v>
      </c>
      <c r="C2575" s="2609" t="s">
        <v>1975</v>
      </c>
      <c r="D2575" s="2562"/>
      <c r="E2575" s="1412">
        <f>(G2575-F2575)/G2575</f>
        <v>0.20994475138121552</v>
      </c>
      <c r="F2575" s="2114">
        <v>1.43</v>
      </c>
      <c r="G2575">
        <v>1.81</v>
      </c>
    </row>
    <row r="2576" spans="1:7" ht="15.75">
      <c r="A2576" s="2409"/>
      <c r="B2576" s="2525"/>
      <c r="C2576" s="2652" t="s">
        <v>2455</v>
      </c>
      <c r="D2576" s="2563"/>
      <c r="E2576" s="2564">
        <f>(G2576-F2576)/G2576</f>
        <v>0.19753086419753088</v>
      </c>
      <c r="F2576" s="2565">
        <v>1.3</v>
      </c>
      <c r="G2576">
        <v>1.62</v>
      </c>
    </row>
    <row r="2577" spans="1:7" ht="15.75">
      <c r="A2577" s="2409"/>
      <c r="B2577" s="2525"/>
      <c r="C2577" s="2652" t="s">
        <v>2387</v>
      </c>
      <c r="D2577" s="2563"/>
      <c r="E2577" s="2564">
        <f>(G2577-F2577)/G2577</f>
        <v>0.26153846153846155</v>
      </c>
      <c r="F2577" s="2565">
        <v>1.44</v>
      </c>
      <c r="G2577">
        <v>1.95</v>
      </c>
    </row>
    <row r="2578" spans="1:7" ht="15.75">
      <c r="A2578" s="2206"/>
      <c r="B2578" s="2526"/>
      <c r="C2578" s="2526" t="s">
        <v>2744</v>
      </c>
      <c r="D2578" s="2526"/>
      <c r="E2578" s="2564">
        <f>(G2578-F2578)/G2578</f>
        <v>0.29951690821256033</v>
      </c>
      <c r="F2578" s="2528">
        <v>1.45</v>
      </c>
      <c r="G2578">
        <v>2.0699999999999998</v>
      </c>
    </row>
    <row r="2579" spans="1:7" ht="16.5" thickBot="1">
      <c r="A2579" s="1315"/>
      <c r="B2579" s="2180"/>
      <c r="C2579" s="2180" t="s">
        <v>2596</v>
      </c>
      <c r="D2579" s="2180"/>
      <c r="E2579" s="2238">
        <f>(G2579-F2579)/G2579</f>
        <v>0.30281690140845069</v>
      </c>
      <c r="F2579" s="2413">
        <v>0.99</v>
      </c>
      <c r="G2579">
        <v>1.42</v>
      </c>
    </row>
    <row r="2580" spans="1:7" ht="15.75" thickBot="1"/>
    <row r="2581" spans="1:7">
      <c r="A2581" s="3572" t="s">
        <v>0</v>
      </c>
      <c r="B2581" s="3557" t="s">
        <v>1</v>
      </c>
      <c r="C2581" s="3557" t="s">
        <v>2</v>
      </c>
      <c r="D2581" s="3557" t="s">
        <v>3</v>
      </c>
      <c r="E2581" s="3557" t="s">
        <v>4</v>
      </c>
      <c r="F2581" s="3559" t="s">
        <v>5</v>
      </c>
    </row>
    <row r="2582" spans="1:7" ht="15.75" thickBot="1">
      <c r="A2582" s="3871"/>
      <c r="B2582" s="3626"/>
      <c r="C2582" s="3626"/>
      <c r="D2582" s="3626"/>
      <c r="E2582" s="3626"/>
      <c r="F2582" s="3627"/>
    </row>
    <row r="2583" spans="1:7">
      <c r="A2583" s="1675" t="s">
        <v>3173</v>
      </c>
      <c r="B2583" s="2400" t="s">
        <v>2155</v>
      </c>
      <c r="C2583" s="2607" t="s">
        <v>1975</v>
      </c>
      <c r="D2583" s="2402"/>
      <c r="E2583" s="2403">
        <f t="shared" ref="E2583:E2589" si="128">(G2583-F2583)/G2583</f>
        <v>0.23497267759562848</v>
      </c>
      <c r="F2583" s="1958">
        <v>1.4</v>
      </c>
      <c r="G2583">
        <v>1.83</v>
      </c>
    </row>
    <row r="2584" spans="1:7">
      <c r="A2584" s="2200"/>
      <c r="B2584" s="2529"/>
      <c r="C2584" s="2660" t="s">
        <v>2743</v>
      </c>
      <c r="D2584" s="2531"/>
      <c r="E2584" s="2532">
        <f t="shared" si="128"/>
        <v>0.19736842105263161</v>
      </c>
      <c r="F2584" s="2533">
        <v>0.61</v>
      </c>
      <c r="G2584">
        <v>0.76</v>
      </c>
    </row>
    <row r="2585" spans="1:7">
      <c r="A2585" s="2200"/>
      <c r="B2585" s="2529"/>
      <c r="C2585" s="2806" t="s">
        <v>2637</v>
      </c>
      <c r="D2585" s="2531"/>
      <c r="E2585" s="2532">
        <f t="shared" si="128"/>
        <v>0.13333333333333328</v>
      </c>
      <c r="F2585" s="2533">
        <v>0.13</v>
      </c>
      <c r="G2585">
        <v>0.15</v>
      </c>
    </row>
    <row r="2586" spans="1:7">
      <c r="A2586" s="2183"/>
      <c r="B2586" s="2548"/>
      <c r="C2586" s="2534" t="s">
        <v>3120</v>
      </c>
      <c r="D2586" s="2531"/>
      <c r="E2586" s="2532">
        <f t="shared" si="128"/>
        <v>0.19948186528497411</v>
      </c>
      <c r="F2586" s="2533">
        <v>6.18</v>
      </c>
      <c r="G2586">
        <v>7.72</v>
      </c>
    </row>
    <row r="2587" spans="1:7">
      <c r="A2587" s="2206"/>
      <c r="B2587" s="2526"/>
      <c r="C2587" s="2526" t="s">
        <v>3121</v>
      </c>
      <c r="D2587" s="2526"/>
      <c r="E2587" s="2532">
        <f t="shared" si="128"/>
        <v>0.19948186528497411</v>
      </c>
      <c r="F2587" s="2528">
        <v>6.18</v>
      </c>
      <c r="G2587">
        <v>7.72</v>
      </c>
    </row>
    <row r="2588" spans="1:7">
      <c r="A2588" s="2206"/>
      <c r="B2588" s="2526"/>
      <c r="C2588" s="2526" t="s">
        <v>940</v>
      </c>
      <c r="D2588" s="2526"/>
      <c r="E2588" s="2532">
        <f t="shared" si="128"/>
        <v>0.19948186528497411</v>
      </c>
      <c r="F2588" s="2528">
        <v>6.18</v>
      </c>
      <c r="G2588">
        <v>7.72</v>
      </c>
    </row>
    <row r="2589" spans="1:7" ht="15.75" thickBot="1">
      <c r="A2589" s="1315"/>
      <c r="B2589" s="2180"/>
      <c r="C2589" s="2180" t="s">
        <v>786</v>
      </c>
      <c r="D2589" s="2180"/>
      <c r="E2589" s="2445">
        <f t="shared" si="128"/>
        <v>0.19948186528497411</v>
      </c>
      <c r="F2589" s="2413">
        <v>6.18</v>
      </c>
      <c r="G2589">
        <v>7.72</v>
      </c>
    </row>
    <row r="2590" spans="1:7" ht="15.75" thickBot="1"/>
    <row r="2591" spans="1:7">
      <c r="A2591" s="3572" t="s">
        <v>0</v>
      </c>
      <c r="B2591" s="3557" t="s">
        <v>1</v>
      </c>
      <c r="C2591" s="3557" t="s">
        <v>2</v>
      </c>
      <c r="D2591" s="3557" t="s">
        <v>3</v>
      </c>
      <c r="E2591" s="3557" t="s">
        <v>4</v>
      </c>
      <c r="F2591" s="3559" t="s">
        <v>5</v>
      </c>
    </row>
    <row r="2592" spans="1:7" ht="15.75" thickBot="1">
      <c r="A2592" s="3871"/>
      <c r="B2592" s="3628"/>
      <c r="C2592" s="3628"/>
      <c r="D2592" s="3628"/>
      <c r="E2592" s="3628"/>
      <c r="F2592" s="3629"/>
    </row>
    <row r="2593" spans="1:7">
      <c r="A2593" s="1675" t="s">
        <v>3191</v>
      </c>
      <c r="B2593" s="2400" t="s">
        <v>2155</v>
      </c>
      <c r="C2593" s="2607" t="s">
        <v>2351</v>
      </c>
      <c r="D2593" s="2402"/>
      <c r="E2593" s="2403">
        <f>(G2593-F2593)/G2593</f>
        <v>0.16666666666666666</v>
      </c>
      <c r="F2593" s="1958">
        <v>0.15</v>
      </c>
      <c r="G2593">
        <v>0.18</v>
      </c>
    </row>
    <row r="2594" spans="1:7">
      <c r="A2594" s="2589"/>
      <c r="B2594" s="2590"/>
      <c r="C2594" s="2663" t="s">
        <v>2352</v>
      </c>
      <c r="D2594" s="2592"/>
      <c r="E2594" s="2593">
        <f>(G2594-F2594)/G2594</f>
        <v>0.16666666666666666</v>
      </c>
      <c r="F2594" s="2594">
        <v>0.15</v>
      </c>
      <c r="G2594">
        <v>0.18</v>
      </c>
    </row>
    <row r="2595" spans="1:7">
      <c r="A2595" s="2589"/>
      <c r="B2595" s="2590"/>
      <c r="C2595" s="2658" t="s">
        <v>2176</v>
      </c>
      <c r="D2595" s="2592"/>
      <c r="E2595" s="2593">
        <f>(G2595-F2595)/G2595</f>
        <v>0.24999999999999994</v>
      </c>
      <c r="F2595" s="2594">
        <v>1.86</v>
      </c>
      <c r="G2595">
        <v>2.48</v>
      </c>
    </row>
    <row r="2596" spans="1:7" ht="15.75" thickBot="1">
      <c r="A2596" s="1903"/>
      <c r="B2596" s="2596"/>
      <c r="C2596" s="2659" t="s">
        <v>2156</v>
      </c>
      <c r="D2596" s="2598"/>
      <c r="E2596" s="2599">
        <f>(G2596-F2596)/G2596</f>
        <v>0.19915254237288135</v>
      </c>
      <c r="F2596" s="2446">
        <v>1.89</v>
      </c>
      <c r="G2596">
        <v>2.36</v>
      </c>
    </row>
    <row r="2598" spans="1:7" ht="15.75" thickBot="1"/>
    <row r="2599" spans="1:7">
      <c r="A2599" s="3614" t="s">
        <v>0</v>
      </c>
      <c r="B2599" s="3518" t="s">
        <v>1</v>
      </c>
      <c r="C2599" s="3518" t="s">
        <v>2</v>
      </c>
      <c r="D2599" s="3518" t="s">
        <v>3</v>
      </c>
      <c r="E2599" s="3518" t="s">
        <v>4</v>
      </c>
      <c r="F2599" s="3522" t="s">
        <v>5</v>
      </c>
    </row>
    <row r="2600" spans="1:7" ht="15.75" thickBot="1">
      <c r="A2600" s="3610"/>
      <c r="B2600" s="3608"/>
      <c r="C2600" s="3608"/>
      <c r="D2600" s="3608"/>
      <c r="E2600" s="3608"/>
      <c r="F2600" s="3607"/>
    </row>
    <row r="2601" spans="1:7" ht="15.75">
      <c r="A2601" s="1675" t="s">
        <v>3202</v>
      </c>
      <c r="B2601" s="1163" t="s">
        <v>2183</v>
      </c>
      <c r="C2601" s="2414" t="s">
        <v>2602</v>
      </c>
      <c r="D2601" s="2562"/>
      <c r="E2601" s="2626">
        <f t="shared" ref="E2601:E2609" si="129">(G2601-F2601)/G2601</f>
        <v>0.19875776397515529</v>
      </c>
      <c r="F2601" s="2114">
        <v>2.58</v>
      </c>
      <c r="G2601">
        <v>3.22</v>
      </c>
    </row>
    <row r="2602" spans="1:7" ht="15.75">
      <c r="A2602" s="2627"/>
      <c r="B2602" s="2514"/>
      <c r="C2602" s="2628" t="s">
        <v>2558</v>
      </c>
      <c r="D2602" s="2629"/>
      <c r="E2602" s="2630">
        <f t="shared" si="129"/>
        <v>0.19875776397515529</v>
      </c>
      <c r="F2602" s="2631">
        <v>2.58</v>
      </c>
      <c r="G2602">
        <v>3.22</v>
      </c>
    </row>
    <row r="2603" spans="1:7" ht="15.75">
      <c r="A2603" s="2627"/>
      <c r="B2603" s="2514"/>
      <c r="C2603" s="2628" t="s">
        <v>2603</v>
      </c>
      <c r="D2603" s="2629"/>
      <c r="E2603" s="2630">
        <f t="shared" si="129"/>
        <v>0.19875776397515529</v>
      </c>
      <c r="F2603" s="2631">
        <v>2.58</v>
      </c>
      <c r="G2603">
        <v>3.22</v>
      </c>
    </row>
    <row r="2604" spans="1:7" ht="15.75">
      <c r="A2604" s="2620"/>
      <c r="B2604" s="2495"/>
      <c r="C2604" s="2495" t="s">
        <v>2559</v>
      </c>
      <c r="D2604" s="2495"/>
      <c r="E2604" s="2630">
        <f t="shared" si="129"/>
        <v>0.19875776397515529</v>
      </c>
      <c r="F2604" s="2631">
        <v>2.58</v>
      </c>
      <c r="G2604">
        <v>3.22</v>
      </c>
    </row>
    <row r="2605" spans="1:7" ht="15.75">
      <c r="A2605" s="2620"/>
      <c r="B2605" s="2495"/>
      <c r="C2605" s="2605" t="s">
        <v>1891</v>
      </c>
      <c r="D2605" s="2495"/>
      <c r="E2605" s="2630">
        <f t="shared" si="129"/>
        <v>0.20161290322580647</v>
      </c>
      <c r="F2605" s="2586">
        <v>0.99</v>
      </c>
      <c r="G2605">
        <v>1.24</v>
      </c>
    </row>
    <row r="2606" spans="1:7">
      <c r="A2606" s="2620"/>
      <c r="B2606" s="2495"/>
      <c r="C2606" s="2605" t="s">
        <v>1892</v>
      </c>
      <c r="D2606" s="2495"/>
      <c r="E2606" s="2632">
        <f t="shared" si="129"/>
        <v>0.20161290322580647</v>
      </c>
      <c r="F2606" s="2586">
        <v>0.99</v>
      </c>
      <c r="G2606">
        <v>1.24</v>
      </c>
    </row>
    <row r="2607" spans="1:7">
      <c r="A2607" s="2620"/>
      <c r="B2607" s="2495"/>
      <c r="C2607" s="2605" t="s">
        <v>2443</v>
      </c>
      <c r="D2607" s="2495"/>
      <c r="E2607" s="2632">
        <f t="shared" si="129"/>
        <v>0.1666666666666666</v>
      </c>
      <c r="F2607" s="2586">
        <v>0.8</v>
      </c>
      <c r="G2607">
        <v>0.96</v>
      </c>
    </row>
    <row r="2608" spans="1:7">
      <c r="A2608" s="2620"/>
      <c r="B2608" s="2495"/>
      <c r="C2608" s="2495" t="s">
        <v>3004</v>
      </c>
      <c r="D2608" s="2495"/>
      <c r="E2608" s="2632">
        <f t="shared" si="129"/>
        <v>0.15151515151515155</v>
      </c>
      <c r="F2608" s="2586">
        <v>1.96</v>
      </c>
      <c r="G2608">
        <v>2.31</v>
      </c>
    </row>
    <row r="2609" spans="1:7" ht="15.75" thickBot="1">
      <c r="A2609" s="1315"/>
      <c r="B2609" s="2621"/>
      <c r="C2609" s="2621" t="s">
        <v>3005</v>
      </c>
      <c r="D2609" s="2621"/>
      <c r="E2609" s="2633">
        <f t="shared" si="129"/>
        <v>0.15151515151515155</v>
      </c>
      <c r="F2609" s="2413">
        <v>1.96</v>
      </c>
      <c r="G2609">
        <v>2.31</v>
      </c>
    </row>
    <row r="2610" spans="1:7" ht="15.75" thickBot="1"/>
    <row r="2611" spans="1:7">
      <c r="A2611" s="3572" t="s">
        <v>0</v>
      </c>
      <c r="B2611" s="3557" t="s">
        <v>1</v>
      </c>
      <c r="C2611" s="3557" t="s">
        <v>2</v>
      </c>
      <c r="D2611" s="3557" t="s">
        <v>3</v>
      </c>
      <c r="E2611" s="3557" t="s">
        <v>4</v>
      </c>
      <c r="F2611" s="3559" t="s">
        <v>5</v>
      </c>
      <c r="G2611" s="429"/>
    </row>
    <row r="2612" spans="1:7" ht="15.75" thickBot="1">
      <c r="A2612" s="3871"/>
      <c r="B2612" s="3628"/>
      <c r="C2612" s="3628"/>
      <c r="D2612" s="3628"/>
      <c r="E2612" s="3628"/>
      <c r="F2612" s="3629"/>
      <c r="G2612" s="429"/>
    </row>
    <row r="2613" spans="1:7">
      <c r="A2613" s="1675" t="s">
        <v>3203</v>
      </c>
      <c r="B2613" s="1676" t="s">
        <v>120</v>
      </c>
      <c r="C2613" s="2414" t="s">
        <v>1904</v>
      </c>
      <c r="D2613" s="2415"/>
      <c r="E2613" s="1677">
        <f t="shared" ref="E2613:E2625" si="130">(G2613-F2613)/G2613</f>
        <v>0.21714285714285708</v>
      </c>
      <c r="F2613" s="1793">
        <v>1.37</v>
      </c>
      <c r="G2613" s="429">
        <v>1.75</v>
      </c>
    </row>
    <row r="2614" spans="1:7">
      <c r="A2614" s="2634"/>
      <c r="B2614" s="2635" t="s">
        <v>121</v>
      </c>
      <c r="C2614" s="2628" t="s">
        <v>1975</v>
      </c>
      <c r="D2614" s="2636"/>
      <c r="E2614" s="2637">
        <f t="shared" si="130"/>
        <v>0.23809523809523808</v>
      </c>
      <c r="F2614" s="2638">
        <v>1.44</v>
      </c>
      <c r="G2614" s="39">
        <v>1.89</v>
      </c>
    </row>
    <row r="2615" spans="1:7">
      <c r="A2615" s="2634"/>
      <c r="B2615" s="2635" t="s">
        <v>123</v>
      </c>
      <c r="C2615" s="2628" t="s">
        <v>2443</v>
      </c>
      <c r="D2615" s="2636"/>
      <c r="E2615" s="2637">
        <f t="shared" si="130"/>
        <v>0.19999999999999996</v>
      </c>
      <c r="F2615" s="2638">
        <v>0.8</v>
      </c>
      <c r="G2615" s="429">
        <v>1</v>
      </c>
    </row>
    <row r="2616" spans="1:7">
      <c r="A2616" s="2634"/>
      <c r="B2616" s="2635" t="s">
        <v>122</v>
      </c>
      <c r="C2616" s="2628" t="s">
        <v>2558</v>
      </c>
      <c r="D2616" s="2636"/>
      <c r="E2616" s="2637">
        <f t="shared" si="130"/>
        <v>0.19940476190476189</v>
      </c>
      <c r="F2616" s="2638">
        <v>2.69</v>
      </c>
      <c r="G2616" s="528">
        <v>3.36</v>
      </c>
    </row>
    <row r="2617" spans="1:7">
      <c r="A2617" s="2634"/>
      <c r="B2617" s="2635" t="s">
        <v>2057</v>
      </c>
      <c r="C2617" s="2495" t="s">
        <v>2603</v>
      </c>
      <c r="D2617" s="2495"/>
      <c r="E2617" s="2637">
        <f t="shared" si="130"/>
        <v>0.19940476190476189</v>
      </c>
      <c r="F2617" s="2586">
        <v>2.69</v>
      </c>
      <c r="G2617" s="528">
        <v>3.36</v>
      </c>
    </row>
    <row r="2618" spans="1:7">
      <c r="A2618" s="2620"/>
      <c r="B2618" s="2495"/>
      <c r="C2618" s="2495" t="s">
        <v>554</v>
      </c>
      <c r="D2618" s="2495"/>
      <c r="E2618" s="2637">
        <f t="shared" si="130"/>
        <v>0.19852941176470587</v>
      </c>
      <c r="F2618" s="2586">
        <v>1.0900000000000001</v>
      </c>
      <c r="G2618" s="528">
        <v>1.36</v>
      </c>
    </row>
    <row r="2619" spans="1:7">
      <c r="A2619" s="2620"/>
      <c r="B2619" s="2495"/>
      <c r="C2619" s="2495" t="s">
        <v>2792</v>
      </c>
      <c r="D2619" s="2495"/>
      <c r="E2619" s="2637">
        <f t="shared" si="130"/>
        <v>0.19727891156462588</v>
      </c>
      <c r="F2619" s="2586">
        <v>1.18</v>
      </c>
      <c r="G2619" s="528">
        <v>1.47</v>
      </c>
    </row>
    <row r="2620" spans="1:7">
      <c r="A2620" s="2620"/>
      <c r="B2620" s="2495"/>
      <c r="C2620" s="2495" t="s">
        <v>1614</v>
      </c>
      <c r="D2620" s="2495"/>
      <c r="E2620" s="2637">
        <f t="shared" si="130"/>
        <v>0.19727891156462588</v>
      </c>
      <c r="F2620" s="2586">
        <v>1.18</v>
      </c>
      <c r="G2620" s="528">
        <v>1.47</v>
      </c>
    </row>
    <row r="2621" spans="1:7">
      <c r="A2621" s="2620"/>
      <c r="B2621" s="2495"/>
      <c r="C2621" s="2495" t="s">
        <v>3204</v>
      </c>
      <c r="D2621" s="2495"/>
      <c r="E2621" s="2637">
        <f t="shared" si="130"/>
        <v>0.20125786163522016</v>
      </c>
      <c r="F2621" s="2586">
        <v>2.54</v>
      </c>
      <c r="G2621" s="528">
        <v>3.18</v>
      </c>
    </row>
    <row r="2622" spans="1:7">
      <c r="A2622" s="2620"/>
      <c r="B2622" s="2495"/>
      <c r="C2622" s="2495" t="s">
        <v>3205</v>
      </c>
      <c r="D2622" s="2495"/>
      <c r="E2622" s="2637">
        <f t="shared" si="130"/>
        <v>0.20125786163522016</v>
      </c>
      <c r="F2622" s="2586">
        <v>2.54</v>
      </c>
      <c r="G2622" s="528">
        <v>3.18</v>
      </c>
    </row>
    <row r="2623" spans="1:7">
      <c r="A2623" s="2620"/>
      <c r="B2623" s="2495"/>
      <c r="C2623" s="2495" t="s">
        <v>1522</v>
      </c>
      <c r="D2623" s="2495"/>
      <c r="E2623" s="2637">
        <f t="shared" si="130"/>
        <v>0.2032520325203252</v>
      </c>
      <c r="F2623" s="2586">
        <v>0.98</v>
      </c>
      <c r="G2623" s="528">
        <v>1.23</v>
      </c>
    </row>
    <row r="2624" spans="1:7">
      <c r="A2624" s="2620"/>
      <c r="B2624" s="2495"/>
      <c r="C2624" s="2495" t="s">
        <v>385</v>
      </c>
      <c r="D2624" s="2495"/>
      <c r="E2624" s="2637">
        <f t="shared" si="130"/>
        <v>0.2032520325203252</v>
      </c>
      <c r="F2624" s="2586">
        <v>0.98</v>
      </c>
      <c r="G2624" s="528">
        <v>1.23</v>
      </c>
    </row>
    <row r="2625" spans="1:7" ht="15.75" thickBot="1">
      <c r="A2625" s="1315"/>
      <c r="B2625" s="2621"/>
      <c r="C2625" s="2621" t="s">
        <v>860</v>
      </c>
      <c r="D2625" s="2621"/>
      <c r="E2625" s="2639">
        <f t="shared" si="130"/>
        <v>0.20105820105820102</v>
      </c>
      <c r="F2625" s="2413">
        <v>1.51</v>
      </c>
      <c r="G2625" s="528">
        <v>1.89</v>
      </c>
    </row>
    <row r="2626" spans="1:7" ht="15.75" thickBot="1"/>
    <row r="2627" spans="1:7">
      <c r="A2627" s="3614" t="s">
        <v>0</v>
      </c>
      <c r="B2627" s="3518" t="s">
        <v>1</v>
      </c>
      <c r="C2627" s="3518" t="s">
        <v>2</v>
      </c>
      <c r="D2627" s="3518" t="s">
        <v>3</v>
      </c>
      <c r="E2627" s="3518" t="s">
        <v>4</v>
      </c>
      <c r="F2627" s="3522" t="s">
        <v>5</v>
      </c>
    </row>
    <row r="2628" spans="1:7" ht="15.75" thickBot="1">
      <c r="A2628" s="3610"/>
      <c r="B2628" s="3608"/>
      <c r="C2628" s="3608"/>
      <c r="D2628" s="3608"/>
      <c r="E2628" s="3608"/>
      <c r="F2628" s="3607"/>
    </row>
    <row r="2629" spans="1:7">
      <c r="A2629" s="1675" t="s">
        <v>3202</v>
      </c>
      <c r="B2629" s="1676" t="s">
        <v>460</v>
      </c>
      <c r="C2629" s="2414" t="s">
        <v>2658</v>
      </c>
      <c r="D2629" s="2415"/>
      <c r="E2629" s="1677">
        <f t="shared" ref="E2629:E2642" si="131">(G2629-F2629)/G2629</f>
        <v>0.14948453608247425</v>
      </c>
      <c r="F2629" s="1793">
        <v>3.3</v>
      </c>
      <c r="G2629">
        <v>3.88</v>
      </c>
    </row>
    <row r="2630" spans="1:7">
      <c r="A2630" s="2589"/>
      <c r="B2630" s="2635"/>
      <c r="C2630" s="2628" t="s">
        <v>2659</v>
      </c>
      <c r="D2630" s="2636"/>
      <c r="E2630" s="2637">
        <f t="shared" si="131"/>
        <v>0.14948453608247425</v>
      </c>
      <c r="F2630" s="2638">
        <v>3.3</v>
      </c>
      <c r="G2630">
        <v>3.88</v>
      </c>
    </row>
    <row r="2631" spans="1:7">
      <c r="A2631" s="2589"/>
      <c r="B2631" s="2635"/>
      <c r="C2631" s="2628" t="s">
        <v>3206</v>
      </c>
      <c r="D2631" s="2636"/>
      <c r="E2631" s="2637">
        <f t="shared" si="131"/>
        <v>0.15172413793103448</v>
      </c>
      <c r="F2631" s="2638">
        <v>1.23</v>
      </c>
      <c r="G2631">
        <v>1.45</v>
      </c>
    </row>
    <row r="2632" spans="1:7">
      <c r="A2632" s="2640"/>
      <c r="B2632" s="2493"/>
      <c r="C2632" s="2628" t="s">
        <v>3207</v>
      </c>
      <c r="D2632" s="2636"/>
      <c r="E2632" s="2637">
        <f t="shared" si="131"/>
        <v>0.15172413793103448</v>
      </c>
      <c r="F2632" s="2638">
        <v>1.23</v>
      </c>
      <c r="G2632">
        <v>1.45</v>
      </c>
    </row>
    <row r="2633" spans="1:7">
      <c r="A2633" s="2640"/>
      <c r="B2633" s="2493"/>
      <c r="C2633" s="2725" t="s">
        <v>273</v>
      </c>
      <c r="D2633" s="2636"/>
      <c r="E2633" s="2637">
        <f t="shared" si="131"/>
        <v>0.19607843137254907</v>
      </c>
      <c r="F2633" s="2638">
        <v>0.82</v>
      </c>
      <c r="G2633">
        <v>1.02</v>
      </c>
    </row>
    <row r="2634" spans="1:7">
      <c r="A2634" s="2640"/>
      <c r="B2634" s="2493"/>
      <c r="C2634" s="2725" t="s">
        <v>177</v>
      </c>
      <c r="D2634" s="2636"/>
      <c r="E2634" s="2637">
        <f t="shared" si="131"/>
        <v>0.19607843137254907</v>
      </c>
      <c r="F2634" s="2638">
        <v>0.82</v>
      </c>
      <c r="G2634">
        <v>1.02</v>
      </c>
    </row>
    <row r="2635" spans="1:7">
      <c r="A2635" s="2640"/>
      <c r="B2635" s="2493"/>
      <c r="C2635" s="2725" t="s">
        <v>178</v>
      </c>
      <c r="D2635" s="2636"/>
      <c r="E2635" s="2637">
        <f t="shared" si="131"/>
        <v>0.19607843137254907</v>
      </c>
      <c r="F2635" s="2638">
        <v>0.82</v>
      </c>
      <c r="G2635">
        <v>1.02</v>
      </c>
    </row>
    <row r="2636" spans="1:7">
      <c r="A2636" s="2640"/>
      <c r="B2636" s="2493"/>
      <c r="C2636" s="2605" t="s">
        <v>623</v>
      </c>
      <c r="D2636" s="2493"/>
      <c r="E2636" s="2637">
        <f t="shared" si="131"/>
        <v>0.17085427135678397</v>
      </c>
      <c r="F2636" s="2638">
        <v>1.65</v>
      </c>
      <c r="G2636">
        <v>1.99</v>
      </c>
    </row>
    <row r="2637" spans="1:7">
      <c r="A2637" s="2620"/>
      <c r="B2637" s="2495"/>
      <c r="C2637" s="2605" t="s">
        <v>1772</v>
      </c>
      <c r="D2637" s="2495"/>
      <c r="E2637" s="2637">
        <f t="shared" si="131"/>
        <v>0.17085427135678397</v>
      </c>
      <c r="F2637" s="2586">
        <v>1.65</v>
      </c>
      <c r="G2637">
        <v>1.99</v>
      </c>
    </row>
    <row r="2638" spans="1:7">
      <c r="A2638" s="2620"/>
      <c r="B2638" s="2495"/>
      <c r="C2638" s="2495" t="s">
        <v>2602</v>
      </c>
      <c r="D2638" s="2495"/>
      <c r="E2638" s="2637">
        <f t="shared" si="131"/>
        <v>0.19543973941368067</v>
      </c>
      <c r="F2638" s="2586">
        <v>2.4700000000000002</v>
      </c>
      <c r="G2638">
        <v>3.07</v>
      </c>
    </row>
    <row r="2639" spans="1:7">
      <c r="A2639" s="2620"/>
      <c r="B2639" s="2495"/>
      <c r="C2639" s="2495" t="s">
        <v>2558</v>
      </c>
      <c r="D2639" s="2495"/>
      <c r="E2639" s="2637">
        <f t="shared" si="131"/>
        <v>0.19543973941368067</v>
      </c>
      <c r="F2639" s="2586">
        <v>2.4700000000000002</v>
      </c>
      <c r="G2639">
        <v>3.07</v>
      </c>
    </row>
    <row r="2640" spans="1:7">
      <c r="A2640" s="2620"/>
      <c r="B2640" s="2495"/>
      <c r="C2640" s="2495" t="s">
        <v>2603</v>
      </c>
      <c r="D2640" s="2495"/>
      <c r="E2640" s="2637">
        <f t="shared" si="131"/>
        <v>0.19543973941368067</v>
      </c>
      <c r="F2640" s="2586">
        <v>2.4700000000000002</v>
      </c>
      <c r="G2640">
        <v>3.07</v>
      </c>
    </row>
    <row r="2641" spans="1:7">
      <c r="A2641" s="2620"/>
      <c r="B2641" s="2495"/>
      <c r="C2641" s="2495" t="s">
        <v>2559</v>
      </c>
      <c r="D2641" s="2495"/>
      <c r="E2641" s="2637">
        <f t="shared" si="131"/>
        <v>0.19543973941368067</v>
      </c>
      <c r="F2641" s="2586">
        <v>2.4700000000000002</v>
      </c>
      <c r="G2641">
        <v>3.07</v>
      </c>
    </row>
    <row r="2642" spans="1:7" ht="15.75" thickBot="1">
      <c r="A2642" s="1315"/>
      <c r="B2642" s="2621"/>
      <c r="C2642" s="2621" t="s">
        <v>3004</v>
      </c>
      <c r="D2642" s="2621"/>
      <c r="E2642" s="2639">
        <f t="shared" si="131"/>
        <v>0.15079365079365076</v>
      </c>
      <c r="F2642" s="2413">
        <v>2.14</v>
      </c>
      <c r="G2642">
        <v>2.52</v>
      </c>
    </row>
    <row r="2643" spans="1:7" ht="15.75" thickBot="1"/>
    <row r="2644" spans="1:7">
      <c r="A2644" s="3572" t="s">
        <v>0</v>
      </c>
      <c r="B2644" s="3557" t="s">
        <v>1</v>
      </c>
      <c r="C2644" s="3557" t="s">
        <v>2</v>
      </c>
      <c r="D2644" s="3557" t="s">
        <v>3</v>
      </c>
      <c r="E2644" s="3557" t="s">
        <v>4</v>
      </c>
      <c r="F2644" s="3559" t="s">
        <v>5</v>
      </c>
    </row>
    <row r="2645" spans="1:7" ht="15.75" thickBot="1">
      <c r="A2645" s="3871"/>
      <c r="B2645" s="3628"/>
      <c r="C2645" s="3628"/>
      <c r="D2645" s="3628"/>
      <c r="E2645" s="3628"/>
      <c r="F2645" s="3629"/>
    </row>
    <row r="2646" spans="1:7">
      <c r="A2646" s="1675" t="s">
        <v>3209</v>
      </c>
      <c r="B2646" s="2400" t="s">
        <v>2155</v>
      </c>
      <c r="C2646" s="2607" t="s">
        <v>2021</v>
      </c>
      <c r="D2646" s="2402"/>
      <c r="E2646" s="2403">
        <f>(G2646-F2646)/G2646</f>
        <v>0.21764705882352936</v>
      </c>
      <c r="F2646" s="1958">
        <v>1.33</v>
      </c>
      <c r="G2646">
        <v>1.7</v>
      </c>
    </row>
    <row r="2647" spans="1:7">
      <c r="A2647" s="2589"/>
      <c r="B2647" s="2590"/>
      <c r="C2647" s="2663" t="s">
        <v>1905</v>
      </c>
      <c r="D2647" s="2592"/>
      <c r="E2647" s="2593">
        <f>(G2647-F2647)/G2647</f>
        <v>0.21764705882352936</v>
      </c>
      <c r="F2647" s="2594">
        <v>1.33</v>
      </c>
      <c r="G2647">
        <v>1.7</v>
      </c>
    </row>
    <row r="2648" spans="1:7">
      <c r="A2648" s="2589"/>
      <c r="B2648" s="2590"/>
      <c r="C2648" s="2595"/>
      <c r="D2648" s="2592"/>
      <c r="E2648" s="2593" t="e">
        <f>(G2648-F2648)/G2648</f>
        <v>#DIV/0!</v>
      </c>
      <c r="F2648" s="2594"/>
    </row>
    <row r="2649" spans="1:7" ht="15.75" thickBot="1">
      <c r="A2649" s="1903"/>
      <c r="B2649" s="2596"/>
      <c r="C2649" s="2597"/>
      <c r="D2649" s="2598"/>
      <c r="E2649" s="2599" t="e">
        <f>(G2649-F2649)/G2649</f>
        <v>#DIV/0!</v>
      </c>
      <c r="F2649" s="2446"/>
    </row>
    <row r="2651" spans="1:7" ht="15.75" thickBot="1"/>
    <row r="2652" spans="1:7">
      <c r="A2652" s="3572" t="s">
        <v>0</v>
      </c>
      <c r="B2652" s="3557" t="s">
        <v>1</v>
      </c>
      <c r="C2652" s="3557" t="s">
        <v>2</v>
      </c>
      <c r="D2652" s="3557" t="s">
        <v>3</v>
      </c>
      <c r="E2652" s="3557" t="s">
        <v>4</v>
      </c>
      <c r="F2652" s="3559" t="s">
        <v>5</v>
      </c>
    </row>
    <row r="2653" spans="1:7" ht="15.75" thickBot="1">
      <c r="A2653" s="3871"/>
      <c r="B2653" s="3628"/>
      <c r="C2653" s="3628"/>
      <c r="D2653" s="3628"/>
      <c r="E2653" s="3628"/>
      <c r="F2653" s="3629"/>
    </row>
    <row r="2654" spans="1:7">
      <c r="A2654" s="1675" t="s">
        <v>3217</v>
      </c>
      <c r="B2654" s="2400" t="s">
        <v>2155</v>
      </c>
      <c r="C2654" s="2401" t="s">
        <v>730</v>
      </c>
      <c r="D2654" s="2402"/>
      <c r="E2654" s="2403">
        <f>(G2654-F2654)/G2654</f>
        <v>0.31683168316831689</v>
      </c>
      <c r="F2654" s="1958">
        <v>0.69</v>
      </c>
      <c r="G2654">
        <v>1.01</v>
      </c>
    </row>
    <row r="2655" spans="1:7" ht="15.75" thickBot="1">
      <c r="A2655" s="1599"/>
      <c r="B2655" s="2650"/>
      <c r="C2655" s="2651" t="s">
        <v>858</v>
      </c>
      <c r="D2655" s="2598"/>
      <c r="E2655" s="2599">
        <f>(G2655-F2655)/G2655</f>
        <v>0.31818181818181823</v>
      </c>
      <c r="F2655" s="2446">
        <v>0.6</v>
      </c>
      <c r="G2655">
        <v>0.88</v>
      </c>
    </row>
    <row r="2658" spans="1:7" ht="15.75" thickBot="1"/>
    <row r="2659" spans="1:7">
      <c r="A2659" s="3572" t="s">
        <v>0</v>
      </c>
      <c r="B2659" s="3557" t="s">
        <v>1</v>
      </c>
      <c r="C2659" s="3557" t="s">
        <v>2</v>
      </c>
      <c r="D2659" s="3557" t="s">
        <v>3</v>
      </c>
      <c r="E2659" s="3557" t="s">
        <v>4</v>
      </c>
      <c r="F2659" s="3559" t="s">
        <v>5</v>
      </c>
    </row>
    <row r="2660" spans="1:7">
      <c r="A2660" s="3880"/>
      <c r="B2660" s="4218"/>
      <c r="C2660" s="4218"/>
      <c r="D2660" s="4218"/>
      <c r="E2660" s="4218"/>
      <c r="F2660" s="3625"/>
    </row>
    <row r="2661" spans="1:7">
      <c r="A2661" s="2589" t="s">
        <v>3218</v>
      </c>
      <c r="B2661" s="2664" t="s">
        <v>2155</v>
      </c>
      <c r="C2661" s="2665" t="s">
        <v>3204</v>
      </c>
      <c r="D2661" s="2666"/>
      <c r="E2661" s="2667">
        <f t="shared" ref="E2661:E2680" si="132">(G2661-F2661)/G2661</f>
        <v>0.24595469255663424</v>
      </c>
      <c r="F2661" s="2594">
        <v>2.33</v>
      </c>
      <c r="G2661">
        <v>3.09</v>
      </c>
    </row>
    <row r="2662" spans="1:7">
      <c r="A2662" s="2589"/>
      <c r="B2662" s="2664"/>
      <c r="C2662" s="2665" t="s">
        <v>3205</v>
      </c>
      <c r="D2662" s="2666"/>
      <c r="E2662" s="2667">
        <f t="shared" si="132"/>
        <v>0.24595469255663424</v>
      </c>
      <c r="F2662" s="2594">
        <v>2.33</v>
      </c>
      <c r="G2662">
        <v>3.09</v>
      </c>
    </row>
    <row r="2663" spans="1:7">
      <c r="A2663" s="2620"/>
      <c r="B2663" s="2617"/>
      <c r="C2663" s="2617" t="s">
        <v>3219</v>
      </c>
      <c r="D2663" s="2617"/>
      <c r="E2663" s="2667">
        <f t="shared" si="132"/>
        <v>0.24438902743142146</v>
      </c>
      <c r="F2663" s="2586">
        <v>6.06</v>
      </c>
      <c r="G2663">
        <v>8.02</v>
      </c>
    </row>
    <row r="2664" spans="1:7">
      <c r="A2664" s="2620"/>
      <c r="B2664" s="2617"/>
      <c r="C2664" s="2617" t="s">
        <v>3220</v>
      </c>
      <c r="D2664" s="2617"/>
      <c r="E2664" s="2667">
        <f t="shared" si="132"/>
        <v>0.24496373892022569</v>
      </c>
      <c r="F2664" s="2586">
        <v>9.3699999999999992</v>
      </c>
      <c r="G2664">
        <v>12.41</v>
      </c>
    </row>
    <row r="2665" spans="1:7">
      <c r="A2665" s="2620"/>
      <c r="B2665" s="2617"/>
      <c r="C2665" s="2617" t="s">
        <v>3221</v>
      </c>
      <c r="D2665" s="2617"/>
      <c r="E2665" s="2667">
        <f t="shared" si="132"/>
        <v>0.24438902743142146</v>
      </c>
      <c r="F2665" s="2586">
        <v>6.06</v>
      </c>
      <c r="G2665">
        <v>8.02</v>
      </c>
    </row>
    <row r="2666" spans="1:7">
      <c r="A2666" s="2620"/>
      <c r="B2666" s="2617"/>
      <c r="C2666" s="2617" t="s">
        <v>3222</v>
      </c>
      <c r="D2666" s="2617"/>
      <c r="E2666" s="2667">
        <f t="shared" si="132"/>
        <v>0.24489795918367349</v>
      </c>
      <c r="F2666" s="2586">
        <v>7.03</v>
      </c>
      <c r="G2666">
        <v>9.31</v>
      </c>
    </row>
    <row r="2667" spans="1:7">
      <c r="A2667" s="2620"/>
      <c r="B2667" s="2617"/>
      <c r="C2667" s="2617" t="s">
        <v>3223</v>
      </c>
      <c r="D2667" s="2617"/>
      <c r="E2667" s="2667">
        <f t="shared" si="132"/>
        <v>0.24489795918367349</v>
      </c>
      <c r="F2667" s="2586">
        <v>7.03</v>
      </c>
      <c r="G2667">
        <v>9.31</v>
      </c>
    </row>
    <row r="2668" spans="1:7">
      <c r="A2668" s="2620"/>
      <c r="B2668" s="2617"/>
      <c r="C2668" s="2617" t="s">
        <v>3224</v>
      </c>
      <c r="D2668" s="2617"/>
      <c r="E2668" s="2667">
        <f t="shared" si="132"/>
        <v>0.24489795918367349</v>
      </c>
      <c r="F2668" s="2586">
        <v>7.03</v>
      </c>
      <c r="G2668">
        <v>9.31</v>
      </c>
    </row>
    <row r="2669" spans="1:7">
      <c r="A2669" s="2620"/>
      <c r="B2669" s="2617"/>
      <c r="C2669" s="2617" t="s">
        <v>3225</v>
      </c>
      <c r="D2669" s="2617"/>
      <c r="E2669" s="2667">
        <f t="shared" si="132"/>
        <v>0.24489795918367349</v>
      </c>
      <c r="F2669" s="2586">
        <v>7.03</v>
      </c>
      <c r="G2669">
        <v>9.31</v>
      </c>
    </row>
    <row r="2670" spans="1:7">
      <c r="A2670" s="2620"/>
      <c r="B2670" s="2617"/>
      <c r="C2670" s="2617" t="s">
        <v>3226</v>
      </c>
      <c r="D2670" s="2617"/>
      <c r="E2670" s="2667">
        <f t="shared" si="132"/>
        <v>0.24489795918367349</v>
      </c>
      <c r="F2670" s="2586">
        <v>7.03</v>
      </c>
      <c r="G2670">
        <v>9.31</v>
      </c>
    </row>
    <row r="2671" spans="1:7">
      <c r="A2671" s="2620"/>
      <c r="B2671" s="2617"/>
      <c r="C2671" s="2617" t="s">
        <v>2856</v>
      </c>
      <c r="D2671" s="2617"/>
      <c r="E2671" s="2667">
        <f t="shared" si="132"/>
        <v>0.23053892215568864</v>
      </c>
      <c r="F2671" s="2586">
        <v>2.57</v>
      </c>
      <c r="G2671">
        <v>3.34</v>
      </c>
    </row>
    <row r="2672" spans="1:7">
      <c r="A2672" s="2620"/>
      <c r="B2672" s="2617"/>
      <c r="C2672" s="2617" t="s">
        <v>2857</v>
      </c>
      <c r="D2672" s="2617"/>
      <c r="E2672" s="2667">
        <f t="shared" si="132"/>
        <v>0.23053892215568864</v>
      </c>
      <c r="F2672" s="2586">
        <v>2.57</v>
      </c>
      <c r="G2672">
        <v>3.34</v>
      </c>
    </row>
    <row r="2673" spans="1:7">
      <c r="A2673" s="2620"/>
      <c r="B2673" s="2617"/>
      <c r="C2673" s="2617" t="s">
        <v>1763</v>
      </c>
      <c r="D2673" s="2617"/>
      <c r="E2673" s="2667">
        <f t="shared" si="132"/>
        <v>0.15007716049382716</v>
      </c>
      <c r="F2673" s="2586">
        <v>22.03</v>
      </c>
      <c r="G2673">
        <v>25.92</v>
      </c>
    </row>
    <row r="2674" spans="1:7">
      <c r="A2674" s="2620"/>
      <c r="B2674" s="2617"/>
      <c r="C2674" s="2617" t="s">
        <v>1556</v>
      </c>
      <c r="D2674" s="2617"/>
      <c r="E2674" s="2667">
        <f t="shared" si="132"/>
        <v>0.15007716049382716</v>
      </c>
      <c r="F2674" s="2586">
        <v>22.03</v>
      </c>
      <c r="G2674">
        <v>25.92</v>
      </c>
    </row>
    <row r="2675" spans="1:7">
      <c r="A2675" s="2620"/>
      <c r="B2675" s="2617"/>
      <c r="C2675" s="2617" t="s">
        <v>1557</v>
      </c>
      <c r="D2675" s="2617"/>
      <c r="E2675" s="2667">
        <f t="shared" si="132"/>
        <v>0.15007716049382716</v>
      </c>
      <c r="F2675" s="2586">
        <v>22.03</v>
      </c>
      <c r="G2675">
        <v>25.92</v>
      </c>
    </row>
    <row r="2676" spans="1:7">
      <c r="A2676" s="2620"/>
      <c r="B2676" s="2617"/>
      <c r="C2676" s="2617" t="s">
        <v>554</v>
      </c>
      <c r="D2676" s="2617"/>
      <c r="E2676" s="2667">
        <f t="shared" si="132"/>
        <v>0.19047619047619047</v>
      </c>
      <c r="F2676" s="2586">
        <v>1.02</v>
      </c>
      <c r="G2676">
        <v>1.26</v>
      </c>
    </row>
    <row r="2677" spans="1:7">
      <c r="A2677" s="2620"/>
      <c r="B2677" s="2617"/>
      <c r="C2677" s="2617" t="s">
        <v>1120</v>
      </c>
      <c r="D2677" s="2617"/>
      <c r="E2677" s="2667">
        <f t="shared" si="132"/>
        <v>0.18867924528301891</v>
      </c>
      <c r="F2677" s="2586">
        <v>0.43</v>
      </c>
      <c r="G2677">
        <v>0.53</v>
      </c>
    </row>
    <row r="2678" spans="1:7">
      <c r="A2678" s="2620"/>
      <c r="B2678" s="2617"/>
      <c r="C2678" s="2807" t="s">
        <v>2284</v>
      </c>
      <c r="D2678" s="2617"/>
      <c r="E2678" s="2667">
        <f t="shared" si="132"/>
        <v>0.17757009345794397</v>
      </c>
      <c r="F2678" s="2586">
        <v>1.76</v>
      </c>
      <c r="G2678">
        <v>2.14</v>
      </c>
    </row>
    <row r="2679" spans="1:7">
      <c r="A2679" s="2620"/>
      <c r="B2679" s="2617"/>
      <c r="C2679" s="2807" t="s">
        <v>2251</v>
      </c>
      <c r="D2679" s="2617"/>
      <c r="E2679" s="2667">
        <f t="shared" si="132"/>
        <v>0.1893004115226338</v>
      </c>
      <c r="F2679" s="2586">
        <v>1.97</v>
      </c>
      <c r="G2679">
        <v>2.4300000000000002</v>
      </c>
    </row>
    <row r="2680" spans="1:7" ht="15.75" thickBot="1">
      <c r="A2680" s="1315"/>
      <c r="B2680" s="2621"/>
      <c r="C2680" s="2808" t="s">
        <v>2637</v>
      </c>
      <c r="D2680" s="2621"/>
      <c r="E2680" s="2599">
        <f t="shared" si="132"/>
        <v>0.13333333333333328</v>
      </c>
      <c r="F2680" s="2413">
        <v>0.13</v>
      </c>
      <c r="G2680">
        <v>0.15</v>
      </c>
    </row>
    <row r="2681" spans="1:7" ht="15.75" thickBot="1"/>
    <row r="2682" spans="1:7">
      <c r="A2682" s="3572" t="s">
        <v>0</v>
      </c>
      <c r="B2682" s="3557" t="s">
        <v>1</v>
      </c>
      <c r="C2682" s="3557" t="s">
        <v>2</v>
      </c>
      <c r="D2682" s="3557" t="s">
        <v>3</v>
      </c>
      <c r="E2682" s="3557" t="s">
        <v>4</v>
      </c>
      <c r="F2682" s="3559" t="s">
        <v>5</v>
      </c>
      <c r="G2682" s="429"/>
    </row>
    <row r="2683" spans="1:7" ht="15.75" thickBot="1">
      <c r="A2683" s="3871"/>
      <c r="B2683" s="3626"/>
      <c r="C2683" s="3626"/>
      <c r="D2683" s="3626"/>
      <c r="E2683" s="3626"/>
      <c r="F2683" s="3627"/>
      <c r="G2683" s="429"/>
    </row>
    <row r="2684" spans="1:7">
      <c r="A2684" s="1675" t="s">
        <v>3235</v>
      </c>
      <c r="B2684" s="1676" t="s">
        <v>120</v>
      </c>
      <c r="C2684" s="2414" t="s">
        <v>2983</v>
      </c>
      <c r="D2684" s="2415"/>
      <c r="E2684" s="1677">
        <f t="shared" ref="E2684:E2696" si="133">(G2684-F2684)/G2684</f>
        <v>0.22994652406417118</v>
      </c>
      <c r="F2684" s="1793">
        <v>1.44</v>
      </c>
      <c r="G2684" s="429">
        <v>1.87</v>
      </c>
    </row>
    <row r="2685" spans="1:7">
      <c r="A2685" s="2634"/>
      <c r="B2685" s="2635" t="s">
        <v>121</v>
      </c>
      <c r="C2685" s="2628" t="s">
        <v>2940</v>
      </c>
      <c r="D2685" s="2636"/>
      <c r="E2685" s="2637">
        <f t="shared" si="133"/>
        <v>0.22994652406417118</v>
      </c>
      <c r="F2685" s="2638">
        <v>1.44</v>
      </c>
      <c r="G2685" s="429">
        <v>1.87</v>
      </c>
    </row>
    <row r="2686" spans="1:7">
      <c r="A2686" s="2634"/>
      <c r="B2686" s="2635" t="s">
        <v>123</v>
      </c>
      <c r="C2686" s="2628" t="s">
        <v>2941</v>
      </c>
      <c r="D2686" s="2636"/>
      <c r="E2686" s="2637">
        <f t="shared" si="133"/>
        <v>0.22994652406417118</v>
      </c>
      <c r="F2686" s="2638">
        <v>1.44</v>
      </c>
      <c r="G2686" s="429">
        <v>1.87</v>
      </c>
    </row>
    <row r="2687" spans="1:7">
      <c r="A2687" s="2634"/>
      <c r="B2687" s="2635" t="s">
        <v>122</v>
      </c>
      <c r="C2687" s="2628" t="s">
        <v>1120</v>
      </c>
      <c r="D2687" s="2636"/>
      <c r="E2687" s="2637">
        <f t="shared" si="133"/>
        <v>0.20689655172413784</v>
      </c>
      <c r="F2687" s="2638">
        <v>0.46</v>
      </c>
      <c r="G2687" s="528">
        <v>0.57999999999999996</v>
      </c>
    </row>
    <row r="2688" spans="1:7">
      <c r="A2688" s="2634"/>
      <c r="B2688" s="2635" t="s">
        <v>2057</v>
      </c>
      <c r="C2688" s="2495" t="s">
        <v>636</v>
      </c>
      <c r="D2688" s="2495"/>
      <c r="E2688" s="2637">
        <f t="shared" si="133"/>
        <v>0.19658119658119658</v>
      </c>
      <c r="F2688" s="2586">
        <v>0.94</v>
      </c>
      <c r="G2688" s="528">
        <v>1.17</v>
      </c>
    </row>
    <row r="2689" spans="1:7">
      <c r="A2689" s="2620"/>
      <c r="B2689" s="2495"/>
      <c r="C2689" s="2495" t="s">
        <v>2823</v>
      </c>
      <c r="D2689" s="2495"/>
      <c r="E2689" s="2637">
        <f t="shared" si="133"/>
        <v>0.20000000000000009</v>
      </c>
      <c r="F2689" s="2586">
        <v>2.2799999999999998</v>
      </c>
      <c r="G2689" s="528">
        <v>2.85</v>
      </c>
    </row>
    <row r="2690" spans="1:7">
      <c r="A2690" s="2620"/>
      <c r="B2690" s="2495"/>
      <c r="C2690" s="2495" t="s">
        <v>2826</v>
      </c>
      <c r="D2690" s="2495"/>
      <c r="E2690" s="2637">
        <f t="shared" si="133"/>
        <v>0.20000000000000009</v>
      </c>
      <c r="F2690" s="2586">
        <v>2.2799999999999998</v>
      </c>
      <c r="G2690" s="528">
        <v>2.85</v>
      </c>
    </row>
    <row r="2691" spans="1:7">
      <c r="A2691" s="2620"/>
      <c r="B2691" s="2495"/>
      <c r="C2691" s="2495" t="s">
        <v>2825</v>
      </c>
      <c r="D2691" s="2495"/>
      <c r="E2691" s="2637">
        <f t="shared" si="133"/>
        <v>0.20000000000000009</v>
      </c>
      <c r="F2691" s="2586">
        <v>2.2799999999999998</v>
      </c>
      <c r="G2691" s="528">
        <v>2.85</v>
      </c>
    </row>
    <row r="2692" spans="1:7">
      <c r="A2692" s="2620"/>
      <c r="B2692" s="2495"/>
      <c r="C2692" s="2495" t="s">
        <v>3236</v>
      </c>
      <c r="D2692" s="2495"/>
      <c r="E2692" s="2637">
        <f t="shared" si="133"/>
        <v>0.19909502262443438</v>
      </c>
      <c r="F2692" s="2586">
        <v>3.54</v>
      </c>
      <c r="G2692" s="528">
        <v>4.42</v>
      </c>
    </row>
    <row r="2693" spans="1:7">
      <c r="A2693" s="2620"/>
      <c r="B2693" s="2495"/>
      <c r="C2693" s="2495" t="s">
        <v>3237</v>
      </c>
      <c r="D2693" s="2495"/>
      <c r="E2693" s="2637">
        <f t="shared" si="133"/>
        <v>0.19909502262443438</v>
      </c>
      <c r="F2693" s="2586">
        <v>3.54</v>
      </c>
      <c r="G2693" s="528">
        <v>4.42</v>
      </c>
    </row>
    <row r="2694" spans="1:7">
      <c r="A2694" s="2620"/>
      <c r="B2694" s="2495"/>
      <c r="C2694" s="2495" t="s">
        <v>1374</v>
      </c>
      <c r="D2694" s="2495"/>
      <c r="E2694" s="2637">
        <f t="shared" si="133"/>
        <v>0.20175438596491219</v>
      </c>
      <c r="F2694" s="2586">
        <v>0.91</v>
      </c>
      <c r="G2694" s="528">
        <v>1.1399999999999999</v>
      </c>
    </row>
    <row r="2695" spans="1:7">
      <c r="A2695" s="2620"/>
      <c r="B2695" s="2495"/>
      <c r="C2695" s="2495" t="s">
        <v>1301</v>
      </c>
      <c r="D2695" s="2495"/>
      <c r="E2695" s="2637">
        <f t="shared" si="133"/>
        <v>0.20175438596491219</v>
      </c>
      <c r="F2695" s="2586">
        <v>0.91</v>
      </c>
      <c r="G2695" s="528">
        <v>1.1399999999999999</v>
      </c>
    </row>
    <row r="2696" spans="1:7" ht="15.75" thickBot="1">
      <c r="A2696" s="1315"/>
      <c r="B2696" s="2621"/>
      <c r="C2696" s="2621" t="s">
        <v>2303</v>
      </c>
      <c r="D2696" s="2621"/>
      <c r="E2696" s="2639">
        <f t="shared" si="133"/>
        <v>0.20175438596491219</v>
      </c>
      <c r="F2696" s="2413">
        <v>0.91</v>
      </c>
      <c r="G2696" s="528">
        <v>1.1399999999999999</v>
      </c>
    </row>
    <row r="2697" spans="1:7" ht="15.75" thickBot="1"/>
    <row r="2698" spans="1:7">
      <c r="A2698" s="3572" t="s">
        <v>0</v>
      </c>
      <c r="B2698" s="3557" t="s">
        <v>1</v>
      </c>
      <c r="C2698" s="3557" t="s">
        <v>2</v>
      </c>
      <c r="D2698" s="3557" t="s">
        <v>3</v>
      </c>
      <c r="E2698" s="3557" t="s">
        <v>4</v>
      </c>
      <c r="F2698" s="3559" t="s">
        <v>5</v>
      </c>
    </row>
    <row r="2699" spans="1:7">
      <c r="A2699" s="3880"/>
      <c r="B2699" s="3624"/>
      <c r="C2699" s="3624"/>
      <c r="D2699" s="3624"/>
      <c r="E2699" s="3624"/>
      <c r="F2699" s="3625"/>
    </row>
    <row r="2700" spans="1:7">
      <c r="A2700" s="2589" t="s">
        <v>3240</v>
      </c>
      <c r="B2700" s="2590" t="s">
        <v>2155</v>
      </c>
      <c r="C2700" s="2591" t="s">
        <v>2602</v>
      </c>
      <c r="D2700" s="2592"/>
      <c r="E2700" s="2593">
        <f t="shared" ref="E2700:E2710" si="134">(G2700-F2700)/G2700</f>
        <v>0.31764705882352945</v>
      </c>
      <c r="F2700" s="2594">
        <v>2.3199999999999998</v>
      </c>
      <c r="G2700">
        <v>3.4</v>
      </c>
    </row>
    <row r="2701" spans="1:7">
      <c r="A2701" s="2589"/>
      <c r="B2701" s="2590"/>
      <c r="C2701" s="2591" t="s">
        <v>2558</v>
      </c>
      <c r="D2701" s="2592"/>
      <c r="E2701" s="2593">
        <f t="shared" si="134"/>
        <v>0.31764705882352945</v>
      </c>
      <c r="F2701" s="2594">
        <v>2.3199999999999998</v>
      </c>
      <c r="G2701">
        <v>3.4</v>
      </c>
    </row>
    <row r="2702" spans="1:7">
      <c r="A2702" s="2620"/>
      <c r="B2702" s="2495"/>
      <c r="C2702" s="2495" t="s">
        <v>2603</v>
      </c>
      <c r="D2702" s="2495"/>
      <c r="E2702" s="2593">
        <f t="shared" si="134"/>
        <v>0.31764705882352945</v>
      </c>
      <c r="F2702" s="2586">
        <v>2.3199999999999998</v>
      </c>
      <c r="G2702">
        <v>3.4</v>
      </c>
    </row>
    <row r="2703" spans="1:7">
      <c r="A2703" s="2620"/>
      <c r="B2703" s="2495"/>
      <c r="C2703" s="2495" t="s">
        <v>2559</v>
      </c>
      <c r="D2703" s="2495"/>
      <c r="E2703" s="2593">
        <f t="shared" si="134"/>
        <v>0.31764705882352945</v>
      </c>
      <c r="F2703" s="2586">
        <v>2.3199999999999998</v>
      </c>
      <c r="G2703">
        <v>3.4</v>
      </c>
    </row>
    <row r="2704" spans="1:7">
      <c r="A2704" s="2620"/>
      <c r="B2704" s="2495"/>
      <c r="C2704" s="2495" t="s">
        <v>2560</v>
      </c>
      <c r="D2704" s="2495"/>
      <c r="E2704" s="2593">
        <f t="shared" si="134"/>
        <v>0.34983498349834979</v>
      </c>
      <c r="F2704" s="2586">
        <v>1.97</v>
      </c>
      <c r="G2704">
        <v>3.03</v>
      </c>
    </row>
    <row r="2705" spans="1:7">
      <c r="A2705" s="2620"/>
      <c r="B2705" s="2495"/>
      <c r="C2705" s="2495" t="s">
        <v>858</v>
      </c>
      <c r="D2705" s="2495"/>
      <c r="E2705" s="2593">
        <f t="shared" si="134"/>
        <v>0.31683168316831689</v>
      </c>
      <c r="F2705" s="2586">
        <v>0.69</v>
      </c>
      <c r="G2705">
        <v>1.01</v>
      </c>
    </row>
    <row r="2706" spans="1:7">
      <c r="A2706" s="2620"/>
      <c r="B2706" s="2495"/>
      <c r="C2706" s="2495" t="s">
        <v>730</v>
      </c>
      <c r="D2706" s="2495"/>
      <c r="E2706" s="2593">
        <f t="shared" si="134"/>
        <v>0.31818181818181823</v>
      </c>
      <c r="F2706" s="2586">
        <v>0.6</v>
      </c>
      <c r="G2706">
        <v>0.88</v>
      </c>
    </row>
    <row r="2707" spans="1:7">
      <c r="A2707" s="2620"/>
      <c r="B2707" s="2495"/>
      <c r="C2707" s="2495" t="s">
        <v>2827</v>
      </c>
      <c r="D2707" s="2495"/>
      <c r="E2707" s="2593">
        <f t="shared" si="134"/>
        <v>0.33529411764705885</v>
      </c>
      <c r="F2707" s="2586">
        <v>1.1299999999999999</v>
      </c>
      <c r="G2707">
        <v>1.7</v>
      </c>
    </row>
    <row r="2708" spans="1:7">
      <c r="A2708" s="2620"/>
      <c r="B2708" s="2495"/>
      <c r="C2708" s="2495" t="s">
        <v>2890</v>
      </c>
      <c r="D2708" s="2495"/>
      <c r="E2708" s="2593">
        <f t="shared" si="134"/>
        <v>0.33529411764705885</v>
      </c>
      <c r="F2708" s="2586">
        <v>1.1299999999999999</v>
      </c>
      <c r="G2708">
        <v>1.7</v>
      </c>
    </row>
    <row r="2709" spans="1:7">
      <c r="A2709" s="2620"/>
      <c r="B2709" s="2495"/>
      <c r="C2709" s="2495" t="s">
        <v>2871</v>
      </c>
      <c r="D2709" s="2495"/>
      <c r="E2709" s="2593">
        <f t="shared" si="134"/>
        <v>0.33529411764705885</v>
      </c>
      <c r="F2709" s="2586">
        <v>1.1299999999999999</v>
      </c>
      <c r="G2709">
        <v>1.7</v>
      </c>
    </row>
    <row r="2710" spans="1:7">
      <c r="A2710" s="2620"/>
      <c r="B2710" s="2495"/>
      <c r="C2710" s="2605" t="s">
        <v>1891</v>
      </c>
      <c r="D2710" s="2495"/>
      <c r="E2710" s="2593">
        <f t="shared" si="134"/>
        <v>0.36799999999999999</v>
      </c>
      <c r="F2710" s="2586">
        <v>0.79</v>
      </c>
      <c r="G2710">
        <v>1.25</v>
      </c>
    </row>
    <row r="2712" spans="1:7" ht="15.75" thickBot="1"/>
    <row r="2713" spans="1:7">
      <c r="A2713" s="3572" t="s">
        <v>0</v>
      </c>
      <c r="B2713" s="3557" t="s">
        <v>1</v>
      </c>
      <c r="C2713" s="3557" t="s">
        <v>2</v>
      </c>
      <c r="D2713" s="3557" t="s">
        <v>3</v>
      </c>
      <c r="E2713" s="3557" t="s">
        <v>4</v>
      </c>
      <c r="F2713" s="3559" t="s">
        <v>5</v>
      </c>
      <c r="G2713" s="429"/>
    </row>
    <row r="2714" spans="1:7" ht="15.75" thickBot="1">
      <c r="A2714" s="3882"/>
      <c r="B2714" s="3628"/>
      <c r="C2714" s="3628"/>
      <c r="D2714" s="3628"/>
      <c r="E2714" s="3628"/>
      <c r="F2714" s="3629"/>
      <c r="G2714" s="429"/>
    </row>
    <row r="2715" spans="1:7">
      <c r="A2715" s="1675" t="s">
        <v>3266</v>
      </c>
      <c r="B2715" s="1676" t="s">
        <v>120</v>
      </c>
      <c r="C2715" s="2414" t="s">
        <v>3226</v>
      </c>
      <c r="D2715" s="2415"/>
      <c r="E2715" s="1677">
        <f>(G2715-F2715)/G2715</f>
        <v>0.20983606557377046</v>
      </c>
      <c r="F2715" s="1793">
        <v>7.23</v>
      </c>
      <c r="G2715" s="429">
        <v>9.15</v>
      </c>
    </row>
    <row r="2716" spans="1:7">
      <c r="A2716" s="2686"/>
      <c r="B2716" s="2687" t="s">
        <v>121</v>
      </c>
      <c r="C2716" s="2688" t="s">
        <v>3224</v>
      </c>
      <c r="D2716" s="2689"/>
      <c r="E2716" s="2690">
        <f>(G2716-F2716)/G2716</f>
        <v>0.20983606557377046</v>
      </c>
      <c r="F2716" s="2691">
        <v>7.23</v>
      </c>
      <c r="G2716" s="429">
        <v>9.15</v>
      </c>
    </row>
    <row r="2717" spans="1:7">
      <c r="A2717" s="2686"/>
      <c r="B2717" s="2687" t="s">
        <v>123</v>
      </c>
      <c r="C2717" s="2688"/>
      <c r="D2717" s="2689"/>
      <c r="E2717" s="2690" t="e">
        <f>(G2717-F2717)/G2717</f>
        <v>#DIV/0!</v>
      </c>
      <c r="F2717" s="2691"/>
      <c r="G2717" s="429"/>
    </row>
    <row r="2718" spans="1:7">
      <c r="A2718" s="2686"/>
      <c r="B2718" s="2687" t="s">
        <v>122</v>
      </c>
      <c r="C2718" s="2688"/>
      <c r="D2718" s="2689"/>
      <c r="E2718" s="2690" t="e">
        <f>(G2718-F2718)/G2718</f>
        <v>#DIV/0!</v>
      </c>
      <c r="F2718" s="2691"/>
      <c r="G2718" s="528"/>
    </row>
    <row r="2719" spans="1:7">
      <c r="A2719" s="2686"/>
      <c r="B2719" s="2687" t="s">
        <v>2057</v>
      </c>
      <c r="C2719" s="2692"/>
      <c r="D2719" s="2692"/>
      <c r="E2719" s="2690" t="e">
        <f>(G2719-F2719)/G2719</f>
        <v>#DIV/0!</v>
      </c>
      <c r="F2719" s="2693"/>
      <c r="G2719" s="528"/>
    </row>
    <row r="2720" spans="1:7" ht="15.75" thickBot="1"/>
    <row r="2721" spans="1:7">
      <c r="A2721" s="3614" t="s">
        <v>0</v>
      </c>
      <c r="B2721" s="3518" t="s">
        <v>1</v>
      </c>
      <c r="C2721" s="3518" t="s">
        <v>2</v>
      </c>
      <c r="D2721" s="3518" t="s">
        <v>3</v>
      </c>
      <c r="E2721" s="3518" t="s">
        <v>4</v>
      </c>
      <c r="F2721" s="3522" t="s">
        <v>5</v>
      </c>
    </row>
    <row r="2722" spans="1:7" ht="15.75" thickBot="1">
      <c r="A2722" s="3610"/>
      <c r="B2722" s="3608"/>
      <c r="C2722" s="3608"/>
      <c r="D2722" s="3608"/>
      <c r="E2722" s="3608"/>
      <c r="F2722" s="3607"/>
    </row>
    <row r="2723" spans="1:7" ht="15.75">
      <c r="A2723" s="1675" t="s">
        <v>3268</v>
      </c>
      <c r="B2723" s="1163" t="s">
        <v>2183</v>
      </c>
      <c r="C2723" s="2609" t="s">
        <v>2176</v>
      </c>
      <c r="D2723" s="2562"/>
      <c r="E2723" s="2626">
        <f t="shared" ref="E2723:E2731" si="135">(G2723-F2723)/G2723</f>
        <v>0.17142857142857157</v>
      </c>
      <c r="F2723" s="2114">
        <v>2.0299999999999998</v>
      </c>
      <c r="G2723">
        <v>2.4500000000000002</v>
      </c>
    </row>
    <row r="2724" spans="1:7" ht="15.75">
      <c r="A2724" s="2694"/>
      <c r="B2724" s="2695"/>
      <c r="C2724" s="2843" t="s">
        <v>2455</v>
      </c>
      <c r="D2724" s="2696"/>
      <c r="E2724" s="2697">
        <f t="shared" si="135"/>
        <v>0.19753086419753088</v>
      </c>
      <c r="F2724" s="2698">
        <v>1.3</v>
      </c>
      <c r="G2724">
        <v>1.62</v>
      </c>
    </row>
    <row r="2725" spans="1:7" ht="15.75">
      <c r="A2725" s="2694"/>
      <c r="B2725" s="2695"/>
      <c r="C2725" s="2843" t="s">
        <v>1904</v>
      </c>
      <c r="D2725" s="2696"/>
      <c r="E2725" s="2697">
        <f t="shared" si="135"/>
        <v>0.19047619047619038</v>
      </c>
      <c r="F2725" s="2698">
        <v>1.36</v>
      </c>
      <c r="G2725">
        <v>1.68</v>
      </c>
    </row>
    <row r="2726" spans="1:7" ht="15.75">
      <c r="A2726" s="2699"/>
      <c r="B2726" s="2692"/>
      <c r="C2726" s="2835" t="s">
        <v>2251</v>
      </c>
      <c r="D2726" s="2692"/>
      <c r="E2726" s="2697">
        <f t="shared" si="135"/>
        <v>0.14999999999999997</v>
      </c>
      <c r="F2726" s="2698">
        <v>2.04</v>
      </c>
      <c r="G2726" s="39">
        <v>2.4</v>
      </c>
    </row>
    <row r="2727" spans="1:7" ht="15.75">
      <c r="A2727" s="2699"/>
      <c r="B2727" s="2692"/>
      <c r="C2727" s="2692"/>
      <c r="D2727" s="2692"/>
      <c r="E2727" s="2697" t="e">
        <f t="shared" si="135"/>
        <v>#DIV/0!</v>
      </c>
      <c r="F2727" s="2693"/>
    </row>
    <row r="2728" spans="1:7">
      <c r="A2728" s="2699"/>
      <c r="B2728" s="2692"/>
      <c r="C2728" s="2692"/>
      <c r="D2728" s="2692"/>
      <c r="E2728" s="2700" t="e">
        <f t="shared" si="135"/>
        <v>#DIV/0!</v>
      </c>
      <c r="F2728" s="2693"/>
    </row>
    <row r="2729" spans="1:7">
      <c r="A2729" s="2699"/>
      <c r="B2729" s="2692"/>
      <c r="C2729" s="2692"/>
      <c r="D2729" s="2692"/>
      <c r="E2729" s="2700" t="e">
        <f t="shared" si="135"/>
        <v>#DIV/0!</v>
      </c>
      <c r="F2729" s="2693"/>
    </row>
    <row r="2730" spans="1:7">
      <c r="A2730" s="2699"/>
      <c r="B2730" s="2692"/>
      <c r="C2730" s="2692"/>
      <c r="D2730" s="2692"/>
      <c r="E2730" s="2700" t="e">
        <f t="shared" si="135"/>
        <v>#DIV/0!</v>
      </c>
      <c r="F2730" s="2693"/>
    </row>
    <row r="2731" spans="1:7" ht="15.75" thickBot="1">
      <c r="A2731" s="1315"/>
      <c r="B2731" s="1316"/>
      <c r="C2731" s="1316"/>
      <c r="D2731" s="1316"/>
      <c r="E2731" s="2701" t="e">
        <f t="shared" si="135"/>
        <v>#DIV/0!</v>
      </c>
      <c r="F2731" s="1368"/>
    </row>
    <row r="2732" spans="1:7" ht="15.75" thickBot="1"/>
    <row r="2733" spans="1:7">
      <c r="A2733" s="3614" t="s">
        <v>0</v>
      </c>
      <c r="B2733" s="3518" t="s">
        <v>1</v>
      </c>
      <c r="C2733" s="3518" t="s">
        <v>2</v>
      </c>
      <c r="D2733" s="3518" t="s">
        <v>3</v>
      </c>
      <c r="E2733" s="3518" t="s">
        <v>4</v>
      </c>
      <c r="F2733" s="3522" t="s">
        <v>5</v>
      </c>
    </row>
    <row r="2734" spans="1:7" ht="15.75" thickBot="1">
      <c r="A2734" s="3610"/>
      <c r="B2734" s="3622"/>
      <c r="C2734" s="3622"/>
      <c r="D2734" s="3622"/>
      <c r="E2734" s="3622"/>
      <c r="F2734" s="3846"/>
    </row>
    <row r="2735" spans="1:7">
      <c r="A2735" s="1675" t="s">
        <v>3273</v>
      </c>
      <c r="B2735" s="1676" t="s">
        <v>460</v>
      </c>
      <c r="C2735" s="2414" t="s">
        <v>1374</v>
      </c>
      <c r="D2735" s="2415"/>
      <c r="E2735" s="1677">
        <f t="shared" ref="E2735:E2741" si="136">(G2735-F2735)/G2735</f>
        <v>0.14678899082568808</v>
      </c>
      <c r="F2735" s="1793">
        <v>0.93</v>
      </c>
      <c r="G2735">
        <v>1.0900000000000001</v>
      </c>
    </row>
    <row r="2736" spans="1:7">
      <c r="A2736" s="2702"/>
      <c r="B2736" s="2687"/>
      <c r="C2736" s="2688" t="s">
        <v>1301</v>
      </c>
      <c r="D2736" s="2689"/>
      <c r="E2736" s="2690">
        <f t="shared" si="136"/>
        <v>0.14678899082568808</v>
      </c>
      <c r="F2736" s="2691">
        <v>0.93</v>
      </c>
      <c r="G2736">
        <v>1.0900000000000001</v>
      </c>
    </row>
    <row r="2737" spans="1:7">
      <c r="A2737" s="2702"/>
      <c r="B2737" s="2687"/>
      <c r="C2737" s="2688" t="s">
        <v>2303</v>
      </c>
      <c r="D2737" s="2689"/>
      <c r="E2737" s="2690">
        <f t="shared" si="136"/>
        <v>0.14678899082568808</v>
      </c>
      <c r="F2737" s="2691">
        <v>0.93</v>
      </c>
      <c r="G2737">
        <v>1.0900000000000001</v>
      </c>
    </row>
    <row r="2738" spans="1:7">
      <c r="A2738" s="2703"/>
      <c r="B2738" s="2704"/>
      <c r="C2738" s="2688" t="s">
        <v>2329</v>
      </c>
      <c r="D2738" s="2689"/>
      <c r="E2738" s="2690">
        <f t="shared" si="136"/>
        <v>0.20547945205479456</v>
      </c>
      <c r="F2738" s="2691">
        <v>0.57999999999999996</v>
      </c>
      <c r="G2738">
        <v>0.73</v>
      </c>
    </row>
    <row r="2739" spans="1:7">
      <c r="A2739" s="2703"/>
      <c r="B2739" s="2704"/>
      <c r="C2739" s="2688" t="s">
        <v>3274</v>
      </c>
      <c r="D2739" s="2689"/>
      <c r="E2739" s="2690">
        <f t="shared" si="136"/>
        <v>0.20547945205479456</v>
      </c>
      <c r="F2739" s="2691">
        <v>0.57999999999999996</v>
      </c>
      <c r="G2739">
        <v>0.73</v>
      </c>
    </row>
    <row r="2740" spans="1:7">
      <c r="A2740" s="2703"/>
      <c r="B2740" s="2704"/>
      <c r="C2740" s="2688"/>
      <c r="D2740" s="2689"/>
      <c r="E2740" s="2690" t="e">
        <f t="shared" si="136"/>
        <v>#DIV/0!</v>
      </c>
      <c r="F2740" s="2691"/>
    </row>
    <row r="2741" spans="1:7">
      <c r="A2741" s="2703"/>
      <c r="B2741" s="2704"/>
      <c r="C2741" s="2688"/>
      <c r="D2741" s="2689"/>
      <c r="E2741" s="2690" t="e">
        <f t="shared" si="136"/>
        <v>#DIV/0!</v>
      </c>
      <c r="F2741" s="2691"/>
    </row>
    <row r="2743" spans="1:7" ht="15.75" thickBot="1"/>
    <row r="2744" spans="1:7">
      <c r="A2744" s="3572" t="s">
        <v>0</v>
      </c>
      <c r="B2744" s="3557" t="s">
        <v>1</v>
      </c>
      <c r="C2744" s="3557" t="s">
        <v>2</v>
      </c>
      <c r="D2744" s="3557" t="s">
        <v>3</v>
      </c>
      <c r="E2744" s="3557" t="s">
        <v>4</v>
      </c>
      <c r="F2744" s="3559" t="s">
        <v>5</v>
      </c>
    </row>
    <row r="2745" spans="1:7">
      <c r="A2745" s="4215"/>
      <c r="B2745" s="4216"/>
      <c r="C2745" s="4216"/>
      <c r="D2745" s="4216"/>
      <c r="E2745" s="4216"/>
      <c r="F2745" s="4217"/>
    </row>
    <row r="2746" spans="1:7">
      <c r="A2746" s="2702" t="s">
        <v>3278</v>
      </c>
      <c r="B2746" s="2705" t="s">
        <v>2155</v>
      </c>
      <c r="C2746" s="2844" t="s">
        <v>2351</v>
      </c>
      <c r="D2746" s="2707"/>
      <c r="E2746" s="2708">
        <f t="shared" ref="E2746:E2752" si="137">(G2746-F2746)/G2746</f>
        <v>0.16666666666666666</v>
      </c>
      <c r="F2746" s="2709">
        <v>0.15</v>
      </c>
      <c r="G2746">
        <v>0.18</v>
      </c>
    </row>
    <row r="2747" spans="1:7">
      <c r="A2747" s="2702"/>
      <c r="B2747" s="2705"/>
      <c r="C2747" s="2844" t="s">
        <v>2352</v>
      </c>
      <c r="D2747" s="2707"/>
      <c r="E2747" s="2708">
        <f t="shared" si="137"/>
        <v>0.16666666666666666</v>
      </c>
      <c r="F2747" s="2709">
        <v>0.15</v>
      </c>
      <c r="G2747">
        <v>0.18</v>
      </c>
    </row>
    <row r="2748" spans="1:7">
      <c r="A2748" s="2699"/>
      <c r="B2748" s="2692"/>
      <c r="C2748" s="2692" t="s">
        <v>3237</v>
      </c>
      <c r="D2748" s="2692"/>
      <c r="E2748" s="2708">
        <f t="shared" si="137"/>
        <v>0.20092378752886839</v>
      </c>
      <c r="F2748" s="2693">
        <v>3.46</v>
      </c>
      <c r="G2748">
        <v>4.33</v>
      </c>
    </row>
    <row r="2749" spans="1:7">
      <c r="A2749" s="2699"/>
      <c r="B2749" s="2692"/>
      <c r="C2749" s="2692" t="s">
        <v>3255</v>
      </c>
      <c r="D2749" s="2692"/>
      <c r="E2749" s="2708">
        <f t="shared" si="137"/>
        <v>0.20092378752886839</v>
      </c>
      <c r="F2749" s="2693">
        <v>3.46</v>
      </c>
      <c r="G2749">
        <v>4.33</v>
      </c>
    </row>
    <row r="2750" spans="1:7">
      <c r="A2750" s="2699"/>
      <c r="B2750" s="2692"/>
      <c r="C2750" s="2835" t="s">
        <v>2304</v>
      </c>
      <c r="D2750" s="2692"/>
      <c r="E2750" s="2708">
        <f t="shared" si="137"/>
        <v>0.19672131147540983</v>
      </c>
      <c r="F2750" s="2693">
        <v>0.49</v>
      </c>
      <c r="G2750">
        <v>0.61</v>
      </c>
    </row>
    <row r="2751" spans="1:7">
      <c r="A2751" s="2699"/>
      <c r="B2751" s="2692"/>
      <c r="C2751" s="2835" t="s">
        <v>1300</v>
      </c>
      <c r="D2751" s="2692"/>
      <c r="E2751" s="2708">
        <f t="shared" si="137"/>
        <v>0.20547945205479456</v>
      </c>
      <c r="F2751" s="2693">
        <v>0.57999999999999996</v>
      </c>
      <c r="G2751">
        <v>0.73</v>
      </c>
    </row>
    <row r="2752" spans="1:7" ht="15.75" thickBot="1">
      <c r="A2752" s="1315"/>
      <c r="B2752" s="1316"/>
      <c r="C2752" s="1316" t="s">
        <v>3279</v>
      </c>
      <c r="D2752" s="1316"/>
      <c r="E2752" s="2710">
        <f t="shared" si="137"/>
        <v>0.15079365079365076</v>
      </c>
      <c r="F2752" s="1368">
        <v>2.14</v>
      </c>
      <c r="G2752">
        <v>2.52</v>
      </c>
    </row>
    <row r="2754" spans="1:7" ht="15.75" thickBot="1"/>
    <row r="2755" spans="1:7">
      <c r="A2755" s="3614" t="s">
        <v>0</v>
      </c>
      <c r="B2755" s="3518" t="s">
        <v>1</v>
      </c>
      <c r="C2755" s="3518" t="s">
        <v>2</v>
      </c>
      <c r="D2755" s="3518" t="s">
        <v>3</v>
      </c>
      <c r="E2755" s="3518" t="s">
        <v>4</v>
      </c>
      <c r="F2755" s="3522" t="s">
        <v>5</v>
      </c>
    </row>
    <row r="2756" spans="1:7" ht="15.75" thickBot="1">
      <c r="A2756" s="3610"/>
      <c r="B2756" s="3608"/>
      <c r="C2756" s="3608"/>
      <c r="D2756" s="3608"/>
      <c r="E2756" s="3608"/>
      <c r="F2756" s="3607"/>
    </row>
    <row r="2757" spans="1:7" ht="15.75">
      <c r="A2757" s="1675" t="s">
        <v>3290</v>
      </c>
      <c r="B2757" s="1163" t="s">
        <v>2183</v>
      </c>
      <c r="C2757" s="2414" t="s">
        <v>3291</v>
      </c>
      <c r="D2757" s="2562"/>
      <c r="E2757" s="2626">
        <f t="shared" ref="E2757:E2765" si="138">(G2757-F2757)/G2757</f>
        <v>0.10999999999999995</v>
      </c>
      <c r="F2757" s="2114">
        <v>1.246</v>
      </c>
      <c r="G2757">
        <v>1.4</v>
      </c>
    </row>
    <row r="2758" spans="1:7" ht="15.75">
      <c r="A2758" s="2694"/>
      <c r="B2758" s="2695"/>
      <c r="C2758" s="2688" t="s">
        <v>3292</v>
      </c>
      <c r="D2758" s="2696"/>
      <c r="E2758" s="2697">
        <f t="shared" si="138"/>
        <v>0.10999999999999992</v>
      </c>
      <c r="F2758" s="2698">
        <v>2.3318000000000003</v>
      </c>
      <c r="G2758">
        <v>2.62</v>
      </c>
    </row>
    <row r="2759" spans="1:7" ht="15.75">
      <c r="A2759" s="2694"/>
      <c r="B2759" s="2695"/>
      <c r="C2759" s="2688" t="s">
        <v>3293</v>
      </c>
      <c r="D2759" s="2696"/>
      <c r="E2759" s="2697">
        <f t="shared" si="138"/>
        <v>0.1099999999999999</v>
      </c>
      <c r="F2759" s="2698">
        <v>2.0559000000000003</v>
      </c>
      <c r="G2759">
        <v>2.31</v>
      </c>
    </row>
    <row r="2760" spans="1:7" ht="15.75">
      <c r="A2760" s="2699"/>
      <c r="B2760" s="2692"/>
      <c r="C2760" s="2692"/>
      <c r="D2760" s="2692"/>
      <c r="E2760" s="2697" t="e">
        <f t="shared" si="138"/>
        <v>#DIV/0!</v>
      </c>
      <c r="F2760" s="2698"/>
      <c r="G2760" s="39"/>
    </row>
    <row r="2761" spans="1:7" ht="15.75">
      <c r="A2761" s="2699"/>
      <c r="B2761" s="2692"/>
      <c r="C2761" s="2692"/>
      <c r="D2761" s="2692"/>
      <c r="E2761" s="2697" t="e">
        <f t="shared" si="138"/>
        <v>#DIV/0!</v>
      </c>
      <c r="F2761" s="2693"/>
    </row>
    <row r="2762" spans="1:7">
      <c r="A2762" s="2699"/>
      <c r="B2762" s="2692"/>
      <c r="C2762" s="2692"/>
      <c r="D2762" s="2692"/>
      <c r="E2762" s="2700" t="e">
        <f t="shared" si="138"/>
        <v>#DIV/0!</v>
      </c>
      <c r="F2762" s="2693"/>
    </row>
    <row r="2763" spans="1:7">
      <c r="A2763" s="2699"/>
      <c r="B2763" s="2692"/>
      <c r="C2763" s="2692"/>
      <c r="D2763" s="2692"/>
      <c r="E2763" s="2700" t="e">
        <f t="shared" si="138"/>
        <v>#DIV/0!</v>
      </c>
      <c r="F2763" s="2693"/>
    </row>
    <row r="2764" spans="1:7">
      <c r="A2764" s="2699"/>
      <c r="B2764" s="2692"/>
      <c r="C2764" s="2692"/>
      <c r="D2764" s="2692"/>
      <c r="E2764" s="2700" t="e">
        <f t="shared" si="138"/>
        <v>#DIV/0!</v>
      </c>
      <c r="F2764" s="2693"/>
    </row>
    <row r="2765" spans="1:7" ht="15.75" thickBot="1">
      <c r="A2765" s="1315"/>
      <c r="B2765" s="1316"/>
      <c r="C2765" s="1316"/>
      <c r="D2765" s="1316"/>
      <c r="E2765" s="2701" t="e">
        <f t="shared" si="138"/>
        <v>#DIV/0!</v>
      </c>
      <c r="F2765" s="1368"/>
    </row>
    <row r="2767" spans="1:7" ht="15.75" thickBot="1"/>
    <row r="2768" spans="1:7">
      <c r="A2768" s="3614" t="s">
        <v>0</v>
      </c>
      <c r="B2768" s="3518" t="s">
        <v>1</v>
      </c>
      <c r="C2768" s="3518" t="s">
        <v>2</v>
      </c>
      <c r="D2768" s="3518" t="s">
        <v>3</v>
      </c>
      <c r="E2768" s="3518" t="s">
        <v>4</v>
      </c>
      <c r="F2768" s="3522" t="s">
        <v>5</v>
      </c>
    </row>
    <row r="2769" spans="1:7" ht="15.75" thickBot="1">
      <c r="A2769" s="3610"/>
      <c r="B2769" s="3608"/>
      <c r="C2769" s="3608"/>
      <c r="D2769" s="3608"/>
      <c r="E2769" s="3608"/>
      <c r="F2769" s="3607"/>
    </row>
    <row r="2770" spans="1:7" ht="15.75">
      <c r="A2770" s="1675" t="s">
        <v>3290</v>
      </c>
      <c r="B2770" s="1163" t="s">
        <v>3294</v>
      </c>
      <c r="C2770" s="2414" t="s">
        <v>1763</v>
      </c>
      <c r="D2770" s="2562"/>
      <c r="E2770" s="2626">
        <f t="shared" ref="E2770:E2786" si="139">(G2770-F2770)/G2770</f>
        <v>0.14006791171477068</v>
      </c>
      <c r="F2770" s="2114">
        <v>20.260000000000002</v>
      </c>
      <c r="G2770">
        <v>23.56</v>
      </c>
    </row>
    <row r="2771" spans="1:7" ht="15.75">
      <c r="A2771" s="2694"/>
      <c r="B2771" s="2695" t="s">
        <v>3295</v>
      </c>
      <c r="C2771" s="2688" t="s">
        <v>1556</v>
      </c>
      <c r="D2771" s="2696"/>
      <c r="E2771" s="2697">
        <f t="shared" si="139"/>
        <v>0.14006791171477068</v>
      </c>
      <c r="F2771" s="2698">
        <v>20.260000000000002</v>
      </c>
      <c r="G2771">
        <v>23.56</v>
      </c>
    </row>
    <row r="2772" spans="1:7" ht="15.75">
      <c r="A2772" s="2694"/>
      <c r="B2772" s="2695" t="s">
        <v>3296</v>
      </c>
      <c r="C2772" s="2688" t="s">
        <v>1557</v>
      </c>
      <c r="D2772" s="2696"/>
      <c r="E2772" s="2697">
        <f t="shared" ref="E2772:E2779" si="140">(G2772-F2772)/G2772</f>
        <v>0.14006791171477068</v>
      </c>
      <c r="F2772" s="2698">
        <v>20.260000000000002</v>
      </c>
      <c r="G2772">
        <v>23.56</v>
      </c>
    </row>
    <row r="2773" spans="1:7" ht="15.75">
      <c r="A2773" s="2699"/>
      <c r="B2773" s="2692" t="s">
        <v>3297</v>
      </c>
      <c r="C2773" s="2692" t="s">
        <v>1555</v>
      </c>
      <c r="D2773" s="2692"/>
      <c r="E2773" s="2697">
        <f t="shared" si="140"/>
        <v>0.14006791171477068</v>
      </c>
      <c r="F2773" s="2698">
        <v>20.260000000000002</v>
      </c>
      <c r="G2773" s="39">
        <v>23.56</v>
      </c>
    </row>
    <row r="2774" spans="1:7" ht="15.75">
      <c r="A2774" s="2699"/>
      <c r="B2774" s="2692" t="s">
        <v>3298</v>
      </c>
      <c r="C2774" s="2692" t="s">
        <v>1439</v>
      </c>
      <c r="D2774" s="2692"/>
      <c r="E2774" s="2697">
        <f t="shared" si="140"/>
        <v>0.1001011122345804</v>
      </c>
      <c r="F2774" s="2693">
        <v>8.9</v>
      </c>
      <c r="G2774">
        <v>9.89</v>
      </c>
    </row>
    <row r="2775" spans="1:7">
      <c r="A2775" s="2699"/>
      <c r="B2775" s="2692" t="s">
        <v>3299</v>
      </c>
      <c r="C2775" s="2692" t="s">
        <v>1773</v>
      </c>
      <c r="D2775" s="2692"/>
      <c r="E2775" s="2700">
        <f t="shared" si="140"/>
        <v>0.1001011122345804</v>
      </c>
      <c r="F2775" s="2693">
        <v>8.9</v>
      </c>
      <c r="G2775">
        <v>9.89</v>
      </c>
    </row>
    <row r="2776" spans="1:7">
      <c r="A2776" s="2699"/>
      <c r="B2776" s="2692" t="s">
        <v>3300</v>
      </c>
      <c r="C2776" s="2692" t="s">
        <v>1374</v>
      </c>
      <c r="D2776" s="2692"/>
      <c r="E2776" s="2700">
        <f>(G2776-F2776)/G2776</f>
        <v>9.6774193548387177E-2</v>
      </c>
      <c r="F2776" s="2693">
        <v>0.84</v>
      </c>
      <c r="G2776">
        <v>0.93</v>
      </c>
    </row>
    <row r="2777" spans="1:7">
      <c r="A2777" s="2699"/>
      <c r="B2777" s="2692"/>
      <c r="C2777" s="2692" t="s">
        <v>1301</v>
      </c>
      <c r="D2777" s="2692"/>
      <c r="E2777" s="2700">
        <f>(G2777-F2777)/G2777</f>
        <v>9.6774193548387177E-2</v>
      </c>
      <c r="F2777" s="2693">
        <v>0.84</v>
      </c>
      <c r="G2777">
        <v>0.93</v>
      </c>
    </row>
    <row r="2778" spans="1:7">
      <c r="A2778" s="2699"/>
      <c r="B2778" s="2692"/>
      <c r="C2778" s="2692" t="s">
        <v>2303</v>
      </c>
      <c r="D2778" s="2692"/>
      <c r="E2778" s="2700">
        <f t="shared" si="140"/>
        <v>9.6774193548387177E-2</v>
      </c>
      <c r="F2778" s="2693">
        <v>0.84</v>
      </c>
      <c r="G2778">
        <v>0.93</v>
      </c>
    </row>
    <row r="2779" spans="1:7">
      <c r="A2779" s="2699"/>
      <c r="B2779" s="2692"/>
      <c r="C2779" s="2692" t="s">
        <v>3206</v>
      </c>
      <c r="D2779" s="2692"/>
      <c r="E2779" s="2700">
        <f t="shared" si="140"/>
        <v>9.7560975609756004E-2</v>
      </c>
      <c r="F2779" s="2693">
        <v>1.1100000000000001</v>
      </c>
      <c r="G2779">
        <v>1.23</v>
      </c>
    </row>
    <row r="2780" spans="1:7" ht="15.75">
      <c r="A2780" s="2694"/>
      <c r="B2780" s="2695"/>
      <c r="C2780" s="2688" t="s">
        <v>3207</v>
      </c>
      <c r="D2780" s="2696"/>
      <c r="E2780" s="2697">
        <f t="shared" si="139"/>
        <v>9.7560975609756004E-2</v>
      </c>
      <c r="F2780" s="2698">
        <v>1.1100000000000001</v>
      </c>
      <c r="G2780">
        <v>1.23</v>
      </c>
    </row>
    <row r="2781" spans="1:7" ht="15.75">
      <c r="A2781" s="2699"/>
      <c r="B2781" s="2692"/>
      <c r="C2781" s="2692" t="s">
        <v>549</v>
      </c>
      <c r="D2781" s="2692"/>
      <c r="E2781" s="2697">
        <f t="shared" si="139"/>
        <v>7.0019723865877792E-2</v>
      </c>
      <c r="F2781" s="2698">
        <v>28.29</v>
      </c>
      <c r="G2781" s="39">
        <v>30.42</v>
      </c>
    </row>
    <row r="2782" spans="1:7" ht="15.75">
      <c r="A2782" s="2699"/>
      <c r="B2782" s="2692"/>
      <c r="C2782" s="2692" t="s">
        <v>1258</v>
      </c>
      <c r="D2782" s="2692"/>
      <c r="E2782" s="2697">
        <f t="shared" si="139"/>
        <v>7.0019723865877792E-2</v>
      </c>
      <c r="F2782" s="2693">
        <v>28.29</v>
      </c>
      <c r="G2782">
        <v>30.42</v>
      </c>
    </row>
    <row r="2783" spans="1:7">
      <c r="A2783" s="2699"/>
      <c r="B2783" s="2692"/>
      <c r="C2783" s="2692" t="s">
        <v>550</v>
      </c>
      <c r="D2783" s="2692"/>
      <c r="E2783" s="2700">
        <f t="shared" si="139"/>
        <v>6.9919323857087989E-2</v>
      </c>
      <c r="F2783" s="2693">
        <v>24.21</v>
      </c>
      <c r="G2783">
        <v>26.03</v>
      </c>
    </row>
    <row r="2784" spans="1:7">
      <c r="A2784" s="2699"/>
      <c r="B2784" s="2692"/>
      <c r="C2784" s="2692" t="s">
        <v>1259</v>
      </c>
      <c r="D2784" s="2692"/>
      <c r="E2784" s="2700">
        <f t="shared" si="139"/>
        <v>6.9919323857087989E-2</v>
      </c>
      <c r="F2784" s="2693">
        <v>24.21</v>
      </c>
      <c r="G2784">
        <v>26.03</v>
      </c>
    </row>
    <row r="2785" spans="1:7">
      <c r="A2785" s="2699"/>
      <c r="B2785" s="2692"/>
      <c r="C2785" s="2835" t="s">
        <v>1891</v>
      </c>
      <c r="D2785" s="2692"/>
      <c r="E2785" s="2700">
        <f t="shared" si="139"/>
        <v>0.11428571428571428</v>
      </c>
      <c r="F2785" s="2693">
        <v>0.93</v>
      </c>
      <c r="G2785">
        <v>1.05</v>
      </c>
    </row>
    <row r="2786" spans="1:7" ht="15.75" thickBot="1">
      <c r="A2786" s="1315"/>
      <c r="B2786" s="1316"/>
      <c r="C2786" s="2845" t="s">
        <v>1892</v>
      </c>
      <c r="D2786" s="1316"/>
      <c r="E2786" s="2701">
        <f t="shared" si="139"/>
        <v>0.11428571428571428</v>
      </c>
      <c r="F2786" s="1368">
        <v>0.93</v>
      </c>
      <c r="G2786">
        <v>1.05</v>
      </c>
    </row>
    <row r="2788" spans="1:7" ht="15.75" thickBot="1"/>
    <row r="2789" spans="1:7">
      <c r="A2789" s="3572" t="s">
        <v>0</v>
      </c>
      <c r="B2789" s="3557" t="s">
        <v>1</v>
      </c>
      <c r="C2789" s="3557" t="s">
        <v>2</v>
      </c>
      <c r="D2789" s="3557" t="s">
        <v>3</v>
      </c>
      <c r="E2789" s="3557" t="s">
        <v>4</v>
      </c>
      <c r="F2789" s="3559" t="s">
        <v>5</v>
      </c>
    </row>
    <row r="2790" spans="1:7">
      <c r="A2790" s="4215"/>
      <c r="B2790" s="4216"/>
      <c r="C2790" s="4216"/>
      <c r="D2790" s="4216"/>
      <c r="E2790" s="4216"/>
      <c r="F2790" s="4217"/>
    </row>
    <row r="2791" spans="1:7">
      <c r="A2791" s="2702" t="s">
        <v>3322</v>
      </c>
      <c r="B2791" s="2705" t="s">
        <v>2155</v>
      </c>
      <c r="C2791" s="2706" t="s">
        <v>2156</v>
      </c>
      <c r="D2791" s="2707"/>
      <c r="E2791" s="2708" t="e">
        <f t="shared" ref="E2791:E2797" si="141">(G2791-F2791)/G2791</f>
        <v>#DIV/0!</v>
      </c>
      <c r="F2791" s="2709">
        <v>1.89</v>
      </c>
    </row>
    <row r="2792" spans="1:7">
      <c r="A2792" s="2702"/>
      <c r="B2792" s="2705"/>
      <c r="C2792" s="2706" t="s">
        <v>2743</v>
      </c>
      <c r="D2792" s="2707"/>
      <c r="E2792" s="2708" t="e">
        <f t="shared" si="141"/>
        <v>#DIV/0!</v>
      </c>
      <c r="F2792" s="2709">
        <v>0.61</v>
      </c>
    </row>
    <row r="2793" spans="1:7">
      <c r="A2793" s="2699"/>
      <c r="B2793" s="2692"/>
      <c r="C2793" s="2692" t="s">
        <v>2077</v>
      </c>
      <c r="D2793" s="2692"/>
      <c r="E2793" s="2708" t="e">
        <f t="shared" si="141"/>
        <v>#DIV/0!</v>
      </c>
      <c r="F2793" s="2693">
        <v>0.35</v>
      </c>
    </row>
    <row r="2794" spans="1:7">
      <c r="A2794" s="2699"/>
      <c r="B2794" s="2692"/>
      <c r="C2794" s="2692"/>
      <c r="D2794" s="2692"/>
      <c r="E2794" s="2708" t="e">
        <f t="shared" si="141"/>
        <v>#DIV/0!</v>
      </c>
      <c r="F2794" s="2693"/>
    </row>
    <row r="2795" spans="1:7">
      <c r="A2795" s="2699"/>
      <c r="B2795" s="2692"/>
      <c r="C2795" s="2692"/>
      <c r="D2795" s="2692"/>
      <c r="E2795" s="2708" t="e">
        <f t="shared" si="141"/>
        <v>#DIV/0!</v>
      </c>
      <c r="F2795" s="2693"/>
    </row>
    <row r="2796" spans="1:7">
      <c r="A2796" s="2699"/>
      <c r="B2796" s="2692"/>
      <c r="C2796" s="2692"/>
      <c r="D2796" s="2692"/>
      <c r="E2796" s="2708" t="e">
        <f t="shared" si="141"/>
        <v>#DIV/0!</v>
      </c>
      <c r="F2796" s="2693"/>
    </row>
    <row r="2797" spans="1:7" ht="15.75" thickBot="1">
      <c r="A2797" s="1315"/>
      <c r="B2797" s="1316"/>
      <c r="C2797" s="1316"/>
      <c r="D2797" s="1316"/>
      <c r="E2797" s="2710" t="e">
        <f t="shared" si="141"/>
        <v>#DIV/0!</v>
      </c>
      <c r="F2797" s="1368"/>
    </row>
    <row r="2800" spans="1:7" ht="15.75" thickBot="1"/>
    <row r="2801" spans="1:7">
      <c r="A2801" s="3572" t="s">
        <v>0</v>
      </c>
      <c r="B2801" s="3557" t="s">
        <v>1</v>
      </c>
      <c r="C2801" s="3557" t="s">
        <v>2</v>
      </c>
      <c r="D2801" s="3557" t="s">
        <v>3</v>
      </c>
      <c r="E2801" s="3557" t="s">
        <v>4</v>
      </c>
      <c r="F2801" s="3559" t="s">
        <v>5</v>
      </c>
    </row>
    <row r="2802" spans="1:7">
      <c r="A2802" s="4215"/>
      <c r="B2802" s="4216"/>
      <c r="C2802" s="4216"/>
      <c r="D2802" s="4216"/>
      <c r="E2802" s="4216"/>
      <c r="F2802" s="4217"/>
    </row>
    <row r="2803" spans="1:7">
      <c r="A2803" s="2702" t="s">
        <v>3321</v>
      </c>
      <c r="B2803" s="2705" t="s">
        <v>2155</v>
      </c>
      <c r="C2803" s="2706" t="s">
        <v>2602</v>
      </c>
      <c r="D2803" s="2707"/>
      <c r="E2803" s="2708" t="e">
        <f t="shared" ref="E2803:E2809" si="142">(G2803-F2803)/G2803</f>
        <v>#DIV/0!</v>
      </c>
      <c r="F2803" s="2709">
        <v>2.3199999999999998</v>
      </c>
    </row>
    <row r="2804" spans="1:7">
      <c r="A2804" s="2702"/>
      <c r="B2804" s="2705"/>
      <c r="C2804" s="2706" t="s">
        <v>2558</v>
      </c>
      <c r="D2804" s="2707"/>
      <c r="E2804" s="2708" t="e">
        <f t="shared" si="142"/>
        <v>#DIV/0!</v>
      </c>
      <c r="F2804" s="2709">
        <v>2.3199999999999998</v>
      </c>
    </row>
    <row r="2805" spans="1:7">
      <c r="A2805" s="2699"/>
      <c r="B2805" s="2692"/>
      <c r="C2805" s="2692" t="s">
        <v>2560</v>
      </c>
      <c r="D2805" s="2692"/>
      <c r="E2805" s="2708" t="e">
        <f t="shared" si="142"/>
        <v>#DIV/0!</v>
      </c>
      <c r="F2805" s="2693">
        <v>1.97</v>
      </c>
    </row>
    <row r="2806" spans="1:7">
      <c r="A2806" s="2699"/>
      <c r="B2806" s="2692"/>
      <c r="C2806" s="2692" t="s">
        <v>686</v>
      </c>
      <c r="D2806" s="2692"/>
      <c r="E2806" s="2708" t="e">
        <f t="shared" si="142"/>
        <v>#DIV/0!</v>
      </c>
      <c r="F2806" s="2693">
        <v>1.5</v>
      </c>
    </row>
    <row r="2807" spans="1:7">
      <c r="A2807" s="2699"/>
      <c r="B2807" s="2692"/>
      <c r="C2807" s="2692" t="s">
        <v>687</v>
      </c>
      <c r="D2807" s="2692"/>
      <c r="E2807" s="2708" t="e">
        <f t="shared" si="142"/>
        <v>#DIV/0!</v>
      </c>
      <c r="F2807" s="2693">
        <v>1.5</v>
      </c>
    </row>
    <row r="2808" spans="1:7">
      <c r="A2808" s="2699"/>
      <c r="B2808" s="2692"/>
      <c r="C2808" s="2692" t="s">
        <v>1614</v>
      </c>
      <c r="D2808" s="2692"/>
      <c r="E2808" s="2708" t="e">
        <f t="shared" si="142"/>
        <v>#DIV/0!</v>
      </c>
      <c r="F2808" s="2693">
        <v>0.88</v>
      </c>
    </row>
    <row r="2809" spans="1:7" ht="15.75" thickBot="1">
      <c r="A2809" s="1315"/>
      <c r="B2809" s="1316"/>
      <c r="C2809" s="1316" t="s">
        <v>2792</v>
      </c>
      <c r="D2809" s="1316"/>
      <c r="E2809" s="2710" t="e">
        <f t="shared" si="142"/>
        <v>#DIV/0!</v>
      </c>
      <c r="F2809" s="1368">
        <v>0.88</v>
      </c>
    </row>
    <row r="2811" spans="1:7" ht="15.75" thickBot="1"/>
    <row r="2812" spans="1:7">
      <c r="A2812" s="3614" t="s">
        <v>0</v>
      </c>
      <c r="B2812" s="3518" t="s">
        <v>1</v>
      </c>
      <c r="C2812" s="3518" t="s">
        <v>2</v>
      </c>
      <c r="D2812" s="3518" t="s">
        <v>3</v>
      </c>
      <c r="E2812" s="3518" t="s">
        <v>4</v>
      </c>
      <c r="F2812" s="3522" t="s">
        <v>5</v>
      </c>
    </row>
    <row r="2813" spans="1:7" ht="15.75" thickBot="1">
      <c r="A2813" s="3610"/>
      <c r="B2813" s="3608"/>
      <c r="C2813" s="3608"/>
      <c r="D2813" s="3608"/>
      <c r="E2813" s="3608"/>
      <c r="F2813" s="3607"/>
    </row>
    <row r="2814" spans="1:7" ht="15.75">
      <c r="A2814" s="1675" t="s">
        <v>3323</v>
      </c>
      <c r="B2814" s="1163" t="s">
        <v>2183</v>
      </c>
      <c r="C2814" s="2414" t="s">
        <v>2602</v>
      </c>
      <c r="D2814" s="2562"/>
      <c r="E2814" s="2626">
        <f t="shared" ref="E2814:E2822" si="143">(G2814-F2814)/G2814</f>
        <v>0.24844720496894418</v>
      </c>
      <c r="F2814" s="2114">
        <v>2.42</v>
      </c>
      <c r="G2814">
        <v>3.22</v>
      </c>
    </row>
    <row r="2815" spans="1:7" ht="15.75">
      <c r="A2815" s="2694"/>
      <c r="B2815" s="2695"/>
      <c r="C2815" s="2688" t="s">
        <v>2558</v>
      </c>
      <c r="D2815" s="2696"/>
      <c r="E2815" s="2697">
        <f t="shared" si="143"/>
        <v>0.24844720496894418</v>
      </c>
      <c r="F2815" s="2698">
        <v>2.42</v>
      </c>
      <c r="G2815">
        <v>3.22</v>
      </c>
    </row>
    <row r="2816" spans="1:7" ht="15.75">
      <c r="A2816" s="2694"/>
      <c r="B2816" s="2695"/>
      <c r="C2816" s="2688" t="s">
        <v>2603</v>
      </c>
      <c r="D2816" s="2696"/>
      <c r="E2816" s="2697">
        <f t="shared" si="143"/>
        <v>0.24844720496894418</v>
      </c>
      <c r="F2816" s="2698">
        <v>2.42</v>
      </c>
      <c r="G2816">
        <v>3.22</v>
      </c>
    </row>
    <row r="2817" spans="1:7" ht="15.75">
      <c r="A2817" s="2699"/>
      <c r="B2817" s="2692"/>
      <c r="C2817" s="2692" t="s">
        <v>2559</v>
      </c>
      <c r="D2817" s="2692"/>
      <c r="E2817" s="2697">
        <f t="shared" si="143"/>
        <v>0.24844720496894418</v>
      </c>
      <c r="F2817" s="2698">
        <v>2.42</v>
      </c>
      <c r="G2817" s="39">
        <v>3.22</v>
      </c>
    </row>
    <row r="2818" spans="1:7" ht="15.75">
      <c r="A2818" s="2699"/>
      <c r="B2818" s="2692"/>
      <c r="C2818" s="2835" t="s">
        <v>1975</v>
      </c>
      <c r="D2818" s="2692"/>
      <c r="E2818" s="2697">
        <f t="shared" si="143"/>
        <v>0.2320441988950277</v>
      </c>
      <c r="F2818" s="2693">
        <v>1.39</v>
      </c>
      <c r="G2818">
        <v>1.81</v>
      </c>
    </row>
    <row r="2819" spans="1:7">
      <c r="A2819" s="2699"/>
      <c r="B2819" s="2692"/>
      <c r="C2819" s="2835" t="s">
        <v>2383</v>
      </c>
      <c r="D2819" s="2692"/>
      <c r="E2819" s="2700">
        <f t="shared" si="143"/>
        <v>0.3493449781659389</v>
      </c>
      <c r="F2819" s="2693">
        <v>2.98</v>
      </c>
      <c r="G2819">
        <v>4.58</v>
      </c>
    </row>
    <row r="2820" spans="1:7">
      <c r="A2820" s="2699"/>
      <c r="B2820" s="2692"/>
      <c r="C2820" s="2835" t="s">
        <v>1892</v>
      </c>
      <c r="D2820" s="2692"/>
      <c r="E2820" s="2700">
        <f t="shared" si="143"/>
        <v>0.39516129032258063</v>
      </c>
      <c r="F2820" s="2693">
        <v>0.75</v>
      </c>
      <c r="G2820">
        <v>1.24</v>
      </c>
    </row>
    <row r="2821" spans="1:7">
      <c r="A2821" s="2699"/>
      <c r="B2821" s="2692"/>
      <c r="C2821" s="2692" t="s">
        <v>2596</v>
      </c>
      <c r="D2821" s="2692"/>
      <c r="E2821" s="2700">
        <f t="shared" si="143"/>
        <v>0.19718309859154931</v>
      </c>
      <c r="F2821" s="2693">
        <v>1.1399999999999999</v>
      </c>
      <c r="G2821">
        <v>1.42</v>
      </c>
    </row>
    <row r="2822" spans="1:7" ht="15.75" thickBot="1">
      <c r="A2822" s="1315"/>
      <c r="B2822" s="1316"/>
      <c r="C2822" s="1316" t="s">
        <v>3004</v>
      </c>
      <c r="D2822" s="1316"/>
      <c r="E2822" s="2701">
        <f t="shared" si="143"/>
        <v>0.15151515151515155</v>
      </c>
      <c r="F2822" s="1368">
        <v>1.96</v>
      </c>
      <c r="G2822">
        <v>2.31</v>
      </c>
    </row>
    <row r="2823" spans="1:7" ht="15.75" thickBot="1"/>
    <row r="2824" spans="1:7">
      <c r="A2824" s="3614" t="s">
        <v>0</v>
      </c>
      <c r="B2824" s="3518" t="s">
        <v>1</v>
      </c>
      <c r="C2824" s="3518" t="s">
        <v>2</v>
      </c>
      <c r="D2824" s="3518" t="s">
        <v>3</v>
      </c>
      <c r="E2824" s="3518" t="s">
        <v>4</v>
      </c>
      <c r="F2824" s="3522" t="s">
        <v>5</v>
      </c>
    </row>
    <row r="2825" spans="1:7" ht="15.75" thickBot="1">
      <c r="A2825" s="3610"/>
      <c r="B2825" s="3608"/>
      <c r="C2825" s="3608"/>
      <c r="D2825" s="3608"/>
      <c r="E2825" s="3608"/>
      <c r="F2825" s="3607"/>
    </row>
    <row r="2826" spans="1:7">
      <c r="A2826" s="1675" t="s">
        <v>3323</v>
      </c>
      <c r="B2826" s="1676" t="s">
        <v>3294</v>
      </c>
      <c r="C2826" s="2414" t="s">
        <v>3324</v>
      </c>
      <c r="D2826" s="2415"/>
      <c r="E2826" s="2733">
        <f t="shared" ref="E2826:E2860" si="144">(G2826-F2826)/G2826</f>
        <v>0.19920318725099603</v>
      </c>
      <c r="F2826" s="1793">
        <v>2.0099999999999998</v>
      </c>
      <c r="G2826" s="429">
        <v>2.5099999999999998</v>
      </c>
    </row>
    <row r="2827" spans="1:7">
      <c r="A2827" s="2686"/>
      <c r="B2827" s="2687" t="s">
        <v>3295</v>
      </c>
      <c r="C2827" s="2688" t="s">
        <v>3325</v>
      </c>
      <c r="D2827" s="2689"/>
      <c r="E2827" s="2734">
        <f t="shared" si="144"/>
        <v>0.19920318725099603</v>
      </c>
      <c r="F2827" s="2691">
        <v>2.0099999999999998</v>
      </c>
      <c r="G2827" s="429">
        <v>2.5099999999999998</v>
      </c>
    </row>
    <row r="2828" spans="1:7">
      <c r="A2828" s="2686"/>
      <c r="B2828" s="2687" t="s">
        <v>3296</v>
      </c>
      <c r="C2828" s="2688" t="s">
        <v>3326</v>
      </c>
      <c r="D2828" s="2689"/>
      <c r="E2828" s="2734">
        <f t="shared" si="144"/>
        <v>0.19920318725099603</v>
      </c>
      <c r="F2828" s="2691">
        <v>2.0099999999999998</v>
      </c>
      <c r="G2828" s="429">
        <v>2.5099999999999998</v>
      </c>
    </row>
    <row r="2829" spans="1:7">
      <c r="A2829" s="2703"/>
      <c r="B2829" s="2704" t="s">
        <v>3297</v>
      </c>
      <c r="C2829" s="2704" t="s">
        <v>3327</v>
      </c>
      <c r="D2829" s="2704"/>
      <c r="E2829" s="2734">
        <f t="shared" si="144"/>
        <v>0.19920318725099603</v>
      </c>
      <c r="F2829" s="2691">
        <v>2.0099999999999998</v>
      </c>
      <c r="G2829" s="429">
        <v>2.5099999999999998</v>
      </c>
    </row>
    <row r="2830" spans="1:7">
      <c r="A2830" s="2703"/>
      <c r="B2830" s="2704" t="s">
        <v>3298</v>
      </c>
      <c r="C2830" s="2704" t="s">
        <v>3328</v>
      </c>
      <c r="D2830" s="2704"/>
      <c r="E2830" s="2734">
        <f t="shared" si="144"/>
        <v>0.19920318725099603</v>
      </c>
      <c r="F2830" s="2735">
        <v>2.0099999999999998</v>
      </c>
      <c r="G2830" s="429">
        <v>2.5099999999999998</v>
      </c>
    </row>
    <row r="2831" spans="1:7">
      <c r="A2831" s="2703"/>
      <c r="B2831" s="2704" t="s">
        <v>3299</v>
      </c>
      <c r="C2831" s="2704" t="s">
        <v>3329</v>
      </c>
      <c r="D2831" s="2704"/>
      <c r="E2831" s="2700">
        <f t="shared" si="144"/>
        <v>0.19920318725099603</v>
      </c>
      <c r="F2831" s="2735">
        <v>2.0099999999999998</v>
      </c>
      <c r="G2831" s="429">
        <v>2.5099999999999998</v>
      </c>
    </row>
    <row r="2832" spans="1:7">
      <c r="A2832" s="2703"/>
      <c r="B2832" s="2704" t="s">
        <v>3300</v>
      </c>
      <c r="C2832" s="2704" t="s">
        <v>549</v>
      </c>
      <c r="D2832" s="2704"/>
      <c r="E2832" s="2700">
        <f t="shared" si="144"/>
        <v>0.13068493150684932</v>
      </c>
      <c r="F2832" s="2735">
        <v>31.73</v>
      </c>
      <c r="G2832" s="429">
        <v>36.5</v>
      </c>
    </row>
    <row r="2833" spans="1:7">
      <c r="A2833" s="2703"/>
      <c r="B2833" s="2704"/>
      <c r="C2833" s="2704" t="s">
        <v>1258</v>
      </c>
      <c r="D2833" s="2704"/>
      <c r="E2833" s="2700">
        <f t="shared" si="144"/>
        <v>0.13068493150684932</v>
      </c>
      <c r="F2833" s="2735">
        <v>31.73</v>
      </c>
      <c r="G2833" s="429">
        <v>36.5</v>
      </c>
    </row>
    <row r="2834" spans="1:7">
      <c r="A2834" s="2703"/>
      <c r="B2834" s="2704"/>
      <c r="C2834" s="2704" t="s">
        <v>550</v>
      </c>
      <c r="D2834" s="2704"/>
      <c r="E2834" s="2700">
        <f t="shared" si="144"/>
        <v>0.1306017925736235</v>
      </c>
      <c r="F2834" s="2735">
        <v>27.16</v>
      </c>
      <c r="G2834" s="429">
        <v>31.24</v>
      </c>
    </row>
    <row r="2835" spans="1:7">
      <c r="A2835" s="2703"/>
      <c r="B2835" s="2704"/>
      <c r="C2835" s="2704" t="s">
        <v>1259</v>
      </c>
      <c r="D2835" s="2704"/>
      <c r="E2835" s="2700">
        <f t="shared" si="144"/>
        <v>0.1306017925736235</v>
      </c>
      <c r="F2835" s="2735">
        <v>27.16</v>
      </c>
      <c r="G2835" s="429">
        <v>31.24</v>
      </c>
    </row>
    <row r="2836" spans="1:7">
      <c r="A2836" s="2686"/>
      <c r="B2836" s="2687"/>
      <c r="C2836" s="2843" t="s">
        <v>1891</v>
      </c>
      <c r="D2836" s="2689"/>
      <c r="E2836" s="2734">
        <f t="shared" si="144"/>
        <v>0.40476190476190477</v>
      </c>
      <c r="F2836" s="2691">
        <v>0.75</v>
      </c>
      <c r="G2836" s="429">
        <v>1.26</v>
      </c>
    </row>
    <row r="2837" spans="1:7">
      <c r="A2837" s="2703"/>
      <c r="B2837" s="2704"/>
      <c r="C2837" s="2835" t="s">
        <v>1892</v>
      </c>
      <c r="D2837" s="2704"/>
      <c r="E2837" s="2734">
        <f t="shared" si="144"/>
        <v>0.40476190476190477</v>
      </c>
      <c r="F2837" s="2691">
        <v>0.75</v>
      </c>
      <c r="G2837" s="436">
        <v>1.26</v>
      </c>
    </row>
    <row r="2838" spans="1:7">
      <c r="A2838" s="2703"/>
      <c r="B2838" s="2704"/>
      <c r="C2838" s="2835" t="s">
        <v>1904</v>
      </c>
      <c r="D2838" s="2704"/>
      <c r="E2838" s="2734">
        <f t="shared" si="144"/>
        <v>0.24418604651162787</v>
      </c>
      <c r="F2838" s="2735">
        <v>1.3</v>
      </c>
      <c r="G2838" s="429">
        <v>1.72</v>
      </c>
    </row>
    <row r="2839" spans="1:7">
      <c r="A2839" s="2703"/>
      <c r="B2839" s="2704"/>
      <c r="C2839" s="2704" t="s">
        <v>2856</v>
      </c>
      <c r="D2839" s="2704"/>
      <c r="E2839" s="2700">
        <f t="shared" si="144"/>
        <v>0.25072046109510088</v>
      </c>
      <c r="F2839" s="2735">
        <v>2.6</v>
      </c>
      <c r="G2839" s="429">
        <v>3.47</v>
      </c>
    </row>
    <row r="2840" spans="1:7">
      <c r="A2840" s="2703"/>
      <c r="B2840" s="2704"/>
      <c r="C2840" s="2704" t="s">
        <v>2857</v>
      </c>
      <c r="D2840" s="2704"/>
      <c r="E2840" s="2700">
        <f t="shared" si="144"/>
        <v>0.25072046109510088</v>
      </c>
      <c r="F2840" s="2735">
        <v>2.6</v>
      </c>
      <c r="G2840" s="429">
        <v>3.47</v>
      </c>
    </row>
    <row r="2841" spans="1:7">
      <c r="A2841" s="2703"/>
      <c r="B2841" s="2704"/>
      <c r="C2841" s="2704" t="s">
        <v>2865</v>
      </c>
      <c r="D2841" s="2704"/>
      <c r="E2841" s="2700">
        <f t="shared" si="144"/>
        <v>0.25072046109510088</v>
      </c>
      <c r="F2841" s="2735">
        <v>2.6</v>
      </c>
      <c r="G2841" s="429">
        <v>3.47</v>
      </c>
    </row>
    <row r="2842" spans="1:7">
      <c r="A2842" s="2703"/>
      <c r="B2842" s="2704"/>
      <c r="C2842" s="2704" t="s">
        <v>2858</v>
      </c>
      <c r="D2842" s="2704"/>
      <c r="E2842" s="2700">
        <f t="shared" si="144"/>
        <v>0.25072046109510088</v>
      </c>
      <c r="F2842" s="2735">
        <v>2.6</v>
      </c>
      <c r="G2842" s="429">
        <v>3.47</v>
      </c>
    </row>
    <row r="2843" spans="1:7">
      <c r="A2843" s="2703"/>
      <c r="B2843" s="2704"/>
      <c r="C2843" s="2704" t="s">
        <v>2602</v>
      </c>
      <c r="D2843" s="2704"/>
      <c r="E2843" s="2700">
        <f t="shared" si="144"/>
        <v>0.24316109422492396</v>
      </c>
      <c r="F2843" s="2735">
        <v>2.4900000000000002</v>
      </c>
      <c r="G2843" s="429">
        <v>3.29</v>
      </c>
    </row>
    <row r="2844" spans="1:7">
      <c r="A2844" s="2703"/>
      <c r="B2844" s="2704"/>
      <c r="C2844" s="2704" t="s">
        <v>2558</v>
      </c>
      <c r="D2844" s="2704"/>
      <c r="E2844" s="2700">
        <f t="shared" si="144"/>
        <v>0.24316109422492396</v>
      </c>
      <c r="F2844" s="2735">
        <v>2.4900000000000002</v>
      </c>
      <c r="G2844" s="429">
        <v>3.29</v>
      </c>
    </row>
    <row r="2845" spans="1:7">
      <c r="A2845" s="2703"/>
      <c r="B2845" s="2704"/>
      <c r="C2845" s="2704" t="s">
        <v>2603</v>
      </c>
      <c r="D2845" s="2704"/>
      <c r="E2845" s="2700">
        <f t="shared" si="144"/>
        <v>0.24316109422492396</v>
      </c>
      <c r="F2845" s="2735">
        <v>2.4900000000000002</v>
      </c>
      <c r="G2845" s="429">
        <v>3.29</v>
      </c>
    </row>
    <row r="2846" spans="1:7">
      <c r="A2846" s="2703"/>
      <c r="B2846" s="2704"/>
      <c r="C2846" s="2704" t="s">
        <v>2559</v>
      </c>
      <c r="D2846" s="2704"/>
      <c r="E2846" s="2700">
        <f t="shared" si="144"/>
        <v>0.24316109422492396</v>
      </c>
      <c r="F2846" s="2735">
        <v>2.4900000000000002</v>
      </c>
      <c r="G2846" s="429">
        <v>3.29</v>
      </c>
    </row>
    <row r="2847" spans="1:7">
      <c r="A2847" s="2703"/>
      <c r="B2847" s="2704"/>
      <c r="C2847" s="2704" t="s">
        <v>3291</v>
      </c>
      <c r="D2847" s="2704"/>
      <c r="E2847" s="2700">
        <f t="shared" si="144"/>
        <v>0.10967741935483881</v>
      </c>
      <c r="F2847" s="2735">
        <v>1.38</v>
      </c>
      <c r="G2847" s="429">
        <v>1.55</v>
      </c>
    </row>
    <row r="2848" spans="1:7">
      <c r="A2848" s="2703"/>
      <c r="B2848" s="2704"/>
      <c r="C2848" s="2704" t="s">
        <v>3292</v>
      </c>
      <c r="D2848" s="2704"/>
      <c r="E2848" s="2700">
        <f t="shared" si="144"/>
        <v>0.11072664359861602</v>
      </c>
      <c r="F2848" s="2735">
        <v>2.57</v>
      </c>
      <c r="G2848" s="429">
        <v>2.89</v>
      </c>
    </row>
    <row r="2849" spans="1:7">
      <c r="A2849" s="2703"/>
      <c r="B2849" s="2704"/>
      <c r="C2849" s="2704" t="s">
        <v>3293</v>
      </c>
      <c r="D2849" s="2704"/>
      <c r="E2849" s="2700">
        <f t="shared" si="144"/>
        <v>0.11023622047244104</v>
      </c>
      <c r="F2849" s="2735">
        <v>2.2599999999999998</v>
      </c>
      <c r="G2849" s="429">
        <v>2.54</v>
      </c>
    </row>
    <row r="2850" spans="1:7">
      <c r="A2850" s="2703"/>
      <c r="B2850" s="2704"/>
      <c r="C2850" s="2704" t="s">
        <v>1763</v>
      </c>
      <c r="D2850" s="2704"/>
      <c r="E2850" s="2700">
        <f t="shared" si="144"/>
        <v>0.14004629629629639</v>
      </c>
      <c r="F2850" s="2735">
        <v>22.29</v>
      </c>
      <c r="G2850" s="429">
        <v>25.92</v>
      </c>
    </row>
    <row r="2851" spans="1:7">
      <c r="A2851" s="2703"/>
      <c r="B2851" s="2704"/>
      <c r="C2851" s="2704" t="s">
        <v>1556</v>
      </c>
      <c r="D2851" s="2704"/>
      <c r="E2851" s="2700">
        <f t="shared" si="144"/>
        <v>0.14004629629629639</v>
      </c>
      <c r="F2851" s="2735">
        <v>22.29</v>
      </c>
      <c r="G2851" s="429">
        <v>25.92</v>
      </c>
    </row>
    <row r="2852" spans="1:7">
      <c r="A2852" s="2703"/>
      <c r="B2852" s="2704"/>
      <c r="C2852" s="2704" t="s">
        <v>1557</v>
      </c>
      <c r="D2852" s="2704"/>
      <c r="E2852" s="2700">
        <f t="shared" si="144"/>
        <v>0.14004629629629639</v>
      </c>
      <c r="F2852" s="2735">
        <v>22.29</v>
      </c>
      <c r="G2852" s="429">
        <v>25.92</v>
      </c>
    </row>
    <row r="2853" spans="1:7">
      <c r="A2853" s="2703"/>
      <c r="B2853" s="2704"/>
      <c r="C2853" s="2704" t="s">
        <v>1555</v>
      </c>
      <c r="D2853" s="2704"/>
      <c r="E2853" s="2700">
        <f t="shared" si="144"/>
        <v>0.14004629629629639</v>
      </c>
      <c r="F2853" s="2735">
        <v>22.29</v>
      </c>
      <c r="G2853" s="429">
        <v>25.92</v>
      </c>
    </row>
    <row r="2854" spans="1:7">
      <c r="A2854" s="2703"/>
      <c r="B2854" s="2704"/>
      <c r="C2854" s="2704" t="s">
        <v>1439</v>
      </c>
      <c r="D2854" s="2704"/>
      <c r="E2854" s="2700">
        <f t="shared" si="144"/>
        <v>0.1002527379949452</v>
      </c>
      <c r="F2854" s="2735">
        <v>10.68</v>
      </c>
      <c r="G2854" s="429">
        <v>11.87</v>
      </c>
    </row>
    <row r="2855" spans="1:7">
      <c r="A2855" s="2703"/>
      <c r="B2855" s="2704"/>
      <c r="C2855" s="2704" t="s">
        <v>1773</v>
      </c>
      <c r="D2855" s="2704"/>
      <c r="E2855" s="2700">
        <f t="shared" si="144"/>
        <v>0.1002527379949452</v>
      </c>
      <c r="F2855" s="2735">
        <v>10.68</v>
      </c>
      <c r="G2855" s="429">
        <v>11.87</v>
      </c>
    </row>
    <row r="2856" spans="1:7">
      <c r="A2856" s="2703"/>
      <c r="B2856" s="2704"/>
      <c r="C2856" s="2704" t="s">
        <v>1374</v>
      </c>
      <c r="D2856" s="2704"/>
      <c r="E2856" s="2700">
        <f t="shared" si="144"/>
        <v>9.8214285714285796E-2</v>
      </c>
      <c r="F2856" s="2735">
        <v>1.01</v>
      </c>
      <c r="G2856" s="429">
        <v>1.1200000000000001</v>
      </c>
    </row>
    <row r="2857" spans="1:7">
      <c r="A2857" s="2703"/>
      <c r="B2857" s="2704"/>
      <c r="C2857" s="2704" t="s">
        <v>1301</v>
      </c>
      <c r="D2857" s="2704"/>
      <c r="E2857" s="2700">
        <f t="shared" si="144"/>
        <v>9.8214285714285796E-2</v>
      </c>
      <c r="F2857" s="2735">
        <v>1.01</v>
      </c>
      <c r="G2857" s="429">
        <v>1.1200000000000001</v>
      </c>
    </row>
    <row r="2858" spans="1:7">
      <c r="A2858" s="2703"/>
      <c r="B2858" s="2704"/>
      <c r="C2858" s="2704" t="s">
        <v>2303</v>
      </c>
      <c r="D2858" s="2704"/>
      <c r="E2858" s="2700">
        <f t="shared" si="144"/>
        <v>9.8214285714285796E-2</v>
      </c>
      <c r="F2858" s="2735">
        <v>1.01</v>
      </c>
      <c r="G2858" s="429">
        <v>1.1200000000000001</v>
      </c>
    </row>
    <row r="2859" spans="1:7">
      <c r="A2859" s="2703"/>
      <c r="B2859" s="2704"/>
      <c r="C2859" s="2704" t="s">
        <v>3206</v>
      </c>
      <c r="D2859" s="2704"/>
      <c r="E2859" s="2700">
        <f t="shared" si="144"/>
        <v>0.10135135135135129</v>
      </c>
      <c r="F2859" s="2735">
        <v>1.33</v>
      </c>
      <c r="G2859" s="429">
        <v>1.48</v>
      </c>
    </row>
    <row r="2860" spans="1:7" ht="15.75" thickBot="1">
      <c r="A2860" s="1903"/>
      <c r="B2860" s="2574"/>
      <c r="C2860" s="2574" t="s">
        <v>3207</v>
      </c>
      <c r="D2860" s="2574"/>
      <c r="E2860" s="2701">
        <f t="shared" si="144"/>
        <v>0.10135135135135129</v>
      </c>
      <c r="F2860" s="2736">
        <v>1.33</v>
      </c>
      <c r="G2860" s="429">
        <v>1.48</v>
      </c>
    </row>
    <row r="2862" spans="1:7" ht="15.75" thickBot="1"/>
    <row r="2863" spans="1:7">
      <c r="A2863" s="3614" t="s">
        <v>0</v>
      </c>
      <c r="B2863" s="3518" t="s">
        <v>1</v>
      </c>
      <c r="C2863" s="3518" t="s">
        <v>2</v>
      </c>
      <c r="D2863" s="3518" t="s">
        <v>3</v>
      </c>
      <c r="E2863" s="3518" t="s">
        <v>4</v>
      </c>
      <c r="F2863" s="3522" t="s">
        <v>5</v>
      </c>
    </row>
    <row r="2864" spans="1:7" ht="15.75" thickBot="1">
      <c r="A2864" s="3610"/>
      <c r="B2864" s="3622"/>
      <c r="C2864" s="3622"/>
      <c r="D2864" s="3622"/>
      <c r="E2864" s="3622"/>
      <c r="F2864" s="3846"/>
    </row>
    <row r="2865" spans="1:7">
      <c r="A2865" s="1675" t="s">
        <v>3333</v>
      </c>
      <c r="B2865" s="1676" t="s">
        <v>460</v>
      </c>
      <c r="C2865" s="2414" t="s">
        <v>2192</v>
      </c>
      <c r="D2865" s="2415"/>
      <c r="E2865" s="1677">
        <f t="shared" ref="E2865:E2883" si="145">(G2865-F2865)/G2865</f>
        <v>0.12068965517241377</v>
      </c>
      <c r="F2865" s="1793">
        <v>6.12</v>
      </c>
      <c r="G2865">
        <v>6.96</v>
      </c>
    </row>
    <row r="2866" spans="1:7">
      <c r="A2866" s="2702"/>
      <c r="B2866" s="2687"/>
      <c r="C2866" s="2688" t="s">
        <v>2194</v>
      </c>
      <c r="D2866" s="2689"/>
      <c r="E2866" s="2690">
        <f t="shared" si="145"/>
        <v>0.12068965517241377</v>
      </c>
      <c r="F2866" s="2691">
        <v>6.12</v>
      </c>
      <c r="G2866">
        <v>6.96</v>
      </c>
    </row>
    <row r="2867" spans="1:7">
      <c r="A2867" s="2702"/>
      <c r="B2867" s="2687"/>
      <c r="C2867" s="2688" t="s">
        <v>2266</v>
      </c>
      <c r="D2867" s="2689"/>
      <c r="E2867" s="2690">
        <f t="shared" si="145"/>
        <v>0.12068965517241377</v>
      </c>
      <c r="F2867" s="2691">
        <v>6.12</v>
      </c>
      <c r="G2867">
        <v>6.96</v>
      </c>
    </row>
    <row r="2868" spans="1:7">
      <c r="A2868" s="2703"/>
      <c r="B2868" s="2704"/>
      <c r="C2868" s="2688" t="s">
        <v>2359</v>
      </c>
      <c r="D2868" s="2689"/>
      <c r="E2868" s="2690">
        <f t="shared" si="145"/>
        <v>0.12068965517241377</v>
      </c>
      <c r="F2868" s="2691">
        <v>6.12</v>
      </c>
      <c r="G2868">
        <v>6.96</v>
      </c>
    </row>
    <row r="2869" spans="1:7">
      <c r="A2869" s="2703"/>
      <c r="B2869" s="2704"/>
      <c r="C2869" s="2843" t="s">
        <v>1904</v>
      </c>
      <c r="D2869" s="2689"/>
      <c r="E2869" s="2690">
        <f t="shared" si="145"/>
        <v>0.22023809523809518</v>
      </c>
      <c r="F2869" s="2691">
        <v>1.31</v>
      </c>
      <c r="G2869">
        <v>1.68</v>
      </c>
    </row>
    <row r="2870" spans="1:7">
      <c r="A2870" s="2703"/>
      <c r="B2870" s="2704"/>
      <c r="C2870" s="2843" t="s">
        <v>2021</v>
      </c>
      <c r="D2870" s="2689"/>
      <c r="E2870" s="2690">
        <f t="shared" si="145"/>
        <v>0.22023809523809518</v>
      </c>
      <c r="F2870" s="2691">
        <v>1.31</v>
      </c>
      <c r="G2870">
        <v>1.68</v>
      </c>
    </row>
    <row r="2871" spans="1:7">
      <c r="A2871" s="2703"/>
      <c r="B2871" s="2704"/>
      <c r="C2871" s="2843" t="s">
        <v>1905</v>
      </c>
      <c r="D2871" s="2689"/>
      <c r="E2871" s="2690">
        <f t="shared" si="145"/>
        <v>0.22023809523809518</v>
      </c>
      <c r="F2871" s="2691">
        <v>1.31</v>
      </c>
      <c r="G2871">
        <v>1.68</v>
      </c>
    </row>
    <row r="2872" spans="1:7">
      <c r="A2872" s="2699"/>
      <c r="B2872" s="2692"/>
      <c r="C2872" s="2835" t="s">
        <v>3334</v>
      </c>
      <c r="D2872" s="2692"/>
      <c r="E2872" s="2690">
        <f t="shared" si="145"/>
        <v>0.1846153846153846</v>
      </c>
      <c r="F2872" s="2693">
        <v>0.53</v>
      </c>
      <c r="G2872">
        <v>0.65</v>
      </c>
    </row>
    <row r="2873" spans="1:7">
      <c r="A2873" s="2699"/>
      <c r="B2873" s="2692"/>
      <c r="C2873" s="2835" t="s">
        <v>3335</v>
      </c>
      <c r="D2873" s="2692"/>
      <c r="E2873" s="2690">
        <f t="shared" si="145"/>
        <v>0.1846153846153846</v>
      </c>
      <c r="F2873" s="2693">
        <v>0.53</v>
      </c>
      <c r="G2873">
        <v>0.65</v>
      </c>
    </row>
    <row r="2874" spans="1:7">
      <c r="A2874" s="2699"/>
      <c r="B2874" s="2692"/>
      <c r="C2874" s="2835" t="s">
        <v>3336</v>
      </c>
      <c r="D2874" s="2692"/>
      <c r="E2874" s="2690">
        <f t="shared" si="145"/>
        <v>0.1846153846153846</v>
      </c>
      <c r="F2874" s="2693">
        <v>0.53</v>
      </c>
      <c r="G2874">
        <v>0.65</v>
      </c>
    </row>
    <row r="2875" spans="1:7">
      <c r="A2875" s="2699"/>
      <c r="B2875" s="2692"/>
      <c r="C2875" s="2835" t="s">
        <v>3337</v>
      </c>
      <c r="D2875" s="2692"/>
      <c r="E2875" s="2690">
        <f t="shared" si="145"/>
        <v>0.1846153846153846</v>
      </c>
      <c r="F2875" s="2693">
        <v>0.53</v>
      </c>
      <c r="G2875">
        <v>0.65</v>
      </c>
    </row>
    <row r="2876" spans="1:7">
      <c r="A2876" s="2699"/>
      <c r="B2876" s="2692"/>
      <c r="C2876" s="2835" t="s">
        <v>3338</v>
      </c>
      <c r="D2876" s="2692"/>
      <c r="E2876" s="2690">
        <f t="shared" si="145"/>
        <v>0.1846153846153846</v>
      </c>
      <c r="F2876" s="2693">
        <v>0.53</v>
      </c>
      <c r="G2876">
        <v>0.65</v>
      </c>
    </row>
    <row r="2877" spans="1:7">
      <c r="A2877" s="2699"/>
      <c r="B2877" s="2692"/>
      <c r="C2877" s="2692" t="s">
        <v>471</v>
      </c>
      <c r="D2877" s="2692"/>
      <c r="E2877" s="2690">
        <f t="shared" si="145"/>
        <v>0.19801980198019797</v>
      </c>
      <c r="F2877" s="2693">
        <v>0.81</v>
      </c>
      <c r="G2877">
        <v>1.01</v>
      </c>
    </row>
    <row r="2878" spans="1:7">
      <c r="A2878" s="2699"/>
      <c r="B2878" s="2692"/>
      <c r="C2878" s="2692" t="s">
        <v>472</v>
      </c>
      <c r="D2878" s="2692"/>
      <c r="E2878" s="2690">
        <f t="shared" si="145"/>
        <v>0.19801980198019797</v>
      </c>
      <c r="F2878" s="2693">
        <v>0.81</v>
      </c>
      <c r="G2878">
        <v>1.01</v>
      </c>
    </row>
    <row r="2879" spans="1:7">
      <c r="A2879" s="2699"/>
      <c r="B2879" s="2692"/>
      <c r="C2879" s="2692" t="s">
        <v>469</v>
      </c>
      <c r="D2879" s="2692"/>
      <c r="E2879" s="2690">
        <f t="shared" si="145"/>
        <v>0.19801980198019797</v>
      </c>
      <c r="F2879" s="2693">
        <v>0.81</v>
      </c>
      <c r="G2879">
        <v>1.01</v>
      </c>
    </row>
    <row r="2880" spans="1:7">
      <c r="A2880" s="2699"/>
      <c r="B2880" s="2692"/>
      <c r="C2880" s="2692" t="s">
        <v>385</v>
      </c>
      <c r="D2880" s="2692"/>
      <c r="E2880" s="2690">
        <f t="shared" si="145"/>
        <v>0.20353982300884946</v>
      </c>
      <c r="F2880" s="2693">
        <v>0.9</v>
      </c>
      <c r="G2880">
        <v>1.1299999999999999</v>
      </c>
    </row>
    <row r="2881" spans="1:7">
      <c r="A2881" s="2699"/>
      <c r="B2881" s="2692"/>
      <c r="C2881" s="2692" t="s">
        <v>387</v>
      </c>
      <c r="D2881" s="2692"/>
      <c r="E2881" s="2690">
        <f t="shared" si="145"/>
        <v>0.20353982300884946</v>
      </c>
      <c r="F2881" s="2693">
        <v>0.9</v>
      </c>
      <c r="G2881">
        <v>1.1299999999999999</v>
      </c>
    </row>
    <row r="2882" spans="1:7">
      <c r="A2882" s="2699"/>
      <c r="B2882" s="2692"/>
      <c r="C2882" s="2692" t="s">
        <v>2042</v>
      </c>
      <c r="D2882" s="2692"/>
      <c r="E2882" s="2690">
        <f t="shared" si="145"/>
        <v>0.20353982300884946</v>
      </c>
      <c r="F2882" s="2693">
        <v>0.9</v>
      </c>
      <c r="G2882">
        <v>1.1299999999999999</v>
      </c>
    </row>
    <row r="2883" spans="1:7" ht="15.75" thickBot="1">
      <c r="A2883" s="1315"/>
      <c r="B2883" s="1316"/>
      <c r="C2883" s="1316" t="s">
        <v>1522</v>
      </c>
      <c r="D2883" s="1316"/>
      <c r="E2883" s="1925">
        <f t="shared" si="145"/>
        <v>0.20353982300884946</v>
      </c>
      <c r="F2883" s="1368">
        <v>0.9</v>
      </c>
      <c r="G2883">
        <v>1.1299999999999999</v>
      </c>
    </row>
    <row r="2884" spans="1:7" ht="15.75" thickBot="1"/>
    <row r="2885" spans="1:7">
      <c r="A2885" s="3572" t="s">
        <v>0</v>
      </c>
      <c r="B2885" s="3557" t="s">
        <v>1</v>
      </c>
      <c r="C2885" s="3557" t="s">
        <v>2</v>
      </c>
      <c r="D2885" s="3557" t="s">
        <v>3</v>
      </c>
      <c r="E2885" s="3557" t="s">
        <v>4</v>
      </c>
      <c r="F2885" s="3559" t="s">
        <v>5</v>
      </c>
    </row>
    <row r="2886" spans="1:7" ht="15.75" thickBot="1">
      <c r="A2886" s="3871"/>
      <c r="B2886" s="3628"/>
      <c r="C2886" s="3628"/>
      <c r="D2886" s="3628"/>
      <c r="E2886" s="3628"/>
      <c r="F2886" s="3629"/>
    </row>
    <row r="2887" spans="1:7">
      <c r="A2887" s="1675" t="s">
        <v>3344</v>
      </c>
      <c r="B2887" s="2400" t="s">
        <v>2155</v>
      </c>
      <c r="C2887" s="2401" t="s">
        <v>1763</v>
      </c>
      <c r="D2887" s="2402"/>
      <c r="E2887" s="2403">
        <f t="shared" ref="E2887:E2897" si="146">(G2887-F2887)/G2887</f>
        <v>0.15779320987654333</v>
      </c>
      <c r="F2887" s="1958">
        <v>21.83</v>
      </c>
      <c r="G2887">
        <v>25.92</v>
      </c>
    </row>
    <row r="2888" spans="1:7">
      <c r="A2888" s="2702"/>
      <c r="B2888" s="2751"/>
      <c r="C2888" s="2752" t="s">
        <v>1556</v>
      </c>
      <c r="D2888" s="2753"/>
      <c r="E2888" s="2754">
        <f t="shared" si="146"/>
        <v>0.15779320987654333</v>
      </c>
      <c r="F2888" s="2755">
        <v>21.83</v>
      </c>
      <c r="G2888">
        <v>25.92</v>
      </c>
    </row>
    <row r="2889" spans="1:7">
      <c r="A2889" s="2699"/>
      <c r="B2889" s="2756"/>
      <c r="C2889" s="2756" t="s">
        <v>1557</v>
      </c>
      <c r="D2889" s="2756"/>
      <c r="E2889" s="2754">
        <f t="shared" si="146"/>
        <v>0.15779320987654333</v>
      </c>
      <c r="F2889" s="2757">
        <v>21.83</v>
      </c>
      <c r="G2889">
        <v>25.92</v>
      </c>
    </row>
    <row r="2890" spans="1:7">
      <c r="A2890" s="2699"/>
      <c r="B2890" s="2756"/>
      <c r="C2890" s="2981" t="s">
        <v>1975</v>
      </c>
      <c r="D2890" s="2756"/>
      <c r="E2890" s="2754">
        <f t="shared" si="146"/>
        <v>0.23497267759562848</v>
      </c>
      <c r="F2890" s="2757">
        <v>1.4</v>
      </c>
      <c r="G2890">
        <v>1.83</v>
      </c>
    </row>
    <row r="2891" spans="1:7">
      <c r="A2891" s="2699"/>
      <c r="B2891" s="2756"/>
      <c r="C2891" s="2981" t="s">
        <v>2021</v>
      </c>
      <c r="D2891" s="2756"/>
      <c r="E2891" s="2754">
        <f t="shared" si="146"/>
        <v>0.21764705882352936</v>
      </c>
      <c r="F2891" s="2757">
        <v>1.33</v>
      </c>
      <c r="G2891">
        <v>1.7</v>
      </c>
    </row>
    <row r="2892" spans="1:7">
      <c r="A2892" s="2699"/>
      <c r="B2892" s="2756"/>
      <c r="C2892" s="2981" t="s">
        <v>1905</v>
      </c>
      <c r="D2892" s="2756"/>
      <c r="E2892" s="2754">
        <f t="shared" si="146"/>
        <v>0.21764705882352936</v>
      </c>
      <c r="F2892" s="2757">
        <v>1.33</v>
      </c>
      <c r="G2892">
        <v>1.7</v>
      </c>
    </row>
    <row r="2893" spans="1:7">
      <c r="A2893" s="2699"/>
      <c r="B2893" s="2756"/>
      <c r="C2893" s="2981" t="s">
        <v>2637</v>
      </c>
      <c r="D2893" s="2756"/>
      <c r="E2893" s="2754">
        <f t="shared" si="146"/>
        <v>6.6666666666666541E-2</v>
      </c>
      <c r="F2893" s="2757">
        <v>0.14000000000000001</v>
      </c>
      <c r="G2893">
        <v>0.15</v>
      </c>
    </row>
    <row r="2894" spans="1:7">
      <c r="A2894" s="2699"/>
      <c r="B2894" s="2756"/>
      <c r="C2894" s="2981" t="s">
        <v>1913</v>
      </c>
      <c r="D2894" s="2756"/>
      <c r="E2894" s="2754">
        <f t="shared" si="146"/>
        <v>0.20454545454545461</v>
      </c>
      <c r="F2894" s="2757">
        <v>0.7</v>
      </c>
      <c r="G2894">
        <v>0.88</v>
      </c>
    </row>
    <row r="2895" spans="1:7">
      <c r="A2895" s="2699"/>
      <c r="B2895" s="2756"/>
      <c r="C2895" s="2981" t="s">
        <v>1914</v>
      </c>
      <c r="D2895" s="2756"/>
      <c r="E2895" s="2754">
        <f t="shared" si="146"/>
        <v>0.20454545454545461</v>
      </c>
      <c r="F2895" s="2757">
        <v>0.7</v>
      </c>
      <c r="G2895">
        <v>0.88</v>
      </c>
    </row>
    <row r="2896" spans="1:7">
      <c r="A2896" s="2699"/>
      <c r="B2896" s="2756"/>
      <c r="C2896" s="2756" t="s">
        <v>3004</v>
      </c>
      <c r="D2896" s="2756"/>
      <c r="E2896" s="2754">
        <f t="shared" si="146"/>
        <v>0.15079365079365076</v>
      </c>
      <c r="F2896" s="2740">
        <v>2.14</v>
      </c>
      <c r="G2896">
        <v>2.52</v>
      </c>
    </row>
    <row r="2897" spans="1:7" ht="15.75" thickBot="1">
      <c r="A2897" s="1315"/>
      <c r="B2897" s="2758"/>
      <c r="C2897" s="2758" t="s">
        <v>3005</v>
      </c>
      <c r="D2897" s="2758"/>
      <c r="E2897" s="2759">
        <f t="shared" si="146"/>
        <v>0.15079365079365076</v>
      </c>
      <c r="F2897" s="2743">
        <v>2.14</v>
      </c>
      <c r="G2897">
        <v>2.52</v>
      </c>
    </row>
    <row r="2899" spans="1:7" ht="15.75" thickBot="1"/>
    <row r="2900" spans="1:7" ht="23.25" customHeight="1">
      <c r="A2900" s="3572" t="s">
        <v>0</v>
      </c>
      <c r="B2900" s="3557" t="s">
        <v>1</v>
      </c>
      <c r="C2900" s="3557" t="s">
        <v>2</v>
      </c>
      <c r="D2900" s="3557" t="s">
        <v>3</v>
      </c>
      <c r="E2900" s="3557" t="s">
        <v>4</v>
      </c>
      <c r="F2900" s="3559" t="s">
        <v>5</v>
      </c>
      <c r="G2900" s="429"/>
    </row>
    <row r="2901" spans="1:7" ht="15.75" thickBot="1">
      <c r="A2901" s="3871"/>
      <c r="B2901" s="3692"/>
      <c r="C2901" s="3692"/>
      <c r="D2901" s="3692"/>
      <c r="E2901" s="3692"/>
      <c r="F2901" s="3705"/>
      <c r="G2901" s="429"/>
    </row>
    <row r="2902" spans="1:7" ht="16.5" thickTop="1">
      <c r="A2902" s="2537" t="s">
        <v>3352</v>
      </c>
      <c r="B2902" s="2072" t="s">
        <v>2082</v>
      </c>
      <c r="C2902" s="1635" t="s">
        <v>1891</v>
      </c>
      <c r="D2902" s="2072"/>
      <c r="E2902" s="1553">
        <f>(G2902-F2902)/G2902</f>
        <v>0.24806201550387602</v>
      </c>
      <c r="F2902" s="2783">
        <v>0.97</v>
      </c>
      <c r="G2902" s="436">
        <v>1.29</v>
      </c>
    </row>
    <row r="2903" spans="1:7">
      <c r="A2903" s="491"/>
      <c r="B2903" s="2784"/>
      <c r="C2903" s="2992" t="s">
        <v>1892</v>
      </c>
      <c r="D2903" s="2072"/>
      <c r="E2903" s="2785">
        <f>(G2903-F2903)/G2903</f>
        <v>0.24806201550387602</v>
      </c>
      <c r="F2903" s="2783">
        <v>0.97</v>
      </c>
      <c r="G2903" s="436">
        <v>1.29</v>
      </c>
    </row>
    <row r="2904" spans="1:7" ht="15.75" thickBot="1">
      <c r="A2904" s="500"/>
      <c r="B2904" s="2786"/>
      <c r="C2904" s="2787"/>
      <c r="D2904" s="873"/>
      <c r="E2904" s="2788"/>
      <c r="F2904" s="2789"/>
      <c r="G2904" s="429"/>
    </row>
    <row r="2906" spans="1:7" ht="15.75" thickBot="1"/>
    <row r="2907" spans="1:7">
      <c r="A2907" s="3614" t="s">
        <v>0</v>
      </c>
      <c r="B2907" s="3518" t="s">
        <v>1</v>
      </c>
      <c r="C2907" s="3518" t="s">
        <v>2</v>
      </c>
      <c r="D2907" s="3518" t="s">
        <v>3</v>
      </c>
      <c r="E2907" s="3518" t="s">
        <v>4</v>
      </c>
      <c r="F2907" s="3522" t="s">
        <v>5</v>
      </c>
    </row>
    <row r="2908" spans="1:7" ht="15.75" thickBot="1">
      <c r="A2908" s="3610"/>
      <c r="B2908" s="3608"/>
      <c r="C2908" s="3608"/>
      <c r="D2908" s="3608"/>
      <c r="E2908" s="3608"/>
      <c r="F2908" s="3607"/>
    </row>
    <row r="2909" spans="1:7">
      <c r="A2909" s="1675" t="s">
        <v>3360</v>
      </c>
      <c r="B2909" s="1676" t="s">
        <v>460</v>
      </c>
      <c r="C2909" s="2609" t="s">
        <v>1891</v>
      </c>
      <c r="D2909" s="2415"/>
      <c r="E2909" s="1677">
        <f>(G2909-F2909)/G2909</f>
        <v>0.39516129032258063</v>
      </c>
      <c r="F2909" s="1793">
        <v>0.75</v>
      </c>
      <c r="G2909">
        <v>1.24</v>
      </c>
    </row>
    <row r="2910" spans="1:7" ht="15.75" thickBot="1">
      <c r="A2910" s="1599"/>
      <c r="B2910" s="2786"/>
      <c r="C2910" s="2991" t="s">
        <v>1892</v>
      </c>
      <c r="D2910" s="2803"/>
      <c r="E2910" s="2781">
        <f>(G2910-F2910)/G2910</f>
        <v>0.39516129032258063</v>
      </c>
      <c r="F2910" s="2804">
        <v>0.75</v>
      </c>
      <c r="G2910">
        <v>1.24</v>
      </c>
    </row>
    <row r="2912" spans="1:7" ht="15.75" thickBot="1"/>
    <row r="2913" spans="1:7">
      <c r="A2913" s="3572" t="s">
        <v>0</v>
      </c>
      <c r="B2913" s="3557" t="s">
        <v>1</v>
      </c>
      <c r="C2913" s="3557" t="s">
        <v>2</v>
      </c>
      <c r="D2913" s="3557" t="s">
        <v>3</v>
      </c>
      <c r="E2913" s="3557" t="s">
        <v>4</v>
      </c>
      <c r="F2913" s="3559" t="s">
        <v>5</v>
      </c>
    </row>
    <row r="2914" spans="1:7" ht="15.75" thickBot="1">
      <c r="A2914" s="3871"/>
      <c r="B2914" s="3628"/>
      <c r="C2914" s="3628"/>
      <c r="D2914" s="3628"/>
      <c r="E2914" s="3628"/>
      <c r="F2914" s="3629"/>
    </row>
    <row r="2915" spans="1:7">
      <c r="A2915" s="1675" t="s">
        <v>3361</v>
      </c>
      <c r="B2915" s="2400" t="s">
        <v>2155</v>
      </c>
      <c r="C2915" s="2607" t="s">
        <v>1891</v>
      </c>
      <c r="D2915" s="2402"/>
      <c r="E2915" s="2403">
        <f t="shared" ref="E2915:E2920" si="147">(G2915-F2915)/G2915</f>
        <v>0.4</v>
      </c>
      <c r="F2915" s="1958">
        <v>0.75</v>
      </c>
      <c r="G2915">
        <v>1.25</v>
      </c>
    </row>
    <row r="2916" spans="1:7">
      <c r="A2916" s="2702"/>
      <c r="B2916" s="2751"/>
      <c r="C2916" s="2993" t="s">
        <v>1892</v>
      </c>
      <c r="D2916" s="2753"/>
      <c r="E2916" s="2754">
        <f t="shared" si="147"/>
        <v>0.4</v>
      </c>
      <c r="F2916" s="2755">
        <v>0.75</v>
      </c>
      <c r="G2916">
        <v>1.25</v>
      </c>
    </row>
    <row r="2917" spans="1:7">
      <c r="A2917" s="2699"/>
      <c r="B2917" s="2756"/>
      <c r="C2917" s="2756" t="s">
        <v>2999</v>
      </c>
      <c r="D2917" s="2756"/>
      <c r="E2917" s="2754" t="e">
        <f t="shared" si="147"/>
        <v>#DIV/0!</v>
      </c>
      <c r="F2917" s="2757">
        <v>1.29</v>
      </c>
    </row>
    <row r="2918" spans="1:7">
      <c r="A2918" s="2699"/>
      <c r="B2918" s="2756"/>
      <c r="C2918" s="2756" t="s">
        <v>2827</v>
      </c>
      <c r="D2918" s="2756"/>
      <c r="E2918" s="2754">
        <f t="shared" si="147"/>
        <v>0.31764705882352945</v>
      </c>
      <c r="F2918" s="2757">
        <v>1.1599999999999999</v>
      </c>
      <c r="G2918" s="39">
        <v>1.7</v>
      </c>
    </row>
    <row r="2919" spans="1:7">
      <c r="A2919" s="2699"/>
      <c r="B2919" s="2756"/>
      <c r="C2919" s="2756" t="s">
        <v>2890</v>
      </c>
      <c r="D2919" s="2756"/>
      <c r="E2919" s="2754">
        <f t="shared" si="147"/>
        <v>0.31764705882352945</v>
      </c>
      <c r="F2919" s="2757">
        <v>1.1599999999999999</v>
      </c>
      <c r="G2919" s="39">
        <v>1.7</v>
      </c>
    </row>
    <row r="2920" spans="1:7" ht="15.75" thickBot="1">
      <c r="A2920" s="1315"/>
      <c r="B2920" s="2758"/>
      <c r="C2920" s="2758" t="s">
        <v>2871</v>
      </c>
      <c r="D2920" s="2758"/>
      <c r="E2920" s="2759">
        <f t="shared" si="147"/>
        <v>0.31764705882352945</v>
      </c>
      <c r="F2920" s="2764">
        <v>1.1599999999999999</v>
      </c>
      <c r="G2920" s="39">
        <v>1.7</v>
      </c>
    </row>
    <row r="2921" spans="1:7" ht="15.75" thickBot="1"/>
    <row r="2922" spans="1:7">
      <c r="A2922" s="3572" t="s">
        <v>0</v>
      </c>
      <c r="B2922" s="3557" t="s">
        <v>1</v>
      </c>
      <c r="C2922" s="3557" t="s">
        <v>2</v>
      </c>
      <c r="D2922" s="3557" t="s">
        <v>3</v>
      </c>
      <c r="E2922" s="3557" t="s">
        <v>4</v>
      </c>
      <c r="F2922" s="3559" t="s">
        <v>5</v>
      </c>
    </row>
    <row r="2923" spans="1:7" ht="15.75" thickBot="1">
      <c r="A2923" s="3871"/>
      <c r="B2923" s="3628"/>
      <c r="C2923" s="3628"/>
      <c r="D2923" s="3628"/>
      <c r="E2923" s="3628"/>
      <c r="F2923" s="3629"/>
    </row>
    <row r="2924" spans="1:7">
      <c r="A2924" s="1675" t="s">
        <v>3362</v>
      </c>
      <c r="B2924" s="2400" t="s">
        <v>2155</v>
      </c>
      <c r="C2924" s="2994" t="s">
        <v>2156</v>
      </c>
      <c r="D2924" s="2402"/>
      <c r="E2924" s="2403">
        <f t="shared" ref="E2924:E2930" si="148">(G2924-F2924)/G2924</f>
        <v>0.19491525423728814</v>
      </c>
      <c r="F2924" s="1958">
        <v>1.9</v>
      </c>
      <c r="G2924">
        <v>2.36</v>
      </c>
    </row>
    <row r="2925" spans="1:7">
      <c r="A2925" s="2702"/>
      <c r="B2925" s="2751"/>
      <c r="C2925" s="2995" t="s">
        <v>2743</v>
      </c>
      <c r="D2925" s="2753"/>
      <c r="E2925" s="2754">
        <f t="shared" si="148"/>
        <v>0.17105263157894737</v>
      </c>
      <c r="F2925" s="2755">
        <v>0.63</v>
      </c>
      <c r="G2925">
        <v>0.76</v>
      </c>
    </row>
    <row r="2926" spans="1:7">
      <c r="A2926" s="2699"/>
      <c r="B2926" s="2756"/>
      <c r="C2926" s="2981" t="s">
        <v>2351</v>
      </c>
      <c r="D2926" s="2756"/>
      <c r="E2926" s="2754">
        <f t="shared" si="148"/>
        <v>0.16666666666666666</v>
      </c>
      <c r="F2926" s="2757">
        <v>0.15</v>
      </c>
      <c r="G2926">
        <v>0.18</v>
      </c>
    </row>
    <row r="2927" spans="1:7">
      <c r="A2927" s="2699"/>
      <c r="B2927" s="2756"/>
      <c r="C2927" s="2981" t="s">
        <v>2352</v>
      </c>
      <c r="D2927" s="2756"/>
      <c r="E2927" s="2754">
        <f t="shared" si="148"/>
        <v>0.16666666666666666</v>
      </c>
      <c r="F2927" s="2757">
        <v>0.15</v>
      </c>
      <c r="G2927" s="39">
        <v>0.18</v>
      </c>
    </row>
    <row r="2928" spans="1:7">
      <c r="A2928" s="2699"/>
      <c r="B2928" s="2756"/>
      <c r="C2928" s="2981" t="s">
        <v>273</v>
      </c>
      <c r="D2928" s="2756"/>
      <c r="E2928" s="2754">
        <f t="shared" si="148"/>
        <v>0.3009708737864078</v>
      </c>
      <c r="F2928" s="2757">
        <v>0.72</v>
      </c>
      <c r="G2928" s="39">
        <v>1.03</v>
      </c>
    </row>
    <row r="2929" spans="1:7">
      <c r="A2929" s="2699"/>
      <c r="B2929" s="2756"/>
      <c r="C2929" s="2981" t="s">
        <v>177</v>
      </c>
      <c r="D2929" s="2756"/>
      <c r="E2929" s="2754">
        <f t="shared" si="148"/>
        <v>0.3009708737864078</v>
      </c>
      <c r="F2929" s="2757">
        <v>0.72</v>
      </c>
      <c r="G2929" s="39">
        <v>1.03</v>
      </c>
    </row>
    <row r="2930" spans="1:7" ht="15.75" thickBot="1">
      <c r="A2930" s="1315"/>
      <c r="B2930" s="2758"/>
      <c r="C2930" s="2982" t="s">
        <v>178</v>
      </c>
      <c r="D2930" s="2758"/>
      <c r="E2930" s="2759">
        <f t="shared" si="148"/>
        <v>0.3009708737864078</v>
      </c>
      <c r="F2930" s="2743">
        <v>0.72</v>
      </c>
      <c r="G2930" s="39">
        <v>1.03</v>
      </c>
    </row>
    <row r="2932" spans="1:7" ht="15.75" thickBot="1"/>
    <row r="2933" spans="1:7" s="2821" customFormat="1">
      <c r="A2933" s="3614" t="s">
        <v>0</v>
      </c>
      <c r="B2933" s="3518" t="s">
        <v>1</v>
      </c>
      <c r="C2933" s="3518" t="s">
        <v>2</v>
      </c>
      <c r="D2933" s="3518" t="s">
        <v>3</v>
      </c>
      <c r="E2933" s="3518" t="s">
        <v>4</v>
      </c>
      <c r="F2933" s="3522" t="s">
        <v>5</v>
      </c>
    </row>
    <row r="2934" spans="1:7" s="2821" customFormat="1" ht="15.75" thickBot="1">
      <c r="A2934" s="4040"/>
      <c r="B2934" s="4122"/>
      <c r="C2934" s="4122"/>
      <c r="D2934" s="4122"/>
      <c r="E2934" s="4122"/>
      <c r="F2934" s="4042"/>
    </row>
    <row r="2935" spans="1:7" s="2821" customFormat="1">
      <c r="A2935" s="1675" t="s">
        <v>3375</v>
      </c>
      <c r="B2935" s="1676" t="s">
        <v>2029</v>
      </c>
      <c r="C2935" s="2414" t="s">
        <v>3315</v>
      </c>
      <c r="D2935" s="2415"/>
      <c r="E2935" s="1677">
        <f>(G2935-F2935)/G2935</f>
        <v>0.19791666666666663</v>
      </c>
      <c r="F2935" s="1793">
        <v>0.77</v>
      </c>
      <c r="G2935" s="2821">
        <v>0.96</v>
      </c>
    </row>
    <row r="2936" spans="1:7" s="2821" customFormat="1" ht="15.75" thickBot="1">
      <c r="A2936" s="2836"/>
      <c r="B2936" s="2837"/>
      <c r="C2936" s="2838"/>
      <c r="D2936" s="2839"/>
      <c r="E2936" s="2840" t="e">
        <f>(G2936-F2936)/G2936</f>
        <v>#DIV/0!</v>
      </c>
      <c r="F2936" s="2841"/>
    </row>
    <row r="2938" spans="1:7" ht="15.75" thickBot="1"/>
    <row r="2939" spans="1:7" s="2885" customFormat="1">
      <c r="A2939" s="3614" t="s">
        <v>0</v>
      </c>
      <c r="B2939" s="3518" t="s">
        <v>1</v>
      </c>
      <c r="C2939" s="3518" t="s">
        <v>2</v>
      </c>
      <c r="D2939" s="3518" t="s">
        <v>3</v>
      </c>
      <c r="E2939" s="3518" t="s">
        <v>4</v>
      </c>
      <c r="F2939" s="3522" t="s">
        <v>5</v>
      </c>
    </row>
    <row r="2940" spans="1:7" s="2885" customFormat="1" ht="15.75" thickBot="1">
      <c r="A2940" s="3555"/>
      <c r="B2940" s="3550"/>
      <c r="C2940" s="3550"/>
      <c r="D2940" s="3550"/>
      <c r="E2940" s="3550"/>
      <c r="F2940" s="3588"/>
    </row>
    <row r="2941" spans="1:7" s="2885" customFormat="1" ht="15.75">
      <c r="A2941" s="1675" t="s">
        <v>3387</v>
      </c>
      <c r="B2941" s="1163" t="s">
        <v>2183</v>
      </c>
      <c r="C2941" s="2609" t="s">
        <v>2268</v>
      </c>
      <c r="D2941" s="2562"/>
      <c r="E2941" s="2626">
        <f t="shared" ref="E2941:E2950" si="149">(G2941-F2941)/G2941</f>
        <v>0.2023809523809523</v>
      </c>
      <c r="F2941" s="2114">
        <v>1.34</v>
      </c>
      <c r="G2941" s="2885">
        <v>1.68</v>
      </c>
    </row>
    <row r="2942" spans="1:7" s="2885" customFormat="1" ht="15.75">
      <c r="A2942" s="2904"/>
      <c r="B2942" s="2905"/>
      <c r="C2942" s="3054" t="s">
        <v>2387</v>
      </c>
      <c r="D2942" s="2907"/>
      <c r="E2942" s="2908">
        <f t="shared" si="149"/>
        <v>0.23076923076923075</v>
      </c>
      <c r="F2942" s="2909">
        <v>1.5</v>
      </c>
      <c r="G2942" s="2885">
        <v>1.95</v>
      </c>
    </row>
    <row r="2943" spans="1:7" s="2885" customFormat="1" ht="15.75">
      <c r="A2943" s="2904"/>
      <c r="B2943" s="2905"/>
      <c r="C2943" s="3054" t="s">
        <v>2077</v>
      </c>
      <c r="D2943" s="2907"/>
      <c r="E2943" s="2908">
        <f t="shared" si="149"/>
        <v>0.20000000000000004</v>
      </c>
      <c r="F2943" s="2909">
        <v>0.36</v>
      </c>
      <c r="G2943" s="2885">
        <v>0.45</v>
      </c>
    </row>
    <row r="2944" spans="1:7" s="2885" customFormat="1" ht="15.75">
      <c r="A2944" s="2910"/>
      <c r="B2944" s="2911"/>
      <c r="C2944" s="2911" t="s">
        <v>3005</v>
      </c>
      <c r="D2944" s="2911"/>
      <c r="E2944" s="2908">
        <f t="shared" si="149"/>
        <v>9.876543209876551E-2</v>
      </c>
      <c r="F2944" s="2909">
        <v>2.19</v>
      </c>
      <c r="G2944" s="39">
        <v>2.4300000000000002</v>
      </c>
    </row>
    <row r="2945" spans="1:7" s="2885" customFormat="1">
      <c r="A2945" s="2910"/>
      <c r="B2945" s="2911"/>
      <c r="C2945" s="2911" t="s">
        <v>3388</v>
      </c>
      <c r="D2945" s="2911"/>
      <c r="E2945" s="2912">
        <f t="shared" si="149"/>
        <v>0.24999999999999994</v>
      </c>
      <c r="F2945" s="2913">
        <v>1.74</v>
      </c>
      <c r="G2945" s="2885">
        <v>2.3199999999999998</v>
      </c>
    </row>
    <row r="2946" spans="1:7" s="2885" customFormat="1">
      <c r="A2946" s="2910"/>
      <c r="B2946" s="2911"/>
      <c r="C2946" s="2911" t="s">
        <v>3389</v>
      </c>
      <c r="D2946" s="2911"/>
      <c r="E2946" s="2912">
        <f t="shared" si="149"/>
        <v>0.24999999999999994</v>
      </c>
      <c r="F2946" s="2913">
        <v>1.74</v>
      </c>
      <c r="G2946" s="2885">
        <v>2.3199999999999998</v>
      </c>
    </row>
    <row r="2947" spans="1:7" s="2885" customFormat="1">
      <c r="A2947" s="2910"/>
      <c r="B2947" s="2911"/>
      <c r="C2947" s="2911" t="s">
        <v>3390</v>
      </c>
      <c r="D2947" s="2911"/>
      <c r="E2947" s="2912">
        <f t="shared" si="149"/>
        <v>0.24825174825174826</v>
      </c>
      <c r="F2947" s="2913">
        <v>2.15</v>
      </c>
      <c r="G2947" s="2885">
        <v>2.86</v>
      </c>
    </row>
    <row r="2948" spans="1:7" s="2885" customFormat="1">
      <c r="A2948" s="2910"/>
      <c r="B2948" s="2911"/>
      <c r="C2948" s="2911" t="s">
        <v>3391</v>
      </c>
      <c r="D2948" s="2911"/>
      <c r="E2948" s="2912">
        <f t="shared" si="149"/>
        <v>0.25161290322580654</v>
      </c>
      <c r="F2948" s="2913">
        <v>1.1599999999999999</v>
      </c>
      <c r="G2948" s="2885">
        <v>1.55</v>
      </c>
    </row>
    <row r="2949" spans="1:7" s="2885" customFormat="1">
      <c r="A2949" s="2910"/>
      <c r="B2949" s="2911"/>
      <c r="C2949" s="2911" t="s">
        <v>3392</v>
      </c>
      <c r="D2949" s="2911"/>
      <c r="E2949" s="2912">
        <f t="shared" si="149"/>
        <v>0.25000000000000006</v>
      </c>
      <c r="F2949" s="2913">
        <v>2.2799999999999998</v>
      </c>
      <c r="G2949" s="2885">
        <v>3.04</v>
      </c>
    </row>
    <row r="2950" spans="1:7" s="2885" customFormat="1" ht="15.75" thickBot="1">
      <c r="A2950" s="2914"/>
      <c r="B2950" s="2915"/>
      <c r="C2950" s="2915" t="s">
        <v>3393</v>
      </c>
      <c r="D2950" s="2915"/>
      <c r="E2950" s="2916">
        <f t="shared" si="149"/>
        <v>0.25000000000000006</v>
      </c>
      <c r="F2950" s="2917">
        <v>2.2799999999999998</v>
      </c>
      <c r="G2950" s="2885">
        <v>3.04</v>
      </c>
    </row>
    <row r="2954" spans="1:7" ht="15.75" thickBot="1"/>
    <row r="2955" spans="1:7" s="2885" customFormat="1">
      <c r="A2955" s="3614" t="s">
        <v>0</v>
      </c>
      <c r="B2955" s="3518" t="s">
        <v>1</v>
      </c>
      <c r="C2955" s="3518" t="s">
        <v>2</v>
      </c>
      <c r="D2955" s="3518" t="s">
        <v>3</v>
      </c>
      <c r="E2955" s="3518" t="s">
        <v>4</v>
      </c>
      <c r="F2955" s="3522" t="s">
        <v>5</v>
      </c>
    </row>
    <row r="2956" spans="1:7" s="2885" customFormat="1">
      <c r="A2956" s="3555"/>
      <c r="B2956" s="3550"/>
      <c r="C2956" s="3550"/>
      <c r="D2956" s="3550"/>
      <c r="E2956" s="3550"/>
      <c r="F2956" s="3588"/>
    </row>
    <row r="2957" spans="1:7" s="2885" customFormat="1">
      <c r="A2957" s="2940" t="s">
        <v>3396</v>
      </c>
      <c r="B2957" s="2895" t="s">
        <v>460</v>
      </c>
      <c r="C2957" s="2906" t="s">
        <v>1376</v>
      </c>
      <c r="D2957" s="2941"/>
      <c r="E2957" s="2896">
        <f>(G2957-F2957)/G2957</f>
        <v>0.323943661971831</v>
      </c>
      <c r="F2957" s="2942">
        <v>4.8</v>
      </c>
      <c r="G2957" s="2885">
        <v>7.1</v>
      </c>
    </row>
    <row r="2958" spans="1:7" s="2885" customFormat="1">
      <c r="A2958" s="2940"/>
      <c r="B2958" s="2895"/>
      <c r="C2958" s="2906" t="s">
        <v>860</v>
      </c>
      <c r="D2958" s="2941"/>
      <c r="E2958" s="2896">
        <f>(G2958-F2958)/G2958</f>
        <v>0.20114942528735638</v>
      </c>
      <c r="F2958" s="2942">
        <v>1.39</v>
      </c>
      <c r="G2958" s="2885">
        <v>1.74</v>
      </c>
    </row>
    <row r="2959" spans="1:7" s="2885" customFormat="1">
      <c r="A2959" s="2910"/>
      <c r="B2959" s="2911"/>
      <c r="C2959" s="2911" t="s">
        <v>675</v>
      </c>
      <c r="D2959" s="2911"/>
      <c r="E2959" s="2896">
        <f>(G2959-F2959)/G2959</f>
        <v>0.20114942528735638</v>
      </c>
      <c r="F2959" s="2913">
        <v>1.39</v>
      </c>
      <c r="G2959" s="2885">
        <v>1.74</v>
      </c>
    </row>
    <row r="2960" spans="1:7" s="2885" customFormat="1" ht="15.75" thickBot="1">
      <c r="A2960" s="2914"/>
      <c r="B2960" s="2915"/>
      <c r="C2960" s="3044" t="s">
        <v>623</v>
      </c>
      <c r="D2960" s="2915"/>
      <c r="E2960" s="2890">
        <f>(G2960-F2960)/G2960</f>
        <v>0.20095693779904303</v>
      </c>
      <c r="F2960" s="2917">
        <v>1.67</v>
      </c>
      <c r="G2960" s="2885">
        <v>2.09</v>
      </c>
    </row>
    <row r="2962" spans="1:7" ht="15.75" thickBot="1"/>
    <row r="2963" spans="1:7" s="2885" customFormat="1">
      <c r="A2963" s="3572" t="s">
        <v>0</v>
      </c>
      <c r="B2963" s="3557" t="s">
        <v>1</v>
      </c>
      <c r="C2963" s="3557" t="s">
        <v>2</v>
      </c>
      <c r="D2963" s="3557" t="s">
        <v>3</v>
      </c>
      <c r="E2963" s="3557" t="s">
        <v>4</v>
      </c>
      <c r="F2963" s="3559" t="s">
        <v>5</v>
      </c>
    </row>
    <row r="2964" spans="1:7" s="2885" customFormat="1" ht="15.75" thickBot="1">
      <c r="A2964" s="3905"/>
      <c r="B2964" s="3906"/>
      <c r="C2964" s="3906"/>
      <c r="D2964" s="3906"/>
      <c r="E2964" s="3906"/>
      <c r="F2964" s="3917"/>
    </row>
    <row r="2965" spans="1:7" s="2885" customFormat="1">
      <c r="A2965" s="1675" t="s">
        <v>3436</v>
      </c>
      <c r="B2965" s="2400" t="s">
        <v>2155</v>
      </c>
      <c r="C2965" s="2401" t="s">
        <v>3437</v>
      </c>
      <c r="D2965" s="2402"/>
      <c r="E2965" s="2403">
        <f t="shared" ref="E2965:E2982" si="150">(G2965-F2965)/G2965</f>
        <v>0.15028901734104047</v>
      </c>
      <c r="F2965" s="1958">
        <v>1.47</v>
      </c>
      <c r="G2965" s="2885">
        <v>1.73</v>
      </c>
    </row>
    <row r="2966" spans="1:7" s="2885" customFormat="1">
      <c r="A2966" s="2940"/>
      <c r="B2966" s="2965"/>
      <c r="C2966" s="2966" t="s">
        <v>3438</v>
      </c>
      <c r="D2966" s="2967"/>
      <c r="E2966" s="2968">
        <f t="shared" si="150"/>
        <v>0.15028901734104047</v>
      </c>
      <c r="F2966" s="2969">
        <v>1.47</v>
      </c>
      <c r="G2966" s="2885">
        <v>1.73</v>
      </c>
    </row>
    <row r="2967" spans="1:7" s="2885" customFormat="1">
      <c r="A2967" s="2910"/>
      <c r="B2967" s="2911"/>
      <c r="C2967" s="2911" t="s">
        <v>3439</v>
      </c>
      <c r="D2967" s="2911"/>
      <c r="E2967" s="2968">
        <f t="shared" si="150"/>
        <v>0.15028901734104047</v>
      </c>
      <c r="F2967" s="2969">
        <v>1.47</v>
      </c>
      <c r="G2967" s="2885">
        <v>1.73</v>
      </c>
    </row>
    <row r="2968" spans="1:7" s="2885" customFormat="1">
      <c r="A2968" s="2910"/>
      <c r="B2968" s="2911"/>
      <c r="C2968" s="2911" t="s">
        <v>3440</v>
      </c>
      <c r="D2968" s="2911"/>
      <c r="E2968" s="2968">
        <f t="shared" si="150"/>
        <v>0.15028901734104047</v>
      </c>
      <c r="F2968" s="2969">
        <v>1.47</v>
      </c>
      <c r="G2968" s="2885">
        <v>1.73</v>
      </c>
    </row>
    <row r="2969" spans="1:7" s="2885" customFormat="1">
      <c r="A2969" s="2910"/>
      <c r="B2969" s="2911"/>
      <c r="C2969" s="2911" t="s">
        <v>3441</v>
      </c>
      <c r="D2969" s="2911"/>
      <c r="E2969" s="2968">
        <f t="shared" si="150"/>
        <v>0.15028901734104047</v>
      </c>
      <c r="F2969" s="2969">
        <v>1.47</v>
      </c>
      <c r="G2969" s="2885">
        <v>1.73</v>
      </c>
    </row>
    <row r="2970" spans="1:7" s="2885" customFormat="1">
      <c r="A2970" s="2910"/>
      <c r="B2970" s="2911"/>
      <c r="C2970" s="2911" t="s">
        <v>3442</v>
      </c>
      <c r="D2970" s="2911"/>
      <c r="E2970" s="2968">
        <f t="shared" si="150"/>
        <v>0.15028901734104047</v>
      </c>
      <c r="F2970" s="2969">
        <v>1.47</v>
      </c>
      <c r="G2970" s="2885">
        <v>1.73</v>
      </c>
    </row>
    <row r="2971" spans="1:7" s="2885" customFormat="1">
      <c r="A2971" s="2910"/>
      <c r="B2971" s="2911"/>
      <c r="C2971" s="2911" t="s">
        <v>3443</v>
      </c>
      <c r="D2971" s="2911"/>
      <c r="E2971" s="2968">
        <f t="shared" si="150"/>
        <v>0.15028901734104047</v>
      </c>
      <c r="F2971" s="2969">
        <v>1.47</v>
      </c>
      <c r="G2971" s="2885">
        <v>1.73</v>
      </c>
    </row>
    <row r="2972" spans="1:7" s="2885" customFormat="1">
      <c r="A2972" s="2910"/>
      <c r="B2972" s="2911"/>
      <c r="C2972" s="2911" t="s">
        <v>3444</v>
      </c>
      <c r="D2972" s="2911"/>
      <c r="E2972" s="2968">
        <f t="shared" si="150"/>
        <v>0.15028901734104047</v>
      </c>
      <c r="F2972" s="2969">
        <v>1.47</v>
      </c>
      <c r="G2972" s="2885">
        <v>1.73</v>
      </c>
    </row>
    <row r="2973" spans="1:7" s="2885" customFormat="1">
      <c r="A2973" s="2910"/>
      <c r="B2973" s="2911"/>
      <c r="C2973" s="2911" t="s">
        <v>3445</v>
      </c>
      <c r="D2973" s="2911"/>
      <c r="E2973" s="2968">
        <f t="shared" si="150"/>
        <v>0.15028901734104047</v>
      </c>
      <c r="F2973" s="2969">
        <v>1.47</v>
      </c>
      <c r="G2973" s="2885">
        <v>1.73</v>
      </c>
    </row>
    <row r="2974" spans="1:7" s="2885" customFormat="1">
      <c r="A2974" s="2910"/>
      <c r="B2974" s="2911"/>
      <c r="C2974" s="2911" t="s">
        <v>3446</v>
      </c>
      <c r="D2974" s="2911"/>
      <c r="E2974" s="2968">
        <f t="shared" si="150"/>
        <v>0.15028901734104047</v>
      </c>
      <c r="F2974" s="2969">
        <v>1.47</v>
      </c>
      <c r="G2974" s="2885">
        <v>1.73</v>
      </c>
    </row>
    <row r="2975" spans="1:7" s="2885" customFormat="1">
      <c r="A2975" s="2910"/>
      <c r="B2975" s="2911"/>
      <c r="C2975" s="2911" t="s">
        <v>3447</v>
      </c>
      <c r="D2975" s="2911"/>
      <c r="E2975" s="2968">
        <f t="shared" si="150"/>
        <v>0.15028901734104047</v>
      </c>
      <c r="F2975" s="2969">
        <v>1.47</v>
      </c>
      <c r="G2975" s="2885">
        <v>1.73</v>
      </c>
    </row>
    <row r="2976" spans="1:7" s="2885" customFormat="1">
      <c r="A2976" s="2910"/>
      <c r="B2976" s="2911"/>
      <c r="C2976" s="2911" t="s">
        <v>3448</v>
      </c>
      <c r="D2976" s="2911"/>
      <c r="E2976" s="2968">
        <f t="shared" si="150"/>
        <v>0.15028901734104047</v>
      </c>
      <c r="F2976" s="2969">
        <v>1.47</v>
      </c>
      <c r="G2976" s="2885">
        <v>1.73</v>
      </c>
    </row>
    <row r="2977" spans="1:7" s="2885" customFormat="1">
      <c r="A2977" s="2910"/>
      <c r="B2977" s="2911"/>
      <c r="C2977" s="2911" t="s">
        <v>3449</v>
      </c>
      <c r="D2977" s="2911"/>
      <c r="E2977" s="2968">
        <f t="shared" si="150"/>
        <v>0.15028901734104047</v>
      </c>
      <c r="F2977" s="2969">
        <v>1.47</v>
      </c>
      <c r="G2977" s="2885">
        <v>1.73</v>
      </c>
    </row>
    <row r="2978" spans="1:7" s="2885" customFormat="1">
      <c r="A2978" s="2910"/>
      <c r="B2978" s="2911"/>
      <c r="C2978" s="2911" t="s">
        <v>3450</v>
      </c>
      <c r="D2978" s="2911"/>
      <c r="E2978" s="2968">
        <f t="shared" si="150"/>
        <v>0.15028901734104047</v>
      </c>
      <c r="F2978" s="2969">
        <v>1.47</v>
      </c>
      <c r="G2978" s="2885">
        <v>1.73</v>
      </c>
    </row>
    <row r="2979" spans="1:7" s="2885" customFormat="1">
      <c r="A2979" s="2910"/>
      <c r="B2979" s="2911"/>
      <c r="C2979" s="2911" t="s">
        <v>3451</v>
      </c>
      <c r="D2979" s="2911"/>
      <c r="E2979" s="2968">
        <f t="shared" si="150"/>
        <v>0.15028901734104047</v>
      </c>
      <c r="F2979" s="2969">
        <v>1.47</v>
      </c>
      <c r="G2979" s="2885">
        <v>1.73</v>
      </c>
    </row>
    <row r="2980" spans="1:7" s="2885" customFormat="1">
      <c r="A2980" s="2910"/>
      <c r="B2980" s="2911"/>
      <c r="C2980" s="2911" t="s">
        <v>3452</v>
      </c>
      <c r="D2980" s="2911"/>
      <c r="E2980" s="2968">
        <f t="shared" si="150"/>
        <v>0.15028901734104047</v>
      </c>
      <c r="F2980" s="2969">
        <v>1.47</v>
      </c>
      <c r="G2980" s="2885">
        <v>1.73</v>
      </c>
    </row>
    <row r="2981" spans="1:7" s="2885" customFormat="1">
      <c r="A2981" s="2910"/>
      <c r="B2981" s="2911"/>
      <c r="C2981" s="2911" t="s">
        <v>3453</v>
      </c>
      <c r="D2981" s="2911"/>
      <c r="E2981" s="2968">
        <f t="shared" si="150"/>
        <v>0.15028901734104047</v>
      </c>
      <c r="F2981" s="2969">
        <v>1.47</v>
      </c>
      <c r="G2981" s="2885">
        <v>1.73</v>
      </c>
    </row>
    <row r="2982" spans="1:7" s="2885" customFormat="1" ht="15.75" thickBot="1">
      <c r="A2982" s="2914"/>
      <c r="B2982" s="2915"/>
      <c r="C2982" s="2915" t="s">
        <v>3454</v>
      </c>
      <c r="D2982" s="2915"/>
      <c r="E2982" s="2970">
        <f t="shared" si="150"/>
        <v>0.15028901734104047</v>
      </c>
      <c r="F2982" s="2971">
        <v>1.47</v>
      </c>
      <c r="G2982" s="2885">
        <v>1.73</v>
      </c>
    </row>
    <row r="2984" spans="1:7" ht="15.75" thickBot="1"/>
    <row r="2985" spans="1:7" s="2885" customFormat="1">
      <c r="A2985" s="3572" t="s">
        <v>0</v>
      </c>
      <c r="B2985" s="3557" t="s">
        <v>1</v>
      </c>
      <c r="C2985" s="3557" t="s">
        <v>2</v>
      </c>
      <c r="D2985" s="3557" t="s">
        <v>3</v>
      </c>
      <c r="E2985" s="3557" t="s">
        <v>4</v>
      </c>
      <c r="F2985" s="3559" t="s">
        <v>5</v>
      </c>
      <c r="G2985" s="429"/>
    </row>
    <row r="2986" spans="1:7" s="2885" customFormat="1" ht="15.75" thickBot="1">
      <c r="A2986" s="3905"/>
      <c r="B2986" s="3692"/>
      <c r="C2986" s="3692"/>
      <c r="D2986" s="3692"/>
      <c r="E2986" s="3692"/>
      <c r="F2986" s="3705"/>
      <c r="G2986" s="429"/>
    </row>
    <row r="2987" spans="1:7" s="2885" customFormat="1" ht="16.5" thickTop="1">
      <c r="A2987" s="2984" t="s">
        <v>3466</v>
      </c>
      <c r="B2987" s="2072" t="s">
        <v>2082</v>
      </c>
      <c r="C2987" s="2782" t="s">
        <v>2792</v>
      </c>
      <c r="D2987" s="2072"/>
      <c r="E2987" s="1553">
        <f>(G2987-F2987)/G2987</f>
        <v>0.25850340136054417</v>
      </c>
      <c r="F2987" s="2985">
        <v>1.0900000000000001</v>
      </c>
      <c r="G2987" s="436">
        <v>1.47</v>
      </c>
    </row>
    <row r="2988" spans="1:7" s="2885" customFormat="1">
      <c r="A2988" s="491"/>
      <c r="B2988" s="2895"/>
      <c r="C2988" s="2986" t="s">
        <v>905</v>
      </c>
      <c r="D2988" s="2072"/>
      <c r="E2988" s="2912">
        <f>(G2988-F2988)/G2988</f>
        <v>0.22222222222222229</v>
      </c>
      <c r="F2988" s="2985">
        <v>0.7</v>
      </c>
      <c r="G2988" s="436">
        <v>0.9</v>
      </c>
    </row>
    <row r="2989" spans="1:7" s="2885" customFormat="1" ht="15.75" thickBot="1">
      <c r="A2989" s="500"/>
      <c r="B2989" s="2987"/>
      <c r="C2989" s="3045" t="s">
        <v>1772</v>
      </c>
      <c r="D2989" s="873"/>
      <c r="E2989" s="2916">
        <f>(G2989-F2989)/G2989</f>
        <v>0.30909090909090914</v>
      </c>
      <c r="F2989" s="2989">
        <v>1.52</v>
      </c>
      <c r="G2989" s="429">
        <v>2.2000000000000002</v>
      </c>
    </row>
    <row r="2991" spans="1:7" ht="15.75" thickBot="1"/>
    <row r="2992" spans="1:7">
      <c r="A2992" s="3572" t="s">
        <v>0</v>
      </c>
      <c r="B2992" s="3557" t="s">
        <v>1</v>
      </c>
      <c r="C2992" s="3557" t="s">
        <v>2</v>
      </c>
      <c r="D2992" s="3557" t="s">
        <v>3</v>
      </c>
      <c r="E2992" s="3557" t="s">
        <v>4</v>
      </c>
      <c r="F2992" s="3559" t="s">
        <v>5</v>
      </c>
      <c r="G2992" s="2885"/>
    </row>
    <row r="2993" spans="1:7">
      <c r="A2993" s="3573"/>
      <c r="B2993" s="3558"/>
      <c r="C2993" s="3558"/>
      <c r="D2993" s="3558"/>
      <c r="E2993" s="3558"/>
      <c r="F2993" s="3560"/>
      <c r="G2993" s="2885"/>
    </row>
    <row r="2994" spans="1:7">
      <c r="A2994" s="2940" t="s">
        <v>3494</v>
      </c>
      <c r="B2994" s="2965" t="s">
        <v>2155</v>
      </c>
      <c r="C2994" s="2966" t="s">
        <v>1058</v>
      </c>
      <c r="D2994" s="2967"/>
      <c r="E2994" s="2968">
        <f>(G2994-F2994)/G2994</f>
        <v>0.35087719298245607</v>
      </c>
      <c r="F2994" s="2969">
        <v>1.48</v>
      </c>
      <c r="G2994" s="2885">
        <v>2.2799999999999998</v>
      </c>
    </row>
    <row r="2995" spans="1:7">
      <c r="A2995" s="2940"/>
      <c r="B2995" s="2965"/>
      <c r="C2995" s="2966" t="s">
        <v>858</v>
      </c>
      <c r="D2995" s="2967"/>
      <c r="E2995" s="2968">
        <f>(G2995-F2995)/G2995</f>
        <v>0.34905660377358499</v>
      </c>
      <c r="F2995" s="2969">
        <v>0.69</v>
      </c>
      <c r="G2995" s="2885">
        <v>1.06</v>
      </c>
    </row>
    <row r="2996" spans="1:7">
      <c r="A2996" s="2910"/>
      <c r="B2996" s="2911"/>
      <c r="C2996" s="2911" t="s">
        <v>730</v>
      </c>
      <c r="D2996" s="2911"/>
      <c r="E2996" s="2968">
        <f>(G2996-F2996)/G2996</f>
        <v>0.35483870967741943</v>
      </c>
      <c r="F2996" s="2969">
        <v>0.6</v>
      </c>
      <c r="G2996" s="2885">
        <v>0.93</v>
      </c>
    </row>
    <row r="2997" spans="1:7" ht="15.75" thickBot="1">
      <c r="A2997" s="2914"/>
      <c r="B2997" s="2915"/>
      <c r="C2997" s="2915" t="s">
        <v>2560</v>
      </c>
      <c r="D2997" s="2915"/>
      <c r="E2997" s="2970">
        <f>(G2997-F2997)/G2997</f>
        <v>0.34983498349834979</v>
      </c>
      <c r="F2997" s="2971">
        <v>1.97</v>
      </c>
      <c r="G2997" s="2885">
        <v>3.03</v>
      </c>
    </row>
    <row r="2999" spans="1:7" ht="15.75" thickBot="1"/>
    <row r="3000" spans="1:7" s="2885" customFormat="1">
      <c r="A3000" s="3572" t="s">
        <v>0</v>
      </c>
      <c r="B3000" s="3557" t="s">
        <v>1</v>
      </c>
      <c r="C3000" s="3557" t="s">
        <v>2</v>
      </c>
      <c r="D3000" s="3557" t="s">
        <v>3</v>
      </c>
      <c r="E3000" s="3557" t="s">
        <v>4</v>
      </c>
      <c r="F3000" s="3559" t="s">
        <v>5</v>
      </c>
    </row>
    <row r="3001" spans="1:7" s="2885" customFormat="1">
      <c r="A3001" s="3573"/>
      <c r="B3001" s="3558"/>
      <c r="C3001" s="3558"/>
      <c r="D3001" s="3558"/>
      <c r="E3001" s="3558"/>
      <c r="F3001" s="3560"/>
    </row>
    <row r="3002" spans="1:7" s="2885" customFormat="1">
      <c r="A3002" s="2940" t="s">
        <v>3483</v>
      </c>
      <c r="B3002" s="2965" t="s">
        <v>2155</v>
      </c>
      <c r="C3002" s="2966" t="s">
        <v>1614</v>
      </c>
      <c r="D3002" s="2967"/>
      <c r="E3002" s="2968" t="e">
        <f>(G3002-F3002)/G3002</f>
        <v>#VALUE!</v>
      </c>
      <c r="F3002" s="2969">
        <v>0.94</v>
      </c>
      <c r="G3002" s="2885" t="s">
        <v>1903</v>
      </c>
    </row>
    <row r="3003" spans="1:7" s="2885" customFormat="1" ht="15.75" thickBot="1">
      <c r="A3003" s="2914"/>
      <c r="B3003" s="2915"/>
      <c r="C3003" s="2915" t="s">
        <v>2792</v>
      </c>
      <c r="D3003" s="2915"/>
      <c r="E3003" s="2970" t="e">
        <f>(G3003-F3003)/G3003</f>
        <v>#VALUE!</v>
      </c>
      <c r="F3003" s="2971">
        <v>0.94</v>
      </c>
      <c r="G3003" s="2885" t="s">
        <v>1903</v>
      </c>
    </row>
    <row r="3005" spans="1:7" ht="15.75" thickBot="1"/>
    <row r="3006" spans="1:7" s="2885" customFormat="1">
      <c r="A3006" s="3572" t="s">
        <v>0</v>
      </c>
      <c r="B3006" s="3557" t="s">
        <v>1</v>
      </c>
      <c r="C3006" s="3557" t="s">
        <v>2</v>
      </c>
      <c r="D3006" s="3557" t="s">
        <v>3</v>
      </c>
      <c r="E3006" s="3557" t="s">
        <v>4</v>
      </c>
      <c r="F3006" s="3559" t="s">
        <v>5</v>
      </c>
    </row>
    <row r="3007" spans="1:7" s="2885" customFormat="1" ht="15.75" thickBot="1">
      <c r="A3007" s="3905"/>
      <c r="B3007" s="3906"/>
      <c r="C3007" s="3906"/>
      <c r="D3007" s="3906"/>
      <c r="E3007" s="3906"/>
      <c r="F3007" s="3917"/>
    </row>
    <row r="3008" spans="1:7" s="2885" customFormat="1">
      <c r="A3008" s="1675" t="s">
        <v>3486</v>
      </c>
      <c r="B3008" s="2400" t="s">
        <v>2196</v>
      </c>
      <c r="C3008" s="2401" t="s">
        <v>3487</v>
      </c>
      <c r="D3008" s="2402"/>
      <c r="E3008" s="2403">
        <f>(G3008-F3008)/G3008</f>
        <v>0.20129870129870134</v>
      </c>
      <c r="F3008" s="1958">
        <v>2.46</v>
      </c>
      <c r="G3008" s="2885">
        <v>3.08</v>
      </c>
    </row>
    <row r="3009" spans="1:7" s="2885" customFormat="1">
      <c r="A3009" s="2910"/>
      <c r="B3009" s="2911"/>
      <c r="C3009" s="2911" t="s">
        <v>3488</v>
      </c>
      <c r="D3009" s="2911"/>
      <c r="E3009" s="2968">
        <f>(G3009-F3009)/G3009</f>
        <v>0.20129870129870134</v>
      </c>
      <c r="F3009" s="2969">
        <v>2.46</v>
      </c>
      <c r="G3009" s="2885">
        <v>3.08</v>
      </c>
    </row>
    <row r="3010" spans="1:7" s="2885" customFormat="1">
      <c r="A3010" s="2910"/>
      <c r="B3010" s="2911"/>
      <c r="C3010" s="2911" t="s">
        <v>3489</v>
      </c>
      <c r="D3010" s="2911"/>
      <c r="E3010" s="2968">
        <f>(G3010-F3010)/G3010</f>
        <v>0.20129870129870134</v>
      </c>
      <c r="F3010" s="2969">
        <v>2.46</v>
      </c>
      <c r="G3010" s="2885">
        <v>3.08</v>
      </c>
    </row>
    <row r="3011" spans="1:7" s="2885" customFormat="1" ht="15.75" thickBot="1">
      <c r="A3011" s="2914"/>
      <c r="B3011" s="2915"/>
      <c r="C3011" s="2915" t="s">
        <v>3490</v>
      </c>
      <c r="D3011" s="2915"/>
      <c r="E3011" s="2970">
        <f>(G3011-F3011)/G3011</f>
        <v>0.20129870129870134</v>
      </c>
      <c r="F3011" s="2971">
        <v>2.46</v>
      </c>
      <c r="G3011" s="2885">
        <v>3.08</v>
      </c>
    </row>
    <row r="3012" spans="1:7" s="2885" customFormat="1" ht="15.75" thickBot="1"/>
    <row r="3013" spans="1:7" s="2885" customFormat="1">
      <c r="A3013" s="3572" t="s">
        <v>0</v>
      </c>
      <c r="B3013" s="3557" t="s">
        <v>1</v>
      </c>
      <c r="C3013" s="3557" t="s">
        <v>2</v>
      </c>
      <c r="D3013" s="3557" t="s">
        <v>3</v>
      </c>
      <c r="E3013" s="3557" t="s">
        <v>4</v>
      </c>
      <c r="F3013" s="3559" t="s">
        <v>5</v>
      </c>
    </row>
    <row r="3014" spans="1:7" s="2885" customFormat="1" ht="15.75" thickBot="1">
      <c r="A3014" s="3905"/>
      <c r="B3014" s="3906"/>
      <c r="C3014" s="3906"/>
      <c r="D3014" s="3906"/>
      <c r="E3014" s="3906"/>
      <c r="F3014" s="3917"/>
    </row>
    <row r="3015" spans="1:7" s="2885" customFormat="1">
      <c r="A3015" s="1675" t="s">
        <v>3491</v>
      </c>
      <c r="B3015" s="2400" t="s">
        <v>2196</v>
      </c>
      <c r="C3015" s="2401" t="s">
        <v>3388</v>
      </c>
      <c r="D3015" s="2402"/>
      <c r="E3015" s="2403">
        <f>(G3015-F3015)/G3015</f>
        <v>0.19827586206896541</v>
      </c>
      <c r="F3015" s="1958">
        <v>1.86</v>
      </c>
      <c r="G3015" s="2885">
        <v>2.3199999999999998</v>
      </c>
    </row>
    <row r="3016" spans="1:7" s="2885" customFormat="1">
      <c r="A3016" s="2910"/>
      <c r="B3016" s="2911"/>
      <c r="C3016" s="2911" t="s">
        <v>3389</v>
      </c>
      <c r="D3016" s="2911"/>
      <c r="E3016" s="2968">
        <f>(G3016-F3016)/G3016</f>
        <v>0.19827586206896541</v>
      </c>
      <c r="F3016" s="2969">
        <v>1.86</v>
      </c>
      <c r="G3016" s="2885">
        <v>2.3199999999999998</v>
      </c>
    </row>
    <row r="3017" spans="1:7" s="2885" customFormat="1">
      <c r="A3017" s="2910"/>
      <c r="B3017" s="2911"/>
      <c r="C3017" s="2911" t="s">
        <v>3492</v>
      </c>
      <c r="D3017" s="2911"/>
      <c r="E3017" s="2968">
        <f>(G3017-F3017)/G3017</f>
        <v>0.24800000000000005</v>
      </c>
      <c r="F3017" s="2969">
        <v>0.94</v>
      </c>
      <c r="G3017" s="2885">
        <v>1.25</v>
      </c>
    </row>
    <row r="3018" spans="1:7" s="2885" customFormat="1" ht="15.75" thickBot="1">
      <c r="A3018" s="2914"/>
      <c r="B3018" s="2915"/>
      <c r="C3018" s="2915"/>
      <c r="D3018" s="2915"/>
      <c r="E3018" s="2970" t="e">
        <f>(G3018-F3018)/G3018</f>
        <v>#DIV/0!</v>
      </c>
      <c r="F3018" s="2971"/>
    </row>
    <row r="3019" spans="1:7" s="2885" customFormat="1" ht="15.75" thickBot="1"/>
    <row r="3020" spans="1:7" s="2885" customFormat="1">
      <c r="A3020" s="3572" t="s">
        <v>0</v>
      </c>
      <c r="B3020" s="3557" t="s">
        <v>1</v>
      </c>
      <c r="C3020" s="3557" t="s">
        <v>2</v>
      </c>
      <c r="D3020" s="3557" t="s">
        <v>3</v>
      </c>
      <c r="E3020" s="3557" t="s">
        <v>4</v>
      </c>
      <c r="F3020" s="3559" t="s">
        <v>5</v>
      </c>
    </row>
    <row r="3021" spans="1:7" s="2885" customFormat="1" ht="15.75" thickBot="1">
      <c r="A3021" s="3905"/>
      <c r="B3021" s="3906"/>
      <c r="C3021" s="3906"/>
      <c r="D3021" s="3906"/>
      <c r="E3021" s="3906"/>
      <c r="F3021" s="3917"/>
    </row>
    <row r="3022" spans="1:7" s="2885" customFormat="1">
      <c r="A3022" s="1675" t="s">
        <v>3493</v>
      </c>
      <c r="B3022" s="2400" t="s">
        <v>2155</v>
      </c>
      <c r="C3022" s="2994" t="s">
        <v>2021</v>
      </c>
      <c r="D3022" s="2402"/>
      <c r="E3022" s="2403">
        <f t="shared" ref="E3022:E3031" si="151">(G3022-F3022)/G3022</f>
        <v>0.21764705882352936</v>
      </c>
      <c r="F3022" s="1958">
        <v>1.33</v>
      </c>
      <c r="G3022" s="2885">
        <v>1.7</v>
      </c>
    </row>
    <row r="3023" spans="1:7" s="2885" customFormat="1">
      <c r="A3023" s="2940"/>
      <c r="B3023" s="2965"/>
      <c r="C3023" s="3118" t="s">
        <v>1905</v>
      </c>
      <c r="D3023" s="2967"/>
      <c r="E3023" s="2968">
        <f t="shared" si="151"/>
        <v>0.21764705882352936</v>
      </c>
      <c r="F3023" s="2969">
        <v>1.33</v>
      </c>
      <c r="G3023" s="2885">
        <v>1.7</v>
      </c>
    </row>
    <row r="3024" spans="1:7" s="2885" customFormat="1">
      <c r="A3024" s="2910"/>
      <c r="B3024" s="2911"/>
      <c r="C3024" s="3106" t="s">
        <v>2455</v>
      </c>
      <c r="D3024" s="2911"/>
      <c r="E3024" s="2968">
        <f t="shared" si="151"/>
        <v>0.19277108433734932</v>
      </c>
      <c r="F3024" s="2969">
        <v>1.34</v>
      </c>
      <c r="G3024" s="2885">
        <v>1.66</v>
      </c>
    </row>
    <row r="3025" spans="1:7" s="2885" customFormat="1">
      <c r="A3025" s="2910"/>
      <c r="B3025" s="2911"/>
      <c r="C3025" s="3106" t="s">
        <v>2351</v>
      </c>
      <c r="D3025" s="2911"/>
      <c r="E3025" s="2968">
        <f t="shared" si="151"/>
        <v>0.16666666666666666</v>
      </c>
      <c r="F3025" s="2969">
        <v>0.15</v>
      </c>
      <c r="G3025" s="2885">
        <v>0.18</v>
      </c>
    </row>
    <row r="3026" spans="1:7" s="2885" customFormat="1">
      <c r="A3026" s="2910"/>
      <c r="B3026" s="2911"/>
      <c r="C3026" s="3106" t="s">
        <v>2352</v>
      </c>
      <c r="D3026" s="2911"/>
      <c r="E3026" s="2968">
        <f t="shared" si="151"/>
        <v>0.16666666666666666</v>
      </c>
      <c r="F3026" s="2913">
        <v>0.15</v>
      </c>
      <c r="G3026" s="2885">
        <v>0.18</v>
      </c>
    </row>
    <row r="3027" spans="1:7" s="2885" customFormat="1">
      <c r="A3027" s="2910"/>
      <c r="B3027" s="2911"/>
      <c r="C3027" s="2911" t="s">
        <v>2983</v>
      </c>
      <c r="D3027" s="2911"/>
      <c r="E3027" s="2968">
        <f t="shared" si="151"/>
        <v>0.2746113989637306</v>
      </c>
      <c r="F3027" s="2913">
        <v>1.4</v>
      </c>
      <c r="G3027" s="2885">
        <v>1.93</v>
      </c>
    </row>
    <row r="3028" spans="1:7" s="2885" customFormat="1">
      <c r="A3028" s="2910"/>
      <c r="B3028" s="2911"/>
      <c r="C3028" s="2911" t="s">
        <v>2984</v>
      </c>
      <c r="D3028" s="2911"/>
      <c r="E3028" s="2968">
        <f t="shared" si="151"/>
        <v>0.2746113989637306</v>
      </c>
      <c r="F3028" s="2913">
        <v>1.4</v>
      </c>
      <c r="G3028" s="2885">
        <v>1.93</v>
      </c>
    </row>
    <row r="3029" spans="1:7" s="2885" customFormat="1">
      <c r="A3029" s="2910"/>
      <c r="B3029" s="2911"/>
      <c r="C3029" s="2911" t="s">
        <v>2940</v>
      </c>
      <c r="D3029" s="2911"/>
      <c r="E3029" s="2968">
        <f t="shared" si="151"/>
        <v>0.2746113989637306</v>
      </c>
      <c r="F3029" s="2913">
        <v>1.4</v>
      </c>
      <c r="G3029" s="2885">
        <v>1.93</v>
      </c>
    </row>
    <row r="3030" spans="1:7" s="2885" customFormat="1">
      <c r="A3030" s="2910"/>
      <c r="B3030" s="2911"/>
      <c r="C3030" s="2911" t="s">
        <v>2941</v>
      </c>
      <c r="D3030" s="2911"/>
      <c r="E3030" s="2968">
        <f t="shared" si="151"/>
        <v>0.2746113989637306</v>
      </c>
      <c r="F3030" s="2913">
        <v>1.4</v>
      </c>
      <c r="G3030" s="2885">
        <v>1.93</v>
      </c>
    </row>
    <row r="3031" spans="1:7" s="2885" customFormat="1" ht="15.75" thickBot="1">
      <c r="A3031" s="2914"/>
      <c r="B3031" s="2915"/>
      <c r="C3031" s="3107" t="s">
        <v>2462</v>
      </c>
      <c r="D3031" s="2915"/>
      <c r="E3031" s="2970">
        <f t="shared" si="151"/>
        <v>0.22758620689655162</v>
      </c>
      <c r="F3031" s="2917">
        <v>1.1200000000000001</v>
      </c>
      <c r="G3031" s="2885">
        <v>1.45</v>
      </c>
    </row>
    <row r="3033" spans="1:7" ht="15.75" thickBot="1"/>
    <row r="3034" spans="1:7" s="2885" customFormat="1">
      <c r="A3034" s="3614" t="s">
        <v>0</v>
      </c>
      <c r="B3034" s="3518" t="s">
        <v>1</v>
      </c>
      <c r="C3034" s="3518" t="s">
        <v>2</v>
      </c>
      <c r="D3034" s="3518" t="s">
        <v>3</v>
      </c>
      <c r="E3034" s="3518" t="s">
        <v>4</v>
      </c>
      <c r="F3034" s="3522" t="s">
        <v>5</v>
      </c>
    </row>
    <row r="3035" spans="1:7" s="2885" customFormat="1" ht="15.75" thickBot="1">
      <c r="A3035" s="3555"/>
      <c r="B3035" s="3550"/>
      <c r="C3035" s="3550"/>
      <c r="D3035" s="3550"/>
      <c r="E3035" s="3550"/>
      <c r="F3035" s="3588"/>
    </row>
    <row r="3036" spans="1:7" s="2885" customFormat="1">
      <c r="A3036" s="1675" t="s">
        <v>3501</v>
      </c>
      <c r="B3036" s="2887" t="s">
        <v>460</v>
      </c>
      <c r="C3036" s="2414" t="s">
        <v>3206</v>
      </c>
      <c r="D3036" s="2415"/>
      <c r="E3036" s="2888">
        <f t="shared" ref="E3036:E3043" si="152">(G3036-F3036)/G3036</f>
        <v>0.15172413793103448</v>
      </c>
      <c r="F3036" s="1793">
        <v>1.23</v>
      </c>
      <c r="G3036" s="2885">
        <v>1.45</v>
      </c>
    </row>
    <row r="3037" spans="1:7" s="2885" customFormat="1">
      <c r="A3037" s="2940"/>
      <c r="B3037" s="2905" t="s">
        <v>1674</v>
      </c>
      <c r="C3037" s="2906" t="s">
        <v>3207</v>
      </c>
      <c r="D3037" s="2941"/>
      <c r="E3037" s="2896">
        <f t="shared" si="152"/>
        <v>0.15172413793103448</v>
      </c>
      <c r="F3037" s="2942">
        <v>1.23</v>
      </c>
      <c r="G3037" s="2885">
        <v>1.45</v>
      </c>
    </row>
    <row r="3038" spans="1:7" s="2885" customFormat="1">
      <c r="A3038" s="2910"/>
      <c r="B3038" s="2911"/>
      <c r="C3038" s="2911" t="s">
        <v>2658</v>
      </c>
      <c r="D3038" s="2911"/>
      <c r="E3038" s="2896">
        <f t="shared" si="152"/>
        <v>0.17886178861788621</v>
      </c>
      <c r="F3038" s="2913">
        <v>3.03</v>
      </c>
      <c r="G3038" s="2885">
        <v>3.69</v>
      </c>
    </row>
    <row r="3039" spans="1:7" s="2885" customFormat="1">
      <c r="A3039" s="2910"/>
      <c r="B3039" s="2911"/>
      <c r="C3039" s="2911" t="s">
        <v>2659</v>
      </c>
      <c r="D3039" s="2911"/>
      <c r="E3039" s="2896">
        <f t="shared" si="152"/>
        <v>0.17886178861788621</v>
      </c>
      <c r="F3039" s="2913">
        <v>3.03</v>
      </c>
      <c r="G3039" s="2885">
        <v>3.69</v>
      </c>
    </row>
    <row r="3040" spans="1:7" s="2885" customFormat="1">
      <c r="A3040" s="2910"/>
      <c r="B3040" s="2911"/>
      <c r="C3040" s="2911" t="s">
        <v>1439</v>
      </c>
      <c r="D3040" s="2911"/>
      <c r="E3040" s="2896">
        <f t="shared" si="152"/>
        <v>0.20034393809114359</v>
      </c>
      <c r="F3040" s="2913">
        <v>9.3000000000000007</v>
      </c>
      <c r="G3040" s="2885">
        <v>11.63</v>
      </c>
    </row>
    <row r="3041" spans="1:7" s="2885" customFormat="1">
      <c r="A3041" s="2910"/>
      <c r="B3041" s="2911"/>
      <c r="C3041" s="2911" t="s">
        <v>1773</v>
      </c>
      <c r="D3041" s="2911"/>
      <c r="E3041" s="2896">
        <f t="shared" si="152"/>
        <v>0.20034393809114359</v>
      </c>
      <c r="F3041" s="2913">
        <v>9.3000000000000007</v>
      </c>
      <c r="G3041" s="2885">
        <v>11.63</v>
      </c>
    </row>
    <row r="3042" spans="1:7" s="2885" customFormat="1">
      <c r="A3042" s="2910"/>
      <c r="B3042" s="2911"/>
      <c r="C3042" s="3106" t="s">
        <v>2462</v>
      </c>
      <c r="D3042" s="2911"/>
      <c r="E3042" s="2896">
        <f t="shared" si="152"/>
        <v>0.19736842105263161</v>
      </c>
      <c r="F3042" s="2913">
        <v>1.22</v>
      </c>
      <c r="G3042" s="2885">
        <v>1.52</v>
      </c>
    </row>
    <row r="3043" spans="1:7" s="2885" customFormat="1" ht="15.75" thickBot="1">
      <c r="A3043" s="2914"/>
      <c r="B3043" s="2915"/>
      <c r="C3043" s="2915" t="s">
        <v>1396</v>
      </c>
      <c r="D3043" s="2915"/>
      <c r="E3043" s="2890">
        <f t="shared" si="152"/>
        <v>0.19791666666666663</v>
      </c>
      <c r="F3043" s="2917">
        <v>1.54</v>
      </c>
      <c r="G3043" s="2885">
        <v>1.92</v>
      </c>
    </row>
    <row r="3045" spans="1:7" ht="15.75" thickBot="1"/>
    <row r="3046" spans="1:7" s="2885" customFormat="1">
      <c r="A3046" s="3572" t="s">
        <v>0</v>
      </c>
      <c r="B3046" s="3557" t="s">
        <v>1</v>
      </c>
      <c r="C3046" s="3557" t="s">
        <v>2</v>
      </c>
      <c r="D3046" s="3557" t="s">
        <v>3</v>
      </c>
      <c r="E3046" s="3557" t="s">
        <v>4</v>
      </c>
      <c r="F3046" s="3559" t="s">
        <v>5</v>
      </c>
      <c r="G3046" s="429"/>
    </row>
    <row r="3047" spans="1:7" s="2885" customFormat="1" ht="15.75" thickBot="1">
      <c r="A3047" s="3905"/>
      <c r="B3047" s="3692"/>
      <c r="C3047" s="3692"/>
      <c r="D3047" s="3692"/>
      <c r="E3047" s="3692"/>
      <c r="F3047" s="3705"/>
      <c r="G3047" s="429"/>
    </row>
    <row r="3048" spans="1:7" s="2885" customFormat="1" ht="16.5" thickTop="1">
      <c r="A3048" s="2984" t="s">
        <v>3502</v>
      </c>
      <c r="B3048" s="2072" t="s">
        <v>2082</v>
      </c>
      <c r="C3048" s="1635" t="s">
        <v>1891</v>
      </c>
      <c r="D3048" s="2072"/>
      <c r="E3048" s="1553">
        <f>(G3048-F3048)/G3048</f>
        <v>0.24806201550387602</v>
      </c>
      <c r="F3048" s="2985">
        <v>0.97</v>
      </c>
      <c r="G3048" s="436">
        <v>1.29</v>
      </c>
    </row>
    <row r="3049" spans="1:7" s="2885" customFormat="1">
      <c r="A3049" s="491"/>
      <c r="B3049" s="2895"/>
      <c r="C3049" s="2986"/>
      <c r="D3049" s="2072"/>
      <c r="E3049" s="2912" t="e">
        <f>(G3049-F3049)/G3049</f>
        <v>#DIV/0!</v>
      </c>
      <c r="F3049" s="2985"/>
      <c r="G3049" s="436"/>
    </row>
    <row r="3050" spans="1:7" s="2885" customFormat="1" ht="15.75" thickBot="1">
      <c r="A3050" s="500"/>
      <c r="B3050" s="2987"/>
      <c r="C3050" s="2988"/>
      <c r="D3050" s="873"/>
      <c r="E3050" s="2916" t="e">
        <f>(G3050-F3050)/G3050</f>
        <v>#DIV/0!</v>
      </c>
      <c r="F3050" s="2989"/>
      <c r="G3050" s="429"/>
    </row>
    <row r="3051" spans="1:7" s="2885" customFormat="1" ht="15.75" thickBot="1"/>
    <row r="3052" spans="1:7" s="2885" customFormat="1">
      <c r="A3052" s="3614" t="s">
        <v>0</v>
      </c>
      <c r="B3052" s="3693" t="s">
        <v>1</v>
      </c>
      <c r="C3052" s="3693" t="s">
        <v>2</v>
      </c>
      <c r="D3052" s="3693" t="s">
        <v>3</v>
      </c>
      <c r="E3052" s="3693" t="s">
        <v>4</v>
      </c>
      <c r="F3052" s="3522" t="s">
        <v>5</v>
      </c>
    </row>
    <row r="3053" spans="1:7" s="2885" customFormat="1" ht="15.75" thickBot="1">
      <c r="A3053" s="3555"/>
      <c r="B3053" s="3550"/>
      <c r="C3053" s="3550"/>
      <c r="D3053" s="3550"/>
      <c r="E3053" s="3550"/>
      <c r="F3053" s="3588"/>
    </row>
    <row r="3054" spans="1:7" s="2885" customFormat="1">
      <c r="A3054" s="1675" t="s">
        <v>3503</v>
      </c>
      <c r="B3054" s="451" t="s">
        <v>2029</v>
      </c>
      <c r="C3054" s="1791" t="s">
        <v>1058</v>
      </c>
      <c r="D3054" s="1792"/>
      <c r="E3054" s="1772">
        <f>(G3054-F3054)/G3054</f>
        <v>0.20091324200913241</v>
      </c>
      <c r="F3054" s="1793">
        <v>1.75</v>
      </c>
      <c r="G3054" s="2885">
        <v>2.19</v>
      </c>
    </row>
    <row r="3055" spans="1:7" s="2885" customFormat="1" ht="15.75" thickBot="1">
      <c r="A3055" s="3003"/>
      <c r="B3055" s="2987"/>
      <c r="C3055" s="3004"/>
      <c r="D3055" s="3005"/>
      <c r="E3055" s="3006"/>
      <c r="F3055" s="3007"/>
    </row>
    <row r="3057" spans="1:7" ht="15.75" thickBot="1"/>
    <row r="3058" spans="1:7" s="2885" customFormat="1">
      <c r="A3058" s="3614" t="s">
        <v>0</v>
      </c>
      <c r="B3058" s="3518" t="s">
        <v>1</v>
      </c>
      <c r="C3058" s="3518" t="s">
        <v>2</v>
      </c>
      <c r="D3058" s="3518" t="s">
        <v>3</v>
      </c>
      <c r="E3058" s="3518" t="s">
        <v>4</v>
      </c>
      <c r="F3058" s="3522" t="s">
        <v>5</v>
      </c>
      <c r="G3058" s="3522" t="s">
        <v>3504</v>
      </c>
    </row>
    <row r="3059" spans="1:7" s="2885" customFormat="1" ht="15.75" thickBot="1">
      <c r="A3059" s="3555"/>
      <c r="B3059" s="3550"/>
      <c r="C3059" s="3550"/>
      <c r="D3059" s="3550"/>
      <c r="E3059" s="3550"/>
      <c r="F3059" s="3588"/>
      <c r="G3059" s="3588"/>
    </row>
    <row r="3060" spans="1:7" s="2885" customFormat="1" ht="15.75">
      <c r="A3060" s="1675" t="s">
        <v>3505</v>
      </c>
      <c r="B3060" s="1163" t="s">
        <v>2183</v>
      </c>
      <c r="C3060" s="2414" t="s">
        <v>3506</v>
      </c>
      <c r="D3060" s="2562"/>
      <c r="E3060" s="2626">
        <f t="shared" ref="E3060:E3096" si="153">(G3060-F3060)/G3060</f>
        <v>0.15000000000000002</v>
      </c>
      <c r="F3060" s="3008">
        <v>2.7370000000000001</v>
      </c>
      <c r="G3060" s="881">
        <v>3.22</v>
      </c>
    </row>
    <row r="3061" spans="1:7" s="2885" customFormat="1" ht="15.75">
      <c r="A3061" s="2904"/>
      <c r="B3061" s="2905"/>
      <c r="C3061" s="2906" t="s">
        <v>3507</v>
      </c>
      <c r="D3061" s="2907"/>
      <c r="E3061" s="2908">
        <f t="shared" si="153"/>
        <v>0.15000000000000002</v>
      </c>
      <c r="F3061" s="3009">
        <v>2.7370000000000001</v>
      </c>
      <c r="G3061" s="2913">
        <v>3.22</v>
      </c>
    </row>
    <row r="3062" spans="1:7" s="2885" customFormat="1" ht="15.75">
      <c r="A3062" s="2904"/>
      <c r="B3062" s="2905"/>
      <c r="C3062" s="2906" t="s">
        <v>3508</v>
      </c>
      <c r="D3062" s="2907"/>
      <c r="E3062" s="2908">
        <f t="shared" si="153"/>
        <v>0.15000000000000002</v>
      </c>
      <c r="F3062" s="3009">
        <v>2.7370000000000001</v>
      </c>
      <c r="G3062" s="2913">
        <v>3.22</v>
      </c>
    </row>
    <row r="3063" spans="1:7" s="2885" customFormat="1" ht="15.75">
      <c r="A3063" s="2910"/>
      <c r="B3063" s="2911"/>
      <c r="C3063" s="2911" t="s">
        <v>2739</v>
      </c>
      <c r="D3063" s="2911"/>
      <c r="E3063" s="2908">
        <f t="shared" si="153"/>
        <v>0.15000000000000002</v>
      </c>
      <c r="F3063" s="3009">
        <v>2.7370000000000001</v>
      </c>
      <c r="G3063" s="2957">
        <v>3.22</v>
      </c>
    </row>
    <row r="3064" spans="1:7" s="2885" customFormat="1">
      <c r="A3064" s="2910"/>
      <c r="B3064" s="2911"/>
      <c r="C3064" s="3106" t="s">
        <v>3509</v>
      </c>
      <c r="D3064" s="2911"/>
      <c r="E3064" s="2912">
        <f t="shared" si="153"/>
        <v>0.1999999999999999</v>
      </c>
      <c r="F3064" s="3010">
        <v>1.2960000000000003</v>
      </c>
      <c r="G3064" s="2913">
        <v>1.62</v>
      </c>
    </row>
    <row r="3065" spans="1:7" s="2885" customFormat="1">
      <c r="A3065" s="2910"/>
      <c r="B3065" s="2911"/>
      <c r="C3065" s="3106" t="s">
        <v>3510</v>
      </c>
      <c r="D3065" s="2911"/>
      <c r="E3065" s="2912">
        <f t="shared" si="153"/>
        <v>0.3</v>
      </c>
      <c r="F3065" s="3010">
        <v>0.86799999999999999</v>
      </c>
      <c r="G3065" s="2913">
        <v>1.24</v>
      </c>
    </row>
    <row r="3066" spans="1:7" s="2885" customFormat="1">
      <c r="A3066" s="2910"/>
      <c r="B3066" s="2911"/>
      <c r="C3066" s="3106" t="s">
        <v>3511</v>
      </c>
      <c r="D3066" s="2911"/>
      <c r="E3066" s="2912">
        <f t="shared" si="153"/>
        <v>0.3</v>
      </c>
      <c r="F3066" s="3010">
        <v>0.86799999999999999</v>
      </c>
      <c r="G3066" s="2913">
        <v>1.24</v>
      </c>
    </row>
    <row r="3067" spans="1:7" s="2885" customFormat="1">
      <c r="A3067" s="2910"/>
      <c r="B3067" s="2911"/>
      <c r="C3067" s="2911" t="s">
        <v>3291</v>
      </c>
      <c r="D3067" s="2911"/>
      <c r="E3067" s="2912">
        <f t="shared" si="153"/>
        <v>0.10999999999999995</v>
      </c>
      <c r="F3067" s="3010">
        <v>1.246</v>
      </c>
      <c r="G3067" s="2913">
        <v>1.4</v>
      </c>
    </row>
    <row r="3068" spans="1:7" s="2885" customFormat="1">
      <c r="A3068" s="2910"/>
      <c r="B3068" s="2911"/>
      <c r="C3068" s="2911" t="s">
        <v>3292</v>
      </c>
      <c r="D3068" s="2911"/>
      <c r="E3068" s="2912">
        <f t="shared" si="153"/>
        <v>0.10999999999999992</v>
      </c>
      <c r="F3068" s="3010">
        <v>2.3318000000000003</v>
      </c>
      <c r="G3068" s="2913">
        <v>2.62</v>
      </c>
    </row>
    <row r="3069" spans="1:7" s="2885" customFormat="1">
      <c r="A3069" s="2910"/>
      <c r="B3069" s="2911"/>
      <c r="C3069" s="2911" t="s">
        <v>3293</v>
      </c>
      <c r="D3069" s="2911"/>
      <c r="E3069" s="2912">
        <f t="shared" si="153"/>
        <v>0.1099999999999999</v>
      </c>
      <c r="F3069" s="3010">
        <v>2.0559000000000003</v>
      </c>
      <c r="G3069" s="2913">
        <v>2.31</v>
      </c>
    </row>
    <row r="3070" spans="1:7" s="2885" customFormat="1">
      <c r="A3070" s="2910"/>
      <c r="B3070" s="2911"/>
      <c r="C3070" s="2911" t="s">
        <v>3004</v>
      </c>
      <c r="D3070" s="2911"/>
      <c r="E3070" s="2912">
        <f t="shared" si="153"/>
        <v>9.999999999999995E-2</v>
      </c>
      <c r="F3070" s="3010">
        <v>2.1870000000000003</v>
      </c>
      <c r="G3070" s="2913">
        <v>2.4300000000000002</v>
      </c>
    </row>
    <row r="3071" spans="1:7" s="2885" customFormat="1">
      <c r="A3071" s="2910"/>
      <c r="B3071" s="2911"/>
      <c r="C3071" s="2911" t="s">
        <v>3388</v>
      </c>
      <c r="D3071" s="2911"/>
      <c r="E3071" s="2912">
        <f t="shared" si="153"/>
        <v>0.2</v>
      </c>
      <c r="F3071" s="3010">
        <v>1.8559999999999999</v>
      </c>
      <c r="G3071" s="2913">
        <v>2.3199999999999998</v>
      </c>
    </row>
    <row r="3072" spans="1:7" s="2885" customFormat="1">
      <c r="A3072" s="2910"/>
      <c r="B3072" s="2911"/>
      <c r="C3072" s="2911" t="s">
        <v>3389</v>
      </c>
      <c r="D3072" s="2911"/>
      <c r="E3072" s="2912">
        <f t="shared" si="153"/>
        <v>0.2</v>
      </c>
      <c r="F3072" s="3010">
        <v>1.8559999999999999</v>
      </c>
      <c r="G3072" s="2913">
        <v>2.3199999999999998</v>
      </c>
    </row>
    <row r="3073" spans="1:7" s="2885" customFormat="1">
      <c r="A3073" s="2910"/>
      <c r="B3073" s="2911"/>
      <c r="C3073" s="2911" t="s">
        <v>3390</v>
      </c>
      <c r="D3073" s="2911"/>
      <c r="E3073" s="2912">
        <f t="shared" si="153"/>
        <v>0.20000000000000004</v>
      </c>
      <c r="F3073" s="3010">
        <v>2.2879999999999998</v>
      </c>
      <c r="G3073" s="2913">
        <v>2.86</v>
      </c>
    </row>
    <row r="3074" spans="1:7" s="2885" customFormat="1">
      <c r="A3074" s="2910"/>
      <c r="B3074" s="2911"/>
      <c r="C3074" s="2911" t="s">
        <v>3391</v>
      </c>
      <c r="D3074" s="2911"/>
      <c r="E3074" s="2912">
        <f t="shared" si="153"/>
        <v>0.19999999999999987</v>
      </c>
      <c r="F3074" s="3010">
        <v>1.2400000000000002</v>
      </c>
      <c r="G3074" s="2913">
        <v>1.55</v>
      </c>
    </row>
    <row r="3075" spans="1:7" s="2885" customFormat="1">
      <c r="A3075" s="2910"/>
      <c r="B3075" s="2911"/>
      <c r="C3075" s="2911" t="s">
        <v>3392</v>
      </c>
      <c r="D3075" s="2911"/>
      <c r="E3075" s="2912">
        <f t="shared" si="153"/>
        <v>0.19999999999999987</v>
      </c>
      <c r="F3075" s="3010">
        <v>2.4320000000000004</v>
      </c>
      <c r="G3075" s="2913">
        <v>3.04</v>
      </c>
    </row>
    <row r="3076" spans="1:7" s="2885" customFormat="1">
      <c r="A3076" s="2910"/>
      <c r="B3076" s="2911"/>
      <c r="C3076" s="2911" t="s">
        <v>3393</v>
      </c>
      <c r="D3076" s="2911"/>
      <c r="E3076" s="2912">
        <f t="shared" si="153"/>
        <v>0.19999999999999987</v>
      </c>
      <c r="F3076" s="3010">
        <v>2.4320000000000004</v>
      </c>
      <c r="G3076" s="2913">
        <v>3.04</v>
      </c>
    </row>
    <row r="3077" spans="1:7" s="2885" customFormat="1">
      <c r="A3077" s="2910"/>
      <c r="B3077" s="2911"/>
      <c r="C3077" s="2911" t="s">
        <v>3512</v>
      </c>
      <c r="D3077" s="2911"/>
      <c r="E3077" s="2912">
        <f t="shared" si="153"/>
        <v>0.2</v>
      </c>
      <c r="F3077" s="3010">
        <v>0.90399999999999991</v>
      </c>
      <c r="G3077" s="2913">
        <v>1.1299999999999999</v>
      </c>
    </row>
    <row r="3078" spans="1:7" s="2885" customFormat="1">
      <c r="A3078" s="2910"/>
      <c r="B3078" s="2911"/>
      <c r="C3078" s="2911" t="s">
        <v>3513</v>
      </c>
      <c r="D3078" s="2911"/>
      <c r="E3078" s="2912">
        <f t="shared" si="153"/>
        <v>0.19999999999999996</v>
      </c>
      <c r="F3078" s="3010">
        <v>1.5680000000000001</v>
      </c>
      <c r="G3078" s="2913">
        <v>1.96</v>
      </c>
    </row>
    <row r="3079" spans="1:7" s="2885" customFormat="1">
      <c r="A3079" s="2910"/>
      <c r="B3079" s="2911"/>
      <c r="C3079" s="2911" t="s">
        <v>3514</v>
      </c>
      <c r="D3079" s="2911"/>
      <c r="E3079" s="2912">
        <f t="shared" si="153"/>
        <v>0.19999999999999987</v>
      </c>
      <c r="F3079" s="3010">
        <v>1.2400000000000002</v>
      </c>
      <c r="G3079" s="2913">
        <v>1.55</v>
      </c>
    </row>
    <row r="3080" spans="1:7" s="2885" customFormat="1">
      <c r="A3080" s="2910"/>
      <c r="B3080" s="2911"/>
      <c r="C3080" s="2911" t="s">
        <v>3515</v>
      </c>
      <c r="D3080" s="2911"/>
      <c r="E3080" s="2912">
        <f t="shared" si="153"/>
        <v>0.19999999999999987</v>
      </c>
      <c r="F3080" s="3010">
        <v>1.2400000000000002</v>
      </c>
      <c r="G3080" s="2913">
        <v>1.55</v>
      </c>
    </row>
    <row r="3081" spans="1:7" s="2885" customFormat="1">
      <c r="A3081" s="2910"/>
      <c r="B3081" s="2911"/>
      <c r="C3081" s="2911" t="s">
        <v>3516</v>
      </c>
      <c r="D3081" s="2911"/>
      <c r="E3081" s="2912">
        <f t="shared" si="153"/>
        <v>0.20000000000000004</v>
      </c>
      <c r="F3081" s="3010">
        <v>2.3359999999999999</v>
      </c>
      <c r="G3081" s="2913">
        <v>2.92</v>
      </c>
    </row>
    <row r="3082" spans="1:7" s="2885" customFormat="1">
      <c r="A3082" s="2910"/>
      <c r="B3082" s="2911"/>
      <c r="C3082" s="2911" t="s">
        <v>3517</v>
      </c>
      <c r="D3082" s="2911"/>
      <c r="E3082" s="2912">
        <f t="shared" si="153"/>
        <v>0.20000000000000004</v>
      </c>
      <c r="F3082" s="3010">
        <v>2.3359999999999999</v>
      </c>
      <c r="G3082" s="2913">
        <v>2.92</v>
      </c>
    </row>
    <row r="3083" spans="1:7" s="2885" customFormat="1">
      <c r="A3083" s="2910"/>
      <c r="B3083" s="2911"/>
      <c r="C3083" s="2911" t="s">
        <v>3518</v>
      </c>
      <c r="D3083" s="2911"/>
      <c r="E3083" s="2912">
        <f t="shared" si="153"/>
        <v>0.20000000000000004</v>
      </c>
      <c r="F3083" s="3010">
        <v>2.3359999999999999</v>
      </c>
      <c r="G3083" s="2913">
        <v>2.92</v>
      </c>
    </row>
    <row r="3084" spans="1:7" s="2885" customFormat="1">
      <c r="A3084" s="2910"/>
      <c r="B3084" s="2911"/>
      <c r="C3084" s="2911" t="s">
        <v>3519</v>
      </c>
      <c r="D3084" s="2911"/>
      <c r="E3084" s="2912">
        <f t="shared" si="153"/>
        <v>0.20000000000000004</v>
      </c>
      <c r="F3084" s="3010">
        <v>2.3359999999999999</v>
      </c>
      <c r="G3084" s="2913">
        <v>2.92</v>
      </c>
    </row>
    <row r="3085" spans="1:7" s="2885" customFormat="1">
      <c r="A3085" s="2910"/>
      <c r="B3085" s="2911"/>
      <c r="C3085" s="2911" t="s">
        <v>3520</v>
      </c>
      <c r="D3085" s="2911"/>
      <c r="E3085" s="2912">
        <f t="shared" si="153"/>
        <v>0.19999999999999987</v>
      </c>
      <c r="F3085" s="3010">
        <v>2.4320000000000004</v>
      </c>
      <c r="G3085" s="2913">
        <v>3.04</v>
      </c>
    </row>
    <row r="3086" spans="1:7" s="2885" customFormat="1">
      <c r="A3086" s="2910"/>
      <c r="B3086" s="2911"/>
      <c r="C3086" s="2911" t="s">
        <v>3521</v>
      </c>
      <c r="D3086" s="2911"/>
      <c r="E3086" s="2912">
        <f t="shared" si="153"/>
        <v>0.19999999999999987</v>
      </c>
      <c r="F3086" s="3010">
        <v>2.4320000000000004</v>
      </c>
      <c r="G3086" s="2913">
        <v>3.04</v>
      </c>
    </row>
    <row r="3087" spans="1:7" s="2885" customFormat="1">
      <c r="A3087" s="2910"/>
      <c r="B3087" s="2911"/>
      <c r="C3087" s="2911" t="s">
        <v>3522</v>
      </c>
      <c r="D3087" s="2911"/>
      <c r="E3087" s="2912">
        <f t="shared" si="153"/>
        <v>0.19999999999999987</v>
      </c>
      <c r="F3087" s="3010">
        <v>2.4320000000000004</v>
      </c>
      <c r="G3087" s="2913">
        <v>3.04</v>
      </c>
    </row>
    <row r="3088" spans="1:7" s="2885" customFormat="1">
      <c r="A3088" s="2910"/>
      <c r="B3088" s="2911"/>
      <c r="C3088" s="2911" t="s">
        <v>3523</v>
      </c>
      <c r="D3088" s="2911"/>
      <c r="E3088" s="2912">
        <f t="shared" si="153"/>
        <v>0.19999999999999987</v>
      </c>
      <c r="F3088" s="3010">
        <v>2.4320000000000004</v>
      </c>
      <c r="G3088" s="2913">
        <v>3.04</v>
      </c>
    </row>
    <row r="3089" spans="1:7" s="2885" customFormat="1">
      <c r="A3089" s="2910"/>
      <c r="B3089" s="2911"/>
      <c r="C3089" s="2911" t="s">
        <v>3524</v>
      </c>
      <c r="D3089" s="2911"/>
      <c r="E3089" s="2912">
        <f t="shared" si="153"/>
        <v>0.19999999999999998</v>
      </c>
      <c r="F3089" s="3010">
        <v>2.6640000000000001</v>
      </c>
      <c r="G3089" s="2913">
        <v>3.33</v>
      </c>
    </row>
    <row r="3090" spans="1:7" s="2885" customFormat="1">
      <c r="A3090" s="2910"/>
      <c r="B3090" s="2911"/>
      <c r="C3090" s="2911" t="s">
        <v>3525</v>
      </c>
      <c r="D3090" s="2911"/>
      <c r="E3090" s="2912">
        <f t="shared" si="153"/>
        <v>0.19999999999999996</v>
      </c>
      <c r="F3090" s="3010">
        <v>0.76</v>
      </c>
      <c r="G3090" s="2913">
        <v>0.95</v>
      </c>
    </row>
    <row r="3091" spans="1:7" s="2885" customFormat="1">
      <c r="A3091" s="2910"/>
      <c r="B3091" s="2911"/>
      <c r="C3091" s="2911" t="s">
        <v>3526</v>
      </c>
      <c r="D3091" s="2911"/>
      <c r="E3091" s="2912">
        <f t="shared" si="153"/>
        <v>0.19999999999999996</v>
      </c>
      <c r="F3091" s="3010">
        <v>0.76</v>
      </c>
      <c r="G3091" s="2913">
        <v>0.95</v>
      </c>
    </row>
    <row r="3092" spans="1:7" s="2885" customFormat="1">
      <c r="A3092" s="2910"/>
      <c r="B3092" s="2911"/>
      <c r="C3092" s="2911" t="s">
        <v>3527</v>
      </c>
      <c r="D3092" s="2911"/>
      <c r="E3092" s="2912">
        <f t="shared" si="153"/>
        <v>0.19999999999999993</v>
      </c>
      <c r="F3092" s="3010">
        <v>2.6080000000000001</v>
      </c>
      <c r="G3092" s="2913">
        <v>3.26</v>
      </c>
    </row>
    <row r="3093" spans="1:7" s="2885" customFormat="1">
      <c r="A3093" s="2910"/>
      <c r="B3093" s="2911"/>
      <c r="C3093" s="2911" t="s">
        <v>3528</v>
      </c>
      <c r="D3093" s="2911"/>
      <c r="E3093" s="2912">
        <f t="shared" si="153"/>
        <v>0.19999999999999987</v>
      </c>
      <c r="F3093" s="3010">
        <v>2.4160000000000004</v>
      </c>
      <c r="G3093" s="2913">
        <v>3.02</v>
      </c>
    </row>
    <row r="3094" spans="1:7" s="2885" customFormat="1">
      <c r="A3094" s="2910"/>
      <c r="B3094" s="2911"/>
      <c r="C3094" s="2911" t="s">
        <v>3529</v>
      </c>
      <c r="D3094" s="2911"/>
      <c r="E3094" s="2912">
        <f t="shared" si="153"/>
        <v>0.2</v>
      </c>
      <c r="F3094" s="3010">
        <v>3.1120000000000001</v>
      </c>
      <c r="G3094" s="2913">
        <v>3.89</v>
      </c>
    </row>
    <row r="3095" spans="1:7" s="2885" customFormat="1">
      <c r="A3095" s="2910"/>
      <c r="B3095" s="2911"/>
      <c r="C3095" s="2911" t="s">
        <v>3530</v>
      </c>
      <c r="D3095" s="2911"/>
      <c r="E3095" s="2912">
        <f t="shared" si="153"/>
        <v>0.19999999999999993</v>
      </c>
      <c r="F3095" s="3010">
        <v>2.008</v>
      </c>
      <c r="G3095" s="2913">
        <v>2.5099999999999998</v>
      </c>
    </row>
    <row r="3096" spans="1:7" s="2885" customFormat="1" ht="15.75" thickBot="1">
      <c r="A3096" s="2914"/>
      <c r="B3096" s="2915"/>
      <c r="C3096" s="2915" t="s">
        <v>3531</v>
      </c>
      <c r="D3096" s="2915"/>
      <c r="E3096" s="2916">
        <f t="shared" si="153"/>
        <v>0.19999999999999998</v>
      </c>
      <c r="F3096" s="3011">
        <v>1.8160000000000001</v>
      </c>
      <c r="G3096" s="2917">
        <v>2.27</v>
      </c>
    </row>
    <row r="3097" spans="1:7" s="2885" customFormat="1"/>
    <row r="3098" spans="1:7" s="2885" customFormat="1" ht="15.75" thickBot="1"/>
    <row r="3099" spans="1:7" s="2885" customFormat="1">
      <c r="A3099" s="3572" t="s">
        <v>0</v>
      </c>
      <c r="B3099" s="3557" t="s">
        <v>1</v>
      </c>
      <c r="C3099" s="3557" t="s">
        <v>2</v>
      </c>
      <c r="D3099" s="3557" t="s">
        <v>3</v>
      </c>
      <c r="E3099" s="3557" t="s">
        <v>4</v>
      </c>
      <c r="F3099" s="3559" t="s">
        <v>5</v>
      </c>
    </row>
    <row r="3100" spans="1:7" s="2885" customFormat="1" ht="15.75" thickBot="1">
      <c r="A3100" s="3905"/>
      <c r="B3100" s="3906"/>
      <c r="C3100" s="3906"/>
      <c r="D3100" s="3906"/>
      <c r="E3100" s="3906"/>
      <c r="F3100" s="3917"/>
    </row>
    <row r="3101" spans="1:7" s="2885" customFormat="1">
      <c r="A3101" s="1675" t="s">
        <v>3552</v>
      </c>
      <c r="B3101" s="2400" t="s">
        <v>2155</v>
      </c>
      <c r="C3101" s="2401" t="s">
        <v>2550</v>
      </c>
      <c r="D3101" s="2402"/>
      <c r="E3101" s="2403" t="e">
        <f>(G3101-F3101)/G3101</f>
        <v>#VALUE!</v>
      </c>
      <c r="F3101" s="1958">
        <v>6.48</v>
      </c>
      <c r="G3101" s="351" t="s">
        <v>1903</v>
      </c>
    </row>
    <row r="3102" spans="1:7" s="2885" customFormat="1">
      <c r="A3102" s="2940"/>
      <c r="B3102" s="2965"/>
      <c r="C3102" s="2966" t="s">
        <v>2551</v>
      </c>
      <c r="D3102" s="2967"/>
      <c r="E3102" s="2968" t="e">
        <f>(G3102-F3102)/G3102</f>
        <v>#VALUE!</v>
      </c>
      <c r="F3102" s="2969">
        <v>6.48</v>
      </c>
      <c r="G3102" s="351" t="s">
        <v>1903</v>
      </c>
    </row>
    <row r="3103" spans="1:7" s="2885" customFormat="1">
      <c r="A3103" s="2910"/>
      <c r="B3103" s="2911"/>
      <c r="C3103" s="2911" t="s">
        <v>2552</v>
      </c>
      <c r="D3103" s="2911"/>
      <c r="E3103" s="2968" t="e">
        <f>(G3103-F3103)/G3103</f>
        <v>#VALUE!</v>
      </c>
      <c r="F3103" s="2969">
        <v>6.48</v>
      </c>
      <c r="G3103" s="351" t="s">
        <v>1903</v>
      </c>
    </row>
    <row r="3105" spans="1:7" ht="15.75" thickBot="1"/>
    <row r="3106" spans="1:7" s="2885" customFormat="1">
      <c r="A3106" s="3572" t="s">
        <v>0</v>
      </c>
      <c r="B3106" s="3557" t="s">
        <v>1</v>
      </c>
      <c r="C3106" s="3557" t="s">
        <v>2</v>
      </c>
      <c r="D3106" s="3557" t="s">
        <v>3</v>
      </c>
      <c r="E3106" s="3557" t="s">
        <v>4</v>
      </c>
      <c r="F3106" s="3559" t="s">
        <v>5</v>
      </c>
    </row>
    <row r="3107" spans="1:7" s="2885" customFormat="1">
      <c r="A3107" s="3905"/>
      <c r="B3107" s="3906"/>
      <c r="C3107" s="3906"/>
      <c r="D3107" s="3906"/>
      <c r="E3107" s="3906"/>
      <c r="F3107" s="3917"/>
    </row>
    <row r="3108" spans="1:7" s="2885" customFormat="1">
      <c r="A3108" s="2940" t="s">
        <v>3553</v>
      </c>
      <c r="B3108" s="2965" t="s">
        <v>2155</v>
      </c>
      <c r="C3108" s="2966" t="s">
        <v>3056</v>
      </c>
      <c r="D3108" s="2967"/>
      <c r="E3108" s="2968" t="e">
        <f t="shared" ref="E3108:E3114" si="154">(G3108-F3108)/G3108</f>
        <v>#VALUE!</v>
      </c>
      <c r="F3108" s="2969">
        <v>24.47</v>
      </c>
      <c r="G3108" s="351" t="s">
        <v>1903</v>
      </c>
    </row>
    <row r="3109" spans="1:7" s="2885" customFormat="1">
      <c r="A3109" s="2940"/>
      <c r="B3109" s="2965"/>
      <c r="C3109" s="2966" t="s">
        <v>3054</v>
      </c>
      <c r="D3109" s="2967"/>
      <c r="E3109" s="2968" t="e">
        <f t="shared" si="154"/>
        <v>#VALUE!</v>
      </c>
      <c r="F3109" s="2969">
        <v>24.47</v>
      </c>
      <c r="G3109" s="351" t="s">
        <v>1903</v>
      </c>
    </row>
    <row r="3110" spans="1:7" s="2885" customFormat="1">
      <c r="A3110" s="2910"/>
      <c r="B3110" s="2911"/>
      <c r="C3110" s="2911" t="s">
        <v>3055</v>
      </c>
      <c r="D3110" s="2911"/>
      <c r="E3110" s="2968" t="e">
        <f t="shared" si="154"/>
        <v>#VALUE!</v>
      </c>
      <c r="F3110" s="2969">
        <v>24.47</v>
      </c>
      <c r="G3110" s="351" t="s">
        <v>1903</v>
      </c>
    </row>
    <row r="3111" spans="1:7" s="2885" customFormat="1">
      <c r="A3111" s="2910"/>
      <c r="B3111" s="2911"/>
      <c r="C3111" s="3106" t="s">
        <v>2156</v>
      </c>
      <c r="D3111" s="2911"/>
      <c r="E3111" s="2968">
        <f t="shared" si="154"/>
        <v>0.19915254237288135</v>
      </c>
      <c r="F3111" s="2913">
        <v>1.89</v>
      </c>
      <c r="G3111" s="2885">
        <v>2.36</v>
      </c>
    </row>
    <row r="3112" spans="1:7" s="2885" customFormat="1">
      <c r="A3112" s="2910"/>
      <c r="B3112" s="2911"/>
      <c r="C3112" s="3106" t="s">
        <v>2743</v>
      </c>
      <c r="D3112" s="2911"/>
      <c r="E3112" s="2968">
        <f t="shared" si="154"/>
        <v>0.14473684210526314</v>
      </c>
      <c r="F3112" s="2913">
        <v>0.65</v>
      </c>
      <c r="G3112" s="2885">
        <v>0.76</v>
      </c>
    </row>
    <row r="3113" spans="1:7" s="2885" customFormat="1">
      <c r="A3113" s="2910"/>
      <c r="B3113" s="2911"/>
      <c r="C3113" s="3106" t="s">
        <v>1975</v>
      </c>
      <c r="D3113" s="2911"/>
      <c r="E3113" s="2968">
        <f t="shared" si="154"/>
        <v>0.23497267759562848</v>
      </c>
      <c r="F3113" s="2913">
        <v>1.4</v>
      </c>
      <c r="G3113" s="2885">
        <v>1.83</v>
      </c>
    </row>
    <row r="3114" spans="1:7" s="2885" customFormat="1" ht="15.75" thickBot="1">
      <c r="A3114" s="2914"/>
      <c r="B3114" s="2915"/>
      <c r="C3114" s="3107" t="s">
        <v>2637</v>
      </c>
      <c r="D3114" s="2915"/>
      <c r="E3114" s="2970">
        <f t="shared" si="154"/>
        <v>0.22222222222222213</v>
      </c>
      <c r="F3114" s="2917">
        <v>0.14000000000000001</v>
      </c>
      <c r="G3114" s="2885">
        <v>0.18</v>
      </c>
    </row>
    <row r="3115" spans="1:7" ht="15.75" thickBot="1"/>
    <row r="3116" spans="1:7" s="2885" customFormat="1">
      <c r="A3116" s="3572" t="s">
        <v>0</v>
      </c>
      <c r="B3116" s="3557" t="s">
        <v>1</v>
      </c>
      <c r="C3116" s="3557" t="s">
        <v>2</v>
      </c>
      <c r="D3116" s="3557" t="s">
        <v>3</v>
      </c>
      <c r="E3116" s="3557" t="s">
        <v>4</v>
      </c>
      <c r="F3116" s="3559" t="s">
        <v>5</v>
      </c>
    </row>
    <row r="3117" spans="1:7" s="2885" customFormat="1" ht="15.75" thickBot="1">
      <c r="A3117" s="3905"/>
      <c r="B3117" s="3906"/>
      <c r="C3117" s="3906"/>
      <c r="D3117" s="3906"/>
      <c r="E3117" s="3906"/>
      <c r="F3117" s="3917"/>
    </row>
    <row r="3118" spans="1:7" s="2885" customFormat="1">
      <c r="A3118" s="1675" t="s">
        <v>3587</v>
      </c>
      <c r="B3118" s="2400" t="s">
        <v>2196</v>
      </c>
      <c r="C3118" s="2401" t="s">
        <v>3389</v>
      </c>
      <c r="D3118" s="2402"/>
      <c r="E3118" s="2403">
        <f t="shared" ref="E3118:E3135" si="155">(G3118-F3118)/G3118</f>
        <v>0.1939655172413792</v>
      </c>
      <c r="F3118" s="1958">
        <v>1.87</v>
      </c>
      <c r="G3118" s="2885">
        <v>2.3199999999999998</v>
      </c>
    </row>
    <row r="3119" spans="1:7" s="2885" customFormat="1">
      <c r="A3119" s="2910"/>
      <c r="B3119" s="2911"/>
      <c r="C3119" s="2966" t="s">
        <v>3388</v>
      </c>
      <c r="D3119" s="2911"/>
      <c r="E3119" s="2968">
        <f t="shared" si="155"/>
        <v>0.1939655172413792</v>
      </c>
      <c r="F3119" s="2969">
        <v>1.87</v>
      </c>
      <c r="G3119" s="2885">
        <v>2.3199999999999998</v>
      </c>
    </row>
    <row r="3120" spans="1:7" s="2885" customFormat="1">
      <c r="A3120" s="2910"/>
      <c r="B3120" s="2911"/>
      <c r="C3120" s="2911" t="s">
        <v>3390</v>
      </c>
      <c r="D3120" s="2911"/>
      <c r="E3120" s="2968">
        <f t="shared" si="155"/>
        <v>0.19230769230769226</v>
      </c>
      <c r="F3120" s="2969">
        <v>2.31</v>
      </c>
      <c r="G3120" s="2885">
        <v>2.86</v>
      </c>
    </row>
    <row r="3121" spans="1:7" s="2885" customFormat="1">
      <c r="A3121" s="2910"/>
      <c r="B3121" s="2911"/>
      <c r="C3121" s="2911" t="s">
        <v>3392</v>
      </c>
      <c r="D3121" s="2911"/>
      <c r="E3121" s="2968">
        <f t="shared" si="155"/>
        <v>0.19078947368421054</v>
      </c>
      <c r="F3121" s="2969">
        <v>2.46</v>
      </c>
      <c r="G3121" s="2885">
        <v>3.04</v>
      </c>
    </row>
    <row r="3122" spans="1:7" s="2885" customFormat="1">
      <c r="A3122" s="2910"/>
      <c r="B3122" s="2911"/>
      <c r="C3122" s="2911" t="s">
        <v>3393</v>
      </c>
      <c r="D3122" s="2911"/>
      <c r="E3122" s="2968">
        <f t="shared" si="155"/>
        <v>0.19078947368421054</v>
      </c>
      <c r="F3122" s="2969">
        <v>2.46</v>
      </c>
      <c r="G3122" s="2885">
        <v>3.04</v>
      </c>
    </row>
    <row r="3123" spans="1:7" s="2885" customFormat="1">
      <c r="A3123" s="2910"/>
      <c r="B3123" s="2911"/>
      <c r="C3123" s="2911" t="s">
        <v>3588</v>
      </c>
      <c r="D3123" s="2911"/>
      <c r="E3123" s="2968">
        <f t="shared" si="155"/>
        <v>0.19241982507288632</v>
      </c>
      <c r="F3123" s="2969">
        <v>2.77</v>
      </c>
      <c r="G3123" s="2885">
        <v>3.43</v>
      </c>
    </row>
    <row r="3124" spans="1:7" s="2885" customFormat="1">
      <c r="A3124" s="2910"/>
      <c r="B3124" s="2911"/>
      <c r="C3124" s="2911" t="s">
        <v>3524</v>
      </c>
      <c r="D3124" s="2911"/>
      <c r="E3124" s="2968">
        <f t="shared" si="155"/>
        <v>0.19219219219219222</v>
      </c>
      <c r="F3124" s="2969">
        <v>2.69</v>
      </c>
      <c r="G3124" s="2885">
        <v>3.33</v>
      </c>
    </row>
    <row r="3125" spans="1:7" s="2885" customFormat="1">
      <c r="A3125" s="2910"/>
      <c r="B3125" s="2911"/>
      <c r="C3125" s="2911" t="s">
        <v>3589</v>
      </c>
      <c r="D3125" s="2911"/>
      <c r="E3125" s="2968">
        <f t="shared" si="155"/>
        <v>0.20408163265306117</v>
      </c>
      <c r="F3125" s="2969">
        <v>0.78</v>
      </c>
      <c r="G3125" s="2885">
        <v>0.98</v>
      </c>
    </row>
    <row r="3126" spans="1:7" s="2885" customFormat="1">
      <c r="A3126" s="2910"/>
      <c r="B3126" s="2911"/>
      <c r="C3126" s="2911" t="s">
        <v>3590</v>
      </c>
      <c r="D3126" s="2911"/>
      <c r="E3126" s="2968">
        <f t="shared" si="155"/>
        <v>0.20408163265306117</v>
      </c>
      <c r="F3126" s="2969">
        <v>0.78</v>
      </c>
      <c r="G3126" s="2885">
        <v>0.98</v>
      </c>
    </row>
    <row r="3127" spans="1:7" s="2885" customFormat="1">
      <c r="A3127" s="2910"/>
      <c r="B3127" s="2911"/>
      <c r="C3127" s="2911" t="s">
        <v>3591</v>
      </c>
      <c r="D3127" s="2911"/>
      <c r="E3127" s="2968">
        <f t="shared" si="155"/>
        <v>0.20408163265306117</v>
      </c>
      <c r="F3127" s="2969">
        <v>0.78</v>
      </c>
      <c r="G3127" s="2885">
        <v>0.98</v>
      </c>
    </row>
    <row r="3128" spans="1:7" s="2885" customFormat="1">
      <c r="A3128" s="2910"/>
      <c r="B3128" s="2911"/>
      <c r="C3128" s="2911" t="s">
        <v>3592</v>
      </c>
      <c r="D3128" s="2911"/>
      <c r="E3128" s="2968">
        <f t="shared" si="155"/>
        <v>0.20408163265306117</v>
      </c>
      <c r="F3128" s="2969">
        <v>0.78</v>
      </c>
      <c r="G3128" s="2885">
        <v>0.98</v>
      </c>
    </row>
    <row r="3129" spans="1:7" s="2885" customFormat="1">
      <c r="A3129" s="2910"/>
      <c r="B3129" s="2911"/>
      <c r="C3129" s="2911" t="s">
        <v>3593</v>
      </c>
      <c r="D3129" s="2911"/>
      <c r="E3129" s="2968">
        <f t="shared" si="155"/>
        <v>0.19230769230769237</v>
      </c>
      <c r="F3129" s="2969">
        <v>0.42</v>
      </c>
      <c r="G3129" s="2885">
        <v>0.52</v>
      </c>
    </row>
    <row r="3130" spans="1:7" s="2885" customFormat="1">
      <c r="A3130" s="2910"/>
      <c r="B3130" s="2911"/>
      <c r="C3130" s="2911" t="s">
        <v>3594</v>
      </c>
      <c r="D3130" s="2911"/>
      <c r="E3130" s="2968">
        <f t="shared" si="155"/>
        <v>0.19230769230769237</v>
      </c>
      <c r="F3130" s="2969">
        <v>0.42</v>
      </c>
      <c r="G3130" s="2885">
        <v>0.52</v>
      </c>
    </row>
    <row r="3131" spans="1:7" s="2885" customFormat="1">
      <c r="A3131" s="2910"/>
      <c r="B3131" s="2911"/>
      <c r="C3131" s="2911" t="s">
        <v>3595</v>
      </c>
      <c r="D3131" s="2911"/>
      <c r="E3131" s="2968">
        <f t="shared" si="155"/>
        <v>0.19540229885057475</v>
      </c>
      <c r="F3131" s="2969">
        <v>0.7</v>
      </c>
      <c r="G3131" s="2885">
        <v>0.87</v>
      </c>
    </row>
    <row r="3132" spans="1:7" s="2885" customFormat="1">
      <c r="A3132" s="2910"/>
      <c r="B3132" s="2911"/>
      <c r="C3132" s="2911" t="s">
        <v>3596</v>
      </c>
      <c r="D3132" s="2911"/>
      <c r="E3132" s="2968">
        <f t="shared" si="155"/>
        <v>0.19540229885057475</v>
      </c>
      <c r="F3132" s="2969">
        <v>0.7</v>
      </c>
      <c r="G3132" s="2885">
        <v>0.87</v>
      </c>
    </row>
    <row r="3133" spans="1:7" s="2885" customFormat="1">
      <c r="A3133" s="2910"/>
      <c r="B3133" s="2911"/>
      <c r="C3133" s="2911" t="s">
        <v>3597</v>
      </c>
      <c r="D3133" s="2911"/>
      <c r="E3133" s="2968">
        <f t="shared" si="155"/>
        <v>0.19540229885057475</v>
      </c>
      <c r="F3133" s="2969">
        <v>0.7</v>
      </c>
      <c r="G3133" s="2885">
        <v>0.87</v>
      </c>
    </row>
    <row r="3134" spans="1:7" s="2885" customFormat="1">
      <c r="A3134" s="2910"/>
      <c r="B3134" s="2911"/>
      <c r="C3134" s="2911" t="s">
        <v>3598</v>
      </c>
      <c r="D3134" s="2911"/>
      <c r="E3134" s="2968">
        <f t="shared" si="155"/>
        <v>0.15196078431372551</v>
      </c>
      <c r="F3134" s="2969">
        <v>1.73</v>
      </c>
      <c r="G3134" s="2885">
        <v>2.04</v>
      </c>
    </row>
    <row r="3135" spans="1:7" s="2885" customFormat="1" ht="15.75" thickBot="1">
      <c r="A3135" s="2914"/>
      <c r="B3135" s="2915"/>
      <c r="C3135" s="2915" t="s">
        <v>3004</v>
      </c>
      <c r="D3135" s="2915"/>
      <c r="E3135" s="2970">
        <f t="shared" si="155"/>
        <v>0.16226415094339613</v>
      </c>
      <c r="F3135" s="2971">
        <v>2.2200000000000002</v>
      </c>
      <c r="G3135" s="2885">
        <v>2.65</v>
      </c>
    </row>
    <row r="3136" spans="1:7" s="2885" customFormat="1" ht="15.75" thickBot="1"/>
    <row r="3137" spans="1:7" s="2885" customFormat="1">
      <c r="A3137" s="3572" t="s">
        <v>0</v>
      </c>
      <c r="B3137" s="3557" t="s">
        <v>1</v>
      </c>
      <c r="C3137" s="3557" t="s">
        <v>2</v>
      </c>
      <c r="D3137" s="3557" t="s">
        <v>3</v>
      </c>
      <c r="E3137" s="3557" t="s">
        <v>4</v>
      </c>
      <c r="F3137" s="3559" t="s">
        <v>5</v>
      </c>
    </row>
    <row r="3138" spans="1:7" s="2885" customFormat="1">
      <c r="A3138" s="3905"/>
      <c r="B3138" s="3906"/>
      <c r="C3138" s="3906"/>
      <c r="D3138" s="3906"/>
      <c r="E3138" s="3906"/>
      <c r="F3138" s="3917"/>
    </row>
    <row r="3139" spans="1:7" s="2885" customFormat="1" ht="15.75" thickBot="1">
      <c r="A3139" s="3003" t="s">
        <v>3599</v>
      </c>
      <c r="B3139" s="3055" t="s">
        <v>2155</v>
      </c>
      <c r="C3139" s="3116" t="s">
        <v>1891</v>
      </c>
      <c r="D3139" s="3056"/>
      <c r="E3139" s="2970">
        <f>(G3139-F3139)/G3139</f>
        <v>0.4</v>
      </c>
      <c r="F3139" s="2971">
        <v>0.75</v>
      </c>
      <c r="G3139" s="351">
        <v>1.25</v>
      </c>
    </row>
    <row r="3140" spans="1:7" s="2885" customFormat="1" ht="15.75" thickBot="1"/>
    <row r="3141" spans="1:7" s="2885" customFormat="1">
      <c r="A3141" s="3572" t="s">
        <v>0</v>
      </c>
      <c r="B3141" s="3557" t="s">
        <v>1</v>
      </c>
      <c r="C3141" s="3557" t="s">
        <v>2</v>
      </c>
      <c r="D3141" s="3557" t="s">
        <v>3</v>
      </c>
      <c r="E3141" s="3557" t="s">
        <v>4</v>
      </c>
      <c r="F3141" s="3559" t="s">
        <v>5</v>
      </c>
    </row>
    <row r="3142" spans="1:7" s="2885" customFormat="1">
      <c r="A3142" s="3905"/>
      <c r="B3142" s="3906"/>
      <c r="C3142" s="3906"/>
      <c r="D3142" s="3906"/>
      <c r="E3142" s="3906"/>
      <c r="F3142" s="3917"/>
    </row>
    <row r="3143" spans="1:7" s="2885" customFormat="1">
      <c r="A3143" s="2940" t="s">
        <v>3600</v>
      </c>
      <c r="B3143" s="2965" t="s">
        <v>2155</v>
      </c>
      <c r="C3143" s="3153" t="s">
        <v>2462</v>
      </c>
      <c r="D3143" s="2967"/>
      <c r="E3143" s="2968">
        <f>(G3143-F3143)/G3143</f>
        <v>0.22758620689655162</v>
      </c>
      <c r="F3143" s="2969">
        <v>1.1200000000000001</v>
      </c>
      <c r="G3143" s="351">
        <v>1.45</v>
      </c>
    </row>
    <row r="3144" spans="1:7" s="2885" customFormat="1">
      <c r="A3144" s="2940"/>
      <c r="B3144" s="2965"/>
      <c r="C3144" s="3153" t="s">
        <v>1772</v>
      </c>
      <c r="D3144" s="2967"/>
      <c r="E3144" s="2968">
        <f>(G3144-F3144)/G3144</f>
        <v>0.18343195266272194</v>
      </c>
      <c r="F3144" s="2969">
        <v>1.38</v>
      </c>
      <c r="G3144" s="351">
        <v>1.69</v>
      </c>
    </row>
    <row r="3145" spans="1:7" s="2885" customFormat="1">
      <c r="A3145" s="2910"/>
      <c r="B3145" s="2911"/>
      <c r="C3145" s="2911" t="s">
        <v>2637</v>
      </c>
      <c r="D3145" s="2911"/>
      <c r="E3145" s="2968">
        <f>(G3145-F3145)/G3145</f>
        <v>0.16666666666666666</v>
      </c>
      <c r="F3145" s="2969">
        <v>0.15</v>
      </c>
      <c r="G3145" s="351">
        <v>0.18</v>
      </c>
    </row>
    <row r="3146" spans="1:7" s="2885" customFormat="1">
      <c r="A3146" s="2910"/>
      <c r="B3146" s="2911"/>
      <c r="C3146" s="2911" t="s">
        <v>2077</v>
      </c>
      <c r="D3146" s="2911"/>
      <c r="E3146" s="2968">
        <f>(G3146-F3146)/G3146</f>
        <v>0.22222222222222229</v>
      </c>
      <c r="F3146" s="2913">
        <v>0.35</v>
      </c>
      <c r="G3146" s="351">
        <v>0.45</v>
      </c>
    </row>
    <row r="3147" spans="1:7" s="2885" customFormat="1">
      <c r="A3147" s="2910"/>
      <c r="B3147" s="2911"/>
      <c r="C3147" s="2911" t="s">
        <v>2251</v>
      </c>
      <c r="D3147" s="2911"/>
      <c r="E3147" s="2968">
        <f>(G3147-F3147)/G3147</f>
        <v>0.21810699588477375</v>
      </c>
      <c r="F3147" s="2913">
        <v>1.9</v>
      </c>
      <c r="G3147" s="351">
        <v>2.4300000000000002</v>
      </c>
    </row>
    <row r="3148" spans="1:7" ht="15.75" thickBot="1"/>
    <row r="3149" spans="1:7" s="2885" customFormat="1">
      <c r="A3149" s="3614" t="s">
        <v>0</v>
      </c>
      <c r="B3149" s="3518" t="s">
        <v>1</v>
      </c>
      <c r="C3149" s="3518" t="s">
        <v>2</v>
      </c>
      <c r="D3149" s="3518" t="s">
        <v>3</v>
      </c>
      <c r="E3149" s="3518" t="s">
        <v>4</v>
      </c>
      <c r="F3149" s="3522" t="s">
        <v>5</v>
      </c>
      <c r="G3149" s="3522" t="s">
        <v>3504</v>
      </c>
    </row>
    <row r="3150" spans="1:7" s="2885" customFormat="1" ht="15.75" thickBot="1">
      <c r="A3150" s="3555"/>
      <c r="B3150" s="3550"/>
      <c r="C3150" s="3550"/>
      <c r="D3150" s="3550"/>
      <c r="E3150" s="3550"/>
      <c r="F3150" s="3588"/>
      <c r="G3150" s="3588"/>
    </row>
    <row r="3151" spans="1:7" s="2885" customFormat="1">
      <c r="A3151" s="1675" t="s">
        <v>3601</v>
      </c>
      <c r="B3151" s="1163" t="s">
        <v>2183</v>
      </c>
      <c r="C3151" s="2421" t="s">
        <v>1904</v>
      </c>
      <c r="D3151" s="2421"/>
      <c r="E3151" s="1198">
        <f t="shared" ref="E3151:E3181" si="156">(G3151-F3151)/G3151</f>
        <v>0.2023809523809523</v>
      </c>
      <c r="F3151" s="3057">
        <v>1.34</v>
      </c>
      <c r="G3151" s="881">
        <v>1.68</v>
      </c>
    </row>
    <row r="3152" spans="1:7" s="2885" customFormat="1">
      <c r="A3152" s="2904"/>
      <c r="B3152" s="2905"/>
      <c r="C3152" s="2911" t="s">
        <v>2176</v>
      </c>
      <c r="D3152" s="2911"/>
      <c r="E3152" s="2912">
        <f t="shared" si="156"/>
        <v>0.20000000000000007</v>
      </c>
      <c r="F3152" s="3010">
        <v>1.96</v>
      </c>
      <c r="G3152" s="2913">
        <v>2.4500000000000002</v>
      </c>
    </row>
    <row r="3153" spans="1:7" s="2885" customFormat="1">
      <c r="A3153" s="2904"/>
      <c r="B3153" s="2905"/>
      <c r="C3153" s="2911" t="s">
        <v>3005</v>
      </c>
      <c r="D3153" s="2911"/>
      <c r="E3153" s="2912">
        <f t="shared" si="156"/>
        <v>9.999999999999995E-2</v>
      </c>
      <c r="F3153" s="3010">
        <v>2.1870000000000003</v>
      </c>
      <c r="G3153" s="2913">
        <v>2.4300000000000002</v>
      </c>
    </row>
    <row r="3154" spans="1:7" s="2885" customFormat="1">
      <c r="A3154" s="2904"/>
      <c r="B3154" s="2905"/>
      <c r="C3154" s="2911" t="s">
        <v>3004</v>
      </c>
      <c r="D3154" s="2911"/>
      <c r="E3154" s="2912">
        <f t="shared" si="156"/>
        <v>9.999999999999995E-2</v>
      </c>
      <c r="F3154" s="3010">
        <v>2.1870000000000003</v>
      </c>
      <c r="G3154" s="2913">
        <v>2.4300000000000002</v>
      </c>
    </row>
    <row r="3155" spans="1:7" s="2885" customFormat="1">
      <c r="A3155" s="2910"/>
      <c r="B3155" s="2911"/>
      <c r="C3155" s="2911" t="s">
        <v>3388</v>
      </c>
      <c r="D3155" s="2911"/>
      <c r="E3155" s="2912">
        <f t="shared" si="156"/>
        <v>0.2</v>
      </c>
      <c r="F3155" s="3010">
        <v>1.8559999999999999</v>
      </c>
      <c r="G3155" s="2913">
        <v>2.3199999999999998</v>
      </c>
    </row>
    <row r="3156" spans="1:7" s="2885" customFormat="1">
      <c r="A3156" s="2910"/>
      <c r="B3156" s="2911"/>
      <c r="C3156" s="2911" t="s">
        <v>3389</v>
      </c>
      <c r="D3156" s="2911"/>
      <c r="E3156" s="2912">
        <f t="shared" si="156"/>
        <v>0.2</v>
      </c>
      <c r="F3156" s="3010">
        <v>1.8559999999999999</v>
      </c>
      <c r="G3156" s="2913">
        <v>2.3199999999999998</v>
      </c>
    </row>
    <row r="3157" spans="1:7" s="2885" customFormat="1">
      <c r="A3157" s="2910"/>
      <c r="B3157" s="2911"/>
      <c r="C3157" s="2911" t="s">
        <v>3390</v>
      </c>
      <c r="D3157" s="2911"/>
      <c r="E3157" s="2912">
        <f t="shared" si="156"/>
        <v>0.20000000000000004</v>
      </c>
      <c r="F3157" s="3010">
        <v>2.2879999999999998</v>
      </c>
      <c r="G3157" s="2913">
        <v>2.86</v>
      </c>
    </row>
    <row r="3158" spans="1:7" s="2885" customFormat="1">
      <c r="A3158" s="2910"/>
      <c r="B3158" s="2911"/>
      <c r="C3158" s="2911" t="s">
        <v>3391</v>
      </c>
      <c r="D3158" s="2911"/>
      <c r="E3158" s="2912">
        <f t="shared" si="156"/>
        <v>0.19999999999999987</v>
      </c>
      <c r="F3158" s="3010">
        <v>1.2400000000000002</v>
      </c>
      <c r="G3158" s="2913">
        <v>1.55</v>
      </c>
    </row>
    <row r="3159" spans="1:7" s="2885" customFormat="1">
      <c r="A3159" s="2910"/>
      <c r="B3159" s="2911"/>
      <c r="C3159" s="2911" t="s">
        <v>3392</v>
      </c>
      <c r="D3159" s="2911"/>
      <c r="E3159" s="2912">
        <f t="shared" si="156"/>
        <v>0.19999999999999987</v>
      </c>
      <c r="F3159" s="3010">
        <v>2.4320000000000004</v>
      </c>
      <c r="G3159" s="2913">
        <v>3.04</v>
      </c>
    </row>
    <row r="3160" spans="1:7" s="2885" customFormat="1">
      <c r="A3160" s="2910"/>
      <c r="B3160" s="2911"/>
      <c r="C3160" s="2911" t="s">
        <v>3393</v>
      </c>
      <c r="D3160" s="2911"/>
      <c r="E3160" s="2912">
        <f t="shared" si="156"/>
        <v>0.19999999999999987</v>
      </c>
      <c r="F3160" s="3010">
        <v>2.4320000000000004</v>
      </c>
      <c r="G3160" s="2913">
        <v>3.04</v>
      </c>
    </row>
    <row r="3161" spans="1:7" s="2885" customFormat="1">
      <c r="A3161" s="2910"/>
      <c r="B3161" s="2911"/>
      <c r="C3161" s="2911" t="s">
        <v>3512</v>
      </c>
      <c r="D3161" s="2911"/>
      <c r="E3161" s="2912">
        <f t="shared" si="156"/>
        <v>0.2</v>
      </c>
      <c r="F3161" s="3010">
        <v>0.90399999999999991</v>
      </c>
      <c r="G3161" s="2913">
        <v>1.1299999999999999</v>
      </c>
    </row>
    <row r="3162" spans="1:7" s="2885" customFormat="1">
      <c r="A3162" s="2910"/>
      <c r="B3162" s="2911"/>
      <c r="C3162" s="2911" t="s">
        <v>3513</v>
      </c>
      <c r="D3162" s="2911"/>
      <c r="E3162" s="2912">
        <f t="shared" si="156"/>
        <v>0.19999999999999996</v>
      </c>
      <c r="F3162" s="3010">
        <v>1.5680000000000001</v>
      </c>
      <c r="G3162" s="2913">
        <v>1.96</v>
      </c>
    </row>
    <row r="3163" spans="1:7" s="2885" customFormat="1">
      <c r="A3163" s="2910"/>
      <c r="B3163" s="2911"/>
      <c r="C3163" s="2911" t="s">
        <v>3514</v>
      </c>
      <c r="D3163" s="2911"/>
      <c r="E3163" s="2912">
        <f t="shared" si="156"/>
        <v>0.19999999999999987</v>
      </c>
      <c r="F3163" s="3010">
        <v>1.2400000000000002</v>
      </c>
      <c r="G3163" s="2913">
        <v>1.55</v>
      </c>
    </row>
    <row r="3164" spans="1:7" s="2885" customFormat="1">
      <c r="A3164" s="2910"/>
      <c r="B3164" s="2911"/>
      <c r="C3164" s="2911" t="s">
        <v>3515</v>
      </c>
      <c r="D3164" s="2911"/>
      <c r="E3164" s="2912">
        <f t="shared" si="156"/>
        <v>0.19999999999999987</v>
      </c>
      <c r="F3164" s="3010">
        <v>1.2400000000000002</v>
      </c>
      <c r="G3164" s="2913">
        <v>1.55</v>
      </c>
    </row>
    <row r="3165" spans="1:7" s="2885" customFormat="1">
      <c r="A3165" s="2910"/>
      <c r="B3165" s="2911"/>
      <c r="C3165" s="2911" t="s">
        <v>3516</v>
      </c>
      <c r="D3165" s="2911"/>
      <c r="E3165" s="2912">
        <f t="shared" si="156"/>
        <v>0.20000000000000004</v>
      </c>
      <c r="F3165" s="3010">
        <v>2.3359999999999999</v>
      </c>
      <c r="G3165" s="2913">
        <v>2.92</v>
      </c>
    </row>
    <row r="3166" spans="1:7" s="2885" customFormat="1">
      <c r="A3166" s="2910"/>
      <c r="B3166" s="2911"/>
      <c r="C3166" s="2911" t="s">
        <v>3517</v>
      </c>
      <c r="D3166" s="2911"/>
      <c r="E3166" s="2912">
        <f t="shared" si="156"/>
        <v>0.20000000000000004</v>
      </c>
      <c r="F3166" s="3010">
        <v>2.3359999999999999</v>
      </c>
      <c r="G3166" s="2913">
        <v>2.92</v>
      </c>
    </row>
    <row r="3167" spans="1:7" s="2885" customFormat="1">
      <c r="A3167" s="2910"/>
      <c r="B3167" s="2911"/>
      <c r="C3167" s="2911" t="s">
        <v>3518</v>
      </c>
      <c r="D3167" s="2911"/>
      <c r="E3167" s="2912">
        <f t="shared" si="156"/>
        <v>0.20000000000000004</v>
      </c>
      <c r="F3167" s="3010">
        <v>2.3359999999999999</v>
      </c>
      <c r="G3167" s="2913">
        <v>2.92</v>
      </c>
    </row>
    <row r="3168" spans="1:7" s="2885" customFormat="1">
      <c r="A3168" s="2910"/>
      <c r="B3168" s="2911"/>
      <c r="C3168" s="2911" t="s">
        <v>3519</v>
      </c>
      <c r="D3168" s="2911"/>
      <c r="E3168" s="2912">
        <f t="shared" si="156"/>
        <v>0.20000000000000004</v>
      </c>
      <c r="F3168" s="3010">
        <v>2.3359999999999999</v>
      </c>
      <c r="G3168" s="2913">
        <v>2.92</v>
      </c>
    </row>
    <row r="3169" spans="1:7" s="2885" customFormat="1">
      <c r="A3169" s="2910"/>
      <c r="B3169" s="2911"/>
      <c r="C3169" s="2911" t="s">
        <v>3520</v>
      </c>
      <c r="D3169" s="2911"/>
      <c r="E3169" s="2912">
        <f t="shared" si="156"/>
        <v>0.19999999999999987</v>
      </c>
      <c r="F3169" s="3010">
        <v>2.4320000000000004</v>
      </c>
      <c r="G3169" s="2913">
        <v>3.04</v>
      </c>
    </row>
    <row r="3170" spans="1:7" s="2885" customFormat="1">
      <c r="A3170" s="2910"/>
      <c r="B3170" s="2911"/>
      <c r="C3170" s="2911" t="s">
        <v>3521</v>
      </c>
      <c r="D3170" s="2911"/>
      <c r="E3170" s="2912">
        <f t="shared" si="156"/>
        <v>0.19999999999999987</v>
      </c>
      <c r="F3170" s="3010">
        <v>2.4320000000000004</v>
      </c>
      <c r="G3170" s="2913">
        <v>3.04</v>
      </c>
    </row>
    <row r="3171" spans="1:7" s="2885" customFormat="1">
      <c r="A3171" s="2910"/>
      <c r="B3171" s="2911"/>
      <c r="C3171" s="2911" t="s">
        <v>3522</v>
      </c>
      <c r="D3171" s="2911"/>
      <c r="E3171" s="2912">
        <f t="shared" si="156"/>
        <v>0.19999999999999987</v>
      </c>
      <c r="F3171" s="3010">
        <v>2.4320000000000004</v>
      </c>
      <c r="G3171" s="2913">
        <v>3.04</v>
      </c>
    </row>
    <row r="3172" spans="1:7" s="2885" customFormat="1">
      <c r="A3172" s="2910"/>
      <c r="B3172" s="2911"/>
      <c r="C3172" s="2911" t="s">
        <v>3523</v>
      </c>
      <c r="D3172" s="2911"/>
      <c r="E3172" s="2912">
        <f t="shared" si="156"/>
        <v>0.19999999999999987</v>
      </c>
      <c r="F3172" s="3010">
        <v>2.4320000000000004</v>
      </c>
      <c r="G3172" s="2913">
        <v>3.04</v>
      </c>
    </row>
    <row r="3173" spans="1:7" s="2885" customFormat="1">
      <c r="A3173" s="2910"/>
      <c r="B3173" s="2911"/>
      <c r="C3173" s="2911" t="s">
        <v>3524</v>
      </c>
      <c r="D3173" s="2911"/>
      <c r="E3173" s="2912">
        <f t="shared" si="156"/>
        <v>0.19999999999999998</v>
      </c>
      <c r="F3173" s="3010">
        <v>2.6640000000000001</v>
      </c>
      <c r="G3173" s="2913">
        <v>3.33</v>
      </c>
    </row>
    <row r="3174" spans="1:7" s="2885" customFormat="1">
      <c r="A3174" s="2910"/>
      <c r="B3174" s="2911"/>
      <c r="C3174" s="2911" t="s">
        <v>3525</v>
      </c>
      <c r="D3174" s="2911"/>
      <c r="E3174" s="2912">
        <f t="shared" si="156"/>
        <v>0.19999999999999996</v>
      </c>
      <c r="F3174" s="3010">
        <v>0.76</v>
      </c>
      <c r="G3174" s="2913">
        <v>0.95</v>
      </c>
    </row>
    <row r="3175" spans="1:7" s="2885" customFormat="1">
      <c r="A3175" s="2910"/>
      <c r="B3175" s="2911"/>
      <c r="C3175" s="2911" t="s">
        <v>3526</v>
      </c>
      <c r="D3175" s="2911"/>
      <c r="E3175" s="2912">
        <f t="shared" si="156"/>
        <v>0.19999999999999996</v>
      </c>
      <c r="F3175" s="3010">
        <v>0.76</v>
      </c>
      <c r="G3175" s="2913">
        <v>0.95</v>
      </c>
    </row>
    <row r="3176" spans="1:7" s="2885" customFormat="1">
      <c r="A3176" s="2910"/>
      <c r="B3176" s="2911"/>
      <c r="C3176" s="2911" t="s">
        <v>3527</v>
      </c>
      <c r="D3176" s="2911"/>
      <c r="E3176" s="2912">
        <f t="shared" si="156"/>
        <v>0.19999999999999993</v>
      </c>
      <c r="F3176" s="3010">
        <v>2.6080000000000001</v>
      </c>
      <c r="G3176" s="2913">
        <v>3.26</v>
      </c>
    </row>
    <row r="3177" spans="1:7" s="2885" customFormat="1">
      <c r="A3177" s="2910"/>
      <c r="B3177" s="2911"/>
      <c r="C3177" s="2911" t="s">
        <v>3528</v>
      </c>
      <c r="D3177" s="2911"/>
      <c r="E3177" s="2912">
        <f t="shared" si="156"/>
        <v>0.19999999999999987</v>
      </c>
      <c r="F3177" s="3010">
        <v>2.4160000000000004</v>
      </c>
      <c r="G3177" s="2913">
        <v>3.02</v>
      </c>
    </row>
    <row r="3178" spans="1:7" s="2885" customFormat="1">
      <c r="A3178" s="2910"/>
      <c r="B3178" s="2911"/>
      <c r="C3178" s="2911" t="s">
        <v>3529</v>
      </c>
      <c r="D3178" s="2911"/>
      <c r="E3178" s="2912">
        <f t="shared" si="156"/>
        <v>0.2</v>
      </c>
      <c r="F3178" s="3010">
        <v>3.1120000000000001</v>
      </c>
      <c r="G3178" s="2913">
        <v>3.89</v>
      </c>
    </row>
    <row r="3179" spans="1:7" s="2885" customFormat="1">
      <c r="A3179" s="2910"/>
      <c r="B3179" s="2911"/>
      <c r="C3179" s="2911" t="s">
        <v>3530</v>
      </c>
      <c r="D3179" s="2911"/>
      <c r="E3179" s="2912">
        <f t="shared" si="156"/>
        <v>0.19999999999999993</v>
      </c>
      <c r="F3179" s="3010">
        <v>2.008</v>
      </c>
      <c r="G3179" s="2913">
        <v>2.5099999999999998</v>
      </c>
    </row>
    <row r="3180" spans="1:7" s="2885" customFormat="1">
      <c r="A3180" s="2910"/>
      <c r="B3180" s="2911"/>
      <c r="C3180" s="2911" t="s">
        <v>3531</v>
      </c>
      <c r="D3180" s="2911"/>
      <c r="E3180" s="2912">
        <f t="shared" si="156"/>
        <v>0.19999999999999998</v>
      </c>
      <c r="F3180" s="3010">
        <v>1.8160000000000001</v>
      </c>
      <c r="G3180" s="2913">
        <v>2.27</v>
      </c>
    </row>
    <row r="3181" spans="1:7" s="2885" customFormat="1" ht="15.75" thickBot="1">
      <c r="A3181" s="2914"/>
      <c r="B3181" s="2915"/>
      <c r="C3181" s="2915" t="s">
        <v>3602</v>
      </c>
      <c r="D3181" s="2915"/>
      <c r="E3181" s="2916">
        <f t="shared" si="156"/>
        <v>0.19999999999999998</v>
      </c>
      <c r="F3181" s="3011">
        <v>1.8160000000000001</v>
      </c>
      <c r="G3181" s="2917">
        <v>2.27</v>
      </c>
    </row>
    <row r="3182" spans="1:7" s="2885" customFormat="1" ht="15.75" thickBot="1"/>
    <row r="3183" spans="1:7" s="2885" customFormat="1">
      <c r="A3183" s="3572" t="s">
        <v>0</v>
      </c>
      <c r="B3183" s="3557" t="s">
        <v>1</v>
      </c>
      <c r="C3183" s="3557" t="s">
        <v>2</v>
      </c>
      <c r="D3183" s="3557" t="s">
        <v>3</v>
      </c>
      <c r="E3183" s="3557" t="s">
        <v>4</v>
      </c>
      <c r="F3183" s="3559" t="s">
        <v>5</v>
      </c>
      <c r="G3183" s="429"/>
    </row>
    <row r="3184" spans="1:7" s="2885" customFormat="1" ht="15.75" thickBot="1">
      <c r="A3184" s="3905"/>
      <c r="B3184" s="3906"/>
      <c r="C3184" s="3906"/>
      <c r="D3184" s="3906"/>
      <c r="E3184" s="3906"/>
      <c r="F3184" s="3917"/>
      <c r="G3184" s="429"/>
    </row>
    <row r="3185" spans="1:7" s="2885" customFormat="1" ht="15.75">
      <c r="A3185" s="1675" t="s">
        <v>3603</v>
      </c>
      <c r="B3185" s="2887" t="s">
        <v>2082</v>
      </c>
      <c r="C3185" s="3058" t="s">
        <v>730</v>
      </c>
      <c r="D3185" s="2887"/>
      <c r="E3185" s="3059">
        <f t="shared" ref="E3185:E3190" si="157">(G3185-F3185)/G3185</f>
        <v>0.22916666666666666</v>
      </c>
      <c r="F3185" s="3060">
        <v>0.74</v>
      </c>
      <c r="G3185" s="436">
        <v>0.96</v>
      </c>
    </row>
    <row r="3186" spans="1:7" s="2885" customFormat="1">
      <c r="A3186" s="2894"/>
      <c r="B3186" s="2895"/>
      <c r="C3186" s="2986" t="s">
        <v>554</v>
      </c>
      <c r="D3186" s="2895"/>
      <c r="E3186" s="2912">
        <f t="shared" si="157"/>
        <v>0.22794117647058826</v>
      </c>
      <c r="F3186" s="3061">
        <v>1.05</v>
      </c>
      <c r="G3186" s="436">
        <v>1.36</v>
      </c>
    </row>
    <row r="3187" spans="1:7" s="2885" customFormat="1">
      <c r="A3187" s="3062"/>
      <c r="B3187" s="2895"/>
      <c r="C3187" s="3063" t="s">
        <v>3316</v>
      </c>
      <c r="D3187" s="2895"/>
      <c r="E3187" s="2912">
        <f t="shared" si="157"/>
        <v>0.19999999999999996</v>
      </c>
      <c r="F3187" s="3061">
        <v>0.8</v>
      </c>
      <c r="G3187" s="429">
        <v>1</v>
      </c>
    </row>
    <row r="3188" spans="1:7" s="2885" customFormat="1">
      <c r="A3188" s="3062"/>
      <c r="B3188" s="2911"/>
      <c r="C3188" s="2911" t="s">
        <v>3317</v>
      </c>
      <c r="D3188" s="2911"/>
      <c r="E3188" s="2912">
        <f t="shared" si="157"/>
        <v>0.19999999999999996</v>
      </c>
      <c r="F3188" s="3064">
        <v>0.8</v>
      </c>
      <c r="G3188" s="429">
        <v>1</v>
      </c>
    </row>
    <row r="3189" spans="1:7" s="2885" customFormat="1">
      <c r="A3189" s="3062"/>
      <c r="B3189" s="2911"/>
      <c r="C3189" s="2911" t="s">
        <v>1891</v>
      </c>
      <c r="D3189" s="2911"/>
      <c r="E3189" s="2912">
        <f t="shared" si="157"/>
        <v>0.35658914728682173</v>
      </c>
      <c r="F3189" s="3064">
        <v>0.83</v>
      </c>
      <c r="G3189" s="528">
        <v>1.29</v>
      </c>
    </row>
    <row r="3190" spans="1:7" s="2885" customFormat="1" ht="15.75" thickBot="1">
      <c r="A3190" s="3065"/>
      <c r="B3190" s="2915"/>
      <c r="C3190" s="2915" t="s">
        <v>1904</v>
      </c>
      <c r="D3190" s="2915"/>
      <c r="E3190" s="2916">
        <f t="shared" si="157"/>
        <v>0.24712643678160917</v>
      </c>
      <c r="F3190" s="3066">
        <v>1.31</v>
      </c>
      <c r="G3190" s="528">
        <v>1.74</v>
      </c>
    </row>
    <row r="3192" spans="1:7" ht="15.75" thickBot="1"/>
    <row r="3193" spans="1:7" s="2885" customFormat="1" ht="15" customHeight="1">
      <c r="A3193" s="3614" t="s">
        <v>0</v>
      </c>
      <c r="B3193" s="3518" t="s">
        <v>1</v>
      </c>
      <c r="C3193" s="3518" t="s">
        <v>2</v>
      </c>
      <c r="D3193" s="3518" t="s">
        <v>3</v>
      </c>
      <c r="E3193" s="3518" t="s">
        <v>4</v>
      </c>
      <c r="F3193" s="3518" t="s">
        <v>5</v>
      </c>
      <c r="G3193" s="3522" t="s">
        <v>3504</v>
      </c>
    </row>
    <row r="3194" spans="1:7" s="2885" customFormat="1" ht="15.75" customHeight="1">
      <c r="A3194" s="3889"/>
      <c r="B3194" s="3556"/>
      <c r="C3194" s="3556"/>
      <c r="D3194" s="3556"/>
      <c r="E3194" s="3556"/>
      <c r="F3194" s="3556"/>
      <c r="G3194" s="3890"/>
    </row>
    <row r="3195" spans="1:7" s="2885" customFormat="1">
      <c r="A3195" s="2940" t="s">
        <v>3607</v>
      </c>
      <c r="B3195" s="2895" t="s">
        <v>460</v>
      </c>
      <c r="C3195" s="2906" t="s">
        <v>3004</v>
      </c>
      <c r="D3195" s="2941"/>
      <c r="E3195" s="2896">
        <f>(G3195-F3195)/G3195</f>
        <v>0.15079365079365076</v>
      </c>
      <c r="F3195" s="2941">
        <v>2.14</v>
      </c>
      <c r="G3195" s="2913">
        <v>2.52</v>
      </c>
    </row>
    <row r="3196" spans="1:7" s="2885" customFormat="1">
      <c r="A3196" s="2940"/>
      <c r="B3196" s="2905" t="s">
        <v>1674</v>
      </c>
      <c r="C3196" s="2906" t="s">
        <v>3005</v>
      </c>
      <c r="D3196" s="2941"/>
      <c r="E3196" s="2896">
        <f>(G3196-F3196)/G3196</f>
        <v>0.15079365079365076</v>
      </c>
      <c r="F3196" s="2941">
        <v>2.14</v>
      </c>
      <c r="G3196" s="2913">
        <v>2.52</v>
      </c>
    </row>
    <row r="3197" spans="1:7" s="2885" customFormat="1">
      <c r="A3197" s="2910"/>
      <c r="B3197" s="2911"/>
      <c r="C3197" s="2911" t="s">
        <v>1975</v>
      </c>
      <c r="D3197" s="2911"/>
      <c r="E3197" s="2896">
        <f>(G3197-F3197)/G3197</f>
        <v>0.2320441988950277</v>
      </c>
      <c r="F3197" s="2911">
        <v>1.39</v>
      </c>
      <c r="G3197" s="2913">
        <v>1.81</v>
      </c>
    </row>
    <row r="3198" spans="1:7" s="2885" customFormat="1" ht="15.75" thickBot="1">
      <c r="A3198" s="2914"/>
      <c r="B3198" s="2915"/>
      <c r="C3198" s="2915" t="s">
        <v>1714</v>
      </c>
      <c r="D3198" s="2915"/>
      <c r="E3198" s="2890">
        <f>(G3198-F3198)/G3198</f>
        <v>0.19999999999999987</v>
      </c>
      <c r="F3198" s="2915">
        <v>1.1200000000000001</v>
      </c>
      <c r="G3198" s="2917">
        <v>1.4</v>
      </c>
    </row>
    <row r="3200" spans="1:7" ht="15.75" thickBot="1"/>
    <row r="3201" spans="1:7" s="2885" customFormat="1" ht="15" customHeight="1">
      <c r="A3201" s="3614" t="s">
        <v>0</v>
      </c>
      <c r="B3201" s="3518" t="s">
        <v>1</v>
      </c>
      <c r="C3201" s="3518" t="s">
        <v>2</v>
      </c>
      <c r="D3201" s="3518" t="s">
        <v>3</v>
      </c>
      <c r="E3201" s="3518" t="s">
        <v>4</v>
      </c>
      <c r="F3201" s="3518" t="s">
        <v>5</v>
      </c>
      <c r="G3201" s="3522" t="s">
        <v>3504</v>
      </c>
    </row>
    <row r="3202" spans="1:7" s="2885" customFormat="1" ht="15.75" customHeight="1" thickBot="1">
      <c r="A3202" s="3555"/>
      <c r="B3202" s="3550"/>
      <c r="C3202" s="3550"/>
      <c r="D3202" s="3550"/>
      <c r="E3202" s="3550"/>
      <c r="F3202" s="3550"/>
      <c r="G3202" s="3551"/>
    </row>
    <row r="3203" spans="1:7" s="2885" customFormat="1">
      <c r="A3203" s="1675" t="s">
        <v>3631</v>
      </c>
      <c r="B3203" s="2887" t="s">
        <v>2029</v>
      </c>
      <c r="C3203" s="2414" t="s">
        <v>2273</v>
      </c>
      <c r="D3203" s="2415"/>
      <c r="E3203" s="2888">
        <f>(G3203-F3203)/G3203</f>
        <v>0.2001748251748251</v>
      </c>
      <c r="F3203" s="2415">
        <v>18.3</v>
      </c>
      <c r="G3203" s="881">
        <v>22.88</v>
      </c>
    </row>
    <row r="3204" spans="1:7" s="2885" customFormat="1">
      <c r="A3204" s="2940"/>
      <c r="B3204" s="2895"/>
      <c r="C3204" s="2906" t="s">
        <v>71</v>
      </c>
      <c r="D3204" s="2941"/>
      <c r="E3204" s="2896">
        <f>(G3204-F3204)/G3204</f>
        <v>0.2001748251748251</v>
      </c>
      <c r="F3204" s="2941">
        <v>18.3</v>
      </c>
      <c r="G3204" s="2913">
        <v>22.88</v>
      </c>
    </row>
    <row r="3205" spans="1:7" s="2885" customFormat="1">
      <c r="A3205" s="2910"/>
      <c r="B3205" s="2911"/>
      <c r="C3205" s="2911" t="s">
        <v>1883</v>
      </c>
      <c r="D3205" s="2911"/>
      <c r="E3205" s="2896">
        <f>(G3205-F3205)/G3205</f>
        <v>0.2001748251748251</v>
      </c>
      <c r="F3205" s="2941">
        <v>18.3</v>
      </c>
      <c r="G3205" s="2913">
        <v>22.88</v>
      </c>
    </row>
    <row r="3206" spans="1:7" s="2885" customFormat="1" ht="15.75" thickBot="1">
      <c r="A3206" s="2914"/>
      <c r="B3206" s="2915"/>
      <c r="C3206" s="2915" t="s">
        <v>2276</v>
      </c>
      <c r="D3206" s="2915"/>
      <c r="E3206" s="2890">
        <f>(G3206-F3206)/G3206</f>
        <v>0.2001748251748251</v>
      </c>
      <c r="F3206" s="3005">
        <v>18.3</v>
      </c>
      <c r="G3206" s="2917">
        <v>22.88</v>
      </c>
    </row>
    <row r="3207" spans="1:7" s="2885" customFormat="1" ht="15.75" thickBot="1"/>
    <row r="3208" spans="1:7" s="2885" customFormat="1" ht="15" customHeight="1">
      <c r="A3208" s="3614" t="s">
        <v>0</v>
      </c>
      <c r="B3208" s="3518" t="s">
        <v>1</v>
      </c>
      <c r="C3208" s="3518" t="s">
        <v>2</v>
      </c>
      <c r="D3208" s="3518" t="s">
        <v>3</v>
      </c>
      <c r="E3208" s="3518" t="s">
        <v>4</v>
      </c>
      <c r="F3208" s="3518" t="s">
        <v>5</v>
      </c>
      <c r="G3208" s="3522" t="s">
        <v>3504</v>
      </c>
    </row>
    <row r="3209" spans="1:7" s="2885" customFormat="1" ht="15.75" thickBot="1">
      <c r="A3209" s="3555"/>
      <c r="B3209" s="3550"/>
      <c r="C3209" s="3550"/>
      <c r="D3209" s="3550"/>
      <c r="E3209" s="3550"/>
      <c r="F3209" s="3550"/>
      <c r="G3209" s="3551"/>
    </row>
    <row r="3210" spans="1:7" s="2885" customFormat="1">
      <c r="A3210" s="1675" t="s">
        <v>3632</v>
      </c>
      <c r="B3210" s="2400" t="s">
        <v>2155</v>
      </c>
      <c r="C3210" s="2401" t="s">
        <v>1376</v>
      </c>
      <c r="D3210" s="2402"/>
      <c r="E3210" s="2403" t="e">
        <f t="shared" ref="E3210:E3220" si="158">(G3210-F3210)/G3210</f>
        <v>#VALUE!</v>
      </c>
      <c r="F3210" s="3084">
        <v>4.57</v>
      </c>
      <c r="G3210" s="3085" t="s">
        <v>1903</v>
      </c>
    </row>
    <row r="3211" spans="1:7" s="2885" customFormat="1">
      <c r="A3211" s="2940"/>
      <c r="B3211" s="2965"/>
      <c r="C3211" s="2966" t="s">
        <v>3488</v>
      </c>
      <c r="D3211" s="2967"/>
      <c r="E3211" s="2968" t="e">
        <f t="shared" si="158"/>
        <v>#VALUE!</v>
      </c>
      <c r="F3211" s="3086">
        <v>2.36</v>
      </c>
      <c r="G3211" s="3087" t="s">
        <v>1903</v>
      </c>
    </row>
    <row r="3212" spans="1:7" s="2885" customFormat="1">
      <c r="A3212" s="2910"/>
      <c r="B3212" s="2911"/>
      <c r="C3212" s="2911" t="s">
        <v>3489</v>
      </c>
      <c r="D3212" s="2911"/>
      <c r="E3212" s="2968" t="e">
        <f t="shared" si="158"/>
        <v>#VALUE!</v>
      </c>
      <c r="F3212" s="3086">
        <v>2.36</v>
      </c>
      <c r="G3212" s="3087" t="s">
        <v>1903</v>
      </c>
    </row>
    <row r="3213" spans="1:7" s="2885" customFormat="1">
      <c r="A3213" s="2910"/>
      <c r="B3213" s="2911"/>
      <c r="C3213" s="3106" t="s">
        <v>2462</v>
      </c>
      <c r="D3213" s="2911"/>
      <c r="E3213" s="2968">
        <f t="shared" si="158"/>
        <v>0.22758620689655162</v>
      </c>
      <c r="F3213" s="2911">
        <v>1.1200000000000001</v>
      </c>
      <c r="G3213" s="3087">
        <v>1.45</v>
      </c>
    </row>
    <row r="3214" spans="1:7" s="2885" customFormat="1">
      <c r="A3214" s="2910"/>
      <c r="B3214" s="2911"/>
      <c r="C3214" s="3106" t="s">
        <v>1772</v>
      </c>
      <c r="D3214" s="2911"/>
      <c r="E3214" s="2968">
        <f t="shared" si="158"/>
        <v>0.18343195266272194</v>
      </c>
      <c r="F3214" s="2911">
        <v>1.38</v>
      </c>
      <c r="G3214" s="3087">
        <v>1.69</v>
      </c>
    </row>
    <row r="3215" spans="1:7" s="2885" customFormat="1">
      <c r="A3215" s="2910"/>
      <c r="B3215" s="2911"/>
      <c r="C3215" s="2911" t="s">
        <v>3327</v>
      </c>
      <c r="D3215" s="2911"/>
      <c r="E3215" s="2968" t="e">
        <f t="shared" si="158"/>
        <v>#VALUE!</v>
      </c>
      <c r="F3215" s="2911">
        <v>1.97</v>
      </c>
      <c r="G3215" s="3087" t="s">
        <v>1903</v>
      </c>
    </row>
    <row r="3216" spans="1:7" s="2885" customFormat="1">
      <c r="A3216" s="2910"/>
      <c r="B3216" s="2911"/>
      <c r="C3216" s="2911" t="s">
        <v>3328</v>
      </c>
      <c r="D3216" s="2911"/>
      <c r="E3216" s="2968" t="e">
        <f t="shared" si="158"/>
        <v>#VALUE!</v>
      </c>
      <c r="F3216" s="2911">
        <v>1.97</v>
      </c>
      <c r="G3216" s="3087" t="s">
        <v>1903</v>
      </c>
    </row>
    <row r="3217" spans="1:7" s="2885" customFormat="1">
      <c r="A3217" s="2910"/>
      <c r="B3217" s="2911"/>
      <c r="C3217" s="2911" t="s">
        <v>2021</v>
      </c>
      <c r="D3217" s="2911"/>
      <c r="E3217" s="2968">
        <f t="shared" si="158"/>
        <v>0.21764705882352936</v>
      </c>
      <c r="F3217" s="2911">
        <v>1.33</v>
      </c>
      <c r="G3217" s="3087">
        <v>1.7</v>
      </c>
    </row>
    <row r="3218" spans="1:7" s="2885" customFormat="1">
      <c r="A3218" s="2910"/>
      <c r="B3218" s="2911"/>
      <c r="C3218" s="2911" t="s">
        <v>1905</v>
      </c>
      <c r="D3218" s="2911"/>
      <c r="E3218" s="2968">
        <f t="shared" si="158"/>
        <v>0.21764705882352936</v>
      </c>
      <c r="F3218" s="2911">
        <v>1.33</v>
      </c>
      <c r="G3218" s="3087">
        <v>1.7</v>
      </c>
    </row>
    <row r="3219" spans="1:7" s="2885" customFormat="1">
      <c r="A3219" s="2910"/>
      <c r="B3219" s="2911"/>
      <c r="C3219" s="2911" t="s">
        <v>2351</v>
      </c>
      <c r="D3219" s="2911"/>
      <c r="E3219" s="2968">
        <f t="shared" si="158"/>
        <v>0.16666666666666666</v>
      </c>
      <c r="F3219" s="2911">
        <v>0.15</v>
      </c>
      <c r="G3219" s="3087">
        <v>0.18</v>
      </c>
    </row>
    <row r="3220" spans="1:7" s="2885" customFormat="1" ht="15.75" thickBot="1">
      <c r="A3220" s="2914"/>
      <c r="B3220" s="2915"/>
      <c r="C3220" s="2915" t="s">
        <v>2352</v>
      </c>
      <c r="D3220" s="2915"/>
      <c r="E3220" s="2970">
        <f t="shared" si="158"/>
        <v>0.16666666666666666</v>
      </c>
      <c r="F3220" s="2915">
        <v>0.15</v>
      </c>
      <c r="G3220" s="3088">
        <v>0.18</v>
      </c>
    </row>
    <row r="3222" spans="1:7" ht="15.75" thickBot="1"/>
    <row r="3223" spans="1:7" s="2885" customFormat="1">
      <c r="A3223" s="3614" t="s">
        <v>0</v>
      </c>
      <c r="B3223" s="3518" t="s">
        <v>1</v>
      </c>
      <c r="C3223" s="3518" t="s">
        <v>2</v>
      </c>
      <c r="D3223" s="3518" t="s">
        <v>3</v>
      </c>
      <c r="E3223" s="3518" t="s">
        <v>4</v>
      </c>
      <c r="F3223" s="3518" t="s">
        <v>5</v>
      </c>
      <c r="G3223" s="3522" t="s">
        <v>3504</v>
      </c>
    </row>
    <row r="3224" spans="1:7" s="2885" customFormat="1" ht="15.75" thickBot="1">
      <c r="A3224" s="3555"/>
      <c r="B3224" s="3550"/>
      <c r="C3224" s="3550"/>
      <c r="D3224" s="3550"/>
      <c r="E3224" s="3550"/>
      <c r="F3224" s="3550"/>
      <c r="G3224" s="3551"/>
    </row>
    <row r="3225" spans="1:7" s="2885" customFormat="1" ht="15.75">
      <c r="A3225" s="1675" t="s">
        <v>3648</v>
      </c>
      <c r="B3225" s="2887" t="s">
        <v>2082</v>
      </c>
      <c r="C3225" s="3152" t="s">
        <v>623</v>
      </c>
      <c r="D3225" s="2887"/>
      <c r="E3225" s="3059">
        <f t="shared" ref="E3225:E3231" si="159">(G3225-F3225)/G3225</f>
        <v>0.30909090909090914</v>
      </c>
      <c r="F3225" s="3091">
        <v>1.52</v>
      </c>
      <c r="G3225" s="3092">
        <v>2.2000000000000002</v>
      </c>
    </row>
    <row r="3226" spans="1:7" s="2885" customFormat="1">
      <c r="A3226" s="2894"/>
      <c r="B3226" s="2895"/>
      <c r="C3226" s="2986" t="s">
        <v>2871</v>
      </c>
      <c r="D3226" s="2895"/>
      <c r="E3226" s="2912">
        <f t="shared" si="159"/>
        <v>0.22159090909090903</v>
      </c>
      <c r="F3226" s="3093">
        <v>1.37</v>
      </c>
      <c r="G3226" s="3094">
        <v>1.76</v>
      </c>
    </row>
    <row r="3227" spans="1:7" s="2885" customFormat="1">
      <c r="A3227" s="3062"/>
      <c r="B3227" s="2895"/>
      <c r="C3227" s="3063" t="s">
        <v>2066</v>
      </c>
      <c r="D3227" s="2895"/>
      <c r="E3227" s="2912">
        <f t="shared" si="159"/>
        <v>0.22159090909090903</v>
      </c>
      <c r="F3227" s="3093">
        <v>1.37</v>
      </c>
      <c r="G3227" s="3094">
        <v>1.76</v>
      </c>
    </row>
    <row r="3228" spans="1:7" s="2885" customFormat="1">
      <c r="A3228" s="3062"/>
      <c r="B3228" s="2911"/>
      <c r="C3228" s="2911" t="s">
        <v>2827</v>
      </c>
      <c r="D3228" s="2911"/>
      <c r="E3228" s="2912">
        <f t="shared" si="159"/>
        <v>0.22159090909090903</v>
      </c>
      <c r="F3228" s="3095">
        <v>1.37</v>
      </c>
      <c r="G3228" s="3094">
        <v>1.76</v>
      </c>
    </row>
    <row r="3229" spans="1:7" s="2885" customFormat="1">
      <c r="A3229" s="3062"/>
      <c r="B3229" s="2911"/>
      <c r="C3229" s="2911" t="s">
        <v>2115</v>
      </c>
      <c r="D3229" s="2911"/>
      <c r="E3229" s="2912">
        <f t="shared" si="159"/>
        <v>0.22159090909090903</v>
      </c>
      <c r="F3229" s="3095">
        <v>1.37</v>
      </c>
      <c r="G3229" s="3094">
        <v>1.76</v>
      </c>
    </row>
    <row r="3230" spans="1:7" s="2885" customFormat="1">
      <c r="A3230" s="3062"/>
      <c r="B3230" s="2911"/>
      <c r="C3230" s="2911" t="s">
        <v>2890</v>
      </c>
      <c r="D3230" s="2911"/>
      <c r="E3230" s="2912">
        <f t="shared" si="159"/>
        <v>0.22159090909090903</v>
      </c>
      <c r="F3230" s="3095">
        <v>1.37</v>
      </c>
      <c r="G3230" s="3094">
        <v>1.76</v>
      </c>
    </row>
    <row r="3231" spans="1:7" s="2885" customFormat="1" ht="15.75" thickBot="1">
      <c r="A3231" s="2914"/>
      <c r="B3231" s="2915"/>
      <c r="C3231" s="2915" t="s">
        <v>2116</v>
      </c>
      <c r="D3231" s="2915"/>
      <c r="E3231" s="2916">
        <f t="shared" si="159"/>
        <v>0.22159090909090903</v>
      </c>
      <c r="F3231" s="3096">
        <v>1.37</v>
      </c>
      <c r="G3231" s="3097">
        <v>1.76</v>
      </c>
    </row>
    <row r="3232" spans="1:7" ht="15.75" thickBot="1"/>
    <row r="3233" spans="1:7" s="2885" customFormat="1">
      <c r="A3233" s="3614" t="s">
        <v>0</v>
      </c>
      <c r="B3233" s="3518" t="s">
        <v>1</v>
      </c>
      <c r="C3233" s="3518" t="s">
        <v>2</v>
      </c>
      <c r="D3233" s="3518" t="s">
        <v>3</v>
      </c>
      <c r="E3233" s="3518" t="s">
        <v>4</v>
      </c>
      <c r="F3233" s="3518" t="s">
        <v>5</v>
      </c>
      <c r="G3233" s="3522" t="s">
        <v>3504</v>
      </c>
    </row>
    <row r="3234" spans="1:7" s="2885" customFormat="1" ht="15.75" thickBot="1">
      <c r="A3234" s="3555"/>
      <c r="B3234" s="3550"/>
      <c r="C3234" s="3550"/>
      <c r="D3234" s="3550"/>
      <c r="E3234" s="3550"/>
      <c r="F3234" s="3550"/>
      <c r="G3234" s="3551"/>
    </row>
    <row r="3235" spans="1:7" s="2885" customFormat="1">
      <c r="A3235" s="3102">
        <v>42993</v>
      </c>
      <c r="B3235" s="2400" t="s">
        <v>2155</v>
      </c>
      <c r="C3235" s="2401" t="s">
        <v>1888</v>
      </c>
      <c r="D3235" s="2402"/>
      <c r="E3235" s="2403" t="e">
        <f t="shared" ref="E3235:E3240" si="160">(G3235-F3235)/G3235</f>
        <v>#VALUE!</v>
      </c>
      <c r="F3235" s="3084">
        <v>0.83</v>
      </c>
      <c r="G3235" s="3085" t="s">
        <v>1903</v>
      </c>
    </row>
    <row r="3236" spans="1:7" s="2885" customFormat="1">
      <c r="A3236" s="2940" t="s">
        <v>3658</v>
      </c>
      <c r="B3236" s="2965"/>
      <c r="C3236" s="2966" t="s">
        <v>385</v>
      </c>
      <c r="D3236" s="2967"/>
      <c r="E3236" s="2968" t="e">
        <f t="shared" si="160"/>
        <v>#VALUE!</v>
      </c>
      <c r="F3236" s="3086">
        <v>0.83</v>
      </c>
      <c r="G3236" s="3087" t="s">
        <v>1903</v>
      </c>
    </row>
    <row r="3237" spans="1:7" s="2885" customFormat="1">
      <c r="A3237" s="2910"/>
      <c r="B3237" s="2911"/>
      <c r="C3237" s="2911" t="s">
        <v>388</v>
      </c>
      <c r="D3237" s="2911"/>
      <c r="E3237" s="2968" t="e">
        <f t="shared" si="160"/>
        <v>#VALUE!</v>
      </c>
      <c r="F3237" s="3086">
        <v>0.83</v>
      </c>
      <c r="G3237" s="3087" t="s">
        <v>1903</v>
      </c>
    </row>
    <row r="3238" spans="1:7" s="2885" customFormat="1">
      <c r="A3238" s="2910"/>
      <c r="B3238" s="2911"/>
      <c r="C3238" s="2911" t="s">
        <v>387</v>
      </c>
      <c r="D3238" s="2911"/>
      <c r="E3238" s="2968" t="e">
        <f t="shared" si="160"/>
        <v>#VALUE!</v>
      </c>
      <c r="F3238" s="3086">
        <v>0.83</v>
      </c>
      <c r="G3238" s="3087" t="s">
        <v>1903</v>
      </c>
    </row>
    <row r="3239" spans="1:7" s="2885" customFormat="1">
      <c r="A3239" s="2910"/>
      <c r="B3239" s="2911"/>
      <c r="C3239" s="2911" t="s">
        <v>2042</v>
      </c>
      <c r="D3239" s="2911"/>
      <c r="E3239" s="2968" t="e">
        <f t="shared" si="160"/>
        <v>#VALUE!</v>
      </c>
      <c r="F3239" s="3086">
        <v>0.83</v>
      </c>
      <c r="G3239" s="3087" t="s">
        <v>1903</v>
      </c>
    </row>
    <row r="3240" spans="1:7" s="2885" customFormat="1" ht="15.75" thickBot="1">
      <c r="A3240" s="2914"/>
      <c r="B3240" s="2915"/>
      <c r="C3240" s="2915" t="s">
        <v>1522</v>
      </c>
      <c r="D3240" s="2915"/>
      <c r="E3240" s="2970" t="e">
        <f t="shared" si="160"/>
        <v>#VALUE!</v>
      </c>
      <c r="F3240" s="3103">
        <v>0.83</v>
      </c>
      <c r="G3240" s="3088" t="s">
        <v>1903</v>
      </c>
    </row>
    <row r="3243" spans="1:7" ht="15.75" thickBot="1"/>
    <row r="3244" spans="1:7" s="2885" customFormat="1">
      <c r="A3244" s="3614" t="s">
        <v>0</v>
      </c>
      <c r="B3244" s="3518" t="s">
        <v>1</v>
      </c>
      <c r="C3244" s="3518" t="s">
        <v>2</v>
      </c>
      <c r="D3244" s="3518" t="s">
        <v>3</v>
      </c>
      <c r="E3244" s="3518" t="s">
        <v>4</v>
      </c>
      <c r="F3244" s="3518" t="s">
        <v>5</v>
      </c>
      <c r="G3244" s="3522" t="s">
        <v>3504</v>
      </c>
    </row>
    <row r="3245" spans="1:7" s="2885" customFormat="1" ht="15.75" thickBot="1">
      <c r="A3245" s="3555"/>
      <c r="B3245" s="3550"/>
      <c r="C3245" s="3550"/>
      <c r="D3245" s="3550"/>
      <c r="E3245" s="3550"/>
      <c r="F3245" s="3550"/>
      <c r="G3245" s="3551"/>
    </row>
    <row r="3246" spans="1:7" s="2885" customFormat="1" ht="15.75" thickBot="1">
      <c r="A3246" s="3102" t="s">
        <v>3718</v>
      </c>
      <c r="B3246" s="2400" t="s">
        <v>2155</v>
      </c>
      <c r="C3246" s="2401" t="s">
        <v>2462</v>
      </c>
      <c r="D3246" s="2402"/>
      <c r="E3246" s="2403">
        <f t="shared" ref="E3246:E3254" si="161">(G3246-F3246)/G3246</f>
        <v>0.22758620689655162</v>
      </c>
      <c r="F3246" s="3084">
        <v>1.1200000000000001</v>
      </c>
      <c r="G3246" s="3085">
        <v>1.45</v>
      </c>
    </row>
    <row r="3247" spans="1:7" s="2885" customFormat="1" ht="15.75" thickBot="1">
      <c r="A3247" s="3102" t="s">
        <v>3718</v>
      </c>
      <c r="B3247" s="2965"/>
      <c r="C3247" s="2966" t="s">
        <v>623</v>
      </c>
      <c r="D3247" s="2967"/>
      <c r="E3247" s="2968">
        <f t="shared" si="161"/>
        <v>0.18343195266272194</v>
      </c>
      <c r="F3247" s="3086">
        <v>1.38</v>
      </c>
      <c r="G3247" s="3087">
        <v>1.69</v>
      </c>
    </row>
    <row r="3248" spans="1:7" s="2885" customFormat="1" ht="15.75" thickBot="1">
      <c r="A3248" s="2910"/>
      <c r="B3248" s="3102" t="s">
        <v>3672</v>
      </c>
      <c r="C3248" s="2911" t="s">
        <v>3589</v>
      </c>
      <c r="D3248" s="2911"/>
      <c r="E3248" s="2968" t="e">
        <f t="shared" si="161"/>
        <v>#VALUE!</v>
      </c>
      <c r="F3248" s="3086">
        <v>0.78</v>
      </c>
      <c r="G3248" s="3087" t="s">
        <v>1903</v>
      </c>
    </row>
    <row r="3249" spans="1:7" s="2885" customFormat="1" ht="15.75" thickBot="1">
      <c r="A3249" s="2910"/>
      <c r="B3249" s="3102" t="s">
        <v>3672</v>
      </c>
      <c r="C3249" s="2911" t="s">
        <v>2455</v>
      </c>
      <c r="D3249" s="2911"/>
      <c r="E3249" s="2968">
        <f t="shared" si="161"/>
        <v>0.19277108433734932</v>
      </c>
      <c r="F3249" s="3086">
        <v>1.34</v>
      </c>
      <c r="G3249" s="3087">
        <v>1.66</v>
      </c>
    </row>
    <row r="3250" spans="1:7" s="2885" customFormat="1" ht="15.75" thickBot="1">
      <c r="A3250" s="2910"/>
      <c r="B3250" s="3102" t="s">
        <v>3672</v>
      </c>
      <c r="C3250" s="2911" t="s">
        <v>2637</v>
      </c>
      <c r="D3250" s="2911"/>
      <c r="E3250" s="2968">
        <f t="shared" si="161"/>
        <v>0.16666666666666666</v>
      </c>
      <c r="F3250" s="3086">
        <v>0.15</v>
      </c>
      <c r="G3250" s="3087">
        <v>0.18</v>
      </c>
    </row>
    <row r="3251" spans="1:7" s="2885" customFormat="1" ht="15.75" thickBot="1">
      <c r="A3251" s="2910"/>
      <c r="B3251" s="3102" t="s">
        <v>3672</v>
      </c>
      <c r="C3251" s="2911" t="s">
        <v>2156</v>
      </c>
      <c r="D3251" s="2911"/>
      <c r="E3251" s="2968">
        <f t="shared" si="161"/>
        <v>0.19915254237288135</v>
      </c>
      <c r="F3251" s="3086">
        <v>1.89</v>
      </c>
      <c r="G3251" s="3087">
        <v>2.36</v>
      </c>
    </row>
    <row r="3252" spans="1:7" s="2885" customFormat="1" ht="15.75" thickBot="1">
      <c r="A3252" s="2910"/>
      <c r="B3252" s="3102" t="s">
        <v>3672</v>
      </c>
      <c r="C3252" s="2911" t="s">
        <v>2743</v>
      </c>
      <c r="D3252" s="2911"/>
      <c r="E3252" s="2968">
        <f t="shared" si="161"/>
        <v>0.14473684210526314</v>
      </c>
      <c r="F3252" s="2911">
        <v>0.65</v>
      </c>
      <c r="G3252" s="3119">
        <v>0.76</v>
      </c>
    </row>
    <row r="3253" spans="1:7" s="2885" customFormat="1" ht="15.75" thickBot="1">
      <c r="A3253" s="2910"/>
      <c r="B3253" s="3102" t="s">
        <v>3672</v>
      </c>
      <c r="C3253" s="2911" t="s">
        <v>154</v>
      </c>
      <c r="D3253" s="2911"/>
      <c r="E3253" s="2968">
        <f t="shared" si="161"/>
        <v>0.20408163265306117</v>
      </c>
      <c r="F3253" s="2911">
        <v>0.78</v>
      </c>
      <c r="G3253" s="3119">
        <v>0.98</v>
      </c>
    </row>
    <row r="3254" spans="1:7" s="2885" customFormat="1" ht="15.75" thickBot="1">
      <c r="A3254" s="2914"/>
      <c r="B3254" s="3102" t="s">
        <v>3672</v>
      </c>
      <c r="C3254" s="2915" t="s">
        <v>183</v>
      </c>
      <c r="D3254" s="2915"/>
      <c r="E3254" s="2970">
        <f t="shared" si="161"/>
        <v>0.19696969696969696</v>
      </c>
      <c r="F3254" s="2915">
        <v>1.06</v>
      </c>
      <c r="G3254" s="3120">
        <v>1.32</v>
      </c>
    </row>
    <row r="3255" spans="1:7" s="2885" customFormat="1" ht="15.75" thickBot="1"/>
    <row r="3256" spans="1:7" s="2885" customFormat="1">
      <c r="A3256" s="3614" t="s">
        <v>0</v>
      </c>
      <c r="B3256" s="3518" t="s">
        <v>1</v>
      </c>
      <c r="C3256" s="3518" t="s">
        <v>2</v>
      </c>
      <c r="D3256" s="3518" t="s">
        <v>3</v>
      </c>
      <c r="E3256" s="3518" t="s">
        <v>4</v>
      </c>
      <c r="F3256" s="3518" t="s">
        <v>5</v>
      </c>
      <c r="G3256" s="3522" t="s">
        <v>3504</v>
      </c>
    </row>
    <row r="3257" spans="1:7" s="2885" customFormat="1" ht="15.75" thickBot="1">
      <c r="A3257" s="3555"/>
      <c r="B3257" s="3550"/>
      <c r="C3257" s="3550"/>
      <c r="D3257" s="3550"/>
      <c r="E3257" s="3550"/>
      <c r="F3257" s="3550"/>
      <c r="G3257" s="3551"/>
    </row>
    <row r="3258" spans="1:7" s="2885" customFormat="1">
      <c r="A3258" s="3102" t="s">
        <v>3673</v>
      </c>
      <c r="B3258" s="2400" t="s">
        <v>2155</v>
      </c>
      <c r="C3258" s="2401" t="s">
        <v>1892</v>
      </c>
      <c r="D3258" s="2402"/>
      <c r="E3258" s="2403">
        <f t="shared" ref="E3258:E3266" si="162">(G3258-F3258)/G3258</f>
        <v>0.4</v>
      </c>
      <c r="F3258" s="3084">
        <v>0.75</v>
      </c>
      <c r="G3258" s="3085">
        <v>1.25</v>
      </c>
    </row>
    <row r="3259" spans="1:7" s="2885" customFormat="1">
      <c r="A3259" s="2940"/>
      <c r="B3259" s="2965"/>
      <c r="C3259" s="2966" t="s">
        <v>2827</v>
      </c>
      <c r="D3259" s="2967"/>
      <c r="E3259" s="2968">
        <f t="shared" si="162"/>
        <v>0.31764705882352945</v>
      </c>
      <c r="F3259" s="3086">
        <v>1.1599999999999999</v>
      </c>
      <c r="G3259" s="3064">
        <v>1.7</v>
      </c>
    </row>
    <row r="3260" spans="1:7" s="2885" customFormat="1">
      <c r="A3260" s="2910"/>
      <c r="B3260" s="2911"/>
      <c r="C3260" s="2911" t="s">
        <v>2115</v>
      </c>
      <c r="D3260" s="2911"/>
      <c r="E3260" s="2968">
        <f t="shared" si="162"/>
        <v>0.31764705882352945</v>
      </c>
      <c r="F3260" s="3086">
        <v>1.1599999999999999</v>
      </c>
      <c r="G3260" s="3064">
        <v>1.7</v>
      </c>
    </row>
    <row r="3261" spans="1:7" s="2885" customFormat="1">
      <c r="A3261" s="2910"/>
      <c r="B3261" s="2911"/>
      <c r="C3261" s="2911" t="s">
        <v>2890</v>
      </c>
      <c r="D3261" s="2911"/>
      <c r="E3261" s="2968">
        <f t="shared" si="162"/>
        <v>0.31764705882352945</v>
      </c>
      <c r="F3261" s="3086">
        <v>1.1599999999999999</v>
      </c>
      <c r="G3261" s="3064">
        <v>1.7</v>
      </c>
    </row>
    <row r="3262" spans="1:7" s="2885" customFormat="1">
      <c r="A3262" s="2910"/>
      <c r="B3262" s="2911"/>
      <c r="C3262" s="2911" t="s">
        <v>2116</v>
      </c>
      <c r="D3262" s="2911"/>
      <c r="E3262" s="2968">
        <f t="shared" si="162"/>
        <v>0.31764705882352945</v>
      </c>
      <c r="F3262" s="3086">
        <v>1.1599999999999999</v>
      </c>
      <c r="G3262" s="3064">
        <v>1.7</v>
      </c>
    </row>
    <row r="3263" spans="1:7" s="2885" customFormat="1">
      <c r="A3263" s="2910"/>
      <c r="B3263" s="2911"/>
      <c r="C3263" s="2911" t="s">
        <v>2871</v>
      </c>
      <c r="D3263" s="2911"/>
      <c r="E3263" s="2968">
        <f t="shared" si="162"/>
        <v>0.31764705882352945</v>
      </c>
      <c r="F3263" s="3086">
        <v>1.1599999999999999</v>
      </c>
      <c r="G3263" s="3064">
        <v>1.7</v>
      </c>
    </row>
    <row r="3264" spans="1:7" s="2885" customFormat="1">
      <c r="A3264" s="2910"/>
      <c r="B3264" s="2911"/>
      <c r="C3264" s="2911" t="s">
        <v>2066</v>
      </c>
      <c r="D3264" s="2911"/>
      <c r="E3264" s="2968">
        <f t="shared" si="162"/>
        <v>0.31764705882352945</v>
      </c>
      <c r="F3264" s="2911">
        <v>1.1599999999999999</v>
      </c>
      <c r="G3264" s="3408">
        <v>1.7</v>
      </c>
    </row>
    <row r="3265" spans="1:7" s="2885" customFormat="1">
      <c r="A3265" s="2910"/>
      <c r="B3265" s="2911"/>
      <c r="C3265" s="2911" t="s">
        <v>858</v>
      </c>
      <c r="D3265" s="2911"/>
      <c r="E3265" s="2968">
        <f t="shared" si="162"/>
        <v>0.34905660377358499</v>
      </c>
      <c r="F3265" s="2911">
        <v>0.69</v>
      </c>
      <c r="G3265" s="3119">
        <v>1.06</v>
      </c>
    </row>
    <row r="3266" spans="1:7" s="2885" customFormat="1" ht="15.75" thickBot="1">
      <c r="A3266" s="2914"/>
      <c r="B3266" s="2915"/>
      <c r="C3266" s="2915" t="s">
        <v>730</v>
      </c>
      <c r="D3266" s="2915"/>
      <c r="E3266" s="2970">
        <f t="shared" si="162"/>
        <v>0.35483870967741943</v>
      </c>
      <c r="F3266" s="2915">
        <v>0.6</v>
      </c>
      <c r="G3266" s="3120">
        <v>0.93</v>
      </c>
    </row>
    <row r="3268" spans="1:7" ht="15.75" thickBot="1"/>
    <row r="3269" spans="1:7" s="2885" customFormat="1">
      <c r="A3269" s="3614" t="s">
        <v>0</v>
      </c>
      <c r="B3269" s="3518" t="s">
        <v>1</v>
      </c>
      <c r="C3269" s="3518" t="s">
        <v>2</v>
      </c>
      <c r="D3269" s="3518" t="s">
        <v>3</v>
      </c>
      <c r="E3269" s="3518" t="s">
        <v>4</v>
      </c>
      <c r="F3269" s="3518" t="s">
        <v>5</v>
      </c>
      <c r="G3269" s="3522" t="s">
        <v>3504</v>
      </c>
    </row>
    <row r="3270" spans="1:7" s="2885" customFormat="1" ht="15.75" thickBot="1">
      <c r="A3270" s="3555"/>
      <c r="B3270" s="3550"/>
      <c r="C3270" s="3550"/>
      <c r="D3270" s="3550"/>
      <c r="E3270" s="3550"/>
      <c r="F3270" s="3550"/>
      <c r="G3270" s="3551"/>
    </row>
    <row r="3271" spans="1:7" s="2885" customFormat="1">
      <c r="A3271" s="1675" t="s">
        <v>3678</v>
      </c>
      <c r="B3271" s="2887" t="s">
        <v>460</v>
      </c>
      <c r="C3271" s="2414" t="s">
        <v>1772</v>
      </c>
      <c r="D3271" s="2415"/>
      <c r="E3271" s="2888">
        <f>(G3271-F3271)/G3271</f>
        <v>0.20095693779904303</v>
      </c>
      <c r="F3271" s="2415">
        <v>1.67</v>
      </c>
      <c r="G3271" s="881">
        <v>2.09</v>
      </c>
    </row>
    <row r="3272" spans="1:7" s="2885" customFormat="1">
      <c r="A3272" s="2940"/>
      <c r="B3272" s="2905" t="s">
        <v>1674</v>
      </c>
      <c r="C3272" s="2906" t="s">
        <v>1820</v>
      </c>
      <c r="D3272" s="2941"/>
      <c r="E3272" s="2896">
        <f>(G3272-F3272)/G3272</f>
        <v>0.20098039215686281</v>
      </c>
      <c r="F3272" s="2941">
        <v>1.63</v>
      </c>
      <c r="G3272" s="2913">
        <v>2.04</v>
      </c>
    </row>
    <row r="3273" spans="1:7" s="2885" customFormat="1">
      <c r="A3273" s="2910"/>
      <c r="B3273" s="2911"/>
      <c r="C3273" s="2911" t="s">
        <v>3679</v>
      </c>
      <c r="D3273" s="2911"/>
      <c r="E3273" s="2896">
        <f>(G3273-F3273)/G3273</f>
        <v>0.20098039215686281</v>
      </c>
      <c r="F3273" s="2911">
        <v>1.63</v>
      </c>
      <c r="G3273" s="2913">
        <v>2.04</v>
      </c>
    </row>
    <row r="3274" spans="1:7" s="2885" customFormat="1">
      <c r="A3274" s="2910"/>
      <c r="B3274" s="2911"/>
      <c r="C3274" s="2911" t="s">
        <v>2141</v>
      </c>
      <c r="D3274" s="2911"/>
      <c r="E3274" s="2896">
        <f>(G3274-F3274)/G3274</f>
        <v>0.20098039215686281</v>
      </c>
      <c r="F3274" s="2911">
        <v>1.63</v>
      </c>
      <c r="G3274" s="2913">
        <v>2.04</v>
      </c>
    </row>
    <row r="3275" spans="1:7" s="2885" customFormat="1" ht="15.75" thickBot="1">
      <c r="A3275" s="2914"/>
      <c r="B3275" s="2915"/>
      <c r="C3275" s="2915" t="s">
        <v>1891</v>
      </c>
      <c r="D3275" s="2915"/>
      <c r="E3275" s="2890">
        <f>(G3275-F3275)/G3275</f>
        <v>0.24999999999999994</v>
      </c>
      <c r="F3275" s="2915">
        <v>0.93</v>
      </c>
      <c r="G3275" s="2939">
        <v>1.24</v>
      </c>
    </row>
    <row r="3276" spans="1:7" ht="15.75" thickBot="1"/>
    <row r="3277" spans="1:7" s="2885" customFormat="1">
      <c r="A3277" s="3614" t="s">
        <v>0</v>
      </c>
      <c r="B3277" s="3518" t="s">
        <v>1</v>
      </c>
      <c r="C3277" s="3518" t="s">
        <v>2</v>
      </c>
      <c r="D3277" s="3518" t="s">
        <v>3</v>
      </c>
      <c r="E3277" s="3518" t="s">
        <v>4</v>
      </c>
      <c r="F3277" s="3518" t="s">
        <v>5</v>
      </c>
      <c r="G3277" s="3522" t="s">
        <v>3504</v>
      </c>
    </row>
    <row r="3278" spans="1:7" s="2885" customFormat="1" ht="15.75" thickBot="1">
      <c r="A3278" s="3555"/>
      <c r="B3278" s="3550"/>
      <c r="C3278" s="3550"/>
      <c r="D3278" s="3550"/>
      <c r="E3278" s="3550"/>
      <c r="F3278" s="3550"/>
      <c r="G3278" s="3551"/>
    </row>
    <row r="3279" spans="1:7" s="2885" customFormat="1" ht="15.75" thickBot="1">
      <c r="A3279" s="3133" t="s">
        <v>3686</v>
      </c>
      <c r="B3279" s="3134" t="s">
        <v>2029</v>
      </c>
      <c r="C3279" s="3135" t="s">
        <v>730</v>
      </c>
      <c r="D3279" s="3136"/>
      <c r="E3279" s="3137">
        <f>(G3279-F3279)/G3279</f>
        <v>0.37499999999999994</v>
      </c>
      <c r="F3279" s="3136">
        <v>0.55000000000000004</v>
      </c>
      <c r="G3279" s="3138">
        <v>0.88</v>
      </c>
    </row>
    <row r="3280" spans="1:7" ht="15.75" thickBot="1"/>
    <row r="3281" spans="1:7" s="2885" customFormat="1">
      <c r="A3281" s="3614" t="s">
        <v>0</v>
      </c>
      <c r="B3281" s="3518" t="s">
        <v>1</v>
      </c>
      <c r="C3281" s="3518" t="s">
        <v>2</v>
      </c>
      <c r="D3281" s="3518" t="s">
        <v>3</v>
      </c>
      <c r="E3281" s="3518" t="s">
        <v>4</v>
      </c>
      <c r="F3281" s="3518" t="s">
        <v>5</v>
      </c>
      <c r="G3281" s="3522" t="s">
        <v>3504</v>
      </c>
    </row>
    <row r="3282" spans="1:7" s="2885" customFormat="1">
      <c r="A3282" s="3555"/>
      <c r="B3282" s="3550"/>
      <c r="C3282" s="3550"/>
      <c r="D3282" s="3550"/>
      <c r="E3282" s="3550"/>
      <c r="F3282" s="3550"/>
      <c r="G3282" s="3551"/>
    </row>
    <row r="3283" spans="1:7" s="2885" customFormat="1">
      <c r="A3283" s="3140" t="s">
        <v>3697</v>
      </c>
      <c r="B3283" s="2965" t="s">
        <v>2155</v>
      </c>
      <c r="C3283" s="2966" t="s">
        <v>1772</v>
      </c>
      <c r="D3283" s="2967"/>
      <c r="E3283" s="2896">
        <f t="shared" ref="E3283:E3295" si="163">(G3283-F3283)/G3283</f>
        <v>0.18343195266272194</v>
      </c>
      <c r="F3283" s="3141">
        <v>1.38</v>
      </c>
      <c r="G3283" s="2913">
        <v>1.69</v>
      </c>
    </row>
    <row r="3284" spans="1:7" s="2885" customFormat="1">
      <c r="A3284" s="2940"/>
      <c r="B3284" s="2965"/>
      <c r="C3284" s="2966" t="s">
        <v>1904</v>
      </c>
      <c r="D3284" s="2967"/>
      <c r="E3284" s="2896">
        <f t="shared" si="163"/>
        <v>0.21764705882352936</v>
      </c>
      <c r="F3284" s="3141">
        <v>1.33</v>
      </c>
      <c r="G3284" s="2913">
        <v>1.7</v>
      </c>
    </row>
    <row r="3285" spans="1:7" s="2885" customFormat="1">
      <c r="A3285" s="2910"/>
      <c r="B3285" s="2911"/>
      <c r="C3285" s="2911" t="s">
        <v>2351</v>
      </c>
      <c r="D3285" s="2911"/>
      <c r="E3285" s="2896">
        <f t="shared" si="163"/>
        <v>0.16666666666666666</v>
      </c>
      <c r="F3285" s="3141">
        <v>0.15</v>
      </c>
      <c r="G3285" s="2913">
        <v>0.18</v>
      </c>
    </row>
    <row r="3286" spans="1:7" s="2885" customFormat="1">
      <c r="A3286" s="2910"/>
      <c r="B3286" s="2911"/>
      <c r="C3286" s="2911" t="s">
        <v>2352</v>
      </c>
      <c r="D3286" s="2911"/>
      <c r="E3286" s="2896">
        <f t="shared" si="163"/>
        <v>0.16666666666666666</v>
      </c>
      <c r="F3286" s="3141">
        <v>0.15</v>
      </c>
      <c r="G3286" s="2913">
        <v>0.18</v>
      </c>
    </row>
    <row r="3287" spans="1:7" s="2885" customFormat="1">
      <c r="A3287" s="2910"/>
      <c r="B3287" s="2911"/>
      <c r="C3287" s="2911" t="s">
        <v>2268</v>
      </c>
      <c r="D3287" s="2911"/>
      <c r="E3287" s="2896">
        <f t="shared" si="163"/>
        <v>0.21764705882352936</v>
      </c>
      <c r="F3287" s="3141">
        <v>1.33</v>
      </c>
      <c r="G3287" s="2913">
        <v>1.7</v>
      </c>
    </row>
    <row r="3288" spans="1:7" s="2885" customFormat="1">
      <c r="A3288" s="2910"/>
      <c r="B3288" s="2911"/>
      <c r="C3288" s="2911" t="s">
        <v>3698</v>
      </c>
      <c r="D3288" s="2911"/>
      <c r="E3288" s="2896">
        <f t="shared" si="163"/>
        <v>0.15079365079365076</v>
      </c>
      <c r="F3288" s="3141">
        <v>2.14</v>
      </c>
      <c r="G3288" s="2913">
        <v>2.52</v>
      </c>
    </row>
    <row r="3289" spans="1:7" s="2885" customFormat="1">
      <c r="A3289" s="2910"/>
      <c r="B3289" s="2911"/>
      <c r="C3289" s="2911" t="s">
        <v>3699</v>
      </c>
      <c r="D3289" s="2911"/>
      <c r="E3289" s="2896">
        <f t="shared" si="163"/>
        <v>0.15079365079365076</v>
      </c>
      <c r="F3289" s="3142">
        <v>2.14</v>
      </c>
      <c r="G3289" s="2913">
        <v>2.52</v>
      </c>
    </row>
    <row r="3290" spans="1:7" s="2885" customFormat="1">
      <c r="A3290" s="2910"/>
      <c r="B3290" s="2911"/>
      <c r="C3290" s="2911" t="s">
        <v>3700</v>
      </c>
      <c r="D3290" s="2911"/>
      <c r="E3290" s="2896">
        <f t="shared" si="163"/>
        <v>0.15079365079365076</v>
      </c>
      <c r="F3290" s="3142">
        <v>2.14</v>
      </c>
      <c r="G3290" s="2913">
        <v>2.52</v>
      </c>
    </row>
    <row r="3291" spans="1:7" s="2885" customFormat="1">
      <c r="A3291" s="2910"/>
      <c r="B3291" s="2911"/>
      <c r="C3291" s="2911" t="s">
        <v>3701</v>
      </c>
      <c r="D3291" s="2911"/>
      <c r="E3291" s="2896">
        <f t="shared" si="163"/>
        <v>0.15079365079365076</v>
      </c>
      <c r="F3291" s="3142">
        <v>2.14</v>
      </c>
      <c r="G3291" s="2913">
        <v>2.52</v>
      </c>
    </row>
    <row r="3292" spans="1:7" s="2885" customFormat="1">
      <c r="A3292" s="2910"/>
      <c r="B3292" s="2911"/>
      <c r="C3292" s="2911" t="s">
        <v>3702</v>
      </c>
      <c r="D3292" s="2911"/>
      <c r="E3292" s="2896">
        <f t="shared" si="163"/>
        <v>0.15079365079365076</v>
      </c>
      <c r="F3292" s="2911">
        <v>2.14</v>
      </c>
      <c r="G3292" s="2913">
        <v>2.52</v>
      </c>
    </row>
    <row r="3293" spans="1:7" s="2885" customFormat="1">
      <c r="A3293" s="2910"/>
      <c r="B3293" s="2911"/>
      <c r="C3293" s="2911" t="s">
        <v>3703</v>
      </c>
      <c r="D3293" s="2911"/>
      <c r="E3293" s="2896">
        <f t="shared" si="163"/>
        <v>0.15079365079365076</v>
      </c>
      <c r="F3293" s="2911">
        <v>2.14</v>
      </c>
      <c r="G3293" s="2913">
        <v>2.52</v>
      </c>
    </row>
    <row r="3294" spans="1:7" s="2885" customFormat="1">
      <c r="A3294" s="2910"/>
      <c r="B3294" s="2911"/>
      <c r="C3294" s="2911" t="s">
        <v>3704</v>
      </c>
      <c r="D3294" s="2911"/>
      <c r="E3294" s="2896">
        <f t="shared" si="163"/>
        <v>0.15079365079365076</v>
      </c>
      <c r="F3294" s="2911">
        <v>2.14</v>
      </c>
      <c r="G3294" s="2913">
        <v>2.52</v>
      </c>
    </row>
    <row r="3295" spans="1:7" s="2885" customFormat="1" ht="15.75" thickBot="1">
      <c r="A3295" s="2914"/>
      <c r="B3295" s="2915"/>
      <c r="C3295" s="2915" t="s">
        <v>3705</v>
      </c>
      <c r="D3295" s="2915"/>
      <c r="E3295" s="2890">
        <f t="shared" si="163"/>
        <v>0.15079365079365076</v>
      </c>
      <c r="F3295" s="2915">
        <v>2.14</v>
      </c>
      <c r="G3295" s="2917">
        <v>2.52</v>
      </c>
    </row>
    <row r="3296" spans="1:7" ht="15.75" thickBot="1"/>
    <row r="3297" spans="1:7" s="2885" customFormat="1">
      <c r="A3297" s="3614" t="s">
        <v>0</v>
      </c>
      <c r="B3297" s="3518" t="s">
        <v>1</v>
      </c>
      <c r="C3297" s="3518" t="s">
        <v>2</v>
      </c>
      <c r="D3297" s="3518" t="s">
        <v>3</v>
      </c>
      <c r="E3297" s="3518" t="s">
        <v>4</v>
      </c>
      <c r="F3297" s="3518" t="s">
        <v>5</v>
      </c>
      <c r="G3297" s="3522" t="s">
        <v>3504</v>
      </c>
    </row>
    <row r="3298" spans="1:7" s="2885" customFormat="1" ht="15.75" thickBot="1">
      <c r="A3298" s="3555"/>
      <c r="B3298" s="3550"/>
      <c r="C3298" s="3550"/>
      <c r="D3298" s="3550"/>
      <c r="E3298" s="3550"/>
      <c r="F3298" s="3550"/>
      <c r="G3298" s="3551"/>
    </row>
    <row r="3299" spans="1:7" s="2885" customFormat="1" ht="15.75">
      <c r="A3299" s="1675" t="s">
        <v>3706</v>
      </c>
      <c r="B3299" s="2887" t="s">
        <v>2082</v>
      </c>
      <c r="C3299" s="3058" t="s">
        <v>1892</v>
      </c>
      <c r="D3299" s="2887"/>
      <c r="E3299" s="3059">
        <f>(G3299-F3299)/G3299</f>
        <v>0.35658914728682173</v>
      </c>
      <c r="F3299" s="3091">
        <v>0.83</v>
      </c>
      <c r="G3299" s="3092">
        <v>1.29</v>
      </c>
    </row>
    <row r="3300" spans="1:7" s="2885" customFormat="1">
      <c r="A3300" s="2894"/>
      <c r="B3300" s="2895"/>
      <c r="C3300" s="2986" t="s">
        <v>1891</v>
      </c>
      <c r="D3300" s="2895"/>
      <c r="E3300" s="2912">
        <f>(G3300-F3300)/G3300</f>
        <v>0.35658914728682173</v>
      </c>
      <c r="F3300" s="3093">
        <v>0.83</v>
      </c>
      <c r="G3300" s="3094">
        <v>1.29</v>
      </c>
    </row>
    <row r="3301" spans="1:7" s="2885" customFormat="1">
      <c r="A3301" s="3062"/>
      <c r="B3301" s="2895"/>
      <c r="C3301" s="3063" t="s">
        <v>2515</v>
      </c>
      <c r="D3301" s="2895"/>
      <c r="E3301" s="2912">
        <f>(G3301-F3301)/G3301</f>
        <v>0.1120689655172413</v>
      </c>
      <c r="F3301" s="3093">
        <v>1.03</v>
      </c>
      <c r="G3301" s="3094">
        <v>1.1599999999999999</v>
      </c>
    </row>
    <row r="3302" spans="1:7" s="2885" customFormat="1" ht="15.75" thickBot="1">
      <c r="A3302" s="3065"/>
      <c r="B3302" s="2915"/>
      <c r="C3302" s="2915" t="s">
        <v>2743</v>
      </c>
      <c r="D3302" s="2915"/>
      <c r="E3302" s="2916">
        <f>(G3302-F3302)/G3302</f>
        <v>0.29487179487179482</v>
      </c>
      <c r="F3302" s="3143">
        <v>0.55000000000000004</v>
      </c>
      <c r="G3302" s="3097">
        <v>0.78</v>
      </c>
    </row>
    <row r="3304" spans="1:7" ht="15.75" thickBot="1"/>
    <row r="3305" spans="1:7" s="2885" customFormat="1">
      <c r="A3305" s="3614" t="s">
        <v>0</v>
      </c>
      <c r="B3305" s="3518" t="s">
        <v>1</v>
      </c>
      <c r="C3305" s="3518" t="s">
        <v>2</v>
      </c>
      <c r="D3305" s="3518" t="s">
        <v>3</v>
      </c>
      <c r="E3305" s="3518" t="s">
        <v>4</v>
      </c>
      <c r="F3305" s="3518" t="s">
        <v>5</v>
      </c>
      <c r="G3305" s="3522" t="s">
        <v>3504</v>
      </c>
    </row>
    <row r="3306" spans="1:7" s="2885" customFormat="1" ht="15.75" thickBot="1">
      <c r="A3306" s="3555"/>
      <c r="B3306" s="3550"/>
      <c r="C3306" s="3550"/>
      <c r="D3306" s="3550"/>
      <c r="E3306" s="3550"/>
      <c r="F3306" s="3550"/>
      <c r="G3306" s="3551"/>
    </row>
    <row r="3307" spans="1:7" s="2885" customFormat="1">
      <c r="A3307" s="1675" t="s">
        <v>3708</v>
      </c>
      <c r="B3307" s="2887" t="s">
        <v>2029</v>
      </c>
      <c r="C3307" s="2414" t="s">
        <v>623</v>
      </c>
      <c r="D3307" s="2415"/>
      <c r="E3307" s="2888">
        <f>(G3307-F3307)/G3307</f>
        <v>0.20095693779904303</v>
      </c>
      <c r="F3307" s="2415">
        <v>1.67</v>
      </c>
      <c r="G3307" s="881">
        <v>2.09</v>
      </c>
    </row>
    <row r="3308" spans="1:7" s="2885" customFormat="1" ht="15.75" thickBot="1">
      <c r="A3308" s="2914"/>
      <c r="B3308" s="2915"/>
      <c r="C3308" s="2915" t="s">
        <v>1772</v>
      </c>
      <c r="D3308" s="2915"/>
      <c r="E3308" s="2890">
        <f>(G3308-F3308)/G3308</f>
        <v>0.20095693779904303</v>
      </c>
      <c r="F3308" s="2915">
        <v>1.67</v>
      </c>
      <c r="G3308" s="2917">
        <v>2.09</v>
      </c>
    </row>
    <row r="3309" spans="1:7" ht="15.75" thickBot="1"/>
    <row r="3310" spans="1:7" s="2885" customFormat="1">
      <c r="A3310" s="3614" t="s">
        <v>0</v>
      </c>
      <c r="B3310" s="3518" t="s">
        <v>1</v>
      </c>
      <c r="C3310" s="3518" t="s">
        <v>2</v>
      </c>
      <c r="D3310" s="3518" t="s">
        <v>3</v>
      </c>
      <c r="E3310" s="3518" t="s">
        <v>4</v>
      </c>
      <c r="F3310" s="3518" t="s">
        <v>5</v>
      </c>
      <c r="G3310" s="3522" t="s">
        <v>3504</v>
      </c>
    </row>
    <row r="3311" spans="1:7" s="2885" customFormat="1">
      <c r="A3311" s="3555"/>
      <c r="B3311" s="3550"/>
      <c r="C3311" s="3550"/>
      <c r="D3311" s="3550"/>
      <c r="E3311" s="3550"/>
      <c r="F3311" s="3550"/>
      <c r="G3311" s="3551"/>
    </row>
    <row r="3312" spans="1:7" s="2885" customFormat="1">
      <c r="A3312" s="3140" t="s">
        <v>3712</v>
      </c>
      <c r="B3312" s="2965" t="s">
        <v>2155</v>
      </c>
      <c r="C3312" s="2966" t="s">
        <v>730</v>
      </c>
      <c r="D3312" s="2967"/>
      <c r="E3312" s="2896">
        <f>(G3312-F3312)/G3312</f>
        <v>0.35483870967741943</v>
      </c>
      <c r="F3312" s="3141">
        <v>0.6</v>
      </c>
      <c r="G3312" s="2913">
        <v>0.93</v>
      </c>
    </row>
    <row r="3313" spans="1:7" s="2885" customFormat="1">
      <c r="A3313" s="2940"/>
      <c r="B3313" s="2965"/>
      <c r="C3313" s="2966" t="s">
        <v>2603</v>
      </c>
      <c r="D3313" s="2967"/>
      <c r="E3313" s="2896">
        <f>(G3313-F3313)/G3313</f>
        <v>0.31764705882352945</v>
      </c>
      <c r="F3313" s="3141">
        <v>2.3199999999999998</v>
      </c>
      <c r="G3313" s="2957">
        <v>3.4</v>
      </c>
    </row>
    <row r="3314" spans="1:7" s="2885" customFormat="1">
      <c r="A3314" s="2910"/>
      <c r="B3314" s="2911"/>
      <c r="C3314" s="2911" t="s">
        <v>1614</v>
      </c>
      <c r="D3314" s="2911"/>
      <c r="E3314" s="2896" t="e">
        <f>(G3314-F3314)/G3314</f>
        <v>#VALUE!</v>
      </c>
      <c r="F3314" s="3141">
        <v>0.88</v>
      </c>
      <c r="G3314" s="2913" t="s">
        <v>1903</v>
      </c>
    </row>
    <row r="3315" spans="1:7" s="2885" customFormat="1" ht="15.75" thickBot="1">
      <c r="A3315" s="2914"/>
      <c r="B3315" s="2915"/>
      <c r="C3315" s="2915" t="s">
        <v>2792</v>
      </c>
      <c r="D3315" s="2915"/>
      <c r="E3315" s="2890" t="e">
        <f>(G3315-F3315)/G3315</f>
        <v>#VALUE!</v>
      </c>
      <c r="F3315" s="3147">
        <v>0.88</v>
      </c>
      <c r="G3315" s="2917" t="s">
        <v>1903</v>
      </c>
    </row>
    <row r="3317" spans="1:7" ht="15.75" thickBot="1"/>
    <row r="3318" spans="1:7" s="2885" customFormat="1">
      <c r="A3318" s="3614" t="s">
        <v>0</v>
      </c>
      <c r="B3318" s="3518" t="s">
        <v>1</v>
      </c>
      <c r="C3318" s="3518" t="s">
        <v>2</v>
      </c>
      <c r="D3318" s="3518" t="s">
        <v>3</v>
      </c>
      <c r="E3318" s="3518" t="s">
        <v>4</v>
      </c>
      <c r="F3318" s="3518" t="s">
        <v>5</v>
      </c>
      <c r="G3318" s="3522" t="s">
        <v>3504</v>
      </c>
    </row>
    <row r="3319" spans="1:7" s="2885" customFormat="1" ht="15.75" thickBot="1">
      <c r="A3319" s="3555"/>
      <c r="B3319" s="3550"/>
      <c r="C3319" s="3550"/>
      <c r="D3319" s="3550"/>
      <c r="E3319" s="3550"/>
      <c r="F3319" s="3550"/>
      <c r="G3319" s="3551"/>
    </row>
    <row r="3320" spans="1:7" s="2885" customFormat="1">
      <c r="A3320" s="1675" t="s">
        <v>3721</v>
      </c>
      <c r="B3320" s="2887" t="s">
        <v>2029</v>
      </c>
      <c r="C3320" s="2414" t="s">
        <v>2116</v>
      </c>
      <c r="D3320" s="2415"/>
      <c r="E3320" s="2888">
        <f>(G3320-F3320)/G3320</f>
        <v>0.19999999999999993</v>
      </c>
      <c r="F3320" s="2415">
        <v>1.32</v>
      </c>
      <c r="G3320" s="881">
        <v>1.65</v>
      </c>
    </row>
    <row r="3321" spans="1:7" s="2885" customFormat="1" ht="15.75" thickBot="1">
      <c r="A3321" s="2914"/>
      <c r="B3321" s="2915"/>
      <c r="C3321" s="2915" t="s">
        <v>2066</v>
      </c>
      <c r="D3321" s="2915"/>
      <c r="E3321" s="2890">
        <f>(G3321-F3321)/G3321</f>
        <v>0.19999999999999993</v>
      </c>
      <c r="F3321" s="2915">
        <v>1.32</v>
      </c>
      <c r="G3321" s="2917">
        <v>1.65</v>
      </c>
    </row>
    <row r="3322" spans="1:7" ht="15.75" thickBot="1"/>
    <row r="3323" spans="1:7" s="2885" customFormat="1">
      <c r="A3323" s="3614" t="s">
        <v>0</v>
      </c>
      <c r="B3323" s="3518" t="s">
        <v>1</v>
      </c>
      <c r="C3323" s="3518" t="s">
        <v>2</v>
      </c>
      <c r="D3323" s="3518" t="s">
        <v>3</v>
      </c>
      <c r="E3323" s="3518" t="s">
        <v>4</v>
      </c>
      <c r="F3323" s="3518" t="s">
        <v>5</v>
      </c>
      <c r="G3323" s="3522" t="s">
        <v>3504</v>
      </c>
    </row>
    <row r="3324" spans="1:7" s="2885" customFormat="1" ht="15.75" thickBot="1">
      <c r="A3324" s="3555"/>
      <c r="B3324" s="3550"/>
      <c r="C3324" s="3550"/>
      <c r="D3324" s="3550"/>
      <c r="E3324" s="3550"/>
      <c r="F3324" s="3550"/>
      <c r="G3324" s="3551"/>
    </row>
    <row r="3325" spans="1:7" s="2885" customFormat="1">
      <c r="A3325" s="3102" t="s">
        <v>3725</v>
      </c>
      <c r="B3325" s="2400" t="s">
        <v>2155</v>
      </c>
      <c r="C3325" s="2401" t="s">
        <v>2462</v>
      </c>
      <c r="D3325" s="2402"/>
      <c r="E3325" s="2888">
        <f t="shared" ref="E3325:E3331" si="164">(G3325-F3325)/G3325</f>
        <v>0.22758620689655162</v>
      </c>
      <c r="F3325" s="3154">
        <v>1.1200000000000001</v>
      </c>
      <c r="G3325" s="881">
        <v>1.45</v>
      </c>
    </row>
    <row r="3326" spans="1:7" s="2885" customFormat="1">
      <c r="A3326" s="2940"/>
      <c r="B3326" s="2965"/>
      <c r="C3326" s="2966" t="s">
        <v>623</v>
      </c>
      <c r="D3326" s="2967"/>
      <c r="E3326" s="2896">
        <f t="shared" si="164"/>
        <v>0.18343195266272194</v>
      </c>
      <c r="F3326" s="3141">
        <v>1.38</v>
      </c>
      <c r="G3326" s="2957">
        <v>1.69</v>
      </c>
    </row>
    <row r="3327" spans="1:7" s="2885" customFormat="1">
      <c r="A3327" s="2910"/>
      <c r="B3327" s="2911"/>
      <c r="C3327" s="2911" t="s">
        <v>2351</v>
      </c>
      <c r="D3327" s="2911"/>
      <c r="E3327" s="2896">
        <f t="shared" si="164"/>
        <v>0.16666666666666666</v>
      </c>
      <c r="F3327" s="3141">
        <v>0.15</v>
      </c>
      <c r="G3327" s="2913">
        <v>0.18</v>
      </c>
    </row>
    <row r="3328" spans="1:7" s="2885" customFormat="1">
      <c r="A3328" s="2910"/>
      <c r="B3328" s="2911"/>
      <c r="C3328" s="2911" t="s">
        <v>2352</v>
      </c>
      <c r="D3328" s="2911"/>
      <c r="E3328" s="2896">
        <f t="shared" si="164"/>
        <v>0.16666666666666666</v>
      </c>
      <c r="F3328" s="3141">
        <v>0.15</v>
      </c>
      <c r="G3328" s="2913">
        <v>0.18</v>
      </c>
    </row>
    <row r="3329" spans="1:7" s="2885" customFormat="1">
      <c r="A3329" s="2910"/>
      <c r="B3329" s="2911"/>
      <c r="C3329" s="2911" t="s">
        <v>2077</v>
      </c>
      <c r="D3329" s="2911"/>
      <c r="E3329" s="2896">
        <f t="shared" si="164"/>
        <v>0.22222222222222229</v>
      </c>
      <c r="F3329" s="2911">
        <v>0.35</v>
      </c>
      <c r="G3329" s="3019">
        <v>0.45</v>
      </c>
    </row>
    <row r="3330" spans="1:7" s="2885" customFormat="1">
      <c r="A3330" s="2910"/>
      <c r="B3330" s="2911"/>
      <c r="C3330" s="2911" t="s">
        <v>1975</v>
      </c>
      <c r="D3330" s="2911"/>
      <c r="E3330" s="2896">
        <f t="shared" si="164"/>
        <v>0.23497267759562848</v>
      </c>
      <c r="F3330" s="2911">
        <v>1.4</v>
      </c>
      <c r="G3330" s="3019">
        <v>1.83</v>
      </c>
    </row>
    <row r="3331" spans="1:7" s="2885" customFormat="1" ht="15.75" thickBot="1">
      <c r="A3331" s="2914"/>
      <c r="B3331" s="2915"/>
      <c r="C3331" s="2915" t="s">
        <v>2156</v>
      </c>
      <c r="D3331" s="2915"/>
      <c r="E3331" s="2890">
        <f t="shared" si="164"/>
        <v>0.19915254237288135</v>
      </c>
      <c r="F3331" s="2915">
        <v>1.89</v>
      </c>
      <c r="G3331" s="2939">
        <v>2.36</v>
      </c>
    </row>
    <row r="3333" spans="1:7" ht="15.75" thickBot="1"/>
    <row r="3334" spans="1:7" s="2885" customFormat="1">
      <c r="A3334" s="3614" t="s">
        <v>0</v>
      </c>
      <c r="B3334" s="3518" t="s">
        <v>1</v>
      </c>
      <c r="C3334" s="3518" t="s">
        <v>2</v>
      </c>
      <c r="D3334" s="3518" t="s">
        <v>3</v>
      </c>
      <c r="E3334" s="3518" t="s">
        <v>4</v>
      </c>
      <c r="F3334" s="3518" t="s">
        <v>5</v>
      </c>
      <c r="G3334" s="3522" t="s">
        <v>3504</v>
      </c>
    </row>
    <row r="3335" spans="1:7" s="2885" customFormat="1" ht="15.75" thickBot="1">
      <c r="A3335" s="3555"/>
      <c r="B3335" s="3550"/>
      <c r="C3335" s="3550"/>
      <c r="D3335" s="3550"/>
      <c r="E3335" s="3550"/>
      <c r="F3335" s="3550"/>
      <c r="G3335" s="3551"/>
    </row>
    <row r="3336" spans="1:7" s="2885" customFormat="1">
      <c r="A3336" s="3102" t="s">
        <v>3737</v>
      </c>
      <c r="B3336" s="2400" t="s">
        <v>2155</v>
      </c>
      <c r="C3336" s="2401" t="s">
        <v>1614</v>
      </c>
      <c r="D3336" s="2402"/>
      <c r="E3336" s="2888" t="e">
        <f>(G3336-F3336)/G3336</f>
        <v>#DIV/0!</v>
      </c>
      <c r="F3336" s="3154">
        <v>0.88</v>
      </c>
      <c r="G3336" s="881"/>
    </row>
    <row r="3337" spans="1:7" s="2885" customFormat="1" ht="12.75" customHeight="1" thickBot="1">
      <c r="A3337" s="3003"/>
      <c r="B3337" s="3055"/>
      <c r="C3337" s="3158" t="s">
        <v>2792</v>
      </c>
      <c r="D3337" s="3056"/>
      <c r="E3337" s="2890" t="e">
        <f>(G3337-F3337)/G3337</f>
        <v>#DIV/0!</v>
      </c>
      <c r="F3337" s="3147">
        <v>0.88</v>
      </c>
      <c r="G3337" s="3144"/>
    </row>
    <row r="3338" spans="1:7" ht="15.75" thickBot="1"/>
    <row r="3339" spans="1:7" s="2885" customFormat="1">
      <c r="A3339" s="3614" t="s">
        <v>0</v>
      </c>
      <c r="B3339" s="3518" t="s">
        <v>1</v>
      </c>
      <c r="C3339" s="3518" t="s">
        <v>2</v>
      </c>
      <c r="D3339" s="3518" t="s">
        <v>3</v>
      </c>
      <c r="E3339" s="3518" t="s">
        <v>4</v>
      </c>
      <c r="F3339" s="3518" t="s">
        <v>5</v>
      </c>
      <c r="G3339" s="3522" t="s">
        <v>3504</v>
      </c>
    </row>
    <row r="3340" spans="1:7" s="2885" customFormat="1" ht="15.75" thickBot="1">
      <c r="A3340" s="3555"/>
      <c r="B3340" s="3550"/>
      <c r="C3340" s="3550"/>
      <c r="D3340" s="3550"/>
      <c r="E3340" s="3550"/>
      <c r="F3340" s="3550"/>
      <c r="G3340" s="3551"/>
    </row>
    <row r="3341" spans="1:7" s="2885" customFormat="1">
      <c r="A3341" s="1675" t="s">
        <v>3743</v>
      </c>
      <c r="B3341" s="2887" t="s">
        <v>460</v>
      </c>
      <c r="C3341" s="2414" t="s">
        <v>1374</v>
      </c>
      <c r="D3341" s="2415"/>
      <c r="E3341" s="2888">
        <f>(G3341-F3341)/G3341</f>
        <v>0.14678899082568808</v>
      </c>
      <c r="F3341" s="2415">
        <v>0.93</v>
      </c>
      <c r="G3341" s="881">
        <v>1.0900000000000001</v>
      </c>
    </row>
    <row r="3342" spans="1:7" s="2885" customFormat="1">
      <c r="A3342" s="2940"/>
      <c r="B3342" s="2905" t="s">
        <v>1674</v>
      </c>
      <c r="C3342" s="2906" t="s">
        <v>1301</v>
      </c>
      <c r="D3342" s="2941"/>
      <c r="E3342" s="2896">
        <f>(G3342-F3342)/G3342</f>
        <v>0.14678899082568808</v>
      </c>
      <c r="F3342" s="2941">
        <v>0.93</v>
      </c>
      <c r="G3342" s="2913">
        <v>1.0900000000000001</v>
      </c>
    </row>
    <row r="3343" spans="1:7" s="2885" customFormat="1">
      <c r="A3343" s="2910"/>
      <c r="B3343" s="2911"/>
      <c r="C3343" s="2911" t="s">
        <v>2303</v>
      </c>
      <c r="D3343" s="2911"/>
      <c r="E3343" s="2896">
        <f>(G3343-F3343)/G3343</f>
        <v>0.14678899082568808</v>
      </c>
      <c r="F3343" s="2911">
        <v>0.93</v>
      </c>
      <c r="G3343" s="2913">
        <v>1.0900000000000001</v>
      </c>
    </row>
    <row r="3344" spans="1:7" s="2885" customFormat="1">
      <c r="A3344" s="2910"/>
      <c r="B3344" s="2911"/>
      <c r="C3344" s="2911" t="s">
        <v>2658</v>
      </c>
      <c r="D3344" s="2911"/>
      <c r="E3344" s="2896">
        <f>(G3344-F3344)/G3344</f>
        <v>0.14948453608247425</v>
      </c>
      <c r="F3344" s="2911">
        <v>3.3</v>
      </c>
      <c r="G3344" s="2913">
        <v>3.88</v>
      </c>
    </row>
    <row r="3345" spans="1:7" s="2885" customFormat="1" ht="15.75" thickBot="1">
      <c r="A3345" s="2914"/>
      <c r="B3345" s="2915"/>
      <c r="C3345" s="2915" t="s">
        <v>2659</v>
      </c>
      <c r="D3345" s="2915"/>
      <c r="E3345" s="2890">
        <f>(G3345-F3345)/G3345</f>
        <v>0.14948453608247425</v>
      </c>
      <c r="F3345" s="2915">
        <v>3.3</v>
      </c>
      <c r="G3345" s="2939">
        <v>3.88</v>
      </c>
    </row>
    <row r="3346" spans="1:7" ht="15.75" thickBot="1"/>
    <row r="3347" spans="1:7" s="2885" customFormat="1">
      <c r="A3347" s="3614" t="s">
        <v>0</v>
      </c>
      <c r="B3347" s="3518" t="s">
        <v>1</v>
      </c>
      <c r="C3347" s="3518" t="s">
        <v>2</v>
      </c>
      <c r="D3347" s="3518" t="s">
        <v>3</v>
      </c>
      <c r="E3347" s="3518" t="s">
        <v>4</v>
      </c>
      <c r="F3347" s="3518" t="s">
        <v>5</v>
      </c>
      <c r="G3347" s="3522" t="s">
        <v>3504</v>
      </c>
    </row>
    <row r="3348" spans="1:7" s="2885" customFormat="1" ht="15.75" thickBot="1">
      <c r="A3348" s="3555"/>
      <c r="B3348" s="3550"/>
      <c r="C3348" s="3550"/>
      <c r="D3348" s="3550"/>
      <c r="E3348" s="3550"/>
      <c r="F3348" s="3550"/>
      <c r="G3348" s="3551"/>
    </row>
    <row r="3349" spans="1:7" s="2885" customFormat="1">
      <c r="A3349" s="3102" t="s">
        <v>3746</v>
      </c>
      <c r="B3349" s="2400" t="s">
        <v>2155</v>
      </c>
      <c r="C3349" s="2401" t="s">
        <v>3561</v>
      </c>
      <c r="D3349" s="2402"/>
      <c r="E3349" s="2888" t="e">
        <f t="shared" ref="E3349:E3355" si="165">(G3349-F3349)/G3349</f>
        <v>#DIV/0!</v>
      </c>
      <c r="F3349" s="3154">
        <v>6.32</v>
      </c>
      <c r="G3349" s="881"/>
    </row>
    <row r="3350" spans="1:7" s="2885" customFormat="1">
      <c r="A3350" s="2940"/>
      <c r="B3350" s="2965"/>
      <c r="C3350" s="2966" t="s">
        <v>3562</v>
      </c>
      <c r="D3350" s="2967"/>
      <c r="E3350" s="2896" t="e">
        <f t="shared" si="165"/>
        <v>#DIV/0!</v>
      </c>
      <c r="F3350" s="3141">
        <v>6.32</v>
      </c>
      <c r="G3350" s="2957"/>
    </row>
    <row r="3351" spans="1:7" s="2885" customFormat="1">
      <c r="A3351" s="2910"/>
      <c r="B3351" s="2911"/>
      <c r="C3351" s="2911" t="s">
        <v>1374</v>
      </c>
      <c r="D3351" s="2911"/>
      <c r="E3351" s="2896">
        <f t="shared" si="165"/>
        <v>0.16964285714285718</v>
      </c>
      <c r="F3351" s="2911">
        <v>0.93</v>
      </c>
      <c r="G3351" s="2913">
        <v>1.1200000000000001</v>
      </c>
    </row>
    <row r="3352" spans="1:7" s="2885" customFormat="1">
      <c r="A3352" s="2910"/>
      <c r="B3352" s="2911"/>
      <c r="C3352" s="2911" t="s">
        <v>1301</v>
      </c>
      <c r="D3352" s="2911"/>
      <c r="E3352" s="2896">
        <f t="shared" si="165"/>
        <v>0.16964285714285718</v>
      </c>
      <c r="F3352" s="2911">
        <v>0.93</v>
      </c>
      <c r="G3352" s="2913">
        <v>1.1200000000000001</v>
      </c>
    </row>
    <row r="3353" spans="1:7" s="2885" customFormat="1">
      <c r="A3353" s="2910"/>
      <c r="B3353" s="2911"/>
      <c r="C3353" s="2911" t="s">
        <v>2303</v>
      </c>
      <c r="D3353" s="2911"/>
      <c r="E3353" s="2896">
        <f t="shared" si="165"/>
        <v>0.16964285714285718</v>
      </c>
      <c r="F3353" s="2911">
        <v>0.93</v>
      </c>
      <c r="G3353" s="2913">
        <v>1.1200000000000001</v>
      </c>
    </row>
    <row r="3354" spans="1:7" s="2885" customFormat="1">
      <c r="A3354" s="2910"/>
      <c r="B3354" s="2911"/>
      <c r="C3354" s="2911" t="s">
        <v>3204</v>
      </c>
      <c r="D3354" s="2911"/>
      <c r="E3354" s="2896">
        <f t="shared" si="165"/>
        <v>0.24595469255663424</v>
      </c>
      <c r="F3354" s="2911">
        <v>2.33</v>
      </c>
      <c r="G3354" s="2913">
        <v>3.09</v>
      </c>
    </row>
    <row r="3355" spans="1:7" s="2885" customFormat="1" ht="15.75" thickBot="1">
      <c r="A3355" s="2914"/>
      <c r="B3355" s="2915"/>
      <c r="C3355" s="2915" t="s">
        <v>3205</v>
      </c>
      <c r="D3355" s="2915"/>
      <c r="E3355" s="2890">
        <f t="shared" si="165"/>
        <v>0.24595469255663424</v>
      </c>
      <c r="F3355" s="2915">
        <v>2.33</v>
      </c>
      <c r="G3355" s="2917">
        <v>3.09</v>
      </c>
    </row>
    <row r="3357" spans="1:7" ht="15.75" thickBot="1"/>
    <row r="3358" spans="1:7" s="2885" customFormat="1">
      <c r="A3358" s="3614" t="s">
        <v>0</v>
      </c>
      <c r="B3358" s="3518" t="s">
        <v>1</v>
      </c>
      <c r="C3358" s="3518" t="s">
        <v>2</v>
      </c>
      <c r="D3358" s="3518" t="s">
        <v>3</v>
      </c>
      <c r="E3358" s="3518" t="s">
        <v>4</v>
      </c>
      <c r="F3358" s="3518" t="s">
        <v>5</v>
      </c>
      <c r="G3358" s="3522" t="s">
        <v>3504</v>
      </c>
    </row>
    <row r="3359" spans="1:7" s="2885" customFormat="1" ht="15.75" thickBot="1">
      <c r="A3359" s="3555"/>
      <c r="B3359" s="3550"/>
      <c r="C3359" s="3550"/>
      <c r="D3359" s="3550"/>
      <c r="E3359" s="3550"/>
      <c r="F3359" s="3550"/>
      <c r="G3359" s="3551"/>
    </row>
    <row r="3360" spans="1:7" s="2885" customFormat="1" ht="15.75">
      <c r="A3360" s="1675" t="s">
        <v>3754</v>
      </c>
      <c r="B3360" s="2887" t="s">
        <v>2082</v>
      </c>
      <c r="C3360" s="3058" t="s">
        <v>2251</v>
      </c>
      <c r="D3360" s="2887"/>
      <c r="E3360" s="3059">
        <f t="shared" ref="E3360:E3367" si="166">(G3360-F3360)/G3360</f>
        <v>0.308</v>
      </c>
      <c r="F3360" s="3091">
        <v>1.73</v>
      </c>
      <c r="G3360" s="3092">
        <v>2.5</v>
      </c>
    </row>
    <row r="3361" spans="1:7" s="2885" customFormat="1">
      <c r="A3361" s="2894"/>
      <c r="B3361" s="2895"/>
      <c r="C3361" s="2986" t="s">
        <v>1975</v>
      </c>
      <c r="D3361" s="2895"/>
      <c r="E3361" s="2912">
        <f t="shared" si="166"/>
        <v>0.30687830687830681</v>
      </c>
      <c r="F3361" s="3093">
        <v>1.31</v>
      </c>
      <c r="G3361" s="3094">
        <v>1.89</v>
      </c>
    </row>
    <row r="3362" spans="1:7" s="2885" customFormat="1">
      <c r="A3362" s="3062"/>
      <c r="B3362" s="2895"/>
      <c r="C3362" s="3063" t="s">
        <v>2066</v>
      </c>
      <c r="D3362" s="2895"/>
      <c r="E3362" s="2912">
        <f t="shared" si="166"/>
        <v>0.22159090909090903</v>
      </c>
      <c r="F3362" s="3093">
        <v>1.37</v>
      </c>
      <c r="G3362" s="3094">
        <v>1.76</v>
      </c>
    </row>
    <row r="3363" spans="1:7" s="2885" customFormat="1">
      <c r="A3363" s="3062"/>
      <c r="B3363" s="2911"/>
      <c r="C3363" s="2911" t="s">
        <v>2871</v>
      </c>
      <c r="D3363" s="2911"/>
      <c r="E3363" s="2912">
        <f t="shared" si="166"/>
        <v>0.22159090909090903</v>
      </c>
      <c r="F3363" s="3095">
        <v>1.37</v>
      </c>
      <c r="G3363" s="3094">
        <v>1.76</v>
      </c>
    </row>
    <row r="3364" spans="1:7" s="2885" customFormat="1">
      <c r="A3364" s="2910"/>
      <c r="B3364" s="2911"/>
      <c r="C3364" s="2911" t="s">
        <v>2116</v>
      </c>
      <c r="D3364" s="2911"/>
      <c r="E3364" s="2912">
        <f t="shared" si="166"/>
        <v>0.22159090909090903</v>
      </c>
      <c r="F3364" s="2911">
        <v>1.37</v>
      </c>
      <c r="G3364" s="3094">
        <v>1.76</v>
      </c>
    </row>
    <row r="3365" spans="1:7" s="2885" customFormat="1">
      <c r="A3365" s="2910"/>
      <c r="B3365" s="2911"/>
      <c r="C3365" s="2911" t="s">
        <v>2890</v>
      </c>
      <c r="D3365" s="2911"/>
      <c r="E3365" s="2912">
        <f t="shared" si="166"/>
        <v>0.22159090909090903</v>
      </c>
      <c r="F3365" s="2911">
        <v>1.37</v>
      </c>
      <c r="G3365" s="3094">
        <v>1.76</v>
      </c>
    </row>
    <row r="3366" spans="1:7" s="2885" customFormat="1">
      <c r="A3366" s="2910"/>
      <c r="B3366" s="2911"/>
      <c r="C3366" s="2911" t="s">
        <v>2115</v>
      </c>
      <c r="D3366" s="2911"/>
      <c r="E3366" s="2912">
        <f t="shared" si="166"/>
        <v>0.22159090909090903</v>
      </c>
      <c r="F3366" s="2911">
        <v>1.37</v>
      </c>
      <c r="G3366" s="3094">
        <v>1.76</v>
      </c>
    </row>
    <row r="3367" spans="1:7" s="2885" customFormat="1" ht="15.75" thickBot="1">
      <c r="A3367" s="2914"/>
      <c r="B3367" s="2915"/>
      <c r="C3367" s="2915" t="s">
        <v>2827</v>
      </c>
      <c r="D3367" s="2915"/>
      <c r="E3367" s="2916">
        <f t="shared" si="166"/>
        <v>0.22159090909090903</v>
      </c>
      <c r="F3367" s="2915">
        <v>1.37</v>
      </c>
      <c r="G3367" s="3097">
        <v>1.76</v>
      </c>
    </row>
    <row r="3369" spans="1:7" ht="15.75" thickBot="1"/>
    <row r="3370" spans="1:7" s="2885" customFormat="1">
      <c r="A3370" s="3614" t="s">
        <v>0</v>
      </c>
      <c r="B3370" s="3518" t="s">
        <v>1</v>
      </c>
      <c r="C3370" s="3518" t="s">
        <v>2</v>
      </c>
      <c r="D3370" s="3518" t="s">
        <v>3</v>
      </c>
      <c r="E3370" s="3518" t="s">
        <v>4</v>
      </c>
      <c r="F3370" s="3518" t="s">
        <v>5</v>
      </c>
      <c r="G3370" s="3522" t="s">
        <v>3504</v>
      </c>
    </row>
    <row r="3371" spans="1:7" s="2885" customFormat="1" ht="15.75" thickBot="1">
      <c r="A3371" s="3555"/>
      <c r="B3371" s="3550"/>
      <c r="C3371" s="3550"/>
      <c r="D3371" s="3550"/>
      <c r="E3371" s="3550"/>
      <c r="F3371" s="3550"/>
      <c r="G3371" s="3551"/>
    </row>
    <row r="3372" spans="1:7" s="2885" customFormat="1" ht="15.75" thickBot="1">
      <c r="A3372" s="3133" t="s">
        <v>3771</v>
      </c>
      <c r="B3372" s="3134" t="s">
        <v>2029</v>
      </c>
      <c r="C3372" s="3135" t="s">
        <v>3662</v>
      </c>
      <c r="D3372" s="3136"/>
      <c r="E3372" s="3137">
        <f>(G3372-F3372)/G3372</f>
        <v>0.20388349514563114</v>
      </c>
      <c r="F3372" s="3136">
        <v>0.82</v>
      </c>
      <c r="G3372" s="3138">
        <v>1.03</v>
      </c>
    </row>
    <row r="3374" spans="1:7" ht="15.75" thickBot="1"/>
    <row r="3375" spans="1:7" s="2885" customFormat="1">
      <c r="A3375" s="3614" t="s">
        <v>0</v>
      </c>
      <c r="B3375" s="3518" t="s">
        <v>1</v>
      </c>
      <c r="C3375" s="3518" t="s">
        <v>2</v>
      </c>
      <c r="D3375" s="3518" t="s">
        <v>3</v>
      </c>
      <c r="E3375" s="3518" t="s">
        <v>4</v>
      </c>
      <c r="F3375" s="3518" t="s">
        <v>5</v>
      </c>
      <c r="G3375" s="3522" t="s">
        <v>3504</v>
      </c>
    </row>
    <row r="3376" spans="1:7" s="2885" customFormat="1" ht="15.75" thickBot="1">
      <c r="A3376" s="3555"/>
      <c r="B3376" s="3550"/>
      <c r="C3376" s="3550"/>
      <c r="D3376" s="3550"/>
      <c r="E3376" s="3550"/>
      <c r="F3376" s="3550"/>
      <c r="G3376" s="3551"/>
    </row>
    <row r="3377" spans="1:7" s="2885" customFormat="1">
      <c r="A3377" s="3102" t="s">
        <v>3777</v>
      </c>
      <c r="B3377" s="2400" t="s">
        <v>2155</v>
      </c>
      <c r="C3377" s="2401" t="s">
        <v>2559</v>
      </c>
      <c r="D3377" s="2402"/>
      <c r="E3377" s="2888">
        <f t="shared" ref="E3377:E3383" si="167">(G3377-F3377)/G3377</f>
        <v>0.350140056022409</v>
      </c>
      <c r="F3377" s="3154">
        <v>2.3199999999999998</v>
      </c>
      <c r="G3377" s="881">
        <v>3.57</v>
      </c>
    </row>
    <row r="3378" spans="1:7" s="2885" customFormat="1">
      <c r="A3378" s="2940"/>
      <c r="B3378" s="2965"/>
      <c r="C3378" s="2966" t="s">
        <v>686</v>
      </c>
      <c r="D3378" s="2967"/>
      <c r="E3378" s="2896">
        <f t="shared" si="167"/>
        <v>0.35897435897435892</v>
      </c>
      <c r="F3378" s="3141">
        <v>1.5</v>
      </c>
      <c r="G3378" s="2957">
        <v>2.34</v>
      </c>
    </row>
    <row r="3379" spans="1:7" s="2885" customFormat="1">
      <c r="A3379" s="2910"/>
      <c r="B3379" s="2911"/>
      <c r="C3379" s="2911" t="s">
        <v>687</v>
      </c>
      <c r="D3379" s="2911"/>
      <c r="E3379" s="2896">
        <f t="shared" si="167"/>
        <v>0.35897435897435892</v>
      </c>
      <c r="F3379" s="2911">
        <v>1.5</v>
      </c>
      <c r="G3379" s="2913">
        <v>2.34</v>
      </c>
    </row>
    <row r="3380" spans="1:7" s="2885" customFormat="1">
      <c r="A3380" s="2910"/>
      <c r="B3380" s="2911"/>
      <c r="C3380" s="2911" t="s">
        <v>385</v>
      </c>
      <c r="D3380" s="2911"/>
      <c r="E3380" s="2896">
        <f t="shared" si="167"/>
        <v>0.40287769784172661</v>
      </c>
      <c r="F3380" s="2911">
        <v>0.83</v>
      </c>
      <c r="G3380" s="2913">
        <v>1.39</v>
      </c>
    </row>
    <row r="3381" spans="1:7" s="2885" customFormat="1">
      <c r="A3381" s="2910"/>
      <c r="B3381" s="2911"/>
      <c r="C3381" s="2911" t="s">
        <v>1327</v>
      </c>
      <c r="D3381" s="2911"/>
      <c r="E3381" s="2896">
        <f t="shared" si="167"/>
        <v>0.31999999999999995</v>
      </c>
      <c r="F3381" s="2911">
        <v>0.17</v>
      </c>
      <c r="G3381" s="2913">
        <v>0.25</v>
      </c>
    </row>
    <row r="3382" spans="1:7" s="2885" customFormat="1">
      <c r="A3382" s="2910"/>
      <c r="B3382" s="2911"/>
      <c r="C3382" s="2911" t="s">
        <v>1891</v>
      </c>
      <c r="D3382" s="2911"/>
      <c r="E3382" s="2896">
        <f t="shared" si="167"/>
        <v>0.4</v>
      </c>
      <c r="F3382" s="2911">
        <v>0.75</v>
      </c>
      <c r="G3382" s="2913">
        <v>1.25</v>
      </c>
    </row>
    <row r="3383" spans="1:7" s="2885" customFormat="1" ht="15.75" thickBot="1">
      <c r="A3383" s="2914"/>
      <c r="B3383" s="2915"/>
      <c r="C3383" s="2915"/>
      <c r="D3383" s="2915"/>
      <c r="E3383" s="2890" t="e">
        <f t="shared" si="167"/>
        <v>#DIV/0!</v>
      </c>
      <c r="F3383" s="2915"/>
      <c r="G3383" s="2917"/>
    </row>
    <row r="3384" spans="1:7" ht="15.75" thickBot="1"/>
    <row r="3385" spans="1:7">
      <c r="A3385" s="3614" t="s">
        <v>0</v>
      </c>
      <c r="B3385" s="3518" t="s">
        <v>1</v>
      </c>
      <c r="C3385" s="3518" t="s">
        <v>2</v>
      </c>
      <c r="D3385" s="3518" t="s">
        <v>3</v>
      </c>
      <c r="E3385" s="3518" t="s">
        <v>4</v>
      </c>
      <c r="F3385" s="3518" t="s">
        <v>5</v>
      </c>
      <c r="G3385" s="3522" t="s">
        <v>3504</v>
      </c>
    </row>
    <row r="3386" spans="1:7" ht="15.75" thickBot="1">
      <c r="A3386" s="3555"/>
      <c r="B3386" s="3550"/>
      <c r="C3386" s="3550"/>
      <c r="D3386" s="3550"/>
      <c r="E3386" s="3550"/>
      <c r="F3386" s="3550"/>
      <c r="G3386" s="3551"/>
    </row>
    <row r="3387" spans="1:7">
      <c r="A3387" s="3102" t="s">
        <v>3784</v>
      </c>
      <c r="B3387" s="2400" t="s">
        <v>2155</v>
      </c>
      <c r="C3387" s="2401" t="s">
        <v>3488</v>
      </c>
      <c r="D3387" s="2402"/>
      <c r="E3387" s="2888">
        <f>(G3387-F3387)/G3387</f>
        <v>0.20000000000000009</v>
      </c>
      <c r="F3387" s="3154">
        <v>2.36</v>
      </c>
      <c r="G3387" s="881">
        <v>2.95</v>
      </c>
    </row>
    <row r="3388" spans="1:7">
      <c r="A3388" s="2940"/>
      <c r="B3388" s="2965"/>
      <c r="C3388" s="2966" t="s">
        <v>3489</v>
      </c>
      <c r="D3388" s="2967"/>
      <c r="E3388" s="2896">
        <f>(G3388-F3388)/G3388</f>
        <v>0.20000000000000009</v>
      </c>
      <c r="F3388" s="3141">
        <v>2.36</v>
      </c>
      <c r="G3388" s="2957">
        <v>2.95</v>
      </c>
    </row>
    <row r="3389" spans="1:7">
      <c r="A3389" s="2910"/>
      <c r="B3389" s="2911"/>
      <c r="C3389" s="2911" t="s">
        <v>3327</v>
      </c>
      <c r="D3389" s="2911"/>
      <c r="E3389" s="2896">
        <f>(G3389-F3389)/G3389</f>
        <v>0.1991869918699187</v>
      </c>
      <c r="F3389" s="2911">
        <v>1.97</v>
      </c>
      <c r="G3389" s="2913">
        <v>2.46</v>
      </c>
    </row>
    <row r="3390" spans="1:7" ht="15.75" thickBot="1">
      <c r="A3390" s="2914"/>
      <c r="B3390" s="2915"/>
      <c r="C3390" s="2915" t="s">
        <v>3328</v>
      </c>
      <c r="D3390" s="2915"/>
      <c r="E3390" s="2890">
        <f>(G3390-F3390)/G3390</f>
        <v>0.1991869918699187</v>
      </c>
      <c r="F3390" s="2915">
        <v>1.97</v>
      </c>
      <c r="G3390" s="2917">
        <v>2.46</v>
      </c>
    </row>
    <row r="3391" spans="1:7" ht="15.75" thickBot="1"/>
    <row r="3392" spans="1:7">
      <c r="A3392" s="3614" t="s">
        <v>0</v>
      </c>
      <c r="B3392" s="3518" t="s">
        <v>1</v>
      </c>
      <c r="C3392" s="3518" t="s">
        <v>2</v>
      </c>
      <c r="D3392" s="3518" t="s">
        <v>3</v>
      </c>
      <c r="E3392" s="3518" t="s">
        <v>4</v>
      </c>
      <c r="F3392" s="3518" t="s">
        <v>5</v>
      </c>
      <c r="G3392" s="3522" t="s">
        <v>3504</v>
      </c>
    </row>
    <row r="3393" spans="1:7" ht="15.75" thickBot="1">
      <c r="A3393" s="3555"/>
      <c r="B3393" s="3550"/>
      <c r="C3393" s="3550"/>
      <c r="D3393" s="3550"/>
      <c r="E3393" s="3550"/>
      <c r="F3393" s="3550"/>
      <c r="G3393" s="3551"/>
    </row>
    <row r="3394" spans="1:7" ht="15.75" thickBot="1">
      <c r="A3394" s="3133" t="s">
        <v>3783</v>
      </c>
      <c r="B3394" s="3134" t="s">
        <v>2029</v>
      </c>
      <c r="C3394" s="3135" t="s">
        <v>1058</v>
      </c>
      <c r="D3394" s="3136"/>
      <c r="E3394" s="3137">
        <f>(G3394-F3394)/G3394</f>
        <v>0.20091324200913241</v>
      </c>
      <c r="F3394" s="3136">
        <v>1.75</v>
      </c>
      <c r="G3394" s="3138">
        <v>2.19</v>
      </c>
    </row>
    <row r="3395" spans="1:7" ht="15.75" thickBot="1"/>
    <row r="3396" spans="1:7">
      <c r="A3396" s="3614" t="s">
        <v>0</v>
      </c>
      <c r="B3396" s="3518" t="s">
        <v>1</v>
      </c>
      <c r="C3396" s="3518" t="s">
        <v>2</v>
      </c>
      <c r="D3396" s="3518" t="s">
        <v>3</v>
      </c>
      <c r="E3396" s="3518" t="s">
        <v>4</v>
      </c>
      <c r="F3396" s="3518" t="s">
        <v>5</v>
      </c>
      <c r="G3396" s="3522" t="s">
        <v>3504</v>
      </c>
    </row>
    <row r="3397" spans="1:7" ht="15.75" thickBot="1">
      <c r="A3397" s="3555"/>
      <c r="B3397" s="3550"/>
      <c r="C3397" s="3550"/>
      <c r="D3397" s="3550"/>
      <c r="E3397" s="3550"/>
      <c r="F3397" s="3550"/>
      <c r="G3397" s="3551"/>
    </row>
    <row r="3398" spans="1:7" ht="15.75">
      <c r="A3398" s="1675" t="s">
        <v>3787</v>
      </c>
      <c r="B3398" s="2887" t="s">
        <v>2082</v>
      </c>
      <c r="C3398" s="3058" t="s">
        <v>3785</v>
      </c>
      <c r="D3398" s="2887"/>
      <c r="E3398" s="3059">
        <f t="shared" ref="E3398:E3404" si="168">(G3398-F3398)/G3398</f>
        <v>0.25257731958762886</v>
      </c>
      <c r="F3398" s="3091">
        <v>1.45</v>
      </c>
      <c r="G3398" s="3092">
        <v>1.94</v>
      </c>
    </row>
    <row r="3399" spans="1:7">
      <c r="A3399" s="2894"/>
      <c r="B3399" s="2895"/>
      <c r="C3399" s="2986" t="s">
        <v>3786</v>
      </c>
      <c r="D3399" s="2895"/>
      <c r="E3399" s="2912">
        <f t="shared" si="168"/>
        <v>0.25257731958762886</v>
      </c>
      <c r="F3399" s="3093">
        <v>1.45</v>
      </c>
      <c r="G3399" s="3094">
        <v>1.94</v>
      </c>
    </row>
    <row r="3400" spans="1:7">
      <c r="A3400" s="3062"/>
      <c r="B3400" s="2895"/>
      <c r="C3400" s="3063" t="s">
        <v>623</v>
      </c>
      <c r="D3400" s="2895"/>
      <c r="E3400" s="2912">
        <f t="shared" si="168"/>
        <v>0.30909090909090914</v>
      </c>
      <c r="F3400" s="3093">
        <v>1.52</v>
      </c>
      <c r="G3400" s="3094">
        <v>2.2000000000000002</v>
      </c>
    </row>
    <row r="3401" spans="1:7">
      <c r="A3401" s="3062"/>
      <c r="B3401" s="2911"/>
      <c r="C3401" s="2911" t="s">
        <v>554</v>
      </c>
      <c r="D3401" s="2911"/>
      <c r="E3401" s="2912">
        <f t="shared" si="168"/>
        <v>0.24113475177304955</v>
      </c>
      <c r="F3401" s="3095">
        <v>1.07</v>
      </c>
      <c r="G3401" s="3094">
        <v>1.41</v>
      </c>
    </row>
    <row r="3402" spans="1:7">
      <c r="A3402" s="2910"/>
      <c r="B3402" s="2911"/>
      <c r="C3402" s="2911" t="s">
        <v>1892</v>
      </c>
      <c r="D3402" s="2911"/>
      <c r="E3402" s="3185">
        <f t="shared" si="168"/>
        <v>0.35658914728682173</v>
      </c>
      <c r="F3402" s="3093">
        <v>0.83</v>
      </c>
      <c r="G3402" s="3186">
        <v>1.29</v>
      </c>
    </row>
    <row r="3403" spans="1:7">
      <c r="A3403" s="2910"/>
      <c r="B3403" s="2911"/>
      <c r="C3403" s="2911" t="s">
        <v>1891</v>
      </c>
      <c r="D3403" s="2911"/>
      <c r="E3403" s="3185">
        <f t="shared" si="168"/>
        <v>0.35658914728682173</v>
      </c>
      <c r="F3403" s="3093">
        <v>0.83</v>
      </c>
      <c r="G3403" s="3186">
        <v>1.29</v>
      </c>
    </row>
    <row r="3404" spans="1:7" ht="15.75" thickBot="1">
      <c r="A3404" s="2914"/>
      <c r="B3404" s="2915"/>
      <c r="C3404" s="2915" t="s">
        <v>2743</v>
      </c>
      <c r="D3404" s="2915"/>
      <c r="E3404" s="3187">
        <f t="shared" si="168"/>
        <v>0.29487179487179482</v>
      </c>
      <c r="F3404" s="3188">
        <v>0.55000000000000004</v>
      </c>
      <c r="G3404" s="3189">
        <v>0.78</v>
      </c>
    </row>
    <row r="3405" spans="1:7" ht="15.75" thickBot="1"/>
    <row r="3406" spans="1:7">
      <c r="A3406" s="3614" t="s">
        <v>0</v>
      </c>
      <c r="B3406" s="3518" t="s">
        <v>1</v>
      </c>
      <c r="C3406" s="3518" t="s">
        <v>2</v>
      </c>
      <c r="D3406" s="3518" t="s">
        <v>3</v>
      </c>
      <c r="E3406" s="3518" t="s">
        <v>4</v>
      </c>
      <c r="F3406" s="3518" t="s">
        <v>5</v>
      </c>
      <c r="G3406" s="3522" t="s">
        <v>3504</v>
      </c>
    </row>
    <row r="3407" spans="1:7" ht="15.75" thickBot="1">
      <c r="A3407" s="3555"/>
      <c r="B3407" s="3550"/>
      <c r="C3407" s="3550"/>
      <c r="D3407" s="3550"/>
      <c r="E3407" s="3550"/>
      <c r="F3407" s="3550"/>
      <c r="G3407" s="3551"/>
    </row>
    <row r="3408" spans="1:7">
      <c r="A3408" s="3102" t="s">
        <v>3794</v>
      </c>
      <c r="B3408" s="2400" t="s">
        <v>2155</v>
      </c>
      <c r="C3408" s="2401" t="s">
        <v>1267</v>
      </c>
      <c r="D3408" s="2402"/>
      <c r="E3408" s="2888">
        <f>(G3408-F3408)/G3408</f>
        <v>0.23809523809523805</v>
      </c>
      <c r="F3408" s="3154">
        <v>0.64</v>
      </c>
      <c r="G3408" s="881">
        <v>0.84</v>
      </c>
    </row>
    <row r="3409" spans="1:7">
      <c r="A3409" s="2940"/>
      <c r="B3409" s="2965"/>
      <c r="C3409" s="2966" t="s">
        <v>1374</v>
      </c>
      <c r="D3409" s="2967"/>
      <c r="E3409" s="2896">
        <f>(G3409-F3409)/G3409</f>
        <v>0.13392857142857154</v>
      </c>
      <c r="F3409" s="3141">
        <v>0.97</v>
      </c>
      <c r="G3409" s="2957">
        <v>1.1200000000000001</v>
      </c>
    </row>
    <row r="3410" spans="1:7">
      <c r="A3410" s="2910"/>
      <c r="B3410" s="2911"/>
      <c r="C3410" s="2911" t="s">
        <v>1301</v>
      </c>
      <c r="D3410" s="2911"/>
      <c r="E3410" s="2896">
        <f>(G3410-F3410)/G3410</f>
        <v>0.13392857142857154</v>
      </c>
      <c r="F3410" s="2911">
        <v>0.97</v>
      </c>
      <c r="G3410" s="2913">
        <v>1.1200000000000001</v>
      </c>
    </row>
    <row r="3411" spans="1:7">
      <c r="A3411" s="2910"/>
      <c r="B3411" s="2911"/>
      <c r="C3411" s="2911" t="s">
        <v>2303</v>
      </c>
      <c r="D3411" s="2911"/>
      <c r="E3411" s="2896">
        <f>(G3411-F3411)/G3411</f>
        <v>0.13392857142857154</v>
      </c>
      <c r="F3411" s="2911">
        <v>0.97</v>
      </c>
      <c r="G3411" s="2913">
        <v>1.1200000000000001</v>
      </c>
    </row>
    <row r="3412" spans="1:7" ht="15.75" thickBot="1">
      <c r="A3412" s="2914"/>
      <c r="B3412" s="2915"/>
      <c r="C3412" s="2915" t="s">
        <v>3598</v>
      </c>
      <c r="D3412" s="2915"/>
      <c r="E3412" s="2890">
        <f>(G3412-F3412)/G3412</f>
        <v>0.10112359550561795</v>
      </c>
      <c r="F3412" s="3011">
        <v>1.6</v>
      </c>
      <c r="G3412" s="2939">
        <v>1.78</v>
      </c>
    </row>
    <row r="3413" spans="1:7" ht="15.75" thickBot="1"/>
    <row r="3414" spans="1:7">
      <c r="A3414" s="3614" t="s">
        <v>0</v>
      </c>
      <c r="B3414" s="3518" t="s">
        <v>1</v>
      </c>
      <c r="C3414" s="3518" t="s">
        <v>2</v>
      </c>
      <c r="D3414" s="3518" t="s">
        <v>3</v>
      </c>
      <c r="E3414" s="3518" t="s">
        <v>4</v>
      </c>
      <c r="F3414" s="3518" t="s">
        <v>5</v>
      </c>
      <c r="G3414" s="3522" t="s">
        <v>3504</v>
      </c>
    </row>
    <row r="3415" spans="1:7" ht="15.75" thickBot="1">
      <c r="A3415" s="3555"/>
      <c r="B3415" s="3550"/>
      <c r="C3415" s="3550"/>
      <c r="D3415" s="3550"/>
      <c r="E3415" s="3550"/>
      <c r="F3415" s="3550"/>
      <c r="G3415" s="3551"/>
    </row>
    <row r="3416" spans="1:7" ht="15.75" thickBot="1">
      <c r="A3416" s="3102" t="s">
        <v>3795</v>
      </c>
      <c r="B3416" s="3134" t="s">
        <v>2029</v>
      </c>
      <c r="C3416" s="2401" t="s">
        <v>2273</v>
      </c>
      <c r="D3416" s="2402"/>
      <c r="E3416" s="2888">
        <f>(G3416-F3416)/G3416</f>
        <v>0.2001748251748251</v>
      </c>
      <c r="F3416" s="3154">
        <v>18.3</v>
      </c>
      <c r="G3416" s="881">
        <v>22.88</v>
      </c>
    </row>
    <row r="3417" spans="1:7">
      <c r="A3417" s="2940"/>
      <c r="B3417" s="2965"/>
      <c r="C3417" s="2966" t="s">
        <v>71</v>
      </c>
      <c r="D3417" s="2967"/>
      <c r="E3417" s="2896">
        <f>(G3417-F3417)/G3417</f>
        <v>0.2001748251748251</v>
      </c>
      <c r="F3417" s="3141">
        <v>18.3</v>
      </c>
      <c r="G3417" s="2957">
        <v>22.88</v>
      </c>
    </row>
    <row r="3418" spans="1:7">
      <c r="A3418" s="2910"/>
      <c r="B3418" s="2911"/>
      <c r="C3418" s="2911" t="s">
        <v>1883</v>
      </c>
      <c r="D3418" s="2911"/>
      <c r="E3418" s="2896">
        <f>(G3418-F3418)/G3418</f>
        <v>0.2001748251748251</v>
      </c>
      <c r="F3418" s="2911">
        <v>18.3</v>
      </c>
      <c r="G3418" s="2913">
        <v>22.88</v>
      </c>
    </row>
    <row r="3419" spans="1:7" ht="15.75" thickBot="1">
      <c r="A3419" s="2914"/>
      <c r="B3419" s="2915"/>
      <c r="C3419" s="2915" t="s">
        <v>2276</v>
      </c>
      <c r="D3419" s="2915"/>
      <c r="E3419" s="2890">
        <f>(G3419-F3419)/G3419</f>
        <v>0.2001748251748251</v>
      </c>
      <c r="F3419" s="2915">
        <v>18.3</v>
      </c>
      <c r="G3419" s="2917">
        <v>22.88</v>
      </c>
    </row>
    <row r="3420" spans="1:7" ht="15.75" thickBot="1"/>
    <row r="3421" spans="1:7">
      <c r="A3421" s="3614" t="s">
        <v>0</v>
      </c>
      <c r="B3421" s="3518" t="s">
        <v>1</v>
      </c>
      <c r="C3421" s="3518" t="s">
        <v>2</v>
      </c>
      <c r="D3421" s="3518" t="s">
        <v>3</v>
      </c>
      <c r="E3421" s="3518" t="s">
        <v>4</v>
      </c>
      <c r="F3421" s="3518" t="s">
        <v>5</v>
      </c>
      <c r="G3421" s="3522" t="s">
        <v>3504</v>
      </c>
    </row>
    <row r="3422" spans="1:7" ht="15.75" thickBot="1">
      <c r="A3422" s="3555"/>
      <c r="B3422" s="3550"/>
      <c r="C3422" s="3550"/>
      <c r="D3422" s="3550"/>
      <c r="E3422" s="3550"/>
      <c r="F3422" s="3550"/>
      <c r="G3422" s="3551"/>
    </row>
    <row r="3423" spans="1:7" ht="15.75">
      <c r="A3423" s="1675" t="s">
        <v>3796</v>
      </c>
      <c r="B3423" s="2887" t="s">
        <v>2082</v>
      </c>
      <c r="C3423" s="3058" t="s">
        <v>2251</v>
      </c>
      <c r="D3423" s="2887"/>
      <c r="E3423" s="3059">
        <f>(G3423-F3423)/G3423</f>
        <v>0.308</v>
      </c>
      <c r="F3423" s="3091">
        <v>1.73</v>
      </c>
      <c r="G3423" s="3092">
        <v>2.5</v>
      </c>
    </row>
    <row r="3424" spans="1:7">
      <c r="A3424" s="2894"/>
      <c r="B3424" s="2895"/>
      <c r="C3424" s="2986" t="s">
        <v>1975</v>
      </c>
      <c r="D3424" s="2895"/>
      <c r="E3424" s="2912">
        <f>(G3424-F3424)/G3424</f>
        <v>0.30687830687830681</v>
      </c>
      <c r="F3424" s="3093">
        <v>1.31</v>
      </c>
      <c r="G3424" s="3094">
        <v>1.89</v>
      </c>
    </row>
    <row r="3425" spans="1:7" ht="15.75" thickBot="1">
      <c r="A3425" s="3065"/>
      <c r="B3425" s="2987"/>
      <c r="C3425" s="2988" t="s">
        <v>2515</v>
      </c>
      <c r="D3425" s="2987"/>
      <c r="E3425" s="2916">
        <f>(G3425-F3425)/G3425</f>
        <v>0.3087248322147651</v>
      </c>
      <c r="F3425" s="3188">
        <v>1.03</v>
      </c>
      <c r="G3425" s="3097">
        <v>1.49</v>
      </c>
    </row>
    <row r="3426" spans="1:7" ht="15.75" thickBot="1"/>
    <row r="3427" spans="1:7">
      <c r="A3427" s="3614" t="s">
        <v>0</v>
      </c>
      <c r="B3427" s="3518" t="s">
        <v>1</v>
      </c>
      <c r="C3427" s="3518" t="s">
        <v>2</v>
      </c>
      <c r="D3427" s="3518" t="s">
        <v>3</v>
      </c>
      <c r="E3427" s="3518" t="s">
        <v>4</v>
      </c>
      <c r="F3427" s="3518" t="s">
        <v>5</v>
      </c>
      <c r="G3427" s="3522" t="s">
        <v>3504</v>
      </c>
    </row>
    <row r="3428" spans="1:7" ht="15.75" thickBot="1">
      <c r="A3428" s="3555"/>
      <c r="B3428" s="3550"/>
      <c r="C3428" s="3550"/>
      <c r="D3428" s="3550"/>
      <c r="E3428" s="3550"/>
      <c r="F3428" s="3550"/>
      <c r="G3428" s="3551"/>
    </row>
    <row r="3429" spans="1:7" ht="15.75">
      <c r="A3429" s="1675" t="s">
        <v>3833</v>
      </c>
      <c r="B3429" s="2887" t="s">
        <v>2441</v>
      </c>
      <c r="C3429" s="3058" t="s">
        <v>3627</v>
      </c>
      <c r="D3429" s="2887"/>
      <c r="E3429" s="3059">
        <f t="shared" ref="E3429:E3436" si="169">(G3429-F3429)/G3429</f>
        <v>7.936507936507943E-2</v>
      </c>
      <c r="F3429" s="3091">
        <v>2.3199999999999998</v>
      </c>
      <c r="G3429" s="3092">
        <v>2.52</v>
      </c>
    </row>
    <row r="3430" spans="1:7">
      <c r="A3430" s="2894"/>
      <c r="B3430" s="2895"/>
      <c r="C3430" s="2986" t="s">
        <v>3797</v>
      </c>
      <c r="D3430" s="2895"/>
      <c r="E3430" s="2912">
        <f t="shared" si="169"/>
        <v>7.936507936507943E-2</v>
      </c>
      <c r="F3430" s="3093">
        <v>2.3199999999999998</v>
      </c>
      <c r="G3430" s="3094">
        <v>2.52</v>
      </c>
    </row>
    <row r="3431" spans="1:7">
      <c r="A3431" s="3062"/>
      <c r="B3431" s="2895"/>
      <c r="C3431" s="3063" t="s">
        <v>3628</v>
      </c>
      <c r="D3431" s="2895"/>
      <c r="E3431" s="2912">
        <f t="shared" si="169"/>
        <v>7.936507936507943E-2</v>
      </c>
      <c r="F3431" s="3093">
        <v>2.3199999999999998</v>
      </c>
      <c r="G3431" s="3094">
        <v>2.52</v>
      </c>
    </row>
    <row r="3432" spans="1:7">
      <c r="A3432" s="2910"/>
      <c r="B3432" s="2911"/>
      <c r="C3432" s="2911" t="s">
        <v>3487</v>
      </c>
      <c r="D3432" s="2911"/>
      <c r="E3432" s="2912">
        <f t="shared" si="169"/>
        <v>7.936507936507943E-2</v>
      </c>
      <c r="F3432" s="3093">
        <v>2.3199999999999998</v>
      </c>
      <c r="G3432" s="3094">
        <v>2.52</v>
      </c>
    </row>
    <row r="3433" spans="1:7">
      <c r="A3433" s="2910"/>
      <c r="B3433" s="2911"/>
      <c r="C3433" s="2911" t="s">
        <v>3488</v>
      </c>
      <c r="D3433" s="2911"/>
      <c r="E3433" s="2912">
        <f t="shared" si="169"/>
        <v>7.936507936507943E-2</v>
      </c>
      <c r="F3433" s="3093">
        <v>2.3199999999999998</v>
      </c>
      <c r="G3433" s="3094">
        <v>2.52</v>
      </c>
    </row>
    <row r="3434" spans="1:7">
      <c r="A3434" s="2910"/>
      <c r="B3434" s="2911"/>
      <c r="C3434" s="2911" t="s">
        <v>3629</v>
      </c>
      <c r="D3434" s="2911"/>
      <c r="E3434" s="2912">
        <f t="shared" si="169"/>
        <v>7.936507936507943E-2</v>
      </c>
      <c r="F3434" s="3093">
        <v>2.3199999999999998</v>
      </c>
      <c r="G3434" s="3094">
        <v>2.52</v>
      </c>
    </row>
    <row r="3435" spans="1:7">
      <c r="A3435" s="2910"/>
      <c r="B3435" s="2911"/>
      <c r="C3435" s="2911" t="s">
        <v>3489</v>
      </c>
      <c r="D3435" s="2911"/>
      <c r="E3435" s="2912">
        <f t="shared" si="169"/>
        <v>7.936507936507943E-2</v>
      </c>
      <c r="F3435" s="3093">
        <v>2.3199999999999998</v>
      </c>
      <c r="G3435" s="3094">
        <v>2.52</v>
      </c>
    </row>
    <row r="3436" spans="1:7" ht="15.75" thickBot="1">
      <c r="A3436" s="2914"/>
      <c r="B3436" s="2915"/>
      <c r="C3436" s="2915" t="s">
        <v>3490</v>
      </c>
      <c r="D3436" s="2915"/>
      <c r="E3436" s="2916">
        <f t="shared" si="169"/>
        <v>7.936507936507943E-2</v>
      </c>
      <c r="F3436" s="3188">
        <v>2.3199999999999998</v>
      </c>
      <c r="G3436" s="3097">
        <v>2.52</v>
      </c>
    </row>
    <row r="3437" spans="1:7" ht="15.75" thickBot="1"/>
    <row r="3438" spans="1:7">
      <c r="A3438" s="3614" t="s">
        <v>0</v>
      </c>
      <c r="B3438" s="3518" t="s">
        <v>1</v>
      </c>
      <c r="C3438" s="3518" t="s">
        <v>2</v>
      </c>
      <c r="D3438" s="3518" t="s">
        <v>3</v>
      </c>
      <c r="E3438" s="3518" t="s">
        <v>4</v>
      </c>
      <c r="F3438" s="3518" t="s">
        <v>5</v>
      </c>
      <c r="G3438" s="3522" t="s">
        <v>3504</v>
      </c>
    </row>
    <row r="3439" spans="1:7" ht="15.75" thickBot="1">
      <c r="A3439" s="3555"/>
      <c r="B3439" s="3550"/>
      <c r="C3439" s="3550"/>
      <c r="D3439" s="3550"/>
      <c r="E3439" s="3550"/>
      <c r="F3439" s="3550"/>
      <c r="G3439" s="3551"/>
    </row>
    <row r="3440" spans="1:7">
      <c r="A3440" s="3102" t="s">
        <v>3800</v>
      </c>
      <c r="B3440" s="2400" t="s">
        <v>2155</v>
      </c>
      <c r="C3440" s="2401" t="s">
        <v>3801</v>
      </c>
      <c r="D3440" s="2402"/>
      <c r="E3440" s="2888">
        <f t="shared" ref="E3440:E3445" si="170">(G3440-F3440)/G3440</f>
        <v>0.32608695652173919</v>
      </c>
      <c r="F3440" s="3154">
        <v>1.24</v>
      </c>
      <c r="G3440" s="881">
        <v>1.84</v>
      </c>
    </row>
    <row r="3441" spans="1:7">
      <c r="A3441" s="2940"/>
      <c r="B3441" s="2965"/>
      <c r="C3441" s="2966" t="s">
        <v>3802</v>
      </c>
      <c r="D3441" s="2967"/>
      <c r="E3441" s="2896">
        <f t="shared" si="170"/>
        <v>0.32608695652173919</v>
      </c>
      <c r="F3441" s="3141">
        <v>1.24</v>
      </c>
      <c r="G3441" s="2913">
        <v>1.84</v>
      </c>
    </row>
    <row r="3442" spans="1:7">
      <c r="A3442" s="2910"/>
      <c r="B3442" s="2911"/>
      <c r="C3442" s="2911" t="s">
        <v>3785</v>
      </c>
      <c r="D3442" s="2911"/>
      <c r="E3442" s="2896">
        <f t="shared" si="170"/>
        <v>0.32608695652173919</v>
      </c>
      <c r="F3442" s="2911">
        <v>1.24</v>
      </c>
      <c r="G3442" s="2913">
        <v>1.84</v>
      </c>
    </row>
    <row r="3443" spans="1:7">
      <c r="A3443" s="2910"/>
      <c r="B3443" s="2911"/>
      <c r="C3443" s="2911" t="s">
        <v>3786</v>
      </c>
      <c r="D3443" s="2911"/>
      <c r="E3443" s="2896">
        <f t="shared" si="170"/>
        <v>0.32608695652173919</v>
      </c>
      <c r="F3443" s="2911">
        <v>1.24</v>
      </c>
      <c r="G3443" s="2913">
        <v>1.84</v>
      </c>
    </row>
    <row r="3444" spans="1:7">
      <c r="A3444" s="2910"/>
      <c r="B3444" s="2911"/>
      <c r="C3444" s="2911" t="s">
        <v>858</v>
      </c>
      <c r="D3444" s="2911"/>
      <c r="E3444" s="2896">
        <f t="shared" si="170"/>
        <v>0.34905660377358499</v>
      </c>
      <c r="F3444" s="3010">
        <v>0.69</v>
      </c>
      <c r="G3444" s="3019">
        <v>1.06</v>
      </c>
    </row>
    <row r="3445" spans="1:7" ht="15.75" thickBot="1">
      <c r="A3445" s="2914"/>
      <c r="B3445" s="2915"/>
      <c r="C3445" s="2915" t="s">
        <v>730</v>
      </c>
      <c r="D3445" s="2915"/>
      <c r="E3445" s="2890">
        <f t="shared" si="170"/>
        <v>0.35483870967741943</v>
      </c>
      <c r="F3445" s="3011">
        <v>0.6</v>
      </c>
      <c r="G3445" s="2939">
        <v>0.93</v>
      </c>
    </row>
    <row r="3446" spans="1:7" ht="15.75" thickBot="1"/>
    <row r="3447" spans="1:7">
      <c r="A3447" s="3614" t="s">
        <v>0</v>
      </c>
      <c r="B3447" s="3518" t="s">
        <v>1</v>
      </c>
      <c r="C3447" s="3518" t="s">
        <v>2</v>
      </c>
      <c r="D3447" s="3518" t="s">
        <v>3</v>
      </c>
      <c r="E3447" s="3518" t="s">
        <v>4</v>
      </c>
      <c r="F3447" s="3518" t="s">
        <v>5</v>
      </c>
      <c r="G3447" s="3522" t="s">
        <v>3504</v>
      </c>
    </row>
    <row r="3448" spans="1:7" ht="15.75" thickBot="1">
      <c r="A3448" s="3555"/>
      <c r="B3448" s="3550"/>
      <c r="C3448" s="3550"/>
      <c r="D3448" s="3550"/>
      <c r="E3448" s="3550"/>
      <c r="F3448" s="3550"/>
      <c r="G3448" s="3551"/>
    </row>
    <row r="3449" spans="1:7">
      <c r="A3449" s="3102" t="s">
        <v>3813</v>
      </c>
      <c r="B3449" s="2887" t="s">
        <v>2029</v>
      </c>
      <c r="C3449" s="2401" t="s">
        <v>3797</v>
      </c>
      <c r="D3449" s="2402"/>
      <c r="E3449" s="2888">
        <f t="shared" ref="E3449:E3465" si="171">(G3449-F3449)/G3449</f>
        <v>0.34916201117318435</v>
      </c>
      <c r="F3449" s="3154">
        <v>2.33</v>
      </c>
      <c r="G3449" s="881">
        <v>3.58</v>
      </c>
    </row>
    <row r="3450" spans="1:7">
      <c r="A3450" s="2940"/>
      <c r="B3450" s="2965"/>
      <c r="C3450" s="2966" t="s">
        <v>3627</v>
      </c>
      <c r="D3450" s="2967"/>
      <c r="E3450" s="2896">
        <f t="shared" si="171"/>
        <v>0.34916201117318435</v>
      </c>
      <c r="F3450" s="3141">
        <v>2.33</v>
      </c>
      <c r="G3450" s="2913">
        <v>3.58</v>
      </c>
    </row>
    <row r="3451" spans="1:7">
      <c r="A3451" s="2910"/>
      <c r="B3451" s="2911"/>
      <c r="C3451" s="2911" t="s">
        <v>3487</v>
      </c>
      <c r="D3451" s="2911"/>
      <c r="E3451" s="2896">
        <f t="shared" si="171"/>
        <v>0.34916201117318435</v>
      </c>
      <c r="F3451" s="3141">
        <v>2.33</v>
      </c>
      <c r="G3451" s="2913">
        <v>3.58</v>
      </c>
    </row>
    <row r="3452" spans="1:7">
      <c r="A3452" s="2910"/>
      <c r="B3452" s="2911"/>
      <c r="C3452" s="2911" t="s">
        <v>3629</v>
      </c>
      <c r="D3452" s="2911"/>
      <c r="E3452" s="2896">
        <f t="shared" si="171"/>
        <v>0.34916201117318435</v>
      </c>
      <c r="F3452" s="3141">
        <v>2.33</v>
      </c>
      <c r="G3452" s="2913">
        <v>3.58</v>
      </c>
    </row>
    <row r="3453" spans="1:7">
      <c r="A3453" s="2910"/>
      <c r="B3453" s="2911"/>
      <c r="C3453" s="2911" t="s">
        <v>3489</v>
      </c>
      <c r="D3453" s="2911"/>
      <c r="E3453" s="2896">
        <f t="shared" si="171"/>
        <v>0.34916201117318435</v>
      </c>
      <c r="F3453" s="3141">
        <v>2.33</v>
      </c>
      <c r="G3453" s="2913">
        <v>3.58</v>
      </c>
    </row>
    <row r="3454" spans="1:7">
      <c r="A3454" s="2910"/>
      <c r="B3454" s="2911"/>
      <c r="C3454" s="2911" t="s">
        <v>3490</v>
      </c>
      <c r="D3454" s="2911"/>
      <c r="E3454" s="2896">
        <f t="shared" si="171"/>
        <v>0.34916201117318435</v>
      </c>
      <c r="F3454" s="3141">
        <v>2.33</v>
      </c>
      <c r="G3454" s="2913">
        <v>3.58</v>
      </c>
    </row>
    <row r="3455" spans="1:7">
      <c r="A3455" s="2910"/>
      <c r="B3455" s="2911"/>
      <c r="C3455" s="2911" t="s">
        <v>3628</v>
      </c>
      <c r="D3455" s="2911"/>
      <c r="E3455" s="2896">
        <f t="shared" si="171"/>
        <v>0.34916201117318435</v>
      </c>
      <c r="F3455" s="3141">
        <v>2.33</v>
      </c>
      <c r="G3455" s="2913">
        <v>3.58</v>
      </c>
    </row>
    <row r="3456" spans="1:7">
      <c r="A3456" s="2910"/>
      <c r="B3456" s="2911"/>
      <c r="C3456" s="2911" t="s">
        <v>3488</v>
      </c>
      <c r="D3456" s="2911"/>
      <c r="E3456" s="2896">
        <f t="shared" si="171"/>
        <v>0.34916201117318435</v>
      </c>
      <c r="F3456" s="3141">
        <v>2.33</v>
      </c>
      <c r="G3456" s="2913">
        <v>3.58</v>
      </c>
    </row>
    <row r="3457" spans="1:7">
      <c r="A3457" s="2910"/>
      <c r="B3457" s="2911"/>
      <c r="C3457" s="2911" t="s">
        <v>3806</v>
      </c>
      <c r="D3457" s="2911"/>
      <c r="E3457" s="2896">
        <f t="shared" si="171"/>
        <v>0.35164835164835162</v>
      </c>
      <c r="F3457" s="3142">
        <v>1.77</v>
      </c>
      <c r="G3457" s="3019">
        <v>2.73</v>
      </c>
    </row>
    <row r="3458" spans="1:7">
      <c r="A3458" s="2910"/>
      <c r="B3458" s="2911"/>
      <c r="C3458" s="2911" t="s">
        <v>3807</v>
      </c>
      <c r="D3458" s="2911"/>
      <c r="E3458" s="2896">
        <f t="shared" si="171"/>
        <v>0.35164835164835162</v>
      </c>
      <c r="F3458" s="3142">
        <v>1.77</v>
      </c>
      <c r="G3458" s="3019">
        <v>2.73</v>
      </c>
    </row>
    <row r="3459" spans="1:7">
      <c r="A3459" s="2910"/>
      <c r="B3459" s="2911"/>
      <c r="C3459" s="2911" t="s">
        <v>3808</v>
      </c>
      <c r="D3459" s="2911"/>
      <c r="E3459" s="2896">
        <f t="shared" si="171"/>
        <v>0.35164835164835162</v>
      </c>
      <c r="F3459" s="3142">
        <v>1.77</v>
      </c>
      <c r="G3459" s="3019">
        <v>2.73</v>
      </c>
    </row>
    <row r="3460" spans="1:7">
      <c r="A3460" s="2910"/>
      <c r="B3460" s="2911"/>
      <c r="C3460" s="2911" t="s">
        <v>3809</v>
      </c>
      <c r="D3460" s="2911"/>
      <c r="E3460" s="2896">
        <f t="shared" si="171"/>
        <v>0.35164835164835162</v>
      </c>
      <c r="F3460" s="3142">
        <v>1.77</v>
      </c>
      <c r="G3460" s="3019">
        <v>2.73</v>
      </c>
    </row>
    <row r="3461" spans="1:7">
      <c r="A3461" s="2910"/>
      <c r="B3461" s="2911"/>
      <c r="C3461" s="2911" t="s">
        <v>3810</v>
      </c>
      <c r="D3461" s="2911"/>
      <c r="E3461" s="2896">
        <f t="shared" si="171"/>
        <v>0.35164835164835162</v>
      </c>
      <c r="F3461" s="3142">
        <v>1.77</v>
      </c>
      <c r="G3461" s="3019">
        <v>2.73</v>
      </c>
    </row>
    <row r="3462" spans="1:7">
      <c r="A3462" s="2910"/>
      <c r="B3462" s="2911"/>
      <c r="C3462" s="2911" t="s">
        <v>3811</v>
      </c>
      <c r="D3462" s="2911"/>
      <c r="E3462" s="2896">
        <f t="shared" si="171"/>
        <v>0.35164835164835162</v>
      </c>
      <c r="F3462" s="3142">
        <v>1.77</v>
      </c>
      <c r="G3462" s="3019">
        <v>2.73</v>
      </c>
    </row>
    <row r="3463" spans="1:7">
      <c r="A3463" s="2910"/>
      <c r="B3463" s="2911"/>
      <c r="C3463" s="2911" t="s">
        <v>3812</v>
      </c>
      <c r="D3463" s="2911"/>
      <c r="E3463" s="2896">
        <f t="shared" si="171"/>
        <v>0.35164835164835162</v>
      </c>
      <c r="F3463" s="3142">
        <v>1.77</v>
      </c>
      <c r="G3463" s="3019">
        <v>2.73</v>
      </c>
    </row>
    <row r="3464" spans="1:7">
      <c r="A3464" s="2910"/>
      <c r="B3464" s="2911"/>
      <c r="C3464" s="2911" t="s">
        <v>3804</v>
      </c>
      <c r="D3464" s="2911"/>
      <c r="E3464" s="2896">
        <f t="shared" si="171"/>
        <v>0.35164835164835162</v>
      </c>
      <c r="F3464" s="3142">
        <v>1.77</v>
      </c>
      <c r="G3464" s="3019">
        <v>2.73</v>
      </c>
    </row>
    <row r="3465" spans="1:7" ht="15.75" thickBot="1">
      <c r="A3465" s="2914"/>
      <c r="B3465" s="2915"/>
      <c r="C3465" s="2915" t="s">
        <v>3805</v>
      </c>
      <c r="D3465" s="2915"/>
      <c r="E3465" s="2890">
        <f t="shared" si="171"/>
        <v>0.35164835164835162</v>
      </c>
      <c r="F3465" s="3201">
        <v>1.77</v>
      </c>
      <c r="G3465" s="2939">
        <v>2.73</v>
      </c>
    </row>
    <row r="3466" spans="1:7" ht="15.75" thickBot="1"/>
    <row r="3467" spans="1:7">
      <c r="A3467" s="3614" t="s">
        <v>0</v>
      </c>
      <c r="B3467" s="3518" t="s">
        <v>1</v>
      </c>
      <c r="C3467" s="3518" t="s">
        <v>2</v>
      </c>
      <c r="D3467" s="3518" t="s">
        <v>3</v>
      </c>
      <c r="E3467" s="3518" t="s">
        <v>4</v>
      </c>
      <c r="F3467" s="3518" t="s">
        <v>5</v>
      </c>
      <c r="G3467" s="3522" t="s">
        <v>3504</v>
      </c>
    </row>
    <row r="3468" spans="1:7" ht="15.75" thickBot="1">
      <c r="A3468" s="3555"/>
      <c r="B3468" s="3550"/>
      <c r="C3468" s="3550"/>
      <c r="D3468" s="3550"/>
      <c r="E3468" s="3550"/>
      <c r="F3468" s="3550"/>
      <c r="G3468" s="3551"/>
    </row>
    <row r="3469" spans="1:7">
      <c r="A3469" s="3102" t="s">
        <v>3821</v>
      </c>
      <c r="B3469" s="2400" t="s">
        <v>2155</v>
      </c>
      <c r="C3469" s="2401" t="s">
        <v>3766</v>
      </c>
      <c r="D3469" s="2402"/>
      <c r="E3469" s="2888">
        <f t="shared" ref="E3469" si="172">(G3469-F3469)/G3469</f>
        <v>0.21505882352941177</v>
      </c>
      <c r="F3469" s="3154">
        <v>16.68</v>
      </c>
      <c r="G3469" s="881">
        <v>21.25</v>
      </c>
    </row>
    <row r="3470" spans="1:7">
      <c r="A3470" s="2940"/>
      <c r="B3470" s="2965"/>
      <c r="C3470" s="2966" t="s">
        <v>3768</v>
      </c>
      <c r="D3470" s="2967"/>
      <c r="E3470" s="2896">
        <f t="shared" ref="E3470:E3478" si="173">(G3470-F3470)/G3470</f>
        <v>0.21505882352941177</v>
      </c>
      <c r="F3470" s="3141">
        <v>16.68</v>
      </c>
      <c r="G3470" s="2913">
        <v>21.25</v>
      </c>
    </row>
    <row r="3471" spans="1:7">
      <c r="A3471" s="2910"/>
      <c r="B3471" s="2911"/>
      <c r="C3471" s="2911" t="s">
        <v>2273</v>
      </c>
      <c r="D3471" s="2911"/>
      <c r="E3471" s="2896">
        <f t="shared" si="173"/>
        <v>0.21505882352941177</v>
      </c>
      <c r="F3471" s="3141">
        <v>16.68</v>
      </c>
      <c r="G3471" s="2913">
        <v>21.25</v>
      </c>
    </row>
    <row r="3472" spans="1:7">
      <c r="A3472" s="2910"/>
      <c r="B3472" s="2911"/>
      <c r="C3472" s="2911" t="s">
        <v>71</v>
      </c>
      <c r="D3472" s="2911"/>
      <c r="E3472" s="2896">
        <f t="shared" si="173"/>
        <v>0.21505882352941177</v>
      </c>
      <c r="F3472" s="3141">
        <v>16.68</v>
      </c>
      <c r="G3472" s="2913">
        <v>21.25</v>
      </c>
    </row>
    <row r="3473" spans="1:7">
      <c r="A3473" s="2910"/>
      <c r="B3473" s="2911"/>
      <c r="C3473" s="2911" t="s">
        <v>2880</v>
      </c>
      <c r="D3473" s="2911"/>
      <c r="E3473" s="2896">
        <f t="shared" si="173"/>
        <v>0.21505882352941177</v>
      </c>
      <c r="F3473" s="3141">
        <v>16.68</v>
      </c>
      <c r="G3473" s="2913">
        <v>21.25</v>
      </c>
    </row>
    <row r="3474" spans="1:7">
      <c r="A3474" s="2910"/>
      <c r="B3474" s="2911"/>
      <c r="C3474" s="2911" t="s">
        <v>2881</v>
      </c>
      <c r="D3474" s="2911"/>
      <c r="E3474" s="2896">
        <f t="shared" si="173"/>
        <v>0.21505882352941177</v>
      </c>
      <c r="F3474" s="3141">
        <v>16.68</v>
      </c>
      <c r="G3474" s="2913">
        <v>21.25</v>
      </c>
    </row>
    <row r="3475" spans="1:7">
      <c r="A3475" s="2910"/>
      <c r="B3475" s="2911"/>
      <c r="C3475" s="2911" t="s">
        <v>1883</v>
      </c>
      <c r="D3475" s="2911"/>
      <c r="E3475" s="2896">
        <f t="shared" si="173"/>
        <v>0.21505882352941177</v>
      </c>
      <c r="F3475" s="3141">
        <v>16.68</v>
      </c>
      <c r="G3475" s="2913">
        <v>21.25</v>
      </c>
    </row>
    <row r="3476" spans="1:7">
      <c r="A3476" s="2910"/>
      <c r="B3476" s="2911"/>
      <c r="C3476" s="2911" t="s">
        <v>2276</v>
      </c>
      <c r="D3476" s="2911"/>
      <c r="E3476" s="2896">
        <f t="shared" si="173"/>
        <v>0.21505882352941177</v>
      </c>
      <c r="F3476" s="3141">
        <v>16.68</v>
      </c>
      <c r="G3476" s="2913">
        <v>21.25</v>
      </c>
    </row>
    <row r="3477" spans="1:7">
      <c r="A3477" s="2910"/>
      <c r="B3477" s="2911"/>
      <c r="C3477" s="2911" t="s">
        <v>2566</v>
      </c>
      <c r="D3477" s="2911"/>
      <c r="E3477" s="2896">
        <f t="shared" si="173"/>
        <v>0.21505882352941177</v>
      </c>
      <c r="F3477" s="3141">
        <v>16.68</v>
      </c>
      <c r="G3477" s="2913">
        <v>21.25</v>
      </c>
    </row>
    <row r="3478" spans="1:7" ht="15.75" thickBot="1">
      <c r="A3478" s="2914"/>
      <c r="B3478" s="2915"/>
      <c r="C3478" s="2915" t="s">
        <v>72</v>
      </c>
      <c r="D3478" s="2915"/>
      <c r="E3478" s="2890">
        <f t="shared" si="173"/>
        <v>0.21505882352941177</v>
      </c>
      <c r="F3478" s="3147">
        <v>16.68</v>
      </c>
      <c r="G3478" s="2917">
        <v>21.25</v>
      </c>
    </row>
    <row r="3479" spans="1:7" ht="15.75" thickBot="1"/>
    <row r="3480" spans="1:7">
      <c r="A3480" s="3614" t="s">
        <v>0</v>
      </c>
      <c r="B3480" s="3518" t="s">
        <v>1</v>
      </c>
      <c r="C3480" s="3518" t="s">
        <v>2</v>
      </c>
      <c r="D3480" s="3518" t="s">
        <v>3</v>
      </c>
      <c r="E3480" s="3518" t="s">
        <v>4</v>
      </c>
      <c r="F3480" s="3518" t="s">
        <v>5</v>
      </c>
      <c r="G3480" s="3522" t="s">
        <v>3504</v>
      </c>
    </row>
    <row r="3481" spans="1:7" ht="15.75" thickBot="1">
      <c r="A3481" s="3555"/>
      <c r="B3481" s="3550"/>
      <c r="C3481" s="3550"/>
      <c r="D3481" s="3550"/>
      <c r="E3481" s="3550"/>
      <c r="F3481" s="3550"/>
      <c r="G3481" s="3551"/>
    </row>
    <row r="3482" spans="1:7">
      <c r="A3482" s="1675" t="s">
        <v>3842</v>
      </c>
      <c r="B3482" s="2887" t="s">
        <v>460</v>
      </c>
      <c r="C3482" s="2414" t="s">
        <v>2207</v>
      </c>
      <c r="D3482" s="2415"/>
      <c r="E3482" s="2888">
        <f t="shared" ref="E3482:E3496" si="174">(G3482-F3482)/G3482</f>
        <v>0.20689655172413784</v>
      </c>
      <c r="F3482" s="2415">
        <v>0.46</v>
      </c>
      <c r="G3482" s="881">
        <v>0.57999999999999996</v>
      </c>
    </row>
    <row r="3483" spans="1:7">
      <c r="A3483" s="2940"/>
      <c r="B3483" s="2905" t="s">
        <v>1674</v>
      </c>
      <c r="C3483" s="2906" t="s">
        <v>23</v>
      </c>
      <c r="D3483" s="2941"/>
      <c r="E3483" s="2896">
        <f t="shared" si="174"/>
        <v>0.20149253731343283</v>
      </c>
      <c r="F3483" s="2941">
        <v>1.07</v>
      </c>
      <c r="G3483" s="2913">
        <v>1.34</v>
      </c>
    </row>
    <row r="3484" spans="1:7">
      <c r="A3484" s="2910"/>
      <c r="B3484" s="2911"/>
      <c r="C3484" s="2911" t="s">
        <v>24</v>
      </c>
      <c r="D3484" s="2911"/>
      <c r="E3484" s="2896">
        <f t="shared" si="174"/>
        <v>0.20149253731343283</v>
      </c>
      <c r="F3484" s="2911">
        <v>1.07</v>
      </c>
      <c r="G3484" s="2913">
        <v>1.34</v>
      </c>
    </row>
    <row r="3485" spans="1:7">
      <c r="A3485" s="2910"/>
      <c r="B3485" s="2911"/>
      <c r="C3485" s="2911" t="s">
        <v>906</v>
      </c>
      <c r="D3485" s="2911"/>
      <c r="E3485" s="2896">
        <f t="shared" si="174"/>
        <v>0.19827586206896541</v>
      </c>
      <c r="F3485" s="2911">
        <v>0.93</v>
      </c>
      <c r="G3485" s="2913">
        <v>1.1599999999999999</v>
      </c>
    </row>
    <row r="3486" spans="1:7">
      <c r="A3486" s="2910"/>
      <c r="B3486" s="2911"/>
      <c r="C3486" s="2911" t="s">
        <v>1888</v>
      </c>
      <c r="D3486" s="2911"/>
      <c r="E3486" s="2896">
        <f t="shared" si="174"/>
        <v>0.25663716814159288</v>
      </c>
      <c r="F3486" s="2911">
        <v>0.84</v>
      </c>
      <c r="G3486" s="3019">
        <v>1.1299999999999999</v>
      </c>
    </row>
    <row r="3487" spans="1:7">
      <c r="A3487" s="2910"/>
      <c r="B3487" s="2911"/>
      <c r="C3487" s="2911" t="s">
        <v>385</v>
      </c>
      <c r="D3487" s="2911"/>
      <c r="E3487" s="2896">
        <f t="shared" si="174"/>
        <v>0.25663716814159288</v>
      </c>
      <c r="F3487" s="2911">
        <v>0.84</v>
      </c>
      <c r="G3487" s="3019">
        <v>1.1299999999999999</v>
      </c>
    </row>
    <row r="3488" spans="1:7">
      <c r="A3488" s="2910"/>
      <c r="B3488" s="2911"/>
      <c r="C3488" s="2911" t="s">
        <v>388</v>
      </c>
      <c r="D3488" s="2911"/>
      <c r="E3488" s="2896">
        <f t="shared" si="174"/>
        <v>0.25663716814159288</v>
      </c>
      <c r="F3488" s="2911">
        <v>0.84</v>
      </c>
      <c r="G3488" s="3019">
        <v>1.1299999999999999</v>
      </c>
    </row>
    <row r="3489" spans="1:15">
      <c r="A3489" s="2910"/>
      <c r="B3489" s="2911"/>
      <c r="C3489" s="2911" t="s">
        <v>387</v>
      </c>
      <c r="D3489" s="2911"/>
      <c r="E3489" s="2896">
        <f t="shared" si="174"/>
        <v>0.25663716814159288</v>
      </c>
      <c r="F3489" s="2911">
        <v>0.84</v>
      </c>
      <c r="G3489" s="3019">
        <v>1.1299999999999999</v>
      </c>
    </row>
    <row r="3490" spans="1:15">
      <c r="A3490" s="2910"/>
      <c r="B3490" s="2911"/>
      <c r="C3490" s="2911" t="s">
        <v>2042</v>
      </c>
      <c r="D3490" s="2911"/>
      <c r="E3490" s="2896">
        <f t="shared" si="174"/>
        <v>0.25663716814159288</v>
      </c>
      <c r="F3490" s="2911">
        <v>0.84</v>
      </c>
      <c r="G3490" s="3019">
        <v>1.1299999999999999</v>
      </c>
    </row>
    <row r="3491" spans="1:15">
      <c r="A3491" s="2910"/>
      <c r="B3491" s="2911"/>
      <c r="C3491" s="2911" t="s">
        <v>1522</v>
      </c>
      <c r="D3491" s="2911"/>
      <c r="E3491" s="2896">
        <f t="shared" si="174"/>
        <v>0.25663716814159288</v>
      </c>
      <c r="F3491" s="2911">
        <v>0.84</v>
      </c>
      <c r="G3491" s="3019">
        <v>1.1299999999999999</v>
      </c>
    </row>
    <row r="3492" spans="1:15">
      <c r="A3492" s="2910"/>
      <c r="B3492" s="2911"/>
      <c r="C3492" s="2911" t="s">
        <v>2192</v>
      </c>
      <c r="D3492" s="2911"/>
      <c r="E3492" s="2896">
        <f t="shared" si="174"/>
        <v>0.18965517241379315</v>
      </c>
      <c r="F3492" s="2911">
        <v>5.64</v>
      </c>
      <c r="G3492" s="3019">
        <v>6.96</v>
      </c>
    </row>
    <row r="3493" spans="1:15">
      <c r="A3493" s="2910"/>
      <c r="B3493" s="2911"/>
      <c r="C3493" s="2911" t="s">
        <v>2194</v>
      </c>
      <c r="D3493" s="2911"/>
      <c r="E3493" s="2896">
        <f t="shared" si="174"/>
        <v>0.18965517241379315</v>
      </c>
      <c r="F3493" s="2911">
        <v>5.64</v>
      </c>
      <c r="G3493" s="3019">
        <v>6.96</v>
      </c>
    </row>
    <row r="3494" spans="1:15">
      <c r="A3494" s="2910"/>
      <c r="B3494" s="2911"/>
      <c r="C3494" s="2911" t="s">
        <v>2266</v>
      </c>
      <c r="D3494" s="2911"/>
      <c r="E3494" s="2896">
        <f t="shared" si="174"/>
        <v>0.18965517241379315</v>
      </c>
      <c r="F3494" s="2911">
        <v>5.64</v>
      </c>
      <c r="G3494" s="3019">
        <v>6.96</v>
      </c>
    </row>
    <row r="3495" spans="1:15">
      <c r="A3495" s="2910"/>
      <c r="B3495" s="2911"/>
      <c r="C3495" s="2911" t="s">
        <v>3561</v>
      </c>
      <c r="D3495" s="2911"/>
      <c r="E3495" s="2896">
        <f t="shared" si="174"/>
        <v>0.19041450777202071</v>
      </c>
      <c r="F3495" s="2911">
        <v>6.25</v>
      </c>
      <c r="G3495" s="3019">
        <v>7.72</v>
      </c>
    </row>
    <row r="3496" spans="1:15" ht="15.75" thickBot="1">
      <c r="A3496" s="2914"/>
      <c r="B3496" s="2915"/>
      <c r="C3496" s="2915" t="s">
        <v>3562</v>
      </c>
      <c r="D3496" s="2915"/>
      <c r="E3496" s="2890">
        <f t="shared" si="174"/>
        <v>0.19041450777202071</v>
      </c>
      <c r="F3496" s="2915">
        <v>6.25</v>
      </c>
      <c r="G3496" s="2939">
        <v>7.72</v>
      </c>
    </row>
    <row r="3497" spans="1:15" ht="15.75" thickBot="1"/>
    <row r="3498" spans="1:15">
      <c r="A3498" s="3614" t="s">
        <v>0</v>
      </c>
      <c r="B3498" s="3518" t="s">
        <v>1</v>
      </c>
      <c r="C3498" s="3518" t="s">
        <v>2</v>
      </c>
      <c r="D3498" s="3518" t="s">
        <v>3</v>
      </c>
      <c r="E3498" s="3518" t="s">
        <v>4</v>
      </c>
      <c r="F3498" s="3518" t="s">
        <v>5</v>
      </c>
      <c r="G3498" s="3522" t="s">
        <v>3504</v>
      </c>
    </row>
    <row r="3499" spans="1:15" ht="15.75" thickBot="1">
      <c r="A3499" s="3555"/>
      <c r="B3499" s="3550"/>
      <c r="C3499" s="3550"/>
      <c r="D3499" s="3550"/>
      <c r="E3499" s="3550"/>
      <c r="F3499" s="3550"/>
      <c r="G3499" s="3551"/>
    </row>
    <row r="3500" spans="1:15">
      <c r="A3500" s="3102" t="s">
        <v>3844</v>
      </c>
      <c r="B3500" s="2400" t="s">
        <v>2155</v>
      </c>
      <c r="C3500" s="2401" t="s">
        <v>1644</v>
      </c>
      <c r="D3500" s="2402"/>
      <c r="E3500" s="2888">
        <f t="shared" ref="E3500:E3503" si="175">(G3500-F3500)/G3500</f>
        <v>0.30063291139240511</v>
      </c>
      <c r="F3500" s="3154">
        <v>2.21</v>
      </c>
      <c r="G3500" s="881">
        <v>3.16</v>
      </c>
    </row>
    <row r="3501" spans="1:15">
      <c r="A3501" s="2940"/>
      <c r="B3501" s="2965"/>
      <c r="C3501" s="2966" t="s">
        <v>3845</v>
      </c>
      <c r="D3501" s="2967"/>
      <c r="E3501" s="2896">
        <f t="shared" si="175"/>
        <v>0.30048465266558971</v>
      </c>
      <c r="F3501" s="3141">
        <v>4.33</v>
      </c>
      <c r="G3501" s="2913">
        <v>6.19</v>
      </c>
    </row>
    <row r="3502" spans="1:15">
      <c r="A3502" s="2910"/>
      <c r="B3502" s="2911"/>
      <c r="C3502" s="2911" t="s">
        <v>3409</v>
      </c>
      <c r="D3502" s="2911"/>
      <c r="E3502" s="2896">
        <f t="shared" si="175"/>
        <v>0.29919137466307277</v>
      </c>
      <c r="F3502" s="3141">
        <v>2.6</v>
      </c>
      <c r="G3502" s="2913">
        <v>3.71</v>
      </c>
      <c r="O3502" s="2885"/>
    </row>
    <row r="3503" spans="1:15" ht="15.75" thickBot="1">
      <c r="A3503" s="2914"/>
      <c r="B3503" s="2915"/>
      <c r="C3503" s="2915" t="s">
        <v>3846</v>
      </c>
      <c r="D3503" s="2915"/>
      <c r="E3503" s="2890">
        <f t="shared" si="175"/>
        <v>0.20032840722495893</v>
      </c>
      <c r="F3503" s="3147">
        <v>4.87</v>
      </c>
      <c r="G3503" s="2917">
        <v>6.09</v>
      </c>
      <c r="O3503" s="2885"/>
    </row>
    <row r="3504" spans="1:15" ht="15.75" thickBot="1">
      <c r="O3504" s="2885"/>
    </row>
    <row r="3505" spans="1:15">
      <c r="A3505" s="3614" t="s">
        <v>0</v>
      </c>
      <c r="B3505" s="3518" t="s">
        <v>1</v>
      </c>
      <c r="C3505" s="3518" t="s">
        <v>2</v>
      </c>
      <c r="D3505" s="3518" t="s">
        <v>3</v>
      </c>
      <c r="E3505" s="3518" t="s">
        <v>4</v>
      </c>
      <c r="F3505" s="3518" t="s">
        <v>5</v>
      </c>
      <c r="G3505" s="3522" t="s">
        <v>3504</v>
      </c>
      <c r="O3505" s="2885"/>
    </row>
    <row r="3506" spans="1:15" ht="15.75" thickBot="1">
      <c r="A3506" s="3555"/>
      <c r="B3506" s="3550"/>
      <c r="C3506" s="3550"/>
      <c r="D3506" s="3550"/>
      <c r="E3506" s="3550"/>
      <c r="F3506" s="3550"/>
      <c r="G3506" s="3551"/>
    </row>
    <row r="3507" spans="1:15">
      <c r="A3507" s="3102" t="s">
        <v>3847</v>
      </c>
      <c r="B3507" s="2887" t="s">
        <v>2029</v>
      </c>
      <c r="C3507" s="2401" t="s">
        <v>2983</v>
      </c>
      <c r="D3507" s="2402"/>
      <c r="E3507" s="2888">
        <f t="shared" ref="E3507:E3510" si="176">(G3507-F3507)/G3507</f>
        <v>0.26842105263157895</v>
      </c>
      <c r="F3507" s="3154">
        <v>1.39</v>
      </c>
      <c r="G3507" s="881">
        <v>1.9</v>
      </c>
    </row>
    <row r="3508" spans="1:15">
      <c r="A3508" s="2940"/>
      <c r="B3508" s="2965"/>
      <c r="C3508" s="2966" t="s">
        <v>3801</v>
      </c>
      <c r="D3508" s="2967"/>
      <c r="E3508" s="2896">
        <f t="shared" si="176"/>
        <v>0.26842105263157895</v>
      </c>
      <c r="F3508" s="3141">
        <v>1.39</v>
      </c>
      <c r="G3508" s="2913">
        <v>1.9</v>
      </c>
    </row>
    <row r="3509" spans="1:15">
      <c r="A3509" s="2910"/>
      <c r="B3509" s="2911"/>
      <c r="C3509" s="2911" t="s">
        <v>2984</v>
      </c>
      <c r="D3509" s="2911"/>
      <c r="E3509" s="2896">
        <f t="shared" si="176"/>
        <v>0.26842105263157895</v>
      </c>
      <c r="F3509" s="3141">
        <v>1.39</v>
      </c>
      <c r="G3509" s="2913">
        <v>1.9</v>
      </c>
    </row>
    <row r="3510" spans="1:15" ht="15.75" thickBot="1">
      <c r="A3510" s="2914"/>
      <c r="B3510" s="2915"/>
      <c r="C3510" s="2915" t="s">
        <v>3802</v>
      </c>
      <c r="D3510" s="2915"/>
      <c r="E3510" s="2890">
        <f t="shared" si="176"/>
        <v>0.26842105263157895</v>
      </c>
      <c r="F3510" s="3147">
        <v>1.39</v>
      </c>
      <c r="G3510" s="2917">
        <v>1.9</v>
      </c>
    </row>
    <row r="3511" spans="1:15" ht="15.75" thickBot="1"/>
    <row r="3512" spans="1:15">
      <c r="A3512" s="3614" t="s">
        <v>0</v>
      </c>
      <c r="B3512" s="3518" t="s">
        <v>1</v>
      </c>
      <c r="C3512" s="3518" t="s">
        <v>2</v>
      </c>
      <c r="D3512" s="3518" t="s">
        <v>3</v>
      </c>
      <c r="E3512" s="3518" t="s">
        <v>4</v>
      </c>
      <c r="F3512" s="3518" t="s">
        <v>5</v>
      </c>
      <c r="G3512" s="3522" t="s">
        <v>3504</v>
      </c>
    </row>
    <row r="3513" spans="1:15" ht="15.75" thickBot="1">
      <c r="A3513" s="3555"/>
      <c r="B3513" s="4219"/>
      <c r="C3513" s="4219"/>
      <c r="D3513" s="4219"/>
      <c r="E3513" s="4219"/>
      <c r="F3513" s="4219"/>
      <c r="G3513" s="4033"/>
    </row>
    <row r="3514" spans="1:15" ht="15.75">
      <c r="A3514" s="1675" t="s">
        <v>3848</v>
      </c>
      <c r="B3514" s="2887" t="s">
        <v>2082</v>
      </c>
      <c r="C3514" s="3058" t="s">
        <v>1950</v>
      </c>
      <c r="D3514" s="2887"/>
      <c r="E3514" s="3059">
        <f>(G3514-F3514)/G3514</f>
        <v>0.22115384615384612</v>
      </c>
      <c r="F3514" s="3091">
        <v>0.81</v>
      </c>
      <c r="G3514" s="3092">
        <v>1.04</v>
      </c>
    </row>
    <row r="3515" spans="1:15">
      <c r="A3515" s="2894"/>
      <c r="B3515" s="2895"/>
      <c r="C3515" s="2986" t="s">
        <v>3317</v>
      </c>
      <c r="D3515" s="2895"/>
      <c r="E3515" s="2912">
        <f>(G3515-F3515)/G3515</f>
        <v>0.22115384615384612</v>
      </c>
      <c r="F3515" s="3093">
        <v>0.81</v>
      </c>
      <c r="G3515" s="3094">
        <v>1.04</v>
      </c>
    </row>
    <row r="3516" spans="1:15">
      <c r="A3516" s="3062"/>
      <c r="B3516" s="2895"/>
      <c r="C3516" s="3063" t="s">
        <v>1949</v>
      </c>
      <c r="D3516" s="2895"/>
      <c r="E3516" s="2912">
        <f>(G3516-F3516)/G3516</f>
        <v>0.22115384615384612</v>
      </c>
      <c r="F3516" s="3093">
        <v>0.81</v>
      </c>
      <c r="G3516" s="3094">
        <v>1.04</v>
      </c>
    </row>
    <row r="3517" spans="1:15">
      <c r="A3517" s="2910"/>
      <c r="B3517" s="2911"/>
      <c r="C3517" s="2911" t="s">
        <v>3316</v>
      </c>
      <c r="D3517" s="2911"/>
      <c r="E3517" s="2912">
        <f t="shared" ref="E3517:E3525" si="177">(G3517-F3517)/G3517</f>
        <v>0.22115384615384612</v>
      </c>
      <c r="F3517" s="2911">
        <v>0.81</v>
      </c>
      <c r="G3517" s="3186">
        <v>1.04</v>
      </c>
    </row>
    <row r="3518" spans="1:15">
      <c r="A3518" s="2910"/>
      <c r="B3518" s="2911"/>
      <c r="C3518" s="2911" t="s">
        <v>2827</v>
      </c>
      <c r="D3518" s="2911"/>
      <c r="E3518" s="2912">
        <f t="shared" si="177"/>
        <v>0.22404371584699462</v>
      </c>
      <c r="F3518" s="2911">
        <v>1.42</v>
      </c>
      <c r="G3518" s="3186">
        <v>1.83</v>
      </c>
    </row>
    <row r="3519" spans="1:15">
      <c r="A3519" s="2910"/>
      <c r="B3519" s="2911"/>
      <c r="C3519" s="2911" t="s">
        <v>2115</v>
      </c>
      <c r="D3519" s="2911"/>
      <c r="E3519" s="2912">
        <f t="shared" si="177"/>
        <v>0.22404371584699462</v>
      </c>
      <c r="F3519" s="2911">
        <v>1.42</v>
      </c>
      <c r="G3519" s="3186">
        <v>1.83</v>
      </c>
    </row>
    <row r="3520" spans="1:15">
      <c r="A3520" s="2910"/>
      <c r="B3520" s="2911"/>
      <c r="C3520" s="2911" t="s">
        <v>2890</v>
      </c>
      <c r="D3520" s="2911"/>
      <c r="E3520" s="2912">
        <f t="shared" si="177"/>
        <v>0.22404371584699462</v>
      </c>
      <c r="F3520" s="2911">
        <v>1.42</v>
      </c>
      <c r="G3520" s="3186">
        <v>1.83</v>
      </c>
    </row>
    <row r="3521" spans="1:7">
      <c r="A3521" s="2910"/>
      <c r="B3521" s="2911"/>
      <c r="C3521" s="2911" t="s">
        <v>2116</v>
      </c>
      <c r="D3521" s="2911"/>
      <c r="E3521" s="2912">
        <f t="shared" si="177"/>
        <v>0.22404371584699462</v>
      </c>
      <c r="F3521" s="2911">
        <v>1.42</v>
      </c>
      <c r="G3521" s="3186">
        <v>1.83</v>
      </c>
    </row>
    <row r="3522" spans="1:7">
      <c r="A3522" s="2910"/>
      <c r="B3522" s="2911"/>
      <c r="C3522" s="2911" t="s">
        <v>2871</v>
      </c>
      <c r="D3522" s="2911"/>
      <c r="E3522" s="2912">
        <f t="shared" si="177"/>
        <v>0.22404371584699462</v>
      </c>
      <c r="F3522" s="2911">
        <v>1.42</v>
      </c>
      <c r="G3522" s="3186">
        <v>1.83</v>
      </c>
    </row>
    <row r="3523" spans="1:7">
      <c r="A3523" s="2910"/>
      <c r="B3523" s="2911"/>
      <c r="C3523" s="2911" t="s">
        <v>2066</v>
      </c>
      <c r="D3523" s="2911"/>
      <c r="E3523" s="2912">
        <f t="shared" si="177"/>
        <v>0.22404371584699462</v>
      </c>
      <c r="F3523" s="2911">
        <v>1.42</v>
      </c>
      <c r="G3523" s="3186">
        <v>1.83</v>
      </c>
    </row>
    <row r="3524" spans="1:7">
      <c r="A3524" s="2910"/>
      <c r="B3524" s="2911"/>
      <c r="C3524" s="2911" t="s">
        <v>1892</v>
      </c>
      <c r="D3524" s="2911"/>
      <c r="E3524" s="2912">
        <f t="shared" si="177"/>
        <v>0.35658914728682173</v>
      </c>
      <c r="F3524" s="2911">
        <v>0.83</v>
      </c>
      <c r="G3524" s="3186">
        <v>1.29</v>
      </c>
    </row>
    <row r="3525" spans="1:7" ht="15.75" thickBot="1">
      <c r="A3525" s="2914"/>
      <c r="B3525" s="2915"/>
      <c r="C3525" s="2915" t="s">
        <v>1891</v>
      </c>
      <c r="D3525" s="2915"/>
      <c r="E3525" s="2916">
        <f t="shared" si="177"/>
        <v>0.35658914728682173</v>
      </c>
      <c r="F3525" s="2915">
        <v>0.83</v>
      </c>
      <c r="G3525" s="3189">
        <v>1.29</v>
      </c>
    </row>
    <row r="3526" spans="1:7" ht="15.75" thickBot="1"/>
    <row r="3527" spans="1:7">
      <c r="A3527" s="3614" t="s">
        <v>0</v>
      </c>
      <c r="B3527" s="3518" t="s">
        <v>1</v>
      </c>
      <c r="C3527" s="3518" t="s">
        <v>2</v>
      </c>
      <c r="D3527" s="3518" t="s">
        <v>3</v>
      </c>
      <c r="E3527" s="3518" t="s">
        <v>4</v>
      </c>
      <c r="F3527" s="3518" t="s">
        <v>5</v>
      </c>
      <c r="G3527" s="3522" t="s">
        <v>3504</v>
      </c>
    </row>
    <row r="3528" spans="1:7">
      <c r="A3528" s="3889"/>
      <c r="B3528" s="3556"/>
      <c r="C3528" s="3556"/>
      <c r="D3528" s="3556"/>
      <c r="E3528" s="3556"/>
      <c r="F3528" s="3556"/>
      <c r="G3528" s="3890"/>
    </row>
    <row r="3529" spans="1:7">
      <c r="A3529" s="3140" t="s">
        <v>3852</v>
      </c>
      <c r="B3529" s="2895" t="s">
        <v>2183</v>
      </c>
      <c r="C3529" s="2966" t="s">
        <v>1891</v>
      </c>
      <c r="D3529" s="2967"/>
      <c r="E3529" s="2896">
        <f t="shared" ref="E3529:E3535" si="178">(G3529-F3529)/G3529</f>
        <v>0.29838709677419356</v>
      </c>
      <c r="F3529" s="3241">
        <v>0.87</v>
      </c>
      <c r="G3529" s="2957">
        <v>1.24</v>
      </c>
    </row>
    <row r="3530" spans="1:7">
      <c r="A3530" s="2940"/>
      <c r="B3530" s="2965"/>
      <c r="C3530" s="2966" t="s">
        <v>2455</v>
      </c>
      <c r="D3530" s="2967"/>
      <c r="E3530" s="2896">
        <f t="shared" si="178"/>
        <v>0.19753086419753088</v>
      </c>
      <c r="F3530" s="3241">
        <v>1.3</v>
      </c>
      <c r="G3530" s="2957">
        <v>1.62</v>
      </c>
    </row>
    <row r="3531" spans="1:7">
      <c r="A3531" s="2910"/>
      <c r="B3531" s="2911"/>
      <c r="C3531" s="2911" t="s">
        <v>2251</v>
      </c>
      <c r="D3531" s="2911"/>
      <c r="E3531" s="2896">
        <f t="shared" si="178"/>
        <v>0.24999999999999994</v>
      </c>
      <c r="F3531" s="3241">
        <v>1.8</v>
      </c>
      <c r="G3531" s="2957">
        <v>2.4</v>
      </c>
    </row>
    <row r="3532" spans="1:7" s="2885" customFormat="1">
      <c r="A3532" s="2910"/>
      <c r="B3532" s="2911"/>
      <c r="C3532" s="2911" t="s">
        <v>2602</v>
      </c>
      <c r="D3532" s="2911"/>
      <c r="E3532" s="2896">
        <f t="shared" si="178"/>
        <v>0.220496894409938</v>
      </c>
      <c r="F3532" s="3241">
        <v>2.5099999999999998</v>
      </c>
      <c r="G3532" s="2957">
        <v>3.22</v>
      </c>
    </row>
    <row r="3533" spans="1:7" s="2885" customFormat="1">
      <c r="A3533" s="2910"/>
      <c r="B3533" s="2911"/>
      <c r="C3533" s="2911" t="s">
        <v>2558</v>
      </c>
      <c r="D3533" s="2911"/>
      <c r="E3533" s="2896">
        <f t="shared" si="178"/>
        <v>0.220496894409938</v>
      </c>
      <c r="F3533" s="3241">
        <v>2.5099999999999998</v>
      </c>
      <c r="G3533" s="2957">
        <v>3.22</v>
      </c>
    </row>
    <row r="3534" spans="1:7" s="2885" customFormat="1">
      <c r="A3534" s="2910"/>
      <c r="B3534" s="2911"/>
      <c r="C3534" s="2911" t="s">
        <v>2603</v>
      </c>
      <c r="D3534" s="2911"/>
      <c r="E3534" s="2896">
        <f t="shared" si="178"/>
        <v>0.220496894409938</v>
      </c>
      <c r="F3534" s="3241">
        <v>2.5099999999999998</v>
      </c>
      <c r="G3534" s="2957">
        <v>3.22</v>
      </c>
    </row>
    <row r="3535" spans="1:7" s="2885" customFormat="1" ht="15.75" thickBot="1">
      <c r="A3535" s="2914"/>
      <c r="B3535" s="2915"/>
      <c r="C3535" s="2915" t="s">
        <v>2559</v>
      </c>
      <c r="D3535" s="2915"/>
      <c r="E3535" s="2890">
        <f t="shared" si="178"/>
        <v>0.220496894409938</v>
      </c>
      <c r="F3535" s="3242">
        <v>2.5099999999999998</v>
      </c>
      <c r="G3535" s="3144">
        <v>3.22</v>
      </c>
    </row>
    <row r="3536" spans="1:7" ht="15.75" thickBot="1"/>
    <row r="3537" spans="1:7">
      <c r="A3537" s="3614" t="s">
        <v>0</v>
      </c>
      <c r="B3537" s="3518" t="s">
        <v>1</v>
      </c>
      <c r="C3537" s="3518" t="s">
        <v>2</v>
      </c>
      <c r="D3537" s="3518" t="s">
        <v>3</v>
      </c>
      <c r="E3537" s="3518" t="s">
        <v>4</v>
      </c>
      <c r="F3537" s="3518" t="s">
        <v>5</v>
      </c>
      <c r="G3537" s="3522" t="s">
        <v>3504</v>
      </c>
    </row>
    <row r="3538" spans="1:7" ht="15.75" thickBot="1">
      <c r="A3538" s="3555"/>
      <c r="B3538" s="3550"/>
      <c r="C3538" s="3550"/>
      <c r="D3538" s="3550"/>
      <c r="E3538" s="3550"/>
      <c r="F3538" s="3550"/>
      <c r="G3538" s="3551"/>
    </row>
    <row r="3539" spans="1:7">
      <c r="A3539" s="3102" t="s">
        <v>3852</v>
      </c>
      <c r="B3539" s="2887" t="s">
        <v>2183</v>
      </c>
      <c r="C3539" s="2401" t="s">
        <v>3291</v>
      </c>
      <c r="D3539" s="2402"/>
      <c r="E3539" s="2888">
        <f t="shared" ref="E3539:E3542" si="179">(G3539-F3539)/G3539</f>
        <v>0.15</v>
      </c>
      <c r="F3539" s="3239">
        <v>1.19</v>
      </c>
      <c r="G3539" s="3240">
        <v>1.4</v>
      </c>
    </row>
    <row r="3540" spans="1:7">
      <c r="A3540" s="2940"/>
      <c r="B3540" s="2965"/>
      <c r="C3540" s="2966" t="s">
        <v>3292</v>
      </c>
      <c r="D3540" s="2967"/>
      <c r="E3540" s="2896">
        <f t="shared" si="179"/>
        <v>0.14885496183206112</v>
      </c>
      <c r="F3540" s="3241">
        <v>2.23</v>
      </c>
      <c r="G3540" s="2957">
        <v>2.62</v>
      </c>
    </row>
    <row r="3541" spans="1:7">
      <c r="A3541" s="2910"/>
      <c r="B3541" s="2911"/>
      <c r="C3541" s="2911" t="s">
        <v>3293</v>
      </c>
      <c r="D3541" s="2911"/>
      <c r="E3541" s="2896">
        <f t="shared" si="179"/>
        <v>0.15151515151515155</v>
      </c>
      <c r="F3541" s="3241">
        <v>1.96</v>
      </c>
      <c r="G3541" s="2957">
        <v>2.31</v>
      </c>
    </row>
    <row r="3542" spans="1:7" ht="15.75" thickBot="1">
      <c r="A3542" s="2914"/>
      <c r="B3542" s="2915"/>
      <c r="C3542" s="2915" t="s">
        <v>3279</v>
      </c>
      <c r="D3542" s="2915"/>
      <c r="E3542" s="2890">
        <f t="shared" si="179"/>
        <v>0.20164609053497951</v>
      </c>
      <c r="F3542" s="2915">
        <v>1.94</v>
      </c>
      <c r="G3542" s="2959">
        <v>2.4300000000000002</v>
      </c>
    </row>
    <row r="3543" spans="1:7" ht="15.75" thickBot="1"/>
    <row r="3544" spans="1:7">
      <c r="A3544" s="3614" t="s">
        <v>0</v>
      </c>
      <c r="B3544" s="3518" t="s">
        <v>1</v>
      </c>
      <c r="C3544" s="3518" t="s">
        <v>2</v>
      </c>
      <c r="D3544" s="3518" t="s">
        <v>3</v>
      </c>
      <c r="E3544" s="3518" t="s">
        <v>4</v>
      </c>
      <c r="F3544" s="3518" t="s">
        <v>5</v>
      </c>
      <c r="G3544" s="3522" t="s">
        <v>3504</v>
      </c>
    </row>
    <row r="3545" spans="1:7" ht="15.75" thickBot="1">
      <c r="A3545" s="3555"/>
      <c r="B3545" s="3550"/>
      <c r="C3545" s="3550"/>
      <c r="D3545" s="3550"/>
      <c r="E3545" s="3550"/>
      <c r="F3545" s="3550"/>
      <c r="G3545" s="3551"/>
    </row>
    <row r="3546" spans="1:7">
      <c r="A3546" s="3102" t="s">
        <v>3853</v>
      </c>
      <c r="B3546" s="2400" t="s">
        <v>2155</v>
      </c>
      <c r="C3546" s="2401" t="s">
        <v>2603</v>
      </c>
      <c r="D3546" s="2402"/>
      <c r="E3546" s="2888">
        <f t="shared" ref="E3546:E3553" si="180">(G3546-F3546)/G3546</f>
        <v>0.31764705882352945</v>
      </c>
      <c r="F3546" s="3154">
        <v>2.3199999999999998</v>
      </c>
      <c r="G3546" s="881">
        <v>3.4</v>
      </c>
    </row>
    <row r="3547" spans="1:7">
      <c r="A3547" s="2940"/>
      <c r="B3547" s="2965"/>
      <c r="C3547" s="2966" t="s">
        <v>385</v>
      </c>
      <c r="D3547" s="2967"/>
      <c r="E3547" s="2896" t="e">
        <f t="shared" si="180"/>
        <v>#VALUE!</v>
      </c>
      <c r="F3547" s="3141">
        <v>0.83</v>
      </c>
      <c r="G3547" s="2913" t="s">
        <v>3817</v>
      </c>
    </row>
    <row r="3548" spans="1:7">
      <c r="A3548" s="2910"/>
      <c r="B3548" s="2911"/>
      <c r="C3548" s="2911" t="s">
        <v>2827</v>
      </c>
      <c r="D3548" s="2911"/>
      <c r="E3548" s="2896">
        <f t="shared" si="180"/>
        <v>0.33333333333333337</v>
      </c>
      <c r="F3548" s="3141">
        <v>1.1599999999999999</v>
      </c>
      <c r="G3548" s="2913">
        <v>1.74</v>
      </c>
    </row>
    <row r="3549" spans="1:7">
      <c r="A3549" s="2910"/>
      <c r="B3549" s="2911"/>
      <c r="C3549" s="2911" t="s">
        <v>2115</v>
      </c>
      <c r="D3549" s="2911"/>
      <c r="E3549" s="2896">
        <f t="shared" si="180"/>
        <v>0.33333333333333337</v>
      </c>
      <c r="F3549" s="3141">
        <v>1.1599999999999999</v>
      </c>
      <c r="G3549" s="2913">
        <v>1.74</v>
      </c>
    </row>
    <row r="3550" spans="1:7">
      <c r="A3550" s="2910"/>
      <c r="B3550" s="2911"/>
      <c r="C3550" s="2911" t="s">
        <v>2890</v>
      </c>
      <c r="D3550" s="2911"/>
      <c r="E3550" s="2896">
        <f t="shared" si="180"/>
        <v>0.33333333333333337</v>
      </c>
      <c r="F3550" s="2911">
        <v>1.1599999999999999</v>
      </c>
      <c r="G3550" s="2913">
        <v>1.74</v>
      </c>
    </row>
    <row r="3551" spans="1:7">
      <c r="A3551" s="2910"/>
      <c r="B3551" s="2911"/>
      <c r="C3551" s="2911" t="s">
        <v>2116</v>
      </c>
      <c r="D3551" s="2911"/>
      <c r="E3551" s="2896">
        <f t="shared" si="180"/>
        <v>0.33333333333333337</v>
      </c>
      <c r="F3551" s="2911">
        <v>1.1599999999999999</v>
      </c>
      <c r="G3551" s="2913">
        <v>1.74</v>
      </c>
    </row>
    <row r="3552" spans="1:7">
      <c r="A3552" s="2910"/>
      <c r="B3552" s="2911"/>
      <c r="C3552" s="2911" t="s">
        <v>2871</v>
      </c>
      <c r="D3552" s="2911"/>
      <c r="E3552" s="2896">
        <f t="shared" si="180"/>
        <v>0.33333333333333337</v>
      </c>
      <c r="F3552" s="2911">
        <v>1.1599999999999999</v>
      </c>
      <c r="G3552" s="2913">
        <v>1.74</v>
      </c>
    </row>
    <row r="3553" spans="1:7" ht="15.75" thickBot="1">
      <c r="A3553" s="2914"/>
      <c r="B3553" s="2915"/>
      <c r="C3553" s="2915" t="s">
        <v>2066</v>
      </c>
      <c r="D3553" s="2915"/>
      <c r="E3553" s="2890">
        <f t="shared" si="180"/>
        <v>0.33333333333333337</v>
      </c>
      <c r="F3553" s="2915">
        <v>1.1599999999999999</v>
      </c>
      <c r="G3553" s="2917">
        <v>1.74</v>
      </c>
    </row>
    <row r="3554" spans="1:7" ht="15.75" thickBot="1"/>
    <row r="3555" spans="1:7">
      <c r="A3555" s="3614" t="s">
        <v>0</v>
      </c>
      <c r="B3555" s="3518" t="s">
        <v>1</v>
      </c>
      <c r="C3555" s="3518" t="s">
        <v>2</v>
      </c>
      <c r="D3555" s="3518" t="s">
        <v>3</v>
      </c>
      <c r="E3555" s="3518" t="s">
        <v>4</v>
      </c>
      <c r="F3555" s="3518" t="s">
        <v>5</v>
      </c>
      <c r="G3555" s="3522" t="s">
        <v>3504</v>
      </c>
    </row>
    <row r="3556" spans="1:7" ht="15.75" thickBot="1">
      <c r="A3556" s="3555"/>
      <c r="B3556" s="3550"/>
      <c r="C3556" s="3550"/>
      <c r="D3556" s="3550"/>
      <c r="E3556" s="3550"/>
      <c r="F3556" s="3550"/>
      <c r="G3556" s="3551"/>
    </row>
    <row r="3557" spans="1:7">
      <c r="A3557" s="3102" t="s">
        <v>3864</v>
      </c>
      <c r="B3557" s="2400" t="s">
        <v>2155</v>
      </c>
      <c r="C3557" s="2401" t="s">
        <v>3863</v>
      </c>
      <c r="D3557" s="2402"/>
      <c r="E3557" s="2888">
        <f t="shared" ref="E3557:E3559" si="181">(G3557-F3557)/G3557</f>
        <v>0.23018867924528297</v>
      </c>
      <c r="F3557" s="3154">
        <v>2.04</v>
      </c>
      <c r="G3557" s="881">
        <v>2.65</v>
      </c>
    </row>
    <row r="3558" spans="1:7">
      <c r="A3558" s="2940"/>
      <c r="B3558" s="2965"/>
      <c r="C3558" s="2966" t="s">
        <v>3291</v>
      </c>
      <c r="D3558" s="2967"/>
      <c r="E3558" s="2896">
        <f t="shared" si="181"/>
        <v>0.14906832298136644</v>
      </c>
      <c r="F3558" s="3141">
        <v>1.37</v>
      </c>
      <c r="G3558" s="2913">
        <v>1.61</v>
      </c>
    </row>
    <row r="3559" spans="1:7">
      <c r="A3559" s="2910"/>
      <c r="B3559" s="2911"/>
      <c r="C3559" s="2911" t="s">
        <v>3293</v>
      </c>
      <c r="D3559" s="2911"/>
      <c r="E3559" s="2896">
        <f t="shared" si="181"/>
        <v>0.19999999999999993</v>
      </c>
      <c r="F3559" s="3141">
        <v>2.12</v>
      </c>
      <c r="G3559" s="2913">
        <v>2.65</v>
      </c>
    </row>
    <row r="3560" spans="1:7" ht="15.75" thickBot="1"/>
    <row r="3561" spans="1:7">
      <c r="A3561" s="3614" t="s">
        <v>0</v>
      </c>
      <c r="B3561" s="3518" t="s">
        <v>1</v>
      </c>
      <c r="C3561" s="3518" t="s">
        <v>2</v>
      </c>
      <c r="D3561" s="3518" t="s">
        <v>3</v>
      </c>
      <c r="E3561" s="3518" t="s">
        <v>4</v>
      </c>
      <c r="F3561" s="3518" t="s">
        <v>5</v>
      </c>
      <c r="G3561" s="3522" t="s">
        <v>3504</v>
      </c>
    </row>
    <row r="3562" spans="1:7" ht="15.75" thickBot="1">
      <c r="A3562" s="3555"/>
      <c r="B3562" s="3550"/>
      <c r="C3562" s="3550"/>
      <c r="D3562" s="3550"/>
      <c r="E3562" s="3550"/>
      <c r="F3562" s="3550"/>
      <c r="G3562" s="4033"/>
    </row>
    <row r="3563" spans="1:7" ht="15.75">
      <c r="A3563" s="1675" t="s">
        <v>3866</v>
      </c>
      <c r="B3563" s="2887" t="s">
        <v>2082</v>
      </c>
      <c r="C3563" s="3058" t="s">
        <v>1904</v>
      </c>
      <c r="D3563" s="2887"/>
      <c r="E3563" s="3059">
        <f>(G3563-F3563)/G3563</f>
        <v>0.24712643678160917</v>
      </c>
      <c r="F3563" s="3091">
        <v>1.31</v>
      </c>
      <c r="G3563" s="3092">
        <v>1.74</v>
      </c>
    </row>
    <row r="3564" spans="1:7" ht="15.75" thickBot="1">
      <c r="A3564" s="3255"/>
      <c r="B3564" s="2987"/>
      <c r="C3564" s="3256" t="s">
        <v>1975</v>
      </c>
      <c r="D3564" s="2987"/>
      <c r="E3564" s="2916">
        <f>(G3564-F3564)/G3564</f>
        <v>0.27624309392265195</v>
      </c>
      <c r="F3564" s="3188">
        <v>1.31</v>
      </c>
      <c r="G3564" s="3097">
        <v>1.81</v>
      </c>
    </row>
    <row r="3565" spans="1:7" ht="15.75" thickBot="1"/>
    <row r="3566" spans="1:7">
      <c r="A3566" s="3614" t="s">
        <v>0</v>
      </c>
      <c r="B3566" s="3518" t="s">
        <v>1</v>
      </c>
      <c r="C3566" s="3518" t="s">
        <v>2</v>
      </c>
      <c r="D3566" s="3518" t="s">
        <v>3</v>
      </c>
      <c r="E3566" s="3518" t="s">
        <v>4</v>
      </c>
      <c r="F3566" s="3518" t="s">
        <v>5</v>
      </c>
      <c r="G3566" s="3522" t="s">
        <v>3504</v>
      </c>
    </row>
    <row r="3567" spans="1:7" ht="15.75" thickBot="1">
      <c r="A3567" s="3555"/>
      <c r="B3567" s="3550"/>
      <c r="C3567" s="3550"/>
      <c r="D3567" s="3550"/>
      <c r="E3567" s="3550"/>
      <c r="F3567" s="3550"/>
      <c r="G3567" s="3551"/>
    </row>
    <row r="3568" spans="1:7">
      <c r="A3568" s="1675" t="s">
        <v>3867</v>
      </c>
      <c r="B3568" s="2887" t="s">
        <v>460</v>
      </c>
      <c r="C3568" s="2414" t="s">
        <v>1374</v>
      </c>
      <c r="D3568" s="2415"/>
      <c r="E3568" s="2888">
        <f t="shared" ref="E3568:E3575" si="182">(G3568-F3568)/G3568</f>
        <v>0.16513761467889912</v>
      </c>
      <c r="F3568" s="2415">
        <v>0.91</v>
      </c>
      <c r="G3568" s="881">
        <v>1.0900000000000001</v>
      </c>
    </row>
    <row r="3569" spans="1:7">
      <c r="A3569" s="2940"/>
      <c r="B3569" s="2905" t="s">
        <v>1674</v>
      </c>
      <c r="C3569" s="2906" t="s">
        <v>1301</v>
      </c>
      <c r="D3569" s="2941"/>
      <c r="E3569" s="2896">
        <f t="shared" si="182"/>
        <v>0.16513761467889912</v>
      </c>
      <c r="F3569" s="2941">
        <v>0.91</v>
      </c>
      <c r="G3569" s="2913">
        <v>1.0900000000000001</v>
      </c>
    </row>
    <row r="3570" spans="1:7">
      <c r="A3570" s="2910"/>
      <c r="B3570" s="2911"/>
      <c r="C3570" s="2911" t="s">
        <v>2303</v>
      </c>
      <c r="D3570" s="2911"/>
      <c r="E3570" s="2896">
        <f t="shared" si="182"/>
        <v>0.16513761467889912</v>
      </c>
      <c r="F3570" s="2911">
        <v>0.91</v>
      </c>
      <c r="G3570" s="2913">
        <v>1.0900000000000001</v>
      </c>
    </row>
    <row r="3571" spans="1:7">
      <c r="A3571" s="2910"/>
      <c r="B3571" s="2911"/>
      <c r="C3571" s="2911" t="s">
        <v>1820</v>
      </c>
      <c r="D3571" s="2911"/>
      <c r="E3571" s="2896">
        <f t="shared" si="182"/>
        <v>0.25</v>
      </c>
      <c r="F3571" s="2911">
        <v>1.53</v>
      </c>
      <c r="G3571" s="2913">
        <v>2.04</v>
      </c>
    </row>
    <row r="3572" spans="1:7">
      <c r="A3572" s="2910"/>
      <c r="B3572" s="2911"/>
      <c r="C3572" s="2911" t="s">
        <v>3679</v>
      </c>
      <c r="D3572" s="2911"/>
      <c r="E3572" s="2896">
        <f t="shared" si="182"/>
        <v>0.25</v>
      </c>
      <c r="F3572" s="2911">
        <v>1.53</v>
      </c>
      <c r="G3572" s="3019">
        <v>2.04</v>
      </c>
    </row>
    <row r="3573" spans="1:7">
      <c r="A3573" s="2910"/>
      <c r="B3573" s="2911"/>
      <c r="C3573" s="2911" t="s">
        <v>2141</v>
      </c>
      <c r="D3573" s="2911"/>
      <c r="E3573" s="2896">
        <f t="shared" si="182"/>
        <v>0.25</v>
      </c>
      <c r="F3573" s="2911">
        <v>1.53</v>
      </c>
      <c r="G3573" s="3019">
        <v>2.04</v>
      </c>
    </row>
    <row r="3574" spans="1:7">
      <c r="A3574" s="2910"/>
      <c r="B3574" s="2911"/>
      <c r="C3574" s="2911" t="s">
        <v>154</v>
      </c>
      <c r="D3574" s="2911"/>
      <c r="E3574" s="2896">
        <f t="shared" si="182"/>
        <v>0.20202020202020199</v>
      </c>
      <c r="F3574" s="2911">
        <v>0.79</v>
      </c>
      <c r="G3574" s="3019">
        <v>0.99</v>
      </c>
    </row>
    <row r="3575" spans="1:7" s="2885" customFormat="1" ht="15.75" thickBot="1">
      <c r="A3575" s="3272" t="s">
        <v>3897</v>
      </c>
      <c r="B3575" s="3169"/>
      <c r="C3575" s="3169" t="s">
        <v>3896</v>
      </c>
      <c r="D3575" s="3169"/>
      <c r="E3575" s="3273">
        <f t="shared" si="182"/>
        <v>0.19310344827586209</v>
      </c>
      <c r="F3575" s="3169">
        <v>1.17</v>
      </c>
      <c r="G3575" s="3274">
        <v>1.45</v>
      </c>
    </row>
    <row r="3576" spans="1:7" ht="15.75" thickBot="1"/>
    <row r="3577" spans="1:7">
      <c r="A3577" s="3614" t="s">
        <v>0</v>
      </c>
      <c r="B3577" s="3518" t="s">
        <v>1</v>
      </c>
      <c r="C3577" s="3518" t="s">
        <v>2</v>
      </c>
      <c r="D3577" s="3518" t="s">
        <v>3</v>
      </c>
      <c r="E3577" s="3518" t="s">
        <v>4</v>
      </c>
      <c r="F3577" s="3518" t="s">
        <v>5</v>
      </c>
      <c r="G3577" s="3522" t="s">
        <v>3504</v>
      </c>
    </row>
    <row r="3578" spans="1:7" ht="15.75" thickBot="1">
      <c r="A3578" s="3555"/>
      <c r="B3578" s="3550"/>
      <c r="C3578" s="3550"/>
      <c r="D3578" s="3550"/>
      <c r="E3578" s="3550"/>
      <c r="F3578" s="3550"/>
      <c r="G3578" s="4033"/>
    </row>
    <row r="3579" spans="1:7">
      <c r="A3579" s="1675" t="s">
        <v>3867</v>
      </c>
      <c r="B3579" s="2887" t="s">
        <v>460</v>
      </c>
      <c r="C3579" s="2414" t="s">
        <v>3291</v>
      </c>
      <c r="D3579" s="2415"/>
      <c r="E3579" s="2888">
        <f t="shared" ref="E3579:E3582" si="183">(G3579-F3579)/G3579</f>
        <v>0.15686274509803921</v>
      </c>
      <c r="F3579" s="2415">
        <v>1.29</v>
      </c>
      <c r="G3579" s="881">
        <v>1.53</v>
      </c>
    </row>
    <row r="3580" spans="1:7">
      <c r="A3580" s="2940"/>
      <c r="B3580" s="2905" t="s">
        <v>1674</v>
      </c>
      <c r="C3580" s="2906" t="s">
        <v>3292</v>
      </c>
      <c r="D3580" s="2941"/>
      <c r="E3580" s="2896">
        <f t="shared" si="183"/>
        <v>0.16083916083916083</v>
      </c>
      <c r="F3580" s="2941">
        <v>2.4</v>
      </c>
      <c r="G3580" s="2913">
        <v>2.86</v>
      </c>
    </row>
    <row r="3581" spans="1:7" ht="15.75" thickBot="1">
      <c r="A3581" s="2910"/>
      <c r="B3581" s="2911"/>
      <c r="C3581" s="2911" t="s">
        <v>3293</v>
      </c>
      <c r="D3581" s="2911"/>
      <c r="E3581" s="2896">
        <f t="shared" si="183"/>
        <v>0.15873015873015869</v>
      </c>
      <c r="F3581" s="2915">
        <v>2.12</v>
      </c>
      <c r="G3581" s="2917">
        <v>2.52</v>
      </c>
    </row>
    <row r="3582" spans="1:7" ht="15.75" thickBot="1">
      <c r="A3582" s="2914"/>
      <c r="B3582" s="2915"/>
      <c r="C3582" s="2915" t="s">
        <v>3279</v>
      </c>
      <c r="D3582" s="2915"/>
      <c r="E3582" s="2890">
        <f t="shared" si="183"/>
        <v>0.15873015873015869</v>
      </c>
      <c r="F3582" s="2915">
        <v>2.12</v>
      </c>
      <c r="G3582" s="2917">
        <v>2.52</v>
      </c>
    </row>
    <row r="3583" spans="1:7" ht="15.75" thickBot="1"/>
    <row r="3584" spans="1:7">
      <c r="A3584" s="3614" t="s">
        <v>0</v>
      </c>
      <c r="B3584" s="3518" t="s">
        <v>1</v>
      </c>
      <c r="C3584" s="3518" t="s">
        <v>2</v>
      </c>
      <c r="D3584" s="3518" t="s">
        <v>3</v>
      </c>
      <c r="E3584" s="3518" t="s">
        <v>4</v>
      </c>
      <c r="F3584" s="3518" t="s">
        <v>5</v>
      </c>
      <c r="G3584" s="3522" t="s">
        <v>3504</v>
      </c>
    </row>
    <row r="3585" spans="1:7" ht="15.75" thickBot="1">
      <c r="A3585" s="3555"/>
      <c r="B3585" s="3550"/>
      <c r="C3585" s="3550"/>
      <c r="D3585" s="3550"/>
      <c r="E3585" s="3550"/>
      <c r="F3585" s="3550"/>
      <c r="G3585" s="4033"/>
    </row>
    <row r="3586" spans="1:7">
      <c r="A3586" s="3102" t="s">
        <v>3869</v>
      </c>
      <c r="B3586" s="2887" t="s">
        <v>2183</v>
      </c>
      <c r="C3586" s="2401" t="s">
        <v>2443</v>
      </c>
      <c r="D3586" s="2402"/>
      <c r="E3586" s="2888">
        <f t="shared" ref="E3586:E3588" si="184">(G3586-F3586)/G3586</f>
        <v>0.20833333333333329</v>
      </c>
      <c r="F3586" s="3239">
        <v>0.76</v>
      </c>
      <c r="G3586" s="3240">
        <v>0.96</v>
      </c>
    </row>
    <row r="3587" spans="1:7">
      <c r="A3587" s="2940"/>
      <c r="B3587" s="2965"/>
      <c r="C3587" s="2966" t="s">
        <v>1892</v>
      </c>
      <c r="D3587" s="2967"/>
      <c r="E3587" s="2896">
        <f t="shared" si="184"/>
        <v>0.24999999999999994</v>
      </c>
      <c r="F3587" s="3241">
        <v>0.93</v>
      </c>
      <c r="G3587" s="2957">
        <v>1.24</v>
      </c>
    </row>
    <row r="3588" spans="1:7" ht="15.75" thickBot="1">
      <c r="A3588" s="2914"/>
      <c r="B3588" s="2915"/>
      <c r="C3588" s="2915" t="s">
        <v>2176</v>
      </c>
      <c r="D3588" s="2915"/>
      <c r="E3588" s="2890">
        <f t="shared" si="184"/>
        <v>0.20816326530612253</v>
      </c>
      <c r="F3588" s="3242">
        <v>1.94</v>
      </c>
      <c r="G3588" s="3144">
        <v>2.4500000000000002</v>
      </c>
    </row>
    <row r="3589" spans="1:7" ht="15.75" thickBot="1"/>
    <row r="3590" spans="1:7">
      <c r="A3590" s="3614" t="s">
        <v>0</v>
      </c>
      <c r="B3590" s="3518" t="s">
        <v>1</v>
      </c>
      <c r="C3590" s="3518" t="s">
        <v>2</v>
      </c>
      <c r="D3590" s="3518" t="s">
        <v>3</v>
      </c>
      <c r="E3590" s="3518" t="s">
        <v>4</v>
      </c>
      <c r="F3590" s="3518" t="s">
        <v>5</v>
      </c>
      <c r="G3590" s="3522" t="s">
        <v>3504</v>
      </c>
    </row>
    <row r="3591" spans="1:7" ht="15.75" thickBot="1">
      <c r="A3591" s="3555"/>
      <c r="B3591" s="3550"/>
      <c r="C3591" s="3550"/>
      <c r="D3591" s="3550"/>
      <c r="E3591" s="3550"/>
      <c r="F3591" s="3550"/>
      <c r="G3591" s="4033"/>
    </row>
    <row r="3592" spans="1:7">
      <c r="A3592" s="3102" t="s">
        <v>3884</v>
      </c>
      <c r="B3592" s="2400" t="s">
        <v>2155</v>
      </c>
      <c r="C3592" s="2401" t="s">
        <v>1614</v>
      </c>
      <c r="D3592" s="2402"/>
      <c r="E3592" s="2888" t="e">
        <f t="shared" ref="E3592:E3593" si="185">(G3592-F3592)/G3592</f>
        <v>#VALUE!</v>
      </c>
      <c r="F3592" s="3154">
        <v>0.93</v>
      </c>
      <c r="G3592" s="881" t="s">
        <v>3817</v>
      </c>
    </row>
    <row r="3593" spans="1:7" ht="15.75" thickBot="1">
      <c r="A3593" s="3003"/>
      <c r="B3593" s="3055"/>
      <c r="C3593" s="3158" t="s">
        <v>2792</v>
      </c>
      <c r="D3593" s="3056"/>
      <c r="E3593" s="2890" t="e">
        <f t="shared" si="185"/>
        <v>#VALUE!</v>
      </c>
      <c r="F3593" s="3147">
        <v>0.93</v>
      </c>
      <c r="G3593" s="2917" t="s">
        <v>3817</v>
      </c>
    </row>
    <row r="3594" spans="1:7" ht="15.75" thickBot="1"/>
    <row r="3595" spans="1:7">
      <c r="A3595" s="3614" t="s">
        <v>0</v>
      </c>
      <c r="B3595" s="3518" t="s">
        <v>1</v>
      </c>
      <c r="C3595" s="3518" t="s">
        <v>2</v>
      </c>
      <c r="D3595" s="3518" t="s">
        <v>3</v>
      </c>
      <c r="E3595" s="3518" t="s">
        <v>4</v>
      </c>
      <c r="F3595" s="3518" t="s">
        <v>5</v>
      </c>
      <c r="G3595" s="3522" t="s">
        <v>3504</v>
      </c>
    </row>
    <row r="3596" spans="1:7" ht="15.75" thickBot="1">
      <c r="A3596" s="3555"/>
      <c r="B3596" s="3550"/>
      <c r="C3596" s="3550"/>
      <c r="D3596" s="3550"/>
      <c r="E3596" s="3550"/>
      <c r="F3596" s="3550"/>
      <c r="G3596" s="3551"/>
    </row>
    <row r="3597" spans="1:7">
      <c r="A3597" s="3102" t="s">
        <v>3885</v>
      </c>
      <c r="B3597" s="2887" t="s">
        <v>2029</v>
      </c>
      <c r="C3597" s="2401" t="s">
        <v>2603</v>
      </c>
      <c r="D3597" s="2402"/>
      <c r="E3597" s="2888">
        <f t="shared" ref="E3597:E3601" si="186">(G3597-F3597)/G3597</f>
        <v>0.25892857142857134</v>
      </c>
      <c r="F3597" s="3154">
        <v>2.4900000000000002</v>
      </c>
      <c r="G3597" s="881">
        <v>3.36</v>
      </c>
    </row>
    <row r="3598" spans="1:7">
      <c r="A3598" s="2940"/>
      <c r="B3598" s="2965"/>
      <c r="C3598" s="2966" t="s">
        <v>2559</v>
      </c>
      <c r="D3598" s="2967"/>
      <c r="E3598" s="2896">
        <f t="shared" si="186"/>
        <v>0.25892857142857134</v>
      </c>
      <c r="F3598" s="3141">
        <v>2.4900000000000002</v>
      </c>
      <c r="G3598" s="2913">
        <v>3.36</v>
      </c>
    </row>
    <row r="3599" spans="1:7">
      <c r="A3599" s="2910"/>
      <c r="B3599" s="2911"/>
      <c r="C3599" s="2911" t="s">
        <v>53</v>
      </c>
      <c r="D3599" s="2911"/>
      <c r="E3599" s="2896">
        <f t="shared" si="186"/>
        <v>0.20000000000000007</v>
      </c>
      <c r="F3599" s="3141">
        <v>0.84</v>
      </c>
      <c r="G3599" s="2913">
        <v>1.05</v>
      </c>
    </row>
    <row r="3600" spans="1:7">
      <c r="A3600" s="2910"/>
      <c r="B3600" s="2911"/>
      <c r="C3600" s="2911" t="s">
        <v>3801</v>
      </c>
      <c r="D3600" s="2911"/>
      <c r="E3600" s="2896">
        <f t="shared" si="186"/>
        <v>0.26842105263157895</v>
      </c>
      <c r="F3600" s="3141">
        <v>1.39</v>
      </c>
      <c r="G3600" s="2957">
        <v>1.9</v>
      </c>
    </row>
    <row r="3601" spans="1:7" ht="15.75" thickBot="1">
      <c r="A3601" s="2914"/>
      <c r="B3601" s="2915"/>
      <c r="C3601" s="2915" t="s">
        <v>3785</v>
      </c>
      <c r="D3601" s="2915"/>
      <c r="E3601" s="2890">
        <f t="shared" si="186"/>
        <v>0.26842105263157895</v>
      </c>
      <c r="F3601" s="3201">
        <v>1.39</v>
      </c>
      <c r="G3601" s="2939">
        <v>1.9</v>
      </c>
    </row>
    <row r="3602" spans="1:7" ht="15.75" thickBot="1"/>
    <row r="3603" spans="1:7">
      <c r="A3603" s="3614" t="s">
        <v>0</v>
      </c>
      <c r="B3603" s="3518" t="s">
        <v>1</v>
      </c>
      <c r="C3603" s="3518" t="s">
        <v>2</v>
      </c>
      <c r="D3603" s="3518" t="s">
        <v>3</v>
      </c>
      <c r="E3603" s="3518" t="s">
        <v>4</v>
      </c>
      <c r="F3603" s="3518" t="s">
        <v>5</v>
      </c>
      <c r="G3603" s="3522" t="s">
        <v>3504</v>
      </c>
    </row>
    <row r="3604" spans="1:7" ht="15.75" thickBot="1">
      <c r="A3604" s="3555"/>
      <c r="B3604" s="3550"/>
      <c r="C3604" s="3550"/>
      <c r="D3604" s="3550"/>
      <c r="E3604" s="3550"/>
      <c r="F3604" s="3550"/>
      <c r="G3604" s="4033"/>
    </row>
    <row r="3605" spans="1:7" ht="15.75">
      <c r="A3605" s="1675" t="s">
        <v>3886</v>
      </c>
      <c r="B3605" s="2887" t="s">
        <v>2082</v>
      </c>
      <c r="C3605" s="3058" t="s">
        <v>2999</v>
      </c>
      <c r="D3605" s="2887"/>
      <c r="E3605" s="3059" t="e">
        <f>(G3605-F3605)/G3605</f>
        <v>#VALUE!</v>
      </c>
      <c r="F3605" s="3091">
        <v>1.69</v>
      </c>
      <c r="G3605" s="3092" t="s">
        <v>3817</v>
      </c>
    </row>
    <row r="3606" spans="1:7">
      <c r="A3606" s="2894"/>
      <c r="B3606" s="2895"/>
      <c r="C3606" s="2986" t="s">
        <v>3785</v>
      </c>
      <c r="D3606" s="2895"/>
      <c r="E3606" s="2912" t="e">
        <f>(G3606-F3606)/G3606</f>
        <v>#VALUE!</v>
      </c>
      <c r="F3606" s="3093">
        <v>1.49</v>
      </c>
      <c r="G3606" s="3094" t="s">
        <v>3817</v>
      </c>
    </row>
    <row r="3607" spans="1:7">
      <c r="A3607" s="2910"/>
      <c r="B3607" s="2911"/>
      <c r="C3607" s="2911" t="s">
        <v>3786</v>
      </c>
      <c r="D3607" s="2911"/>
      <c r="E3607" s="2912" t="e">
        <f t="shared" ref="E3607:E3609" si="187">(G3607-F3607)/G3607</f>
        <v>#VALUE!</v>
      </c>
      <c r="F3607" s="2911">
        <v>1.49</v>
      </c>
      <c r="G3607" s="2913" t="s">
        <v>3817</v>
      </c>
    </row>
    <row r="3608" spans="1:7">
      <c r="A3608" s="2910"/>
      <c r="B3608" s="2911"/>
      <c r="C3608" s="2911" t="s">
        <v>2251</v>
      </c>
      <c r="D3608" s="2911"/>
      <c r="E3608" s="2912">
        <f t="shared" si="187"/>
        <v>0.27615062761506282</v>
      </c>
      <c r="F3608" s="2911">
        <v>1.73</v>
      </c>
      <c r="G3608" s="2913">
        <v>2.39</v>
      </c>
    </row>
    <row r="3609" spans="1:7" ht="15.75" thickBot="1">
      <c r="A3609" s="2914"/>
      <c r="B3609" s="2915"/>
      <c r="C3609" s="2915" t="s">
        <v>2284</v>
      </c>
      <c r="D3609" s="2915"/>
      <c r="E3609" s="2916">
        <f t="shared" si="187"/>
        <v>0.27615062761506282</v>
      </c>
      <c r="F3609" s="2915">
        <v>1.73</v>
      </c>
      <c r="G3609" s="2917">
        <v>2.39</v>
      </c>
    </row>
    <row r="3610" spans="1:7" ht="15.75" thickBot="1"/>
    <row r="3611" spans="1:7">
      <c r="A3611" s="3614" t="s">
        <v>0</v>
      </c>
      <c r="B3611" s="3518" t="s">
        <v>1</v>
      </c>
      <c r="C3611" s="3518" t="s">
        <v>2</v>
      </c>
      <c r="D3611" s="3518" t="s">
        <v>3</v>
      </c>
      <c r="E3611" s="3518" t="s">
        <v>4</v>
      </c>
      <c r="F3611" s="3518" t="s">
        <v>5</v>
      </c>
      <c r="G3611" s="3522" t="s">
        <v>3504</v>
      </c>
    </row>
    <row r="3612" spans="1:7" ht="15.75" thickBot="1">
      <c r="A3612" s="3555"/>
      <c r="B3612" s="3550"/>
      <c r="C3612" s="3550"/>
      <c r="D3612" s="3550"/>
      <c r="E3612" s="3550"/>
      <c r="F3612" s="3550"/>
      <c r="G3612" s="4033"/>
    </row>
    <row r="3613" spans="1:7" ht="15.75" thickBot="1">
      <c r="A3613" s="3259" t="s">
        <v>3888</v>
      </c>
      <c r="B3613" s="3260" t="s">
        <v>2155</v>
      </c>
      <c r="C3613" s="3261" t="s">
        <v>1891</v>
      </c>
      <c r="D3613" s="3262"/>
      <c r="E3613" s="3137">
        <f t="shared" ref="E3613" si="188">(G3613-F3613)/G3613</f>
        <v>0.40476190476190477</v>
      </c>
      <c r="F3613" s="3263">
        <v>0.75</v>
      </c>
      <c r="G3613" s="3138">
        <v>1.26</v>
      </c>
    </row>
    <row r="3614" spans="1:7" s="2885" customFormat="1" ht="15.75" thickBot="1">
      <c r="A3614" s="3308"/>
      <c r="B3614" s="3309"/>
      <c r="C3614" s="3310"/>
      <c r="D3614" s="3311"/>
      <c r="E3614" s="3312"/>
      <c r="F3614" s="3313"/>
      <c r="G3614" s="109"/>
    </row>
    <row r="3615" spans="1:7" s="2885" customFormat="1">
      <c r="A3615" s="3614" t="s">
        <v>0</v>
      </c>
      <c r="B3615" s="3518" t="s">
        <v>1</v>
      </c>
      <c r="C3615" s="3518" t="s">
        <v>2</v>
      </c>
      <c r="D3615" s="3518" t="s">
        <v>3</v>
      </c>
      <c r="E3615" s="3518" t="s">
        <v>4</v>
      </c>
      <c r="F3615" s="3518" t="s">
        <v>5</v>
      </c>
      <c r="G3615" s="3522" t="s">
        <v>3504</v>
      </c>
    </row>
    <row r="3616" spans="1:7" s="2885" customFormat="1" ht="15.75" thickBot="1">
      <c r="A3616" s="3555"/>
      <c r="B3616" s="3550"/>
      <c r="C3616" s="3550"/>
      <c r="D3616" s="3550"/>
      <c r="E3616" s="3550"/>
      <c r="F3616" s="3550"/>
      <c r="G3616" s="3551"/>
    </row>
    <row r="3617" spans="1:7" s="2885" customFormat="1">
      <c r="A3617" s="3102" t="s">
        <v>3906</v>
      </c>
      <c r="B3617" s="2887" t="s">
        <v>2029</v>
      </c>
      <c r="C3617" s="3321" t="s">
        <v>3204</v>
      </c>
      <c r="D3617" s="2402"/>
      <c r="E3617" s="2888">
        <f t="shared" ref="E3617:E3634" si="189">(G3617-F3617)/G3617</f>
        <v>0.20132013201320129</v>
      </c>
      <c r="F3617" s="3154">
        <v>2.42</v>
      </c>
      <c r="G3617" s="881">
        <v>3.03</v>
      </c>
    </row>
    <row r="3618" spans="1:7" s="2885" customFormat="1">
      <c r="A3618" s="3322"/>
      <c r="B3618" s="3320"/>
      <c r="C3618" s="3315" t="s">
        <v>3205</v>
      </c>
      <c r="D3618" s="3316"/>
      <c r="E3618" s="3317">
        <f t="shared" si="189"/>
        <v>0.20132013201320129</v>
      </c>
      <c r="F3618" s="3318">
        <v>2.42</v>
      </c>
      <c r="G3618" s="3323">
        <v>3.03</v>
      </c>
    </row>
    <row r="3619" spans="1:7" s="2885" customFormat="1">
      <c r="A3619" s="3324"/>
      <c r="B3619" s="3319"/>
      <c r="C3619" s="3315" t="s">
        <v>3904</v>
      </c>
      <c r="D3619" s="3319"/>
      <c r="E3619" s="3317">
        <f t="shared" si="189"/>
        <v>0.20132013201320129</v>
      </c>
      <c r="F3619" s="3318">
        <v>2.42</v>
      </c>
      <c r="G3619" s="3323">
        <v>3.03</v>
      </c>
    </row>
    <row r="3620" spans="1:7" s="2885" customFormat="1">
      <c r="A3620" s="3324"/>
      <c r="B3620" s="3319"/>
      <c r="C3620" s="3315" t="s">
        <v>3905</v>
      </c>
      <c r="D3620" s="3319"/>
      <c r="E3620" s="3317">
        <f t="shared" si="189"/>
        <v>0.20132013201320129</v>
      </c>
      <c r="F3620" s="3318">
        <v>2.42</v>
      </c>
      <c r="G3620" s="3325">
        <v>3.03</v>
      </c>
    </row>
    <row r="3621" spans="1:7" s="2885" customFormat="1">
      <c r="A3621" s="3324"/>
      <c r="B3621" s="3319"/>
      <c r="C3621" s="3315" t="s">
        <v>3324</v>
      </c>
      <c r="D3621" s="3319"/>
      <c r="E3621" s="3317">
        <f t="shared" si="189"/>
        <v>0.19921875000000008</v>
      </c>
      <c r="F3621" s="3318">
        <v>2.0499999999999998</v>
      </c>
      <c r="G3621" s="3325">
        <v>2.56</v>
      </c>
    </row>
    <row r="3622" spans="1:7" s="2885" customFormat="1">
      <c r="A3622" s="3324"/>
      <c r="B3622" s="3319"/>
      <c r="C3622" s="3315" t="s">
        <v>3325</v>
      </c>
      <c r="D3622" s="3319"/>
      <c r="E3622" s="3317">
        <f t="shared" si="189"/>
        <v>0.19921875000000008</v>
      </c>
      <c r="F3622" s="3318">
        <v>2.0499999999999998</v>
      </c>
      <c r="G3622" s="3325">
        <v>2.56</v>
      </c>
    </row>
    <row r="3623" spans="1:7" s="2885" customFormat="1">
      <c r="A3623" s="3324"/>
      <c r="B3623" s="3319"/>
      <c r="C3623" s="3315" t="s">
        <v>3326</v>
      </c>
      <c r="D3623" s="3319"/>
      <c r="E3623" s="3317">
        <f t="shared" si="189"/>
        <v>0.19921875000000008</v>
      </c>
      <c r="F3623" s="3318">
        <v>2.0499999999999998</v>
      </c>
      <c r="G3623" s="3325">
        <v>2.56</v>
      </c>
    </row>
    <row r="3624" spans="1:7" s="2885" customFormat="1">
      <c r="A3624" s="3324"/>
      <c r="B3624" s="3319"/>
      <c r="C3624" s="3315" t="s">
        <v>3627</v>
      </c>
      <c r="D3624" s="3319"/>
      <c r="E3624" s="3317">
        <f t="shared" si="189"/>
        <v>0.20129870129870134</v>
      </c>
      <c r="F3624" s="3318">
        <v>2.46</v>
      </c>
      <c r="G3624" s="3325">
        <v>3.08</v>
      </c>
    </row>
    <row r="3625" spans="1:7" s="2885" customFormat="1">
      <c r="A3625" s="3324"/>
      <c r="B3625" s="3319"/>
      <c r="C3625" s="3315" t="s">
        <v>3628</v>
      </c>
      <c r="D3625" s="3319"/>
      <c r="E3625" s="3317">
        <f t="shared" si="189"/>
        <v>0.20129870129870134</v>
      </c>
      <c r="F3625" s="3318">
        <v>2.46</v>
      </c>
      <c r="G3625" s="3325">
        <v>3.08</v>
      </c>
    </row>
    <row r="3626" spans="1:7" s="2885" customFormat="1">
      <c r="A3626" s="3324"/>
      <c r="B3626" s="3319"/>
      <c r="C3626" s="3315" t="s">
        <v>3487</v>
      </c>
      <c r="D3626" s="3319"/>
      <c r="E3626" s="3317">
        <f t="shared" si="189"/>
        <v>0.20129870129870134</v>
      </c>
      <c r="F3626" s="3318">
        <v>2.46</v>
      </c>
      <c r="G3626" s="3325">
        <v>3.08</v>
      </c>
    </row>
    <row r="3627" spans="1:7" s="2885" customFormat="1">
      <c r="A3627" s="3326"/>
      <c r="B3627" s="3320"/>
      <c r="C3627" s="3315" t="s">
        <v>3488</v>
      </c>
      <c r="D3627" s="3316"/>
      <c r="E3627" s="3317">
        <f t="shared" si="189"/>
        <v>0.20129870129870134</v>
      </c>
      <c r="F3627" s="3318">
        <v>2.46</v>
      </c>
      <c r="G3627" s="3325">
        <v>3.08</v>
      </c>
    </row>
    <row r="3628" spans="1:7" s="2885" customFormat="1">
      <c r="A3628" s="3326"/>
      <c r="B3628" s="3320"/>
      <c r="C3628" s="3315" t="s">
        <v>3629</v>
      </c>
      <c r="D3628" s="3316"/>
      <c r="E3628" s="3317">
        <f t="shared" si="189"/>
        <v>0.20129870129870134</v>
      </c>
      <c r="F3628" s="3318">
        <v>2.46</v>
      </c>
      <c r="G3628" s="3325">
        <v>3.08</v>
      </c>
    </row>
    <row r="3629" spans="1:7" s="2885" customFormat="1">
      <c r="A3629" s="3326"/>
      <c r="B3629" s="3320"/>
      <c r="C3629" s="3315" t="s">
        <v>3489</v>
      </c>
      <c r="D3629" s="3316"/>
      <c r="E3629" s="3317">
        <f t="shared" si="189"/>
        <v>0.20129870129870134</v>
      </c>
      <c r="F3629" s="3318">
        <v>2.46</v>
      </c>
      <c r="G3629" s="3325">
        <v>3.08</v>
      </c>
    </row>
    <row r="3630" spans="1:7" s="2885" customFormat="1">
      <c r="A3630" s="3326"/>
      <c r="B3630" s="3320"/>
      <c r="C3630" s="3315" t="s">
        <v>3490</v>
      </c>
      <c r="D3630" s="3316"/>
      <c r="E3630" s="3317">
        <f t="shared" si="189"/>
        <v>0.20129870129870134</v>
      </c>
      <c r="F3630" s="3318">
        <v>2.46</v>
      </c>
      <c r="G3630" s="3325">
        <v>3.08</v>
      </c>
    </row>
    <row r="3631" spans="1:7" s="2885" customFormat="1">
      <c r="A3631" s="3326"/>
      <c r="B3631" s="3320"/>
      <c r="C3631" s="3315" t="s">
        <v>2602</v>
      </c>
      <c r="D3631" s="3316"/>
      <c r="E3631" s="3317">
        <f t="shared" si="189"/>
        <v>0.19940476190476189</v>
      </c>
      <c r="F3631" s="3318">
        <v>2.69</v>
      </c>
      <c r="G3631" s="3325">
        <v>3.36</v>
      </c>
    </row>
    <row r="3632" spans="1:7" s="2885" customFormat="1">
      <c r="A3632" s="3326"/>
      <c r="B3632" s="3320"/>
      <c r="C3632" s="3315" t="s">
        <v>2558</v>
      </c>
      <c r="D3632" s="3316"/>
      <c r="E3632" s="3317">
        <f t="shared" si="189"/>
        <v>0.19940476190476189</v>
      </c>
      <c r="F3632" s="3318">
        <v>2.69</v>
      </c>
      <c r="G3632" s="3325">
        <v>3.36</v>
      </c>
    </row>
    <row r="3633" spans="1:7">
      <c r="A3633" s="3324"/>
      <c r="B3633" s="3319"/>
      <c r="C3633" s="3315" t="s">
        <v>2603</v>
      </c>
      <c r="D3633" s="3319"/>
      <c r="E3633" s="3317">
        <f t="shared" si="189"/>
        <v>0.19940476190476189</v>
      </c>
      <c r="F3633" s="3319">
        <v>2.69</v>
      </c>
      <c r="G3633" s="3325">
        <v>3.36</v>
      </c>
    </row>
    <row r="3634" spans="1:7" s="2885" customFormat="1" ht="15.75" thickBot="1">
      <c r="A3634" s="3327"/>
      <c r="B3634" s="3328"/>
      <c r="C3634" s="3329" t="s">
        <v>2559</v>
      </c>
      <c r="D3634" s="3328"/>
      <c r="E3634" s="3330">
        <f t="shared" si="189"/>
        <v>0.19940476190476189</v>
      </c>
      <c r="F3634" s="3328">
        <v>2.69</v>
      </c>
      <c r="G3634" s="3331">
        <v>3.36</v>
      </c>
    </row>
    <row r="3635" spans="1:7" s="2885" customFormat="1" ht="15.75" thickBot="1">
      <c r="C3635" s="3314"/>
    </row>
    <row r="3636" spans="1:7" ht="15" customHeight="1">
      <c r="A3636" s="3614" t="s">
        <v>0</v>
      </c>
      <c r="B3636" s="3518" t="s">
        <v>1</v>
      </c>
      <c r="C3636" s="3520" t="s">
        <v>2</v>
      </c>
      <c r="D3636" s="3518" t="s">
        <v>3</v>
      </c>
      <c r="E3636" s="3518" t="s">
        <v>4</v>
      </c>
      <c r="F3636" s="3518" t="s">
        <v>5</v>
      </c>
      <c r="G3636" s="3522" t="s">
        <v>3504</v>
      </c>
    </row>
    <row r="3637" spans="1:7" ht="15.75" customHeight="1" thickBot="1">
      <c r="A3637" s="3897"/>
      <c r="B3637" s="3519"/>
      <c r="C3637" s="3547"/>
      <c r="D3637" s="3519"/>
      <c r="E3637" s="3519"/>
      <c r="F3637" s="3519"/>
      <c r="G3637" s="3523"/>
    </row>
    <row r="3638" spans="1:7">
      <c r="A3638" s="3102" t="s">
        <v>3899</v>
      </c>
      <c r="B3638" s="2887" t="s">
        <v>2029</v>
      </c>
      <c r="C3638" s="2401" t="s">
        <v>2116</v>
      </c>
      <c r="D3638" s="2402"/>
      <c r="E3638" s="2888">
        <f t="shared" ref="E3638:E3640" si="190">(G3638-F3638)/G3638</f>
        <v>0.19999999999999993</v>
      </c>
      <c r="F3638" s="3154">
        <v>1.32</v>
      </c>
      <c r="G3638" s="881">
        <v>1.65</v>
      </c>
    </row>
    <row r="3639" spans="1:7">
      <c r="A3639" s="3322"/>
      <c r="B3639" s="3320"/>
      <c r="C3639" s="3332" t="s">
        <v>2066</v>
      </c>
      <c r="D3639" s="3316"/>
      <c r="E3639" s="3317">
        <f t="shared" si="190"/>
        <v>0.19999999999999993</v>
      </c>
      <c r="F3639" s="3318">
        <v>1.32</v>
      </c>
      <c r="G3639" s="3323">
        <v>1.65</v>
      </c>
    </row>
    <row r="3640" spans="1:7" ht="15.75" thickBot="1">
      <c r="A3640" s="3327"/>
      <c r="B3640" s="3328"/>
      <c r="C3640" s="3328" t="s">
        <v>1058</v>
      </c>
      <c r="D3640" s="3328"/>
      <c r="E3640" s="3330">
        <f t="shared" si="190"/>
        <v>0.20091324200913241</v>
      </c>
      <c r="F3640" s="3333">
        <v>1.75</v>
      </c>
      <c r="G3640" s="3334">
        <v>2.19</v>
      </c>
    </row>
    <row r="3641" spans="1:7" ht="15.75" thickBot="1"/>
    <row r="3642" spans="1:7">
      <c r="A3642" s="3614" t="s">
        <v>0</v>
      </c>
      <c r="B3642" s="3518" t="s">
        <v>1</v>
      </c>
      <c r="C3642" s="3520" t="s">
        <v>2</v>
      </c>
      <c r="D3642" s="3518" t="s">
        <v>3</v>
      </c>
      <c r="E3642" s="3518" t="s">
        <v>4</v>
      </c>
      <c r="F3642" s="3518" t="s">
        <v>5</v>
      </c>
      <c r="G3642" s="3522" t="s">
        <v>3504</v>
      </c>
    </row>
    <row r="3643" spans="1:7" ht="15.75" thickBot="1">
      <c r="A3643" s="3897"/>
      <c r="B3643" s="3519"/>
      <c r="C3643" s="3547"/>
      <c r="D3643" s="3519"/>
      <c r="E3643" s="3519"/>
      <c r="F3643" s="3519"/>
      <c r="G3643" s="3523"/>
    </row>
    <row r="3644" spans="1:7">
      <c r="A3644" s="3102" t="s">
        <v>3907</v>
      </c>
      <c r="B3644" s="2887" t="s">
        <v>2029</v>
      </c>
      <c r="C3644" s="2401" t="s">
        <v>3487</v>
      </c>
      <c r="D3644" s="2402"/>
      <c r="E3644" s="2888">
        <f t="shared" ref="E3644:E3646" si="191">(G3644-F3644)/G3644</f>
        <v>0.35474860335195529</v>
      </c>
      <c r="F3644" s="3154">
        <v>2.31</v>
      </c>
      <c r="G3644" s="881">
        <v>3.58</v>
      </c>
    </row>
    <row r="3645" spans="1:7">
      <c r="A3645" s="3322"/>
      <c r="B3645" s="3320"/>
      <c r="C3645" s="3332" t="s">
        <v>3488</v>
      </c>
      <c r="D3645" s="3316"/>
      <c r="E3645" s="3317">
        <f t="shared" si="191"/>
        <v>0.35474860335195529</v>
      </c>
      <c r="F3645" s="3318">
        <v>2.31</v>
      </c>
      <c r="G3645" s="3323">
        <v>3.58</v>
      </c>
    </row>
    <row r="3646" spans="1:7" ht="15.75" thickBot="1">
      <c r="A3646" s="3327"/>
      <c r="B3646" s="3328"/>
      <c r="C3646" s="3328" t="s">
        <v>3797</v>
      </c>
      <c r="D3646" s="3328"/>
      <c r="E3646" s="3330">
        <f t="shared" si="191"/>
        <v>0.35474860335195529</v>
      </c>
      <c r="F3646" s="3333">
        <v>2.31</v>
      </c>
      <c r="G3646" s="3334">
        <v>3.58</v>
      </c>
    </row>
    <row r="3647" spans="1:7" ht="15.75" thickBot="1"/>
    <row r="3648" spans="1:7">
      <c r="A3648" s="3614" t="s">
        <v>0</v>
      </c>
      <c r="B3648" s="3518" t="s">
        <v>1</v>
      </c>
      <c r="C3648" s="3518" t="s">
        <v>2</v>
      </c>
      <c r="D3648" s="3518" t="s">
        <v>3</v>
      </c>
      <c r="E3648" s="3518" t="s">
        <v>4</v>
      </c>
      <c r="F3648" s="3518" t="s">
        <v>5</v>
      </c>
      <c r="G3648" s="3522" t="s">
        <v>3504</v>
      </c>
    </row>
    <row r="3649" spans="1:7" ht="15.75" thickBot="1">
      <c r="A3649" s="3897"/>
      <c r="B3649" s="3550"/>
      <c r="C3649" s="3550"/>
      <c r="D3649" s="3550"/>
      <c r="E3649" s="3550"/>
      <c r="F3649" s="3550"/>
      <c r="G3649" s="3523"/>
    </row>
    <row r="3650" spans="1:7" ht="15.75">
      <c r="A3650" s="1675" t="s">
        <v>3164</v>
      </c>
      <c r="B3650" s="2887" t="s">
        <v>2082</v>
      </c>
      <c r="C3650" s="3058" t="s">
        <v>1892</v>
      </c>
      <c r="D3650" s="2887"/>
      <c r="E3650" s="3059">
        <f>(G3650-F3650)/G3650</f>
        <v>0.44186046511627913</v>
      </c>
      <c r="F3650" s="3091">
        <v>0.72</v>
      </c>
      <c r="G3650" s="3092">
        <v>1.29</v>
      </c>
    </row>
    <row r="3651" spans="1:7">
      <c r="A3651" s="3335"/>
      <c r="B3651" s="3336"/>
      <c r="C3651" s="3337" t="s">
        <v>1891</v>
      </c>
      <c r="D3651" s="3336"/>
      <c r="E3651" s="3338">
        <f>(G3651-F3651)/G3651</f>
        <v>0.44186046511627913</v>
      </c>
      <c r="F3651" s="3339">
        <v>0.72</v>
      </c>
      <c r="G3651" s="3340">
        <v>1.29</v>
      </c>
    </row>
    <row r="3652" spans="1:7" ht="15.75" thickBot="1">
      <c r="A3652" s="3327"/>
      <c r="B3652" s="3328"/>
      <c r="C3652" s="3328" t="s">
        <v>2743</v>
      </c>
      <c r="D3652" s="3328"/>
      <c r="E3652" s="3341">
        <f t="shared" ref="E3652" si="192">(G3652-F3652)/G3652</f>
        <v>0.42307692307692307</v>
      </c>
      <c r="F3652" s="3328">
        <v>0.45</v>
      </c>
      <c r="G3652" s="3334">
        <v>0.78</v>
      </c>
    </row>
    <row r="3653" spans="1:7" ht="15.75" thickBot="1"/>
    <row r="3654" spans="1:7">
      <c r="A3654" s="3614" t="s">
        <v>0</v>
      </c>
      <c r="B3654" s="3518" t="s">
        <v>1</v>
      </c>
      <c r="C3654" s="3518" t="s">
        <v>2</v>
      </c>
      <c r="D3654" s="3518" t="s">
        <v>3</v>
      </c>
      <c r="E3654" s="3518" t="s">
        <v>4</v>
      </c>
      <c r="F3654" s="3518" t="s">
        <v>5</v>
      </c>
      <c r="G3654" s="3522" t="s">
        <v>3504</v>
      </c>
    </row>
    <row r="3655" spans="1:7" ht="15.75" thickBot="1">
      <c r="A3655" s="3555"/>
      <c r="B3655" s="3550"/>
      <c r="C3655" s="3550"/>
      <c r="D3655" s="3550"/>
      <c r="E3655" s="3550"/>
      <c r="F3655" s="3550"/>
      <c r="G3655" s="4033"/>
    </row>
    <row r="3656" spans="1:7">
      <c r="A3656" s="3102" t="s">
        <v>3908</v>
      </c>
      <c r="B3656" s="2400" t="s">
        <v>2155</v>
      </c>
      <c r="C3656" s="2401" t="s">
        <v>623</v>
      </c>
      <c r="D3656" s="2402"/>
      <c r="E3656" s="2888">
        <f t="shared" ref="E3656:E3659" si="193">(G3656-F3656)/G3656</f>
        <v>0.35813953488372097</v>
      </c>
      <c r="F3656" s="3154">
        <v>1.38</v>
      </c>
      <c r="G3656" s="881">
        <v>2.15</v>
      </c>
    </row>
    <row r="3657" spans="1:7">
      <c r="A3657" s="3324"/>
      <c r="B3657" s="3319"/>
      <c r="C3657" s="3319" t="s">
        <v>1772</v>
      </c>
      <c r="D3657" s="3319"/>
      <c r="E3657" s="3317">
        <f t="shared" si="193"/>
        <v>0.35813953488372097</v>
      </c>
      <c r="F3657" s="3319">
        <v>1.38</v>
      </c>
      <c r="G3657" s="3325">
        <v>2.15</v>
      </c>
    </row>
    <row r="3658" spans="1:7">
      <c r="A3658" s="3324"/>
      <c r="B3658" s="3319"/>
      <c r="C3658" s="3319" t="s">
        <v>2550</v>
      </c>
      <c r="D3658" s="3319"/>
      <c r="E3658" s="3317" t="e">
        <f t="shared" si="193"/>
        <v>#VALUE!</v>
      </c>
      <c r="F3658" s="3319">
        <v>5.29</v>
      </c>
      <c r="G3658" s="3323" t="s">
        <v>3817</v>
      </c>
    </row>
    <row r="3659" spans="1:7" ht="15.75" thickBot="1">
      <c r="A3659" s="3327"/>
      <c r="B3659" s="3328"/>
      <c r="C3659" s="3328" t="s">
        <v>2551</v>
      </c>
      <c r="D3659" s="3328"/>
      <c r="E3659" s="3330" t="e">
        <f t="shared" si="193"/>
        <v>#VALUE!</v>
      </c>
      <c r="F3659" s="3328">
        <v>5.29</v>
      </c>
      <c r="G3659" s="3334" t="s">
        <v>3817</v>
      </c>
    </row>
    <row r="3660" spans="1:7" ht="15.75" thickBot="1"/>
    <row r="3661" spans="1:7">
      <c r="A3661" s="3614" t="s">
        <v>0</v>
      </c>
      <c r="B3661" s="3518" t="s">
        <v>1</v>
      </c>
      <c r="C3661" s="3518" t="s">
        <v>2</v>
      </c>
      <c r="D3661" s="3518" t="s">
        <v>3</v>
      </c>
      <c r="E3661" s="3518" t="s">
        <v>4</v>
      </c>
      <c r="F3661" s="3518" t="s">
        <v>5</v>
      </c>
      <c r="G3661" s="3522" t="s">
        <v>3504</v>
      </c>
    </row>
    <row r="3662" spans="1:7" ht="15.75" thickBot="1">
      <c r="A3662" s="3555"/>
      <c r="B3662" s="3550"/>
      <c r="C3662" s="3550"/>
      <c r="D3662" s="3550"/>
      <c r="E3662" s="3550"/>
      <c r="F3662" s="3550"/>
      <c r="G3662" s="4033"/>
    </row>
    <row r="3663" spans="1:7">
      <c r="A3663" s="3102" t="s">
        <v>3910</v>
      </c>
      <c r="B3663" s="2400" t="s">
        <v>2155</v>
      </c>
      <c r="C3663" s="2401" t="s">
        <v>2603</v>
      </c>
      <c r="D3663" s="2402"/>
      <c r="E3663" s="2888">
        <f t="shared" ref="E3663:E3667" si="194">(G3663-F3663)/G3663</f>
        <v>0.31764705882352945</v>
      </c>
      <c r="F3663" s="3154">
        <v>2.3199999999999998</v>
      </c>
      <c r="G3663" s="881">
        <v>3.4</v>
      </c>
    </row>
    <row r="3664" spans="1:7">
      <c r="A3664" s="3324"/>
      <c r="B3664" s="3319"/>
      <c r="C3664" s="3319" t="s">
        <v>2115</v>
      </c>
      <c r="D3664" s="3319"/>
      <c r="E3664" s="3317">
        <f t="shared" si="194"/>
        <v>0.33333333333333337</v>
      </c>
      <c r="F3664" s="3319">
        <v>1.1599999999999999</v>
      </c>
      <c r="G3664" s="3325">
        <v>1.74</v>
      </c>
    </row>
    <row r="3665" spans="1:7">
      <c r="A3665" s="3324"/>
      <c r="B3665" s="3319"/>
      <c r="C3665" s="3319" t="s">
        <v>2116</v>
      </c>
      <c r="D3665" s="3319"/>
      <c r="E3665" s="3317">
        <f t="shared" si="194"/>
        <v>0.33333333333333337</v>
      </c>
      <c r="F3665" s="3319">
        <v>1.1599999999999999</v>
      </c>
      <c r="G3665" s="3323">
        <v>1.74</v>
      </c>
    </row>
    <row r="3666" spans="1:7">
      <c r="A3666" s="3324"/>
      <c r="B3666" s="3319"/>
      <c r="C3666" s="3319" t="s">
        <v>2066</v>
      </c>
      <c r="D3666" s="3319"/>
      <c r="E3666" s="3317">
        <f t="shared" si="194"/>
        <v>0.33333333333333337</v>
      </c>
      <c r="F3666" s="3319">
        <v>1.1599999999999999</v>
      </c>
      <c r="G3666" s="3323">
        <v>1.74</v>
      </c>
    </row>
    <row r="3667" spans="1:7" ht="15.75" thickBot="1">
      <c r="A3667" s="3327"/>
      <c r="B3667" s="3328"/>
      <c r="C3667" s="3328" t="s">
        <v>1892</v>
      </c>
      <c r="D3667" s="3328"/>
      <c r="E3667" s="3330">
        <f t="shared" si="194"/>
        <v>0.13793103448275862</v>
      </c>
      <c r="F3667" s="3328">
        <v>0.75</v>
      </c>
      <c r="G3667" s="3331">
        <v>0.87</v>
      </c>
    </row>
    <row r="3668" spans="1:7" ht="15.75" thickBot="1"/>
    <row r="3669" spans="1:7">
      <c r="A3669" s="3614" t="s">
        <v>0</v>
      </c>
      <c r="B3669" s="3518" t="s">
        <v>1</v>
      </c>
      <c r="C3669" s="3518" t="s">
        <v>2</v>
      </c>
      <c r="D3669" s="3518" t="s">
        <v>3</v>
      </c>
      <c r="E3669" s="3518" t="s">
        <v>4</v>
      </c>
      <c r="F3669" s="3518" t="s">
        <v>5</v>
      </c>
      <c r="G3669" s="3522" t="s">
        <v>3504</v>
      </c>
    </row>
    <row r="3670" spans="1:7" ht="15.75" thickBot="1">
      <c r="A3670" s="3897"/>
      <c r="B3670" s="3550"/>
      <c r="C3670" s="3550"/>
      <c r="D3670" s="3550"/>
      <c r="E3670" s="3550"/>
      <c r="F3670" s="3550"/>
      <c r="G3670" s="3523"/>
    </row>
    <row r="3671" spans="1:7" ht="15.75">
      <c r="A3671" s="1675" t="s">
        <v>3918</v>
      </c>
      <c r="B3671" s="2887" t="s">
        <v>2082</v>
      </c>
      <c r="C3671" s="3058" t="s">
        <v>554</v>
      </c>
      <c r="D3671" s="2887"/>
      <c r="E3671" s="3059">
        <f>(G3671-F3671)/G3671</f>
        <v>0.27659574468085102</v>
      </c>
      <c r="F3671" s="3091">
        <v>1.02</v>
      </c>
      <c r="G3671" s="3092">
        <v>1.41</v>
      </c>
    </row>
    <row r="3672" spans="1:7" ht="15.75" thickBot="1">
      <c r="A3672" s="3381"/>
      <c r="B3672" s="1585"/>
      <c r="C3672" s="3382" t="s">
        <v>730</v>
      </c>
      <c r="D3672" s="1585"/>
      <c r="E3672" s="3383">
        <f>(G3672-F3672)/G3672</f>
        <v>0.23958333333333331</v>
      </c>
      <c r="F3672" s="3384">
        <v>0.73</v>
      </c>
      <c r="G3672" s="3385">
        <v>0.96</v>
      </c>
    </row>
    <row r="3673" spans="1:7">
      <c r="A3673" s="879" t="s">
        <v>3919</v>
      </c>
      <c r="B3673" s="2421"/>
      <c r="C3673" s="2421" t="s">
        <v>2115</v>
      </c>
      <c r="D3673" s="2421"/>
      <c r="E3673" s="1198">
        <f t="shared" ref="E3673:E3681" si="195">(G3673-F3673)/G3673</f>
        <v>0.18750000000000003</v>
      </c>
      <c r="F3673" s="2421">
        <v>1.43</v>
      </c>
      <c r="G3673" s="881">
        <v>1.76</v>
      </c>
    </row>
    <row r="3674" spans="1:7">
      <c r="A3674" s="3324"/>
      <c r="B3674" s="3319"/>
      <c r="C3674" s="3319" t="s">
        <v>2116</v>
      </c>
      <c r="D3674" s="3319"/>
      <c r="E3674" s="3338">
        <f t="shared" si="195"/>
        <v>0.18750000000000003</v>
      </c>
      <c r="F3674" s="3319">
        <v>1.43</v>
      </c>
      <c r="G3674" s="3323">
        <v>1.76</v>
      </c>
    </row>
    <row r="3675" spans="1:7">
      <c r="A3675" s="3324"/>
      <c r="B3675" s="3319"/>
      <c r="C3675" s="3319" t="s">
        <v>2066</v>
      </c>
      <c r="D3675" s="3319"/>
      <c r="E3675" s="3338">
        <f t="shared" si="195"/>
        <v>0.18750000000000003</v>
      </c>
      <c r="F3675" s="3319">
        <v>1.43</v>
      </c>
      <c r="G3675" s="3323">
        <v>1.76</v>
      </c>
    </row>
    <row r="3676" spans="1:7">
      <c r="A3676" s="3324"/>
      <c r="B3676" s="3319"/>
      <c r="C3676" s="3319" t="s">
        <v>2251</v>
      </c>
      <c r="D3676" s="3319"/>
      <c r="E3676" s="3338">
        <f t="shared" si="195"/>
        <v>0.30543933054393313</v>
      </c>
      <c r="F3676" s="3379">
        <v>1.66</v>
      </c>
      <c r="G3676" s="3325">
        <v>2.39</v>
      </c>
    </row>
    <row r="3677" spans="1:7">
      <c r="A3677" s="3324"/>
      <c r="B3677" s="3319"/>
      <c r="C3677" s="3319" t="s">
        <v>2284</v>
      </c>
      <c r="D3677" s="3319"/>
      <c r="E3677" s="3338">
        <f t="shared" si="195"/>
        <v>0.30543933054393313</v>
      </c>
      <c r="F3677" s="3379">
        <v>1.66</v>
      </c>
      <c r="G3677" s="3325">
        <v>2.39</v>
      </c>
    </row>
    <row r="3678" spans="1:7">
      <c r="A3678" s="3324"/>
      <c r="B3678" s="3319"/>
      <c r="C3678" s="3319" t="s">
        <v>2637</v>
      </c>
      <c r="D3678" s="3319"/>
      <c r="E3678" s="3338">
        <f t="shared" si="195"/>
        <v>0.1875</v>
      </c>
      <c r="F3678" s="3379">
        <v>0.13</v>
      </c>
      <c r="G3678" s="3325">
        <v>0.16</v>
      </c>
    </row>
    <row r="3679" spans="1:7">
      <c r="A3679" s="3324"/>
      <c r="B3679" s="3319"/>
      <c r="C3679" s="3319" t="s">
        <v>2353</v>
      </c>
      <c r="D3679" s="3319"/>
      <c r="E3679" s="3338">
        <f t="shared" si="195"/>
        <v>0.31578947368421051</v>
      </c>
      <c r="F3679" s="3379">
        <v>0.13</v>
      </c>
      <c r="G3679" s="3325">
        <v>0.19</v>
      </c>
    </row>
    <row r="3680" spans="1:7">
      <c r="A3680" s="3324"/>
      <c r="B3680" s="3319"/>
      <c r="C3680" s="3319" t="s">
        <v>2351</v>
      </c>
      <c r="D3680" s="3319"/>
      <c r="E3680" s="3393">
        <f t="shared" si="195"/>
        <v>0.31578947368421051</v>
      </c>
      <c r="F3680" s="3379">
        <v>0.13</v>
      </c>
      <c r="G3680" s="3325">
        <v>0.19</v>
      </c>
    </row>
    <row r="3681" spans="1:7" ht="15.75" thickBot="1">
      <c r="A3681" s="3327"/>
      <c r="B3681" s="3328"/>
      <c r="C3681" s="3328" t="s">
        <v>2352</v>
      </c>
      <c r="D3681" s="3328"/>
      <c r="E3681" s="3394">
        <f t="shared" si="195"/>
        <v>0.31578947368421051</v>
      </c>
      <c r="F3681" s="3380">
        <v>0.13</v>
      </c>
      <c r="G3681" s="3331">
        <v>0.19</v>
      </c>
    </row>
    <row r="3682" spans="1:7" ht="15.75" thickBot="1"/>
    <row r="3683" spans="1:7">
      <c r="A3683" s="3614" t="s">
        <v>0</v>
      </c>
      <c r="B3683" s="3518" t="s">
        <v>1</v>
      </c>
      <c r="C3683" s="3518" t="s">
        <v>2</v>
      </c>
      <c r="D3683" s="3518" t="s">
        <v>3</v>
      </c>
      <c r="E3683" s="3518" t="s">
        <v>4</v>
      </c>
      <c r="F3683" s="3518" t="s">
        <v>5</v>
      </c>
      <c r="G3683" s="3522" t="s">
        <v>3504</v>
      </c>
    </row>
    <row r="3684" spans="1:7" ht="15.75" thickBot="1">
      <c r="A3684" s="3555"/>
      <c r="B3684" s="3550"/>
      <c r="C3684" s="3550"/>
      <c r="D3684" s="3550"/>
      <c r="E3684" s="3550"/>
      <c r="F3684" s="3550"/>
      <c r="G3684" s="4033"/>
    </row>
    <row r="3685" spans="1:7">
      <c r="A3685" s="3102" t="s">
        <v>3924</v>
      </c>
      <c r="B3685" s="2887" t="s">
        <v>2183</v>
      </c>
      <c r="C3685" s="2401" t="s">
        <v>2602</v>
      </c>
      <c r="D3685" s="2402"/>
      <c r="E3685" s="2888">
        <f t="shared" ref="E3685:E3691" si="196">(G3685-F3685)/G3685</f>
        <v>0.220496894409938</v>
      </c>
      <c r="F3685" s="3239">
        <v>2.5099999999999998</v>
      </c>
      <c r="G3685" s="3240">
        <v>3.22</v>
      </c>
    </row>
    <row r="3686" spans="1:7">
      <c r="A3686" s="3322"/>
      <c r="B3686" s="3320"/>
      <c r="C3686" s="3332" t="s">
        <v>2558</v>
      </c>
      <c r="D3686" s="3316"/>
      <c r="E3686" s="3317">
        <f t="shared" si="196"/>
        <v>0.220496894409938</v>
      </c>
      <c r="F3686" s="3407">
        <v>2.5099999999999998</v>
      </c>
      <c r="G3686" s="3355">
        <v>3.22</v>
      </c>
    </row>
    <row r="3687" spans="1:7">
      <c r="A3687" s="3324"/>
      <c r="B3687" s="3319"/>
      <c r="C3687" s="3319" t="s">
        <v>2603</v>
      </c>
      <c r="D3687" s="3319"/>
      <c r="E3687" s="3317">
        <f t="shared" si="196"/>
        <v>0.220496894409938</v>
      </c>
      <c r="F3687" s="3407">
        <v>2.5099999999999998</v>
      </c>
      <c r="G3687" s="3355">
        <v>3.22</v>
      </c>
    </row>
    <row r="3688" spans="1:7">
      <c r="A3688" s="3324"/>
      <c r="B3688" s="3319"/>
      <c r="C3688" s="3319" t="s">
        <v>2559</v>
      </c>
      <c r="D3688" s="3319"/>
      <c r="E3688" s="3317">
        <f t="shared" si="196"/>
        <v>0.220496894409938</v>
      </c>
      <c r="F3688" s="3319">
        <v>2.5099999999999998</v>
      </c>
      <c r="G3688" s="3356">
        <v>3.22</v>
      </c>
    </row>
    <row r="3689" spans="1:7">
      <c r="A3689" s="3324"/>
      <c r="B3689" s="3319"/>
      <c r="C3689" s="3319" t="s">
        <v>2560</v>
      </c>
      <c r="D3689" s="3319"/>
      <c r="E3689" s="3317">
        <f t="shared" si="196"/>
        <v>0.25085910652920962</v>
      </c>
      <c r="F3689" s="3319">
        <v>2.1800000000000002</v>
      </c>
      <c r="G3689" s="3356">
        <v>2.91</v>
      </c>
    </row>
    <row r="3690" spans="1:7">
      <c r="A3690" s="3324"/>
      <c r="B3690" s="3319"/>
      <c r="C3690" s="3319" t="s">
        <v>2455</v>
      </c>
      <c r="D3690" s="3319"/>
      <c r="E3690" s="3317">
        <f t="shared" si="196"/>
        <v>0.19753086419753088</v>
      </c>
      <c r="F3690" s="3354">
        <v>1.3</v>
      </c>
      <c r="G3690" s="3356">
        <v>1.62</v>
      </c>
    </row>
    <row r="3691" spans="1:7" ht="15.75" thickBot="1">
      <c r="A3691" s="3327"/>
      <c r="B3691" s="3328"/>
      <c r="C3691" s="3328" t="s">
        <v>1904</v>
      </c>
      <c r="D3691" s="3328"/>
      <c r="E3691" s="3330">
        <f t="shared" si="196"/>
        <v>0.2023809523809523</v>
      </c>
      <c r="F3691" s="3328">
        <v>1.34</v>
      </c>
      <c r="G3691" s="3374">
        <v>1.68</v>
      </c>
    </row>
    <row r="3692" spans="1:7" ht="15.75" thickBot="1"/>
    <row r="3693" spans="1:7">
      <c r="A3693" s="3614" t="s">
        <v>0</v>
      </c>
      <c r="B3693" s="3518" t="s">
        <v>1</v>
      </c>
      <c r="C3693" s="3518" t="s">
        <v>2</v>
      </c>
      <c r="D3693" s="3518" t="s">
        <v>3</v>
      </c>
      <c r="E3693" s="3518" t="s">
        <v>4</v>
      </c>
      <c r="F3693" s="3518" t="s">
        <v>5</v>
      </c>
      <c r="G3693" s="3522" t="s">
        <v>3504</v>
      </c>
    </row>
    <row r="3694" spans="1:7" ht="15.75" thickBot="1">
      <c r="A3694" s="3532"/>
      <c r="B3694" s="3519"/>
      <c r="C3694" s="3519"/>
      <c r="D3694" s="3519"/>
      <c r="E3694" s="3519"/>
      <c r="F3694" s="3519"/>
      <c r="G3694" s="3523"/>
    </row>
    <row r="3695" spans="1:7">
      <c r="A3695" s="3102" t="s">
        <v>3925</v>
      </c>
      <c r="B3695" s="2887" t="s">
        <v>460</v>
      </c>
      <c r="C3695" s="2401" t="s">
        <v>2602</v>
      </c>
      <c r="D3695" s="2402"/>
      <c r="E3695" s="2888">
        <f t="shared" ref="E3695:E3720" si="197">(G3695-F3695)/G3695</f>
        <v>0.15309446254071654</v>
      </c>
      <c r="F3695" s="3239">
        <v>2.6</v>
      </c>
      <c r="G3695" s="3240">
        <v>3.07</v>
      </c>
    </row>
    <row r="3696" spans="1:7">
      <c r="A3696" s="3322"/>
      <c r="B3696" s="3320"/>
      <c r="C3696" s="3332" t="s">
        <v>2558</v>
      </c>
      <c r="D3696" s="3316"/>
      <c r="E3696" s="3317">
        <f t="shared" si="197"/>
        <v>0.15309446254071654</v>
      </c>
      <c r="F3696" s="3407">
        <v>2.6</v>
      </c>
      <c r="G3696" s="3355">
        <v>3.07</v>
      </c>
    </row>
    <row r="3697" spans="1:7">
      <c r="A3697" s="3324"/>
      <c r="B3697" s="3319"/>
      <c r="C3697" s="3319" t="s">
        <v>2603</v>
      </c>
      <c r="D3697" s="3319"/>
      <c r="E3697" s="3317">
        <f t="shared" si="197"/>
        <v>0.15309446254071654</v>
      </c>
      <c r="F3697" s="3407">
        <v>2.6</v>
      </c>
      <c r="G3697" s="3355">
        <v>3.07</v>
      </c>
    </row>
    <row r="3698" spans="1:7">
      <c r="A3698" s="3324"/>
      <c r="B3698" s="3319"/>
      <c r="C3698" s="3319" t="s">
        <v>2559</v>
      </c>
      <c r="D3698" s="3319"/>
      <c r="E3698" s="3317">
        <f t="shared" si="197"/>
        <v>0.15309446254071654</v>
      </c>
      <c r="F3698" s="3354">
        <v>2.6</v>
      </c>
      <c r="G3698" s="3356">
        <v>3.07</v>
      </c>
    </row>
    <row r="3699" spans="1:7">
      <c r="A3699" s="3324"/>
      <c r="B3699" s="3319"/>
      <c r="C3699" s="3319" t="s">
        <v>2560</v>
      </c>
      <c r="D3699" s="3319"/>
      <c r="E3699" s="3317">
        <f t="shared" si="197"/>
        <v>0.14855072463768107</v>
      </c>
      <c r="F3699" s="3319">
        <v>2.35</v>
      </c>
      <c r="G3699" s="3356">
        <v>2.76</v>
      </c>
    </row>
    <row r="3700" spans="1:7">
      <c r="A3700" s="3324"/>
      <c r="B3700" s="3319"/>
      <c r="C3700" s="3319" t="s">
        <v>2207</v>
      </c>
      <c r="D3700" s="3319"/>
      <c r="E3700" s="3317">
        <f t="shared" si="197"/>
        <v>0.20689655172413784</v>
      </c>
      <c r="F3700" s="3354">
        <v>0.46</v>
      </c>
      <c r="G3700" s="3356">
        <v>0.57999999999999996</v>
      </c>
    </row>
    <row r="3701" spans="1:7">
      <c r="A3701" s="3324"/>
      <c r="B3701" s="3319"/>
      <c r="C3701" s="3319" t="s">
        <v>3205</v>
      </c>
      <c r="D3701" s="3319"/>
      <c r="E3701" s="3317">
        <f t="shared" si="197"/>
        <v>0.20000000000000004</v>
      </c>
      <c r="F3701" s="3354">
        <v>2.4</v>
      </c>
      <c r="G3701" s="3356">
        <v>3</v>
      </c>
    </row>
    <row r="3702" spans="1:7">
      <c r="A3702" s="3324"/>
      <c r="B3702" s="3319"/>
      <c r="C3702" s="3319" t="s">
        <v>3904</v>
      </c>
      <c r="D3702" s="3319"/>
      <c r="E3702" s="3317">
        <f t="shared" si="197"/>
        <v>0.20000000000000004</v>
      </c>
      <c r="F3702" s="3354">
        <v>2.4</v>
      </c>
      <c r="G3702" s="3356">
        <v>3</v>
      </c>
    </row>
    <row r="3703" spans="1:7">
      <c r="A3703" s="3324"/>
      <c r="B3703" s="3319"/>
      <c r="C3703" s="3319" t="s">
        <v>3905</v>
      </c>
      <c r="D3703" s="3319"/>
      <c r="E3703" s="3317">
        <f t="shared" si="197"/>
        <v>0.20000000000000004</v>
      </c>
      <c r="F3703" s="3354">
        <v>2.4</v>
      </c>
      <c r="G3703" s="3356">
        <v>3</v>
      </c>
    </row>
    <row r="3704" spans="1:7">
      <c r="A3704" s="3324"/>
      <c r="B3704" s="3319"/>
      <c r="C3704" s="3319" t="s">
        <v>3926</v>
      </c>
      <c r="D3704" s="3319"/>
      <c r="E3704" s="3317">
        <f t="shared" si="197"/>
        <v>0.2010178117048346</v>
      </c>
      <c r="F3704" s="3319">
        <v>3.14</v>
      </c>
      <c r="G3704" s="3356">
        <v>3.93</v>
      </c>
    </row>
    <row r="3705" spans="1:7">
      <c r="A3705" s="3324"/>
      <c r="B3705" s="3319"/>
      <c r="C3705" s="3319" t="s">
        <v>3927</v>
      </c>
      <c r="D3705" s="3319"/>
      <c r="E3705" s="3317">
        <f t="shared" si="197"/>
        <v>0.2010178117048346</v>
      </c>
      <c r="F3705" s="3319">
        <v>3.14</v>
      </c>
      <c r="G3705" s="3356">
        <v>3.93</v>
      </c>
    </row>
    <row r="3706" spans="1:7">
      <c r="A3706" s="3324"/>
      <c r="B3706" s="3319"/>
      <c r="C3706" s="3319" t="s">
        <v>3928</v>
      </c>
      <c r="D3706" s="3319"/>
      <c r="E3706" s="3317">
        <f t="shared" si="197"/>
        <v>0.2010178117048346</v>
      </c>
      <c r="F3706" s="3319">
        <v>3.14</v>
      </c>
      <c r="G3706" s="3356">
        <v>3.93</v>
      </c>
    </row>
    <row r="3707" spans="1:7">
      <c r="A3707" s="3324"/>
      <c r="B3707" s="3319"/>
      <c r="C3707" s="3319" t="s">
        <v>3219</v>
      </c>
      <c r="D3707" s="3319"/>
      <c r="E3707" s="3317">
        <f t="shared" si="197"/>
        <v>0.19999999999999996</v>
      </c>
      <c r="F3707" s="3319">
        <v>6.24</v>
      </c>
      <c r="G3707" s="3356">
        <v>7.8</v>
      </c>
    </row>
    <row r="3708" spans="1:7">
      <c r="A3708" s="3324"/>
      <c r="B3708" s="3319"/>
      <c r="C3708" s="3319" t="s">
        <v>3220</v>
      </c>
      <c r="D3708" s="3319"/>
      <c r="E3708" s="3317">
        <f t="shared" si="197"/>
        <v>0.19983416252072969</v>
      </c>
      <c r="F3708" s="3319">
        <v>9.65</v>
      </c>
      <c r="G3708" s="3356">
        <v>12.06</v>
      </c>
    </row>
    <row r="3709" spans="1:7">
      <c r="A3709" s="3324"/>
      <c r="B3709" s="3319"/>
      <c r="C3709" s="3319" t="s">
        <v>3221</v>
      </c>
      <c r="D3709" s="3319"/>
      <c r="E3709" s="3317">
        <f t="shared" si="197"/>
        <v>0.19999999999999996</v>
      </c>
      <c r="F3709" s="3319">
        <v>6.24</v>
      </c>
      <c r="G3709" s="3356">
        <v>7.8</v>
      </c>
    </row>
    <row r="3710" spans="1:7">
      <c r="A3710" s="3324"/>
      <c r="B3710" s="3319"/>
      <c r="C3710" s="3319" t="s">
        <v>3627</v>
      </c>
      <c r="D3710" s="3319"/>
      <c r="E3710" s="3317">
        <f t="shared" si="197"/>
        <v>0.19999999999999998</v>
      </c>
      <c r="F3710" s="3319">
        <v>2.44</v>
      </c>
      <c r="G3710" s="3356">
        <v>3.05</v>
      </c>
    </row>
    <row r="3711" spans="1:7">
      <c r="A3711" s="3324"/>
      <c r="B3711" s="3319"/>
      <c r="C3711" s="3319" t="s">
        <v>3628</v>
      </c>
      <c r="D3711" s="3319"/>
      <c r="E3711" s="3317">
        <f t="shared" si="197"/>
        <v>0.19999999999999998</v>
      </c>
      <c r="F3711" s="3319">
        <v>2.44</v>
      </c>
      <c r="G3711" s="3356">
        <v>3.05</v>
      </c>
    </row>
    <row r="3712" spans="1:7">
      <c r="A3712" s="3324"/>
      <c r="B3712" s="3319"/>
      <c r="C3712" s="3319" t="s">
        <v>3487</v>
      </c>
      <c r="D3712" s="3319"/>
      <c r="E3712" s="3317">
        <f t="shared" si="197"/>
        <v>0.19999999999999998</v>
      </c>
      <c r="F3712" s="3319">
        <v>2.44</v>
      </c>
      <c r="G3712" s="3356">
        <v>3.05</v>
      </c>
    </row>
    <row r="3713" spans="1:7">
      <c r="A3713" s="3324"/>
      <c r="B3713" s="3319"/>
      <c r="C3713" s="3319" t="s">
        <v>3488</v>
      </c>
      <c r="D3713" s="3319"/>
      <c r="E3713" s="3317">
        <f t="shared" si="197"/>
        <v>0.19999999999999998</v>
      </c>
      <c r="F3713" s="3319">
        <v>2.44</v>
      </c>
      <c r="G3713" s="3356">
        <v>3.05</v>
      </c>
    </row>
    <row r="3714" spans="1:7">
      <c r="A3714" s="3324"/>
      <c r="B3714" s="3319"/>
      <c r="C3714" s="3319" t="s">
        <v>3629</v>
      </c>
      <c r="D3714" s="3319"/>
      <c r="E3714" s="3317">
        <f t="shared" si="197"/>
        <v>0.19999999999999998</v>
      </c>
      <c r="F3714" s="3319">
        <v>2.44</v>
      </c>
      <c r="G3714" s="3356">
        <v>3.05</v>
      </c>
    </row>
    <row r="3715" spans="1:7">
      <c r="A3715" s="3324"/>
      <c r="B3715" s="3319"/>
      <c r="C3715" s="3319" t="s">
        <v>3489</v>
      </c>
      <c r="D3715" s="3319"/>
      <c r="E3715" s="3317">
        <f t="shared" si="197"/>
        <v>0.19999999999999998</v>
      </c>
      <c r="F3715" s="3319">
        <v>2.44</v>
      </c>
      <c r="G3715" s="3356">
        <v>3.05</v>
      </c>
    </row>
    <row r="3716" spans="1:7">
      <c r="A3716" s="3324"/>
      <c r="B3716" s="3319"/>
      <c r="C3716" s="3319" t="s">
        <v>3490</v>
      </c>
      <c r="D3716" s="3319"/>
      <c r="E3716" s="3317">
        <f t="shared" si="197"/>
        <v>0.19999999999999998</v>
      </c>
      <c r="F3716" s="3319">
        <v>2.44</v>
      </c>
      <c r="G3716" s="3356">
        <v>3.05</v>
      </c>
    </row>
    <row r="3717" spans="1:7">
      <c r="A3717" s="3324"/>
      <c r="B3717" s="3319"/>
      <c r="C3717" s="3319" t="s">
        <v>2192</v>
      </c>
      <c r="D3717" s="3319"/>
      <c r="E3717" s="3317">
        <f t="shared" si="197"/>
        <v>0.14942528735632185</v>
      </c>
      <c r="F3717" s="3319">
        <v>5.92</v>
      </c>
      <c r="G3717" s="3356">
        <v>6.96</v>
      </c>
    </row>
    <row r="3718" spans="1:7">
      <c r="A3718" s="3324"/>
      <c r="B3718" s="3319"/>
      <c r="C3718" s="3319" t="s">
        <v>2194</v>
      </c>
      <c r="D3718" s="3319"/>
      <c r="E3718" s="3317">
        <f t="shared" si="197"/>
        <v>0.14942528735632185</v>
      </c>
      <c r="F3718" s="3319">
        <v>5.92</v>
      </c>
      <c r="G3718" s="3356">
        <v>6.96</v>
      </c>
    </row>
    <row r="3719" spans="1:7">
      <c r="A3719" s="3324"/>
      <c r="B3719" s="3319"/>
      <c r="C3719" s="3319" t="s">
        <v>2266</v>
      </c>
      <c r="D3719" s="3319"/>
      <c r="E3719" s="3317">
        <f t="shared" si="197"/>
        <v>0.14942528735632185</v>
      </c>
      <c r="F3719" s="3319">
        <v>5.92</v>
      </c>
      <c r="G3719" s="3356">
        <v>6.96</v>
      </c>
    </row>
    <row r="3720" spans="1:7" ht="15.75" thickBot="1">
      <c r="A3720" s="3327"/>
      <c r="B3720" s="3328"/>
      <c r="C3720" s="3328" t="s">
        <v>2359</v>
      </c>
      <c r="D3720" s="3328"/>
      <c r="E3720" s="3330">
        <f t="shared" si="197"/>
        <v>0.14942528735632185</v>
      </c>
      <c r="F3720" s="3328">
        <v>5.92</v>
      </c>
      <c r="G3720" s="3374">
        <v>6.96</v>
      </c>
    </row>
    <row r="3721" spans="1:7" ht="15.75" thickBot="1"/>
    <row r="3722" spans="1:7">
      <c r="A3722" s="3614" t="s">
        <v>0</v>
      </c>
      <c r="B3722" s="3518" t="s">
        <v>1</v>
      </c>
      <c r="C3722" s="3518" t="s">
        <v>2</v>
      </c>
      <c r="D3722" s="3518" t="s">
        <v>3</v>
      </c>
      <c r="E3722" s="3518" t="s">
        <v>4</v>
      </c>
      <c r="F3722" s="3518" t="s">
        <v>5</v>
      </c>
      <c r="G3722" s="3522" t="s">
        <v>3504</v>
      </c>
    </row>
    <row r="3723" spans="1:7" ht="15.75" thickBot="1">
      <c r="A3723" s="3532"/>
      <c r="B3723" s="3519"/>
      <c r="C3723" s="3519"/>
      <c r="D3723" s="3519"/>
      <c r="E3723" s="3519"/>
      <c r="F3723" s="3519"/>
      <c r="G3723" s="3523"/>
    </row>
    <row r="3724" spans="1:7">
      <c r="A3724" s="3102" t="s">
        <v>3930</v>
      </c>
      <c r="B3724" s="2887" t="s">
        <v>3929</v>
      </c>
      <c r="C3724" s="2401" t="s">
        <v>1301</v>
      </c>
      <c r="D3724" s="2402"/>
      <c r="E3724" s="2888">
        <f t="shared" ref="E3724:E3731" si="198">(G3724-F3724)/G3724</f>
        <v>0.20175438596491219</v>
      </c>
      <c r="F3724" s="3239">
        <v>0.91</v>
      </c>
      <c r="G3724" s="3240">
        <v>1.1399999999999999</v>
      </c>
    </row>
    <row r="3725" spans="1:7">
      <c r="A3725" s="3322"/>
      <c r="B3725" s="3320"/>
      <c r="C3725" s="3332" t="s">
        <v>2303</v>
      </c>
      <c r="D3725" s="3316"/>
      <c r="E3725" s="3317">
        <f t="shared" si="198"/>
        <v>0.20175438596491219</v>
      </c>
      <c r="F3725" s="3407">
        <v>0.91</v>
      </c>
      <c r="G3725" s="3355">
        <v>1.1399999999999999</v>
      </c>
    </row>
    <row r="3726" spans="1:7">
      <c r="A3726" s="3324"/>
      <c r="B3726" s="3319"/>
      <c r="C3726" s="3319" t="s">
        <v>2156</v>
      </c>
      <c r="D3726" s="3319"/>
      <c r="E3726" s="3317">
        <f t="shared" si="198"/>
        <v>0.20491803278688525</v>
      </c>
      <c r="F3726" s="3407">
        <v>1.94</v>
      </c>
      <c r="G3726" s="3355">
        <v>2.44</v>
      </c>
    </row>
    <row r="3727" spans="1:7">
      <c r="A3727" s="3324"/>
      <c r="B3727" s="3319"/>
      <c r="C3727" s="3319" t="s">
        <v>2251</v>
      </c>
      <c r="D3727" s="3319"/>
      <c r="E3727" s="3317">
        <f t="shared" si="198"/>
        <v>0.22400000000000003</v>
      </c>
      <c r="F3727" s="3354">
        <v>1.94</v>
      </c>
      <c r="G3727" s="3356">
        <v>2.5</v>
      </c>
    </row>
    <row r="3728" spans="1:7">
      <c r="A3728" s="3324"/>
      <c r="B3728" s="3319"/>
      <c r="C3728" s="3319" t="s">
        <v>3490</v>
      </c>
      <c r="D3728" s="3319"/>
      <c r="E3728" s="3317">
        <f t="shared" si="198"/>
        <v>0.20129870129870134</v>
      </c>
      <c r="F3728" s="3319">
        <v>2.46</v>
      </c>
      <c r="G3728" s="3356">
        <v>3.08</v>
      </c>
    </row>
    <row r="3729" spans="1:7">
      <c r="A3729" s="3324"/>
      <c r="B3729" s="3319"/>
      <c r="C3729" s="3319" t="s">
        <v>3488</v>
      </c>
      <c r="D3729" s="3319"/>
      <c r="E3729" s="3317">
        <f t="shared" si="198"/>
        <v>0.20129870129870134</v>
      </c>
      <c r="F3729" s="3354">
        <v>2.46</v>
      </c>
      <c r="G3729" s="3356">
        <v>3.08</v>
      </c>
    </row>
    <row r="3730" spans="1:7">
      <c r="A3730" s="3324"/>
      <c r="B3730" s="3319"/>
      <c r="C3730" s="3319" t="s">
        <v>2603</v>
      </c>
      <c r="D3730" s="3319"/>
      <c r="E3730" s="3317">
        <f t="shared" si="198"/>
        <v>0.19940476190476189</v>
      </c>
      <c r="F3730" s="3354">
        <v>2.69</v>
      </c>
      <c r="G3730" s="3356">
        <v>3.36</v>
      </c>
    </row>
    <row r="3731" spans="1:7" ht="15.75" thickBot="1">
      <c r="A3731" s="3327"/>
      <c r="B3731" s="3328"/>
      <c r="C3731" s="3328" t="s">
        <v>2559</v>
      </c>
      <c r="D3731" s="3328"/>
      <c r="E3731" s="3330">
        <f t="shared" si="198"/>
        <v>0.19940476190476189</v>
      </c>
      <c r="F3731" s="3343">
        <v>2.69</v>
      </c>
      <c r="G3731" s="3374">
        <v>3.36</v>
      </c>
    </row>
    <row r="3732" spans="1:7" ht="15.75" thickBot="1"/>
    <row r="3733" spans="1:7">
      <c r="A3733" s="3614" t="s">
        <v>0</v>
      </c>
      <c r="B3733" s="3518" t="s">
        <v>1</v>
      </c>
      <c r="C3733" s="3520" t="s">
        <v>2</v>
      </c>
      <c r="D3733" s="3518" t="s">
        <v>3</v>
      </c>
      <c r="E3733" s="3518" t="s">
        <v>4</v>
      </c>
      <c r="F3733" s="3518" t="s">
        <v>5</v>
      </c>
      <c r="G3733" s="3522" t="s">
        <v>3504</v>
      </c>
    </row>
    <row r="3734" spans="1:7" ht="15.75" thickBot="1">
      <c r="A3734" s="3897"/>
      <c r="B3734" s="3519"/>
      <c r="C3734" s="3547"/>
      <c r="D3734" s="3519"/>
      <c r="E3734" s="3519"/>
      <c r="F3734" s="3519"/>
      <c r="G3734" s="3523"/>
    </row>
    <row r="3735" spans="1:7">
      <c r="A3735" s="3102" t="s">
        <v>3931</v>
      </c>
      <c r="B3735" s="2887" t="s">
        <v>2029</v>
      </c>
      <c r="C3735" s="2401" t="s">
        <v>3315</v>
      </c>
      <c r="D3735" s="2402"/>
      <c r="E3735" s="2888">
        <f t="shared" ref="E3735:E3737" si="199">(G3735-F3735)/G3735</f>
        <v>0.19791666666666663</v>
      </c>
      <c r="F3735" s="3154">
        <v>0.77</v>
      </c>
      <c r="G3735" s="881">
        <v>0.96</v>
      </c>
    </row>
    <row r="3736" spans="1:7">
      <c r="A3736" s="3322"/>
      <c r="B3736" s="3320"/>
      <c r="C3736" s="3332" t="s">
        <v>3317</v>
      </c>
      <c r="D3736" s="3316"/>
      <c r="E3736" s="3317">
        <f t="shared" si="199"/>
        <v>0.19791666666666663</v>
      </c>
      <c r="F3736" s="3318">
        <v>0.77</v>
      </c>
      <c r="G3736" s="3323">
        <v>0.96</v>
      </c>
    </row>
    <row r="3737" spans="1:7" ht="15.75" thickBot="1">
      <c r="A3737" s="3327"/>
      <c r="B3737" s="3328"/>
      <c r="C3737" s="3328" t="s">
        <v>2603</v>
      </c>
      <c r="D3737" s="3328"/>
      <c r="E3737" s="3330">
        <f t="shared" si="199"/>
        <v>0.31967213114754095</v>
      </c>
      <c r="F3737" s="3333">
        <v>2.4900000000000002</v>
      </c>
      <c r="G3737" s="3334">
        <v>3.66</v>
      </c>
    </row>
    <row r="3738" spans="1:7" ht="15.75" thickBot="1"/>
    <row r="3739" spans="1:7">
      <c r="A3739" s="3614" t="s">
        <v>0</v>
      </c>
      <c r="B3739" s="3518" t="s">
        <v>1</v>
      </c>
      <c r="C3739" s="3518" t="s">
        <v>2</v>
      </c>
      <c r="D3739" s="3518" t="s">
        <v>3</v>
      </c>
      <c r="E3739" s="3518" t="s">
        <v>4</v>
      </c>
      <c r="F3739" s="3518" t="s">
        <v>5</v>
      </c>
      <c r="G3739" s="3522" t="s">
        <v>3504</v>
      </c>
    </row>
    <row r="3740" spans="1:7" ht="15.75" thickBot="1">
      <c r="A3740" s="3532"/>
      <c r="B3740" s="3519"/>
      <c r="C3740" s="3519"/>
      <c r="D3740" s="3519"/>
      <c r="E3740" s="3519"/>
      <c r="F3740" s="3519"/>
      <c r="G3740" s="3523"/>
    </row>
    <row r="3741" spans="1:7" ht="15.75">
      <c r="A3741" s="1675" t="s">
        <v>3932</v>
      </c>
      <c r="B3741" s="2887" t="s">
        <v>2082</v>
      </c>
      <c r="C3741" s="3058" t="s">
        <v>1904</v>
      </c>
      <c r="D3741" s="2887"/>
      <c r="E3741" s="3059">
        <f>(G3741-F3741)/G3741</f>
        <v>0.35632183908045972</v>
      </c>
      <c r="F3741" s="3091">
        <v>1.1200000000000001</v>
      </c>
      <c r="G3741" s="3092">
        <v>1.74</v>
      </c>
    </row>
    <row r="3742" spans="1:7">
      <c r="A3742" s="3335"/>
      <c r="B3742" s="3336"/>
      <c r="C3742" s="3337" t="s">
        <v>1975</v>
      </c>
      <c r="D3742" s="3336"/>
      <c r="E3742" s="3338">
        <f>(G3742-F3742)/G3742</f>
        <v>0.40106951871657753</v>
      </c>
      <c r="F3742" s="3339">
        <v>1.1200000000000001</v>
      </c>
      <c r="G3742" s="3340">
        <v>1.87</v>
      </c>
    </row>
    <row r="3743" spans="1:7">
      <c r="A3743" s="3324"/>
      <c r="B3743" s="3319"/>
      <c r="C3743" s="3319" t="s">
        <v>2515</v>
      </c>
      <c r="D3743" s="3319"/>
      <c r="E3743" s="3338">
        <f>(G3743-F3743)/G3743</f>
        <v>0.44585987261146498</v>
      </c>
      <c r="F3743" s="3319">
        <v>0.87</v>
      </c>
      <c r="G3743" s="3323">
        <v>1.57</v>
      </c>
    </row>
    <row r="3744" spans="1:7">
      <c r="A3744" s="3324"/>
      <c r="B3744" s="3319"/>
      <c r="C3744" s="3319" t="s">
        <v>3315</v>
      </c>
      <c r="D3744" s="3319"/>
      <c r="E3744" s="3338">
        <f t="shared" ref="E3744:E3746" si="200">(G3744-F3744)/G3744</f>
        <v>0.23076923076923075</v>
      </c>
      <c r="F3744" s="3354">
        <v>0.8</v>
      </c>
      <c r="G3744" s="3323">
        <v>1.04</v>
      </c>
    </row>
    <row r="3745" spans="1:7">
      <c r="A3745" s="3324"/>
      <c r="B3745" s="3319"/>
      <c r="C3745" s="3319" t="s">
        <v>3316</v>
      </c>
      <c r="D3745" s="3319"/>
      <c r="E3745" s="3338">
        <f t="shared" si="200"/>
        <v>0.23076923076923075</v>
      </c>
      <c r="F3745" s="3354">
        <v>0.8</v>
      </c>
      <c r="G3745" s="3323">
        <v>1.04</v>
      </c>
    </row>
    <row r="3746" spans="1:7" ht="15.75" thickBot="1">
      <c r="A3746" s="3327"/>
      <c r="B3746" s="3328"/>
      <c r="C3746" s="3328" t="s">
        <v>3317</v>
      </c>
      <c r="D3746" s="3328"/>
      <c r="E3746" s="3341">
        <f t="shared" si="200"/>
        <v>0.23076923076923075</v>
      </c>
      <c r="F3746" s="3343">
        <v>0.8</v>
      </c>
      <c r="G3746" s="3334">
        <v>1.04</v>
      </c>
    </row>
    <row r="3747" spans="1:7" ht="15.75" thickBot="1"/>
    <row r="3748" spans="1:7">
      <c r="A3748" s="3614" t="s">
        <v>0</v>
      </c>
      <c r="B3748" s="3518" t="s">
        <v>1</v>
      </c>
      <c r="C3748" s="3518" t="s">
        <v>2</v>
      </c>
      <c r="D3748" s="3518" t="s">
        <v>3</v>
      </c>
      <c r="E3748" s="3518" t="s">
        <v>4</v>
      </c>
      <c r="F3748" s="3518" t="s">
        <v>5</v>
      </c>
      <c r="G3748" s="3522" t="s">
        <v>3504</v>
      </c>
    </row>
    <row r="3749" spans="1:7" ht="15.75" thickBot="1">
      <c r="A3749" s="3532"/>
      <c r="B3749" s="3519"/>
      <c r="C3749" s="3519"/>
      <c r="D3749" s="3519"/>
      <c r="E3749" s="3519"/>
      <c r="F3749" s="3519"/>
      <c r="G3749" s="3523"/>
    </row>
    <row r="3750" spans="1:7">
      <c r="A3750" s="3102" t="s">
        <v>3942</v>
      </c>
      <c r="B3750" s="2887" t="s">
        <v>460</v>
      </c>
      <c r="C3750" s="2401" t="s">
        <v>3236</v>
      </c>
      <c r="D3750" s="2402"/>
      <c r="E3750" s="2888">
        <f t="shared" ref="E3750:E3752" si="201">(G3750-F3750)/G3750</f>
        <v>0.37070938215102978</v>
      </c>
      <c r="F3750" s="3239">
        <v>2.75</v>
      </c>
      <c r="G3750" s="3240">
        <v>4.37</v>
      </c>
    </row>
    <row r="3751" spans="1:7">
      <c r="A3751" s="3322"/>
      <c r="B3751" s="3320"/>
      <c r="C3751" s="3332" t="s">
        <v>3237</v>
      </c>
      <c r="D3751" s="3316"/>
      <c r="E3751" s="3317">
        <f t="shared" si="201"/>
        <v>0.37070938215102978</v>
      </c>
      <c r="F3751" s="3407">
        <v>2.75</v>
      </c>
      <c r="G3751" s="3355">
        <v>4.37</v>
      </c>
    </row>
    <row r="3752" spans="1:7" ht="15.75" thickBot="1">
      <c r="A3752" s="3327"/>
      <c r="B3752" s="3328"/>
      <c r="C3752" s="3328" t="s">
        <v>3255</v>
      </c>
      <c r="D3752" s="3328"/>
      <c r="E3752" s="3330">
        <f t="shared" si="201"/>
        <v>0.37070938215102978</v>
      </c>
      <c r="F3752" s="3414">
        <v>2.75</v>
      </c>
      <c r="G3752" s="3415">
        <v>4.37</v>
      </c>
    </row>
    <row r="3753" spans="1:7" ht="15.75" thickBot="1"/>
    <row r="3754" spans="1:7">
      <c r="A3754" s="3614" t="s">
        <v>0</v>
      </c>
      <c r="B3754" s="3518" t="s">
        <v>1</v>
      </c>
      <c r="C3754" s="3518" t="s">
        <v>2</v>
      </c>
      <c r="D3754" s="3518" t="s">
        <v>3</v>
      </c>
      <c r="E3754" s="3518" t="s">
        <v>4</v>
      </c>
      <c r="F3754" s="3518" t="s">
        <v>5</v>
      </c>
      <c r="G3754" s="3522" t="s">
        <v>3504</v>
      </c>
    </row>
    <row r="3755" spans="1:7" ht="15.75" thickBot="1">
      <c r="A3755" s="3532"/>
      <c r="B3755" s="3519"/>
      <c r="C3755" s="3519"/>
      <c r="D3755" s="3519"/>
      <c r="E3755" s="3519"/>
      <c r="F3755" s="3519"/>
      <c r="G3755" s="3523"/>
    </row>
    <row r="3756" spans="1:7">
      <c r="A3756" s="3102" t="s">
        <v>3943</v>
      </c>
      <c r="B3756" s="2887" t="s">
        <v>1593</v>
      </c>
      <c r="C3756" s="2401" t="s">
        <v>3627</v>
      </c>
      <c r="D3756" s="2402"/>
      <c r="E3756" s="2888" t="e">
        <f t="shared" ref="E3756:E3765" si="202">(G3756-F3756)/G3756</f>
        <v>#VALUE!</v>
      </c>
      <c r="F3756" s="3239">
        <v>2.4900000000000002</v>
      </c>
      <c r="G3756" s="3240" t="s">
        <v>1903</v>
      </c>
    </row>
    <row r="3757" spans="1:7">
      <c r="A3757" s="3322"/>
      <c r="B3757" s="3320"/>
      <c r="C3757" s="3332" t="s">
        <v>3797</v>
      </c>
      <c r="D3757" s="3316"/>
      <c r="E3757" s="3317" t="e">
        <f t="shared" si="202"/>
        <v>#VALUE!</v>
      </c>
      <c r="F3757" s="3407">
        <v>2.4900000000000002</v>
      </c>
      <c r="G3757" s="3355" t="s">
        <v>1903</v>
      </c>
    </row>
    <row r="3758" spans="1:7">
      <c r="A3758" s="3324"/>
      <c r="B3758" s="3319"/>
      <c r="C3758" s="3319" t="s">
        <v>3628</v>
      </c>
      <c r="D3758" s="3319"/>
      <c r="E3758" s="3317" t="e">
        <f t="shared" si="202"/>
        <v>#VALUE!</v>
      </c>
      <c r="F3758" s="3407">
        <v>2.4900000000000002</v>
      </c>
      <c r="G3758" s="3355" t="s">
        <v>1903</v>
      </c>
    </row>
    <row r="3759" spans="1:7">
      <c r="A3759" s="3324"/>
      <c r="B3759" s="3319"/>
      <c r="C3759" s="3319" t="s">
        <v>3487</v>
      </c>
      <c r="D3759" s="3319"/>
      <c r="E3759" s="3317" t="e">
        <f t="shared" si="202"/>
        <v>#VALUE!</v>
      </c>
      <c r="F3759" s="3319">
        <v>2.4900000000000002</v>
      </c>
      <c r="G3759" s="3355" t="s">
        <v>1903</v>
      </c>
    </row>
    <row r="3760" spans="1:7">
      <c r="A3760" s="3324"/>
      <c r="B3760" s="3319"/>
      <c r="C3760" s="3319" t="s">
        <v>3488</v>
      </c>
      <c r="D3760" s="3319"/>
      <c r="E3760" s="3317" t="e">
        <f t="shared" si="202"/>
        <v>#VALUE!</v>
      </c>
      <c r="F3760" s="3319">
        <v>2.4900000000000002</v>
      </c>
      <c r="G3760" s="3355" t="s">
        <v>1903</v>
      </c>
    </row>
    <row r="3761" spans="1:7">
      <c r="A3761" s="3324"/>
      <c r="B3761" s="3319"/>
      <c r="C3761" s="3319" t="s">
        <v>3629</v>
      </c>
      <c r="D3761" s="3319"/>
      <c r="E3761" s="3317" t="e">
        <f t="shared" si="202"/>
        <v>#VALUE!</v>
      </c>
      <c r="F3761" s="3319">
        <v>2.4900000000000002</v>
      </c>
      <c r="G3761" s="3355" t="s">
        <v>1903</v>
      </c>
    </row>
    <row r="3762" spans="1:7">
      <c r="A3762" s="3324"/>
      <c r="B3762" s="3319"/>
      <c r="C3762" s="3319" t="s">
        <v>3489</v>
      </c>
      <c r="D3762" s="3319"/>
      <c r="E3762" s="3317" t="e">
        <f t="shared" si="202"/>
        <v>#VALUE!</v>
      </c>
      <c r="F3762" s="3319">
        <v>2.4900000000000002</v>
      </c>
      <c r="G3762" s="3355" t="s">
        <v>1903</v>
      </c>
    </row>
    <row r="3763" spans="1:7">
      <c r="A3763" s="3324"/>
      <c r="B3763" s="3319"/>
      <c r="C3763" s="3319" t="s">
        <v>3490</v>
      </c>
      <c r="D3763" s="3319"/>
      <c r="E3763" s="3317" t="e">
        <f t="shared" si="202"/>
        <v>#VALUE!</v>
      </c>
      <c r="F3763" s="3319">
        <v>2.4900000000000002</v>
      </c>
      <c r="G3763" s="3355" t="s">
        <v>1903</v>
      </c>
    </row>
    <row r="3764" spans="1:7">
      <c r="A3764" s="3324"/>
      <c r="B3764" s="3319"/>
      <c r="C3764" s="3319" t="s">
        <v>858</v>
      </c>
      <c r="D3764" s="3319"/>
      <c r="E3764" s="3317" t="e">
        <f t="shared" si="202"/>
        <v>#VALUE!</v>
      </c>
      <c r="F3764" s="3319">
        <v>0.84</v>
      </c>
      <c r="G3764" s="3355" t="s">
        <v>1903</v>
      </c>
    </row>
    <row r="3765" spans="1:7" ht="15.75" thickBot="1">
      <c r="A3765" s="3327"/>
      <c r="B3765" s="3328"/>
      <c r="C3765" s="3328" t="s">
        <v>2352</v>
      </c>
      <c r="D3765" s="3328"/>
      <c r="E3765" s="3330" t="e">
        <f t="shared" si="202"/>
        <v>#VALUE!</v>
      </c>
      <c r="F3765" s="3328">
        <v>0.16</v>
      </c>
      <c r="G3765" s="3415" t="s">
        <v>1903</v>
      </c>
    </row>
    <row r="3766" spans="1:7" ht="15.75" thickBot="1"/>
    <row r="3767" spans="1:7">
      <c r="A3767" s="3614" t="s">
        <v>0</v>
      </c>
      <c r="B3767" s="3518" t="s">
        <v>1</v>
      </c>
      <c r="C3767" s="3518" t="s">
        <v>2</v>
      </c>
      <c r="D3767" s="3518" t="s">
        <v>3</v>
      </c>
      <c r="E3767" s="3518" t="s">
        <v>4</v>
      </c>
      <c r="F3767" s="3518" t="s">
        <v>5</v>
      </c>
      <c r="G3767" s="3522" t="s">
        <v>3504</v>
      </c>
    </row>
    <row r="3768" spans="1:7" ht="15.75" thickBot="1">
      <c r="A3768" s="3532"/>
      <c r="B3768" s="3519"/>
      <c r="C3768" s="3519"/>
      <c r="D3768" s="3519"/>
      <c r="E3768" s="3519"/>
      <c r="F3768" s="3519"/>
      <c r="G3768" s="3523"/>
    </row>
    <row r="3769" spans="1:7">
      <c r="A3769" s="3102" t="s">
        <v>3945</v>
      </c>
      <c r="B3769" s="2887" t="s">
        <v>1593</v>
      </c>
      <c r="C3769" s="2401" t="s">
        <v>1888</v>
      </c>
      <c r="D3769" s="2402"/>
      <c r="E3769" s="2888" t="e">
        <f t="shared" ref="E3769:E3770" si="203">(G3769-F3769)/G3769</f>
        <v>#VALUE!</v>
      </c>
      <c r="F3769" s="3239">
        <v>0.81</v>
      </c>
      <c r="G3769" s="3240" t="s">
        <v>1903</v>
      </c>
    </row>
    <row r="3770" spans="1:7" ht="15.75" thickBot="1">
      <c r="A3770" s="3416"/>
      <c r="B3770" s="3417"/>
      <c r="C3770" s="3418" t="s">
        <v>387</v>
      </c>
      <c r="D3770" s="3419"/>
      <c r="E3770" s="3330" t="e">
        <f t="shared" si="203"/>
        <v>#VALUE!</v>
      </c>
      <c r="F3770" s="3414">
        <v>0.81</v>
      </c>
      <c r="G3770" s="3415" t="s">
        <v>1903</v>
      </c>
    </row>
    <row r="3771" spans="1:7" ht="15.75" thickBot="1"/>
    <row r="3772" spans="1:7">
      <c r="A3772" s="3614" t="s">
        <v>0</v>
      </c>
      <c r="B3772" s="3518" t="s">
        <v>1</v>
      </c>
      <c r="C3772" s="3518" t="s">
        <v>2</v>
      </c>
      <c r="D3772" s="3518" t="s">
        <v>3</v>
      </c>
      <c r="E3772" s="3518" t="s">
        <v>4</v>
      </c>
      <c r="F3772" s="3518" t="s">
        <v>5</v>
      </c>
      <c r="G3772" s="3522" t="s">
        <v>3504</v>
      </c>
    </row>
    <row r="3773" spans="1:7" ht="15.75" thickBot="1">
      <c r="A3773" s="3532"/>
      <c r="B3773" s="3519"/>
      <c r="C3773" s="3519"/>
      <c r="D3773" s="3519"/>
      <c r="E3773" s="3519"/>
      <c r="F3773" s="3519"/>
      <c r="G3773" s="3523"/>
    </row>
    <row r="3774" spans="1:7">
      <c r="A3774" s="3102" t="s">
        <v>3944</v>
      </c>
      <c r="B3774" s="2887" t="s">
        <v>3929</v>
      </c>
      <c r="C3774" s="2401" t="s">
        <v>1904</v>
      </c>
      <c r="D3774" s="2402"/>
      <c r="E3774" s="2888">
        <f t="shared" ref="E3774:E3777" si="204">(G3774-F3774)/G3774</f>
        <v>0.21142857142857149</v>
      </c>
      <c r="F3774" s="3239">
        <v>1.38</v>
      </c>
      <c r="G3774" s="3240">
        <v>1.75</v>
      </c>
    </row>
    <row r="3775" spans="1:7">
      <c r="A3775" s="3322"/>
      <c r="B3775" s="3320"/>
      <c r="C3775" s="3332" t="s">
        <v>2021</v>
      </c>
      <c r="D3775" s="3316"/>
      <c r="E3775" s="3317">
        <f t="shared" si="204"/>
        <v>0.21142857142857149</v>
      </c>
      <c r="F3775" s="3407">
        <v>1.38</v>
      </c>
      <c r="G3775" s="3355">
        <v>1.75</v>
      </c>
    </row>
    <row r="3776" spans="1:7">
      <c r="A3776" s="3324"/>
      <c r="B3776" s="3319"/>
      <c r="C3776" s="3319" t="s">
        <v>1905</v>
      </c>
      <c r="D3776" s="3319"/>
      <c r="E3776" s="3317">
        <f t="shared" si="204"/>
        <v>0.21142857142857149</v>
      </c>
      <c r="F3776" s="3407">
        <v>1.38</v>
      </c>
      <c r="G3776" s="3355">
        <v>1.75</v>
      </c>
    </row>
    <row r="3777" spans="1:7" ht="15.75" thickBot="1">
      <c r="A3777" s="3327"/>
      <c r="B3777" s="3328"/>
      <c r="C3777" s="3328" t="s">
        <v>1975</v>
      </c>
      <c r="D3777" s="3328"/>
      <c r="E3777" s="3330">
        <f t="shared" si="204"/>
        <v>0.26984126984126988</v>
      </c>
      <c r="F3777" s="3414">
        <v>1.38</v>
      </c>
      <c r="G3777" s="3415">
        <v>1.89</v>
      </c>
    </row>
    <row r="3778" spans="1:7" ht="15.75" thickBot="1"/>
    <row r="3779" spans="1:7">
      <c r="A3779" s="3614" t="s">
        <v>0</v>
      </c>
      <c r="B3779" s="3518" t="s">
        <v>1</v>
      </c>
      <c r="C3779" s="3520" t="s">
        <v>2</v>
      </c>
      <c r="D3779" s="3518" t="s">
        <v>3</v>
      </c>
      <c r="E3779" s="3518" t="s">
        <v>4</v>
      </c>
      <c r="F3779" s="3518" t="s">
        <v>5</v>
      </c>
      <c r="G3779" s="3522" t="s">
        <v>3504</v>
      </c>
    </row>
    <row r="3780" spans="1:7" ht="15.75" thickBot="1">
      <c r="A3780" s="3532"/>
      <c r="B3780" s="3519"/>
      <c r="C3780" s="3529"/>
      <c r="D3780" s="3519"/>
      <c r="E3780" s="3519"/>
      <c r="F3780" s="3519"/>
      <c r="G3780" s="3523"/>
    </row>
    <row r="3781" spans="1:7">
      <c r="A3781" s="3102" t="s">
        <v>3950</v>
      </c>
      <c r="B3781" s="2887" t="s">
        <v>2029</v>
      </c>
      <c r="C3781" s="2401" t="s">
        <v>2115</v>
      </c>
      <c r="D3781" s="2402"/>
      <c r="E3781" s="2888">
        <f t="shared" ref="E3781:E3784" si="205">(G3781-F3781)/G3781</f>
        <v>0.19999999999999993</v>
      </c>
      <c r="F3781" s="3154">
        <v>1.32</v>
      </c>
      <c r="G3781" s="881">
        <v>1.65</v>
      </c>
    </row>
    <row r="3782" spans="1:7">
      <c r="A3782" s="3322"/>
      <c r="B3782" s="3320"/>
      <c r="C3782" s="3332" t="s">
        <v>2116</v>
      </c>
      <c r="D3782" s="3316"/>
      <c r="E3782" s="3317">
        <f t="shared" si="205"/>
        <v>0.19999999999999993</v>
      </c>
      <c r="F3782" s="3318">
        <v>1.32</v>
      </c>
      <c r="G3782" s="3323">
        <v>1.65</v>
      </c>
    </row>
    <row r="3783" spans="1:7">
      <c r="A3783" s="3324"/>
      <c r="B3783" s="3319"/>
      <c r="C3783" s="3319" t="s">
        <v>2066</v>
      </c>
      <c r="D3783" s="3319"/>
      <c r="E3783" s="3317">
        <f t="shared" si="205"/>
        <v>0.19999999999999993</v>
      </c>
      <c r="F3783" s="3318">
        <v>1.32</v>
      </c>
      <c r="G3783" s="3323">
        <v>1.65</v>
      </c>
    </row>
    <row r="3784" spans="1:7" ht="15.75" thickBot="1">
      <c r="A3784" s="3327"/>
      <c r="B3784" s="3328"/>
      <c r="C3784" s="3328" t="s">
        <v>1058</v>
      </c>
      <c r="D3784" s="3328"/>
      <c r="E3784" s="3330">
        <f t="shared" si="205"/>
        <v>0.20091324200913241</v>
      </c>
      <c r="F3784" s="3328">
        <v>1.75</v>
      </c>
      <c r="G3784" s="3331">
        <v>2.19</v>
      </c>
    </row>
    <row r="3785" spans="1:7" ht="15.75" thickBot="1"/>
    <row r="3786" spans="1:7">
      <c r="A3786" s="3614" t="s">
        <v>0</v>
      </c>
      <c r="B3786" s="3518" t="s">
        <v>1</v>
      </c>
      <c r="C3786" s="3518" t="s">
        <v>2</v>
      </c>
      <c r="D3786" s="3518" t="s">
        <v>3</v>
      </c>
      <c r="E3786" s="3518" t="s">
        <v>4</v>
      </c>
      <c r="F3786" s="3518" t="s">
        <v>5</v>
      </c>
      <c r="G3786" s="3522" t="s">
        <v>3504</v>
      </c>
    </row>
    <row r="3787" spans="1:7" ht="15.75" thickBot="1">
      <c r="A3787" s="3532"/>
      <c r="B3787" s="3519"/>
      <c r="C3787" s="3519"/>
      <c r="D3787" s="3519"/>
      <c r="E3787" s="3519"/>
      <c r="F3787" s="3519"/>
      <c r="G3787" s="3523"/>
    </row>
    <row r="3788" spans="1:7" ht="15.75">
      <c r="A3788" s="1675" t="s">
        <v>3954</v>
      </c>
      <c r="B3788" s="2887" t="s">
        <v>2082</v>
      </c>
      <c r="C3788" s="3058" t="s">
        <v>1892</v>
      </c>
      <c r="D3788" s="2887"/>
      <c r="E3788" s="3059">
        <f>(G3788-F3788)/G3788</f>
        <v>0.35658914728682173</v>
      </c>
      <c r="F3788" s="3091">
        <v>0.83</v>
      </c>
      <c r="G3788" s="3092">
        <v>1.29</v>
      </c>
    </row>
    <row r="3789" spans="1:7">
      <c r="A3789" s="3335"/>
      <c r="B3789" s="3336"/>
      <c r="C3789" s="3337" t="s">
        <v>1891</v>
      </c>
      <c r="D3789" s="3336"/>
      <c r="E3789" s="3338">
        <f>(G3789-F3789)/G3789</f>
        <v>0.35658914728682173</v>
      </c>
      <c r="F3789" s="3339">
        <v>0.83</v>
      </c>
      <c r="G3789" s="3340">
        <v>1.29</v>
      </c>
    </row>
    <row r="3790" spans="1:7" ht="15.75" thickBot="1">
      <c r="A3790" s="3327"/>
      <c r="B3790" s="3328"/>
      <c r="C3790" s="3328" t="s">
        <v>2717</v>
      </c>
      <c r="D3790" s="3328"/>
      <c r="E3790" s="3341">
        <f>(G3790-F3790)/G3790</f>
        <v>0.29629629629629634</v>
      </c>
      <c r="F3790" s="3328">
        <v>1.52</v>
      </c>
      <c r="G3790" s="3334">
        <v>2.16</v>
      </c>
    </row>
    <row r="3791" spans="1:7" ht="15.75" thickBot="1"/>
    <row r="3792" spans="1:7">
      <c r="A3792" s="3614" t="s">
        <v>0</v>
      </c>
      <c r="B3792" s="3518" t="s">
        <v>1</v>
      </c>
      <c r="C3792" s="3518" t="s">
        <v>2</v>
      </c>
      <c r="D3792" s="3518" t="s">
        <v>3</v>
      </c>
      <c r="E3792" s="3518" t="s">
        <v>4</v>
      </c>
      <c r="F3792" s="3518" t="s">
        <v>5</v>
      </c>
      <c r="G3792" s="3522" t="s">
        <v>3504</v>
      </c>
    </row>
    <row r="3793" spans="1:7" ht="15.75" thickBot="1">
      <c r="A3793" s="3532"/>
      <c r="B3793" s="3519"/>
      <c r="C3793" s="3519"/>
      <c r="D3793" s="3519"/>
      <c r="E3793" s="3519"/>
      <c r="F3793" s="3519"/>
      <c r="G3793" s="3523"/>
    </row>
    <row r="3794" spans="1:7">
      <c r="A3794" s="3102" t="s">
        <v>3955</v>
      </c>
      <c r="B3794" s="2400" t="s">
        <v>2155</v>
      </c>
      <c r="C3794" s="2401" t="s">
        <v>2603</v>
      </c>
      <c r="D3794" s="2402"/>
      <c r="E3794" s="2888">
        <f t="shared" ref="E3794:E3795" si="206">(G3794-F3794)/G3794</f>
        <v>0.31764705882352945</v>
      </c>
      <c r="F3794" s="3154">
        <v>2.3199999999999998</v>
      </c>
      <c r="G3794" s="881">
        <v>3.4</v>
      </c>
    </row>
    <row r="3795" spans="1:7" ht="15.75" thickBot="1">
      <c r="A3795" s="3327"/>
      <c r="B3795" s="3328"/>
      <c r="C3795" s="3328" t="s">
        <v>2559</v>
      </c>
      <c r="D3795" s="3328"/>
      <c r="E3795" s="3330">
        <f t="shared" si="206"/>
        <v>0.31764705882352945</v>
      </c>
      <c r="F3795" s="3328">
        <v>2.3199999999999998</v>
      </c>
      <c r="G3795" s="3331">
        <v>3.4</v>
      </c>
    </row>
    <row r="3796" spans="1:7" ht="15.75" thickBot="1"/>
    <row r="3797" spans="1:7">
      <c r="A3797" s="3614" t="s">
        <v>0</v>
      </c>
      <c r="B3797" s="3518" t="s">
        <v>1</v>
      </c>
      <c r="C3797" s="3518" t="s">
        <v>2</v>
      </c>
      <c r="D3797" s="3518" t="s">
        <v>3</v>
      </c>
      <c r="E3797" s="3518" t="s">
        <v>4</v>
      </c>
      <c r="F3797" s="3518" t="s">
        <v>5</v>
      </c>
      <c r="G3797" s="3522" t="s">
        <v>3504</v>
      </c>
    </row>
    <row r="3798" spans="1:7" ht="15.75" thickBot="1">
      <c r="A3798" s="3555"/>
      <c r="B3798" s="3550"/>
      <c r="C3798" s="3550"/>
      <c r="D3798" s="3550"/>
      <c r="E3798" s="3550"/>
      <c r="F3798" s="3550"/>
      <c r="G3798" s="4033"/>
    </row>
    <row r="3799" spans="1:7">
      <c r="A3799" s="3102" t="s">
        <v>3966</v>
      </c>
      <c r="B3799" s="2887" t="s">
        <v>2183</v>
      </c>
      <c r="C3799" s="2401" t="s">
        <v>1374</v>
      </c>
      <c r="D3799" s="2402"/>
      <c r="E3799" s="2888">
        <f>(G3799-F3799)/G3799</f>
        <v>0.14678899082568808</v>
      </c>
      <c r="F3799" s="3239">
        <v>0.93</v>
      </c>
      <c r="G3799" s="3240">
        <v>1.0900000000000001</v>
      </c>
    </row>
    <row r="3800" spans="1:7">
      <c r="A3800" s="3322"/>
      <c r="B3800" s="3320"/>
      <c r="C3800" s="3319" t="s">
        <v>1301</v>
      </c>
      <c r="D3800" s="3319"/>
      <c r="E3800" s="3317">
        <f t="shared" ref="E3800:E3806" si="207">(G3800-F3800)/G3800</f>
        <v>0.14678899082568808</v>
      </c>
      <c r="F3800" s="3407">
        <v>0.93</v>
      </c>
      <c r="G3800" s="3355">
        <v>1.0900000000000001</v>
      </c>
    </row>
    <row r="3801" spans="1:7">
      <c r="A3801" s="3324"/>
      <c r="B3801" s="3319"/>
      <c r="C3801" s="3319" t="s">
        <v>2192</v>
      </c>
      <c r="D3801" s="3319"/>
      <c r="E3801" s="3317">
        <f t="shared" si="207"/>
        <v>0.19971469329529237</v>
      </c>
      <c r="F3801" s="3319">
        <v>5.61</v>
      </c>
      <c r="G3801" s="3356">
        <v>7.01</v>
      </c>
    </row>
    <row r="3802" spans="1:7">
      <c r="A3802" s="3324"/>
      <c r="B3802" s="3319"/>
      <c r="C3802" s="3319" t="s">
        <v>2194</v>
      </c>
      <c r="D3802" s="3319"/>
      <c r="E3802" s="3317">
        <f t="shared" si="207"/>
        <v>0.19971469329529237</v>
      </c>
      <c r="F3802" s="3319">
        <v>5.61</v>
      </c>
      <c r="G3802" s="3356">
        <v>7.01</v>
      </c>
    </row>
    <row r="3803" spans="1:7">
      <c r="A3803" s="3324"/>
      <c r="B3803" s="3319"/>
      <c r="C3803" s="3319" t="s">
        <v>3561</v>
      </c>
      <c r="D3803" s="3319"/>
      <c r="E3803" s="3317">
        <f t="shared" si="207"/>
        <v>0.17989417989417983</v>
      </c>
      <c r="F3803" s="3354">
        <v>6.2</v>
      </c>
      <c r="G3803" s="3356">
        <v>7.56</v>
      </c>
    </row>
    <row r="3804" spans="1:7">
      <c r="A3804" s="3324"/>
      <c r="B3804" s="3319"/>
      <c r="C3804" s="3319" t="s">
        <v>3967</v>
      </c>
      <c r="D3804" s="3319"/>
      <c r="E3804" s="3317">
        <f t="shared" si="207"/>
        <v>0.15972222222222221</v>
      </c>
      <c r="F3804" s="3319">
        <v>1.21</v>
      </c>
      <c r="G3804" s="3356">
        <v>1.44</v>
      </c>
    </row>
    <row r="3805" spans="1:7">
      <c r="A3805" s="3324"/>
      <c r="B3805" s="3319"/>
      <c r="C3805" s="3319" t="s">
        <v>2383</v>
      </c>
      <c r="D3805" s="3319"/>
      <c r="E3805" s="3317">
        <f t="shared" si="207"/>
        <v>0.24890829694323147</v>
      </c>
      <c r="F3805" s="3319">
        <v>3.44</v>
      </c>
      <c r="G3805" s="3356">
        <v>4.58</v>
      </c>
    </row>
    <row r="3806" spans="1:7" ht="15.75" thickBot="1">
      <c r="A3806" s="3327"/>
      <c r="B3806" s="3328"/>
      <c r="C3806" s="3328" t="s">
        <v>2176</v>
      </c>
      <c r="D3806" s="3328"/>
      <c r="E3806" s="3330">
        <f t="shared" si="207"/>
        <v>0.17959183673469403</v>
      </c>
      <c r="F3806" s="3328">
        <v>2.0099999999999998</v>
      </c>
      <c r="G3806" s="3374">
        <v>2.4500000000000002</v>
      </c>
    </row>
    <row r="3807" spans="1:7" ht="15.75" thickBot="1"/>
    <row r="3808" spans="1:7">
      <c r="A3808" s="3614" t="s">
        <v>0</v>
      </c>
      <c r="B3808" s="3518" t="s">
        <v>1</v>
      </c>
      <c r="C3808" s="3518" t="s">
        <v>2</v>
      </c>
      <c r="D3808" s="3518" t="s">
        <v>3</v>
      </c>
      <c r="E3808" s="3518" t="s">
        <v>4</v>
      </c>
      <c r="F3808" s="3518" t="s">
        <v>5</v>
      </c>
      <c r="G3808" s="3522" t="s">
        <v>3504</v>
      </c>
    </row>
    <row r="3809" spans="1:7" ht="15.75" thickBot="1">
      <c r="A3809" s="3532"/>
      <c r="B3809" s="3519"/>
      <c r="C3809" s="3519"/>
      <c r="D3809" s="3519"/>
      <c r="E3809" s="3519"/>
      <c r="F3809" s="3519"/>
      <c r="G3809" s="3523"/>
    </row>
    <row r="3810" spans="1:7">
      <c r="A3810" s="1675" t="s">
        <v>3969</v>
      </c>
      <c r="B3810" s="2887" t="s">
        <v>460</v>
      </c>
      <c r="C3810" s="2414" t="s">
        <v>23</v>
      </c>
      <c r="D3810" s="2415"/>
      <c r="E3810" s="2888">
        <f t="shared" ref="E3810:E3811" si="208">(G3810-F3810)/G3810</f>
        <v>0.1974522292993631</v>
      </c>
      <c r="F3810" s="2415">
        <v>1.26</v>
      </c>
      <c r="G3810" s="881">
        <v>1.57</v>
      </c>
    </row>
    <row r="3811" spans="1:7" ht="15.75" thickBot="1">
      <c r="A3811" s="3416"/>
      <c r="B3811" s="3380" t="s">
        <v>1674</v>
      </c>
      <c r="C3811" s="3433" t="s">
        <v>24</v>
      </c>
      <c r="D3811" s="3434"/>
      <c r="E3811" s="3330">
        <f t="shared" si="208"/>
        <v>0.1974522292993631</v>
      </c>
      <c r="F3811" s="3434">
        <v>1.26</v>
      </c>
      <c r="G3811" s="3334">
        <v>1.57</v>
      </c>
    </row>
    <row r="3812" spans="1:7" ht="15.75" thickBot="1"/>
    <row r="3813" spans="1:7">
      <c r="A3813" s="3614" t="s">
        <v>0</v>
      </c>
      <c r="B3813" s="3518" t="s">
        <v>1</v>
      </c>
      <c r="C3813" s="3518" t="s">
        <v>2</v>
      </c>
      <c r="D3813" s="3518" t="s">
        <v>3</v>
      </c>
      <c r="E3813" s="3518" t="s">
        <v>4</v>
      </c>
      <c r="F3813" s="3518" t="s">
        <v>5</v>
      </c>
      <c r="G3813" s="3522" t="s">
        <v>3504</v>
      </c>
    </row>
    <row r="3814" spans="1:7" ht="15.75" thickBot="1">
      <c r="A3814" s="3532"/>
      <c r="B3814" s="3519"/>
      <c r="C3814" s="3519"/>
      <c r="D3814" s="3519"/>
      <c r="E3814" s="3519"/>
      <c r="F3814" s="3519"/>
      <c r="G3814" s="3523"/>
    </row>
    <row r="3815" spans="1:7">
      <c r="A3815" s="1675" t="s">
        <v>3973</v>
      </c>
      <c r="B3815" s="2887" t="s">
        <v>460</v>
      </c>
      <c r="C3815" s="2414" t="s">
        <v>3974</v>
      </c>
      <c r="D3815" s="2415"/>
      <c r="E3815" s="2888">
        <f t="shared" ref="E3815" si="209">(G3815-F3815)/G3815</f>
        <v>0.39823008849557523</v>
      </c>
      <c r="F3815" s="2415">
        <v>2.04</v>
      </c>
      <c r="G3815" s="881">
        <v>3.39</v>
      </c>
    </row>
    <row r="3816" spans="1:7" ht="15.75" thickBot="1">
      <c r="A3816" s="3416"/>
      <c r="B3816" s="3380" t="s">
        <v>1674</v>
      </c>
      <c r="C3816" s="3433"/>
      <c r="D3816" s="3434"/>
      <c r="E3816" s="3330"/>
      <c r="F3816" s="3434"/>
      <c r="G3816" s="3334"/>
    </row>
    <row r="3817" spans="1:7" ht="15.75" thickBot="1"/>
    <row r="3818" spans="1:7">
      <c r="A3818" s="3614" t="s">
        <v>0</v>
      </c>
      <c r="B3818" s="3518" t="s">
        <v>1</v>
      </c>
      <c r="C3818" s="3518" t="s">
        <v>2</v>
      </c>
      <c r="D3818" s="3518" t="s">
        <v>3</v>
      </c>
      <c r="E3818" s="3518" t="s">
        <v>4</v>
      </c>
      <c r="F3818" s="3518" t="s">
        <v>5</v>
      </c>
      <c r="G3818" s="3522" t="s">
        <v>3504</v>
      </c>
    </row>
    <row r="3819" spans="1:7" ht="15.75" thickBot="1">
      <c r="A3819" s="3532"/>
      <c r="B3819" s="3519"/>
      <c r="C3819" s="3519"/>
      <c r="D3819" s="3519"/>
      <c r="E3819" s="3519"/>
      <c r="F3819" s="3519"/>
      <c r="G3819" s="3523"/>
    </row>
    <row r="3820" spans="1:7" ht="15.75">
      <c r="A3820" s="1675" t="s">
        <v>3975</v>
      </c>
      <c r="B3820" s="2887" t="s">
        <v>2082</v>
      </c>
      <c r="C3820" s="3058" t="s">
        <v>2156</v>
      </c>
      <c r="D3820" s="2887"/>
      <c r="E3820" s="3059">
        <f>(G3820-F3820)/G3820</f>
        <v>0.32520325203252037</v>
      </c>
      <c r="F3820" s="3091">
        <v>1.66</v>
      </c>
      <c r="G3820" s="3092">
        <v>2.46</v>
      </c>
    </row>
    <row r="3821" spans="1:7">
      <c r="A3821" s="3335"/>
      <c r="B3821" s="3336"/>
      <c r="C3821" s="3337" t="s">
        <v>2284</v>
      </c>
      <c r="D3821" s="3336"/>
      <c r="E3821" s="3338">
        <f>(G3821-F3821)/G3821</f>
        <v>0.30543933054393313</v>
      </c>
      <c r="F3821" s="3339">
        <v>1.66</v>
      </c>
      <c r="G3821" s="3340">
        <v>2.39</v>
      </c>
    </row>
    <row r="3822" spans="1:7" ht="15.75" thickBot="1">
      <c r="A3822" s="3327"/>
      <c r="B3822" s="3328"/>
      <c r="C3822" s="3328" t="s">
        <v>2743</v>
      </c>
      <c r="D3822" s="3328"/>
      <c r="E3822" s="3341">
        <f>(G3822-F3822)/G3822</f>
        <v>0.29487179487179482</v>
      </c>
      <c r="F3822" s="3328">
        <v>0.55000000000000004</v>
      </c>
      <c r="G3822" s="3334">
        <v>0.78</v>
      </c>
    </row>
    <row r="3823" spans="1:7" ht="15.75" thickBot="1"/>
    <row r="3824" spans="1:7">
      <c r="A3824" s="3614" t="s">
        <v>0</v>
      </c>
      <c r="B3824" s="3518" t="s">
        <v>1</v>
      </c>
      <c r="C3824" s="3518" t="s">
        <v>2</v>
      </c>
      <c r="D3824" s="3518" t="s">
        <v>3</v>
      </c>
      <c r="E3824" s="3518" t="s">
        <v>4</v>
      </c>
      <c r="F3824" s="3518" t="s">
        <v>5</v>
      </c>
      <c r="G3824" s="3522" t="s">
        <v>3504</v>
      </c>
    </row>
    <row r="3825" spans="1:8" ht="15.75" thickBot="1">
      <c r="A3825" s="3532"/>
      <c r="B3825" s="3519"/>
      <c r="C3825" s="3519"/>
      <c r="D3825" s="3519"/>
      <c r="E3825" s="3519"/>
      <c r="F3825" s="3519"/>
      <c r="G3825" s="3523"/>
    </row>
    <row r="3826" spans="1:8" ht="15.75">
      <c r="A3826" s="1675" t="s">
        <v>3980</v>
      </c>
      <c r="B3826" s="2887" t="s">
        <v>3979</v>
      </c>
      <c r="C3826" s="3058" t="s">
        <v>906</v>
      </c>
      <c r="D3826" s="2887"/>
      <c r="E3826" s="3059">
        <f>(G3826-F3826)/G3826</f>
        <v>0.1999999999999999</v>
      </c>
      <c r="F3826" s="3091">
        <v>0.92</v>
      </c>
      <c r="G3826" s="3092">
        <v>1.1499999999999999</v>
      </c>
      <c r="H3826" t="s">
        <v>4010</v>
      </c>
    </row>
    <row r="3827" spans="1:8">
      <c r="A3827" s="3335"/>
      <c r="B3827" s="3336"/>
      <c r="C3827" s="3337" t="s">
        <v>1300</v>
      </c>
      <c r="D3827" s="3336"/>
      <c r="E3827" s="3338">
        <f>(G3827-F3827)/G3827</f>
        <v>0.27500000000000008</v>
      </c>
      <c r="F3827" s="3339">
        <v>0.57999999999999996</v>
      </c>
      <c r="G3827" s="3340">
        <v>0.8</v>
      </c>
      <c r="H3827" s="2885" t="s">
        <v>4010</v>
      </c>
    </row>
    <row r="3828" spans="1:8">
      <c r="A3828" s="3324"/>
      <c r="B3828" s="3319"/>
      <c r="C3828" s="3319" t="s">
        <v>2207</v>
      </c>
      <c r="D3828" s="3319"/>
      <c r="E3828" s="3338">
        <f>(G3828-F3828)/G3828</f>
        <v>0.29230769230769232</v>
      </c>
      <c r="F3828" s="3319">
        <v>0.46</v>
      </c>
      <c r="G3828" s="3323">
        <v>0.65</v>
      </c>
      <c r="H3828" s="2885" t="s">
        <v>4010</v>
      </c>
    </row>
    <row r="3829" spans="1:8">
      <c r="A3829" s="3324"/>
      <c r="B3829" s="3319"/>
      <c r="C3829" s="3319" t="s">
        <v>23</v>
      </c>
      <c r="D3829" s="3319"/>
      <c r="E3829" s="3338" t="e">
        <f t="shared" ref="E3829:E3854" si="210">(G3829-F3829)/G3829</f>
        <v>#DIV/0!</v>
      </c>
      <c r="F3829" s="3319">
        <v>0.77</v>
      </c>
      <c r="G3829" s="3323"/>
      <c r="H3829" s="2885" t="s">
        <v>4010</v>
      </c>
    </row>
    <row r="3830" spans="1:8" ht="15.75" thickBot="1">
      <c r="A3830" s="3437"/>
      <c r="B3830" s="3438"/>
      <c r="C3830" s="3438" t="s">
        <v>24</v>
      </c>
      <c r="D3830" s="3438"/>
      <c r="E3830" s="3439" t="e">
        <f t="shared" si="210"/>
        <v>#DIV/0!</v>
      </c>
      <c r="F3830" s="3438">
        <v>0.77</v>
      </c>
      <c r="G3830" s="3440"/>
      <c r="H3830" s="2885" t="s">
        <v>4010</v>
      </c>
    </row>
    <row r="3831" spans="1:8">
      <c r="A3831" s="879" t="s">
        <v>3981</v>
      </c>
      <c r="B3831" s="2887" t="s">
        <v>3979</v>
      </c>
      <c r="C3831" s="2421" t="s">
        <v>1888</v>
      </c>
      <c r="D3831" s="2421"/>
      <c r="E3831" s="1198">
        <f t="shared" si="210"/>
        <v>0.31386861313868625</v>
      </c>
      <c r="F3831" s="2421">
        <v>0.94</v>
      </c>
      <c r="G3831" s="2111">
        <v>1.37</v>
      </c>
    </row>
    <row r="3832" spans="1:8">
      <c r="A3832" s="3324"/>
      <c r="B3832" s="3319"/>
      <c r="C3832" s="3319" t="s">
        <v>385</v>
      </c>
      <c r="D3832" s="3319"/>
      <c r="E3832" s="3338">
        <f t="shared" si="210"/>
        <v>0.31386861313868625</v>
      </c>
      <c r="F3832" s="3319">
        <v>0.94</v>
      </c>
      <c r="G3832" s="3325">
        <v>1.37</v>
      </c>
    </row>
    <row r="3833" spans="1:8">
      <c r="A3833" s="3324"/>
      <c r="B3833" s="3319"/>
      <c r="C3833" s="3319" t="s">
        <v>3627</v>
      </c>
      <c r="D3833" s="3319"/>
      <c r="E3833" s="3338">
        <f t="shared" si="210"/>
        <v>0.19867549668874174</v>
      </c>
      <c r="F3833" s="3319">
        <v>2.42</v>
      </c>
      <c r="G3833" s="3325">
        <v>3.02</v>
      </c>
    </row>
    <row r="3834" spans="1:8">
      <c r="A3834" s="3324"/>
      <c r="B3834" s="3319"/>
      <c r="C3834" s="3319" t="s">
        <v>3487</v>
      </c>
      <c r="D3834" s="3319"/>
      <c r="E3834" s="3338">
        <f t="shared" si="210"/>
        <v>0.19867549668874174</v>
      </c>
      <c r="F3834" s="3319">
        <v>2.42</v>
      </c>
      <c r="G3834" s="3325">
        <v>3.02</v>
      </c>
    </row>
    <row r="3835" spans="1:8">
      <c r="A3835" s="3324"/>
      <c r="B3835" s="3319"/>
      <c r="C3835" s="3319" t="s">
        <v>3489</v>
      </c>
      <c r="D3835" s="3319"/>
      <c r="E3835" s="3338">
        <f t="shared" si="210"/>
        <v>0.19867549668874174</v>
      </c>
      <c r="F3835" s="3319">
        <v>2.42</v>
      </c>
      <c r="G3835" s="3325">
        <v>3.02</v>
      </c>
    </row>
    <row r="3836" spans="1:8">
      <c r="A3836" s="3324"/>
      <c r="B3836" s="3319"/>
      <c r="C3836" s="3319" t="s">
        <v>1880</v>
      </c>
      <c r="D3836" s="3319"/>
      <c r="E3836" s="3338">
        <f t="shared" si="210"/>
        <v>0.19889502762430944</v>
      </c>
      <c r="F3836" s="3319">
        <v>1.45</v>
      </c>
      <c r="G3836" s="3325">
        <v>1.81</v>
      </c>
    </row>
    <row r="3837" spans="1:8">
      <c r="A3837" s="3324"/>
      <c r="B3837" s="3319"/>
      <c r="C3837" s="3319" t="s">
        <v>1881</v>
      </c>
      <c r="D3837" s="3319"/>
      <c r="E3837" s="3338">
        <f t="shared" si="210"/>
        <v>0.19889502762430944</v>
      </c>
      <c r="F3837" s="3319">
        <v>1.45</v>
      </c>
      <c r="G3837" s="3325">
        <v>1.81</v>
      </c>
    </row>
    <row r="3838" spans="1:8">
      <c r="A3838" s="3324"/>
      <c r="B3838" s="3319"/>
      <c r="C3838" s="3319" t="s">
        <v>2139</v>
      </c>
      <c r="D3838" s="3319"/>
      <c r="E3838" s="3338">
        <f t="shared" si="210"/>
        <v>0.24293785310734459</v>
      </c>
      <c r="F3838" s="3319">
        <v>1.34</v>
      </c>
      <c r="G3838" s="3323">
        <v>1.77</v>
      </c>
    </row>
    <row r="3839" spans="1:8">
      <c r="A3839" s="3324"/>
      <c r="B3839" s="3319"/>
      <c r="C3839" s="3319" t="s">
        <v>3982</v>
      </c>
      <c r="D3839" s="3319"/>
      <c r="E3839" s="3338">
        <f t="shared" si="210"/>
        <v>0.19895287958115179</v>
      </c>
      <c r="F3839" s="3319">
        <v>3.06</v>
      </c>
      <c r="G3839" s="3323">
        <v>3.82</v>
      </c>
    </row>
    <row r="3840" spans="1:8">
      <c r="A3840" s="3324"/>
      <c r="B3840" s="3319"/>
      <c r="C3840" s="3319" t="s">
        <v>3983</v>
      </c>
      <c r="D3840" s="3319"/>
      <c r="E3840" s="3338">
        <f t="shared" si="210"/>
        <v>0.19895287958115179</v>
      </c>
      <c r="F3840" s="3319">
        <v>3.06</v>
      </c>
      <c r="G3840" s="3323">
        <v>3.82</v>
      </c>
    </row>
    <row r="3841" spans="1:8">
      <c r="A3841" s="3324"/>
      <c r="B3841" s="3319"/>
      <c r="C3841" s="3319" t="s">
        <v>1376</v>
      </c>
      <c r="D3841" s="3319"/>
      <c r="E3841" s="3338">
        <f t="shared" si="210"/>
        <v>0.30959752321981426</v>
      </c>
      <c r="F3841" s="3319">
        <v>4.46</v>
      </c>
      <c r="G3841" s="3323">
        <v>6.46</v>
      </c>
    </row>
    <row r="3842" spans="1:8">
      <c r="A3842" s="3324"/>
      <c r="B3842" s="3319"/>
      <c r="C3842" s="3319" t="s">
        <v>3984</v>
      </c>
      <c r="D3842" s="3319"/>
      <c r="E3842" s="3338">
        <f t="shared" si="210"/>
        <v>0.21989528795811528</v>
      </c>
      <c r="F3842" s="3319">
        <v>17.88</v>
      </c>
      <c r="G3842" s="3323">
        <v>22.92</v>
      </c>
    </row>
    <row r="3843" spans="1:8">
      <c r="A3843" s="3324"/>
      <c r="B3843" s="3319"/>
      <c r="C3843" s="3319" t="s">
        <v>3985</v>
      </c>
      <c r="D3843" s="3319"/>
      <c r="E3843" s="3338">
        <f t="shared" si="210"/>
        <v>0.21989528795811528</v>
      </c>
      <c r="F3843" s="3319">
        <v>17.88</v>
      </c>
      <c r="G3843" s="3323">
        <v>22.92</v>
      </c>
    </row>
    <row r="3844" spans="1:8">
      <c r="A3844" s="3324"/>
      <c r="B3844" s="3319"/>
      <c r="C3844" s="3319" t="s">
        <v>3974</v>
      </c>
      <c r="D3844" s="3319"/>
      <c r="E3844" s="3338">
        <f t="shared" si="210"/>
        <v>2.0408163265306142E-2</v>
      </c>
      <c r="F3844" s="3319">
        <v>1.92</v>
      </c>
      <c r="G3844" s="3323">
        <v>1.96</v>
      </c>
    </row>
    <row r="3845" spans="1:8">
      <c r="A3845" s="3324"/>
      <c r="B3845" s="3319"/>
      <c r="C3845" s="3319" t="s">
        <v>2455</v>
      </c>
      <c r="D3845" s="3319"/>
      <c r="E3845" s="3338">
        <f t="shared" si="210"/>
        <v>0.19879518072289148</v>
      </c>
      <c r="F3845" s="3319">
        <v>1.33</v>
      </c>
      <c r="G3845" s="3323">
        <v>1.66</v>
      </c>
    </row>
    <row r="3846" spans="1:8">
      <c r="A3846" s="3324"/>
      <c r="B3846" s="3319"/>
      <c r="C3846" s="3319" t="s">
        <v>3336</v>
      </c>
      <c r="D3846" s="3319"/>
      <c r="E3846" s="3338">
        <f t="shared" si="210"/>
        <v>0.23188405797101438</v>
      </c>
      <c r="F3846" s="3319">
        <v>0.53</v>
      </c>
      <c r="G3846" s="3323">
        <v>0.69</v>
      </c>
    </row>
    <row r="3847" spans="1:8" ht="15.75" thickBot="1">
      <c r="A3847" s="3437"/>
      <c r="B3847" s="3438"/>
      <c r="C3847" s="3438" t="s">
        <v>3338</v>
      </c>
      <c r="D3847" s="3438"/>
      <c r="E3847" s="3439">
        <f t="shared" si="210"/>
        <v>0.23188405797101438</v>
      </c>
      <c r="F3847" s="3438">
        <v>0.53</v>
      </c>
      <c r="G3847" s="3440">
        <v>0.69</v>
      </c>
    </row>
    <row r="3848" spans="1:8">
      <c r="A3848" s="879" t="s">
        <v>3986</v>
      </c>
      <c r="B3848" s="2887" t="s">
        <v>3979</v>
      </c>
      <c r="C3848" s="2421" t="s">
        <v>1256</v>
      </c>
      <c r="D3848" s="2421"/>
      <c r="E3848" s="2733">
        <f t="shared" si="210"/>
        <v>9.9911582670203419E-2</v>
      </c>
      <c r="F3848" s="1163">
        <v>10.18</v>
      </c>
      <c r="G3848" s="2111">
        <v>11.31</v>
      </c>
      <c r="H3848" t="s">
        <v>4010</v>
      </c>
    </row>
    <row r="3849" spans="1:8">
      <c r="A3849" s="3324"/>
      <c r="B3849" s="3319"/>
      <c r="C3849" s="3319" t="s">
        <v>1254</v>
      </c>
      <c r="D3849" s="3319"/>
      <c r="E3849" s="3393">
        <f t="shared" si="210"/>
        <v>9.9925980754996271E-2</v>
      </c>
      <c r="F3849" s="3379">
        <v>12.16</v>
      </c>
      <c r="G3849" s="3325">
        <v>13.51</v>
      </c>
      <c r="H3849" s="2885" t="s">
        <v>4010</v>
      </c>
    </row>
    <row r="3850" spans="1:8">
      <c r="A3850" s="3324"/>
      <c r="B3850" s="3319"/>
      <c r="C3850" s="3319" t="s">
        <v>2194</v>
      </c>
      <c r="D3850" s="3319"/>
      <c r="E3850" s="3393">
        <f t="shared" si="210"/>
        <v>0.19971870604781997</v>
      </c>
      <c r="F3850" s="3379">
        <v>5.69</v>
      </c>
      <c r="G3850" s="3325">
        <v>7.11</v>
      </c>
      <c r="H3850" s="2885" t="s">
        <v>4010</v>
      </c>
    </row>
    <row r="3851" spans="1:8">
      <c r="A3851" s="3324"/>
      <c r="B3851" s="3319"/>
      <c r="C3851" s="3319" t="s">
        <v>2359</v>
      </c>
      <c r="D3851" s="3319"/>
      <c r="E3851" s="3393">
        <f t="shared" si="210"/>
        <v>0.19971870604781997</v>
      </c>
      <c r="F3851" s="3379">
        <v>5.69</v>
      </c>
      <c r="G3851" s="3325">
        <v>7.11</v>
      </c>
      <c r="H3851" s="2885" t="s">
        <v>4010</v>
      </c>
    </row>
    <row r="3852" spans="1:8">
      <c r="A3852" s="3324"/>
      <c r="B3852" s="3319"/>
      <c r="C3852" s="3319" t="s">
        <v>2550</v>
      </c>
      <c r="D3852" s="3319"/>
      <c r="E3852" s="3393">
        <f t="shared" si="210"/>
        <v>0.35012285012285016</v>
      </c>
      <c r="F3852" s="3379">
        <v>5.29</v>
      </c>
      <c r="G3852" s="3325">
        <v>8.14</v>
      </c>
      <c r="H3852" s="2885" t="s">
        <v>4010</v>
      </c>
    </row>
    <row r="3853" spans="1:8">
      <c r="A3853" s="3324"/>
      <c r="B3853" s="3319"/>
      <c r="C3853" s="3319" t="s">
        <v>2551</v>
      </c>
      <c r="D3853" s="3319"/>
      <c r="E3853" s="3393">
        <f t="shared" si="210"/>
        <v>0.35012285012285016</v>
      </c>
      <c r="F3853" s="3379">
        <v>5.29</v>
      </c>
      <c r="G3853" s="3325">
        <v>8.14</v>
      </c>
      <c r="H3853" s="2885" t="s">
        <v>4010</v>
      </c>
    </row>
    <row r="3854" spans="1:8" ht="15.75" thickBot="1">
      <c r="A3854" s="3327"/>
      <c r="B3854" s="3328"/>
      <c r="C3854" s="3328" t="s">
        <v>1058</v>
      </c>
      <c r="D3854" s="3328"/>
      <c r="E3854" s="3394">
        <f t="shared" si="210"/>
        <v>0.35833333333333328</v>
      </c>
      <c r="F3854" s="3380">
        <v>1.54</v>
      </c>
      <c r="G3854" s="3331">
        <v>2.4</v>
      </c>
      <c r="H3854" s="2885" t="s">
        <v>4010</v>
      </c>
    </row>
    <row r="3855" spans="1:8" ht="15.75" thickBot="1"/>
    <row r="3856" spans="1:8">
      <c r="A3856" s="3614" t="s">
        <v>0</v>
      </c>
      <c r="B3856" s="3518" t="s">
        <v>1</v>
      </c>
      <c r="C3856" s="3518" t="s">
        <v>2</v>
      </c>
      <c r="D3856" s="3518" t="s">
        <v>3</v>
      </c>
      <c r="E3856" s="3518" t="s">
        <v>4</v>
      </c>
      <c r="F3856" s="3518" t="s">
        <v>5</v>
      </c>
      <c r="G3856" s="3522" t="s">
        <v>3504</v>
      </c>
    </row>
    <row r="3857" spans="1:9" ht="15.75" thickBot="1">
      <c r="A3857" s="3532"/>
      <c r="B3857" s="3519"/>
      <c r="C3857" s="3519"/>
      <c r="D3857" s="3519"/>
      <c r="E3857" s="3519"/>
      <c r="F3857" s="3519"/>
      <c r="G3857" s="3523"/>
    </row>
    <row r="3858" spans="1:9" ht="15.75">
      <c r="A3858" s="1675" t="s">
        <v>3993</v>
      </c>
      <c r="B3858" s="2887" t="s">
        <v>2082</v>
      </c>
      <c r="C3858" s="3058" t="s">
        <v>1904</v>
      </c>
      <c r="D3858" s="2887"/>
      <c r="E3858" s="3059">
        <f>(G3858-F3858)/G3858</f>
        <v>0.24712643678160917</v>
      </c>
      <c r="F3858" s="3091">
        <v>1.31</v>
      </c>
      <c r="G3858" s="3092">
        <v>1.74</v>
      </c>
      <c r="H3858" s="667" t="s">
        <v>4005</v>
      </c>
      <c r="I3858" s="346">
        <v>43913</v>
      </c>
    </row>
    <row r="3859" spans="1:9" ht="15.75" thickBot="1">
      <c r="A3859" s="3424"/>
      <c r="B3859" s="3425"/>
      <c r="C3859" s="3449" t="s">
        <v>1975</v>
      </c>
      <c r="D3859" s="3425"/>
      <c r="E3859" s="3341">
        <f>(G3859-F3859)/G3859</f>
        <v>0.29946524064171126</v>
      </c>
      <c r="F3859" s="3450">
        <v>1.31</v>
      </c>
      <c r="G3859" s="3451">
        <v>1.87</v>
      </c>
      <c r="H3859" s="667" t="s">
        <v>4005</v>
      </c>
      <c r="I3859" s="346">
        <v>43913</v>
      </c>
    </row>
    <row r="3860" spans="1:9" ht="15.75" thickBot="1"/>
    <row r="3861" spans="1:9">
      <c r="A3861" s="3614" t="s">
        <v>0</v>
      </c>
      <c r="B3861" s="3518" t="s">
        <v>1</v>
      </c>
      <c r="C3861" s="3518" t="s">
        <v>2</v>
      </c>
      <c r="D3861" s="3518" t="s">
        <v>3</v>
      </c>
      <c r="E3861" s="3518" t="s">
        <v>4</v>
      </c>
      <c r="F3861" s="3518" t="s">
        <v>5</v>
      </c>
      <c r="G3861" s="3522" t="s">
        <v>3504</v>
      </c>
    </row>
    <row r="3862" spans="1:9" ht="15.75" thickBot="1">
      <c r="A3862" s="3532"/>
      <c r="B3862" s="3519"/>
      <c r="C3862" s="3519"/>
      <c r="D3862" s="3519"/>
      <c r="E3862" s="3519"/>
      <c r="F3862" s="3519"/>
      <c r="G3862" s="3523"/>
    </row>
    <row r="3863" spans="1:9">
      <c r="A3863" s="3102" t="s">
        <v>3998</v>
      </c>
      <c r="B3863" s="2400" t="s">
        <v>2155</v>
      </c>
      <c r="C3863" s="2401" t="s">
        <v>3995</v>
      </c>
      <c r="D3863" s="2402"/>
      <c r="E3863" s="2888">
        <f t="shared" ref="E3863:E3867" si="211">(G3863-F3863)/G3863</f>
        <v>0.37688442211055279</v>
      </c>
      <c r="F3863" s="3154">
        <v>1.24</v>
      </c>
      <c r="G3863" s="881">
        <v>1.99</v>
      </c>
    </row>
    <row r="3864" spans="1:9">
      <c r="A3864" s="3324"/>
      <c r="B3864" s="3319"/>
      <c r="C3864" s="3319" t="s">
        <v>3996</v>
      </c>
      <c r="D3864" s="3319"/>
      <c r="E3864" s="3317">
        <f t="shared" si="211"/>
        <v>0.37688442211055279</v>
      </c>
      <c r="F3864" s="3319">
        <v>1.24</v>
      </c>
      <c r="G3864" s="3325">
        <v>1.99</v>
      </c>
    </row>
    <row r="3865" spans="1:9">
      <c r="A3865" s="3324"/>
      <c r="B3865" s="3319"/>
      <c r="C3865" s="3319" t="s">
        <v>3997</v>
      </c>
      <c r="D3865" s="3319"/>
      <c r="E3865" s="3317">
        <f t="shared" si="211"/>
        <v>0.37688442211055279</v>
      </c>
      <c r="F3865" s="3319">
        <v>1.24</v>
      </c>
      <c r="G3865" s="3325">
        <v>1.99</v>
      </c>
    </row>
    <row r="3866" spans="1:9">
      <c r="A3866" s="3324"/>
      <c r="B3866" s="3319"/>
      <c r="C3866" s="3319" t="s">
        <v>1892</v>
      </c>
      <c r="D3866" s="3319"/>
      <c r="E3866" s="3317">
        <f t="shared" si="211"/>
        <v>9.1954022988505704E-2</v>
      </c>
      <c r="F3866" s="3319">
        <v>0.79</v>
      </c>
      <c r="G3866" s="3325">
        <v>0.87</v>
      </c>
    </row>
    <row r="3867" spans="1:9" ht="15.75" thickBot="1">
      <c r="A3867" s="3327"/>
      <c r="B3867" s="3328"/>
      <c r="C3867" s="3328" t="s">
        <v>1891</v>
      </c>
      <c r="D3867" s="3328"/>
      <c r="E3867" s="3330">
        <f t="shared" si="211"/>
        <v>9.1954022988505704E-2</v>
      </c>
      <c r="F3867" s="3328">
        <v>0.79</v>
      </c>
      <c r="G3867" s="3331">
        <v>0.87</v>
      </c>
    </row>
    <row r="3868" spans="1:9" ht="15.75" thickBot="1"/>
    <row r="3869" spans="1:9">
      <c r="A3869" s="3614" t="s">
        <v>0</v>
      </c>
      <c r="B3869" s="3518" t="s">
        <v>1</v>
      </c>
      <c r="C3869" s="3518" t="s">
        <v>2</v>
      </c>
      <c r="D3869" s="3518" t="s">
        <v>3</v>
      </c>
      <c r="E3869" s="3518" t="s">
        <v>4</v>
      </c>
      <c r="F3869" s="3518" t="s">
        <v>5</v>
      </c>
      <c r="G3869" s="3522" t="s">
        <v>3504</v>
      </c>
    </row>
    <row r="3870" spans="1:9" ht="15.75" thickBot="1">
      <c r="A3870" s="3555"/>
      <c r="B3870" s="3550"/>
      <c r="C3870" s="3550"/>
      <c r="D3870" s="3550"/>
      <c r="E3870" s="3550"/>
      <c r="F3870" s="3550"/>
      <c r="G3870" s="4033"/>
    </row>
    <row r="3871" spans="1:9">
      <c r="A3871" s="3102" t="s">
        <v>4004</v>
      </c>
      <c r="B3871" s="2887" t="s">
        <v>2183</v>
      </c>
      <c r="C3871" s="2401" t="s">
        <v>2602</v>
      </c>
      <c r="D3871" s="2402"/>
      <c r="E3871" s="2888">
        <f>(G3871-F3871)/G3871</f>
        <v>0.15976331360946747</v>
      </c>
      <c r="F3871" s="3239">
        <v>2.84</v>
      </c>
      <c r="G3871" s="3240">
        <v>3.38</v>
      </c>
    </row>
    <row r="3872" spans="1:9">
      <c r="A3872" s="3322"/>
      <c r="B3872" s="3320"/>
      <c r="C3872" s="3319" t="s">
        <v>2558</v>
      </c>
      <c r="D3872" s="3319"/>
      <c r="E3872" s="3317">
        <f t="shared" ref="E3872:E3883" si="212">(G3872-F3872)/G3872</f>
        <v>0.15976331360946747</v>
      </c>
      <c r="F3872" s="3407">
        <v>2.84</v>
      </c>
      <c r="G3872" s="3355">
        <v>3.38</v>
      </c>
    </row>
    <row r="3873" spans="1:7">
      <c r="A3873" s="3324"/>
      <c r="B3873" s="3319"/>
      <c r="C3873" s="3319" t="s">
        <v>2603</v>
      </c>
      <c r="D3873" s="3319"/>
      <c r="E3873" s="3317">
        <f t="shared" si="212"/>
        <v>0.15976331360946747</v>
      </c>
      <c r="F3873" s="3319">
        <v>2.84</v>
      </c>
      <c r="G3873" s="3355">
        <v>3.38</v>
      </c>
    </row>
    <row r="3874" spans="1:7">
      <c r="A3874" s="3324"/>
      <c r="B3874" s="3319"/>
      <c r="C3874" s="3319" t="s">
        <v>2559</v>
      </c>
      <c r="D3874" s="3319"/>
      <c r="E3874" s="3317">
        <f t="shared" si="212"/>
        <v>0.15976331360946747</v>
      </c>
      <c r="F3874" s="3319">
        <v>2.84</v>
      </c>
      <c r="G3874" s="3355">
        <v>3.38</v>
      </c>
    </row>
    <row r="3875" spans="1:7">
      <c r="A3875" s="3324"/>
      <c r="B3875" s="3319"/>
      <c r="C3875" s="3319" t="s">
        <v>1714</v>
      </c>
      <c r="D3875" s="3319"/>
      <c r="E3875" s="3317">
        <f t="shared" si="212"/>
        <v>0.11184210526315784</v>
      </c>
      <c r="F3875" s="3354">
        <v>1.35</v>
      </c>
      <c r="G3875" s="3356">
        <v>1.52</v>
      </c>
    </row>
    <row r="3876" spans="1:7">
      <c r="A3876" s="3324"/>
      <c r="B3876" s="3319"/>
      <c r="C3876" s="3319" t="s">
        <v>1715</v>
      </c>
      <c r="D3876" s="3319"/>
      <c r="E3876" s="3317">
        <f t="shared" si="212"/>
        <v>0.11184210526315784</v>
      </c>
      <c r="F3876" s="3319">
        <v>1.35</v>
      </c>
      <c r="G3876" s="3356">
        <v>1.52</v>
      </c>
    </row>
    <row r="3877" spans="1:7">
      <c r="A3877" s="3324"/>
      <c r="B3877" s="3319"/>
      <c r="C3877" s="3319" t="s">
        <v>985</v>
      </c>
      <c r="D3877" s="3319"/>
      <c r="E3877" s="3317">
        <f t="shared" si="212"/>
        <v>0.11111111111111106</v>
      </c>
      <c r="F3877" s="3319">
        <v>1.28</v>
      </c>
      <c r="G3877" s="3356">
        <v>1.44</v>
      </c>
    </row>
    <row r="3878" spans="1:7">
      <c r="A3878" s="3324"/>
      <c r="B3878" s="3319"/>
      <c r="C3878" s="3319" t="s">
        <v>1604</v>
      </c>
      <c r="D3878" s="3319"/>
      <c r="E3878" s="3317">
        <f t="shared" si="212"/>
        <v>0.10714285714285711</v>
      </c>
      <c r="F3878" s="3319">
        <v>1.5</v>
      </c>
      <c r="G3878" s="3356">
        <v>1.68</v>
      </c>
    </row>
    <row r="3879" spans="1:7">
      <c r="A3879" s="3324"/>
      <c r="B3879" s="3319"/>
      <c r="C3879" s="3319" t="s">
        <v>3985</v>
      </c>
      <c r="D3879" s="3319"/>
      <c r="E3879" s="3317">
        <f t="shared" si="212"/>
        <v>0.11998254799301919</v>
      </c>
      <c r="F3879" s="3319">
        <v>20.170000000000002</v>
      </c>
      <c r="G3879" s="3356">
        <v>22.92</v>
      </c>
    </row>
    <row r="3880" spans="1:7">
      <c r="A3880" s="3324"/>
      <c r="B3880" s="3319"/>
      <c r="C3880" s="3319" t="s">
        <v>3984</v>
      </c>
      <c r="D3880" s="3319"/>
      <c r="E3880" s="3317">
        <f t="shared" si="212"/>
        <v>0.11998254799301919</v>
      </c>
      <c r="F3880" s="3319">
        <v>20.170000000000002</v>
      </c>
      <c r="G3880" s="3356">
        <v>22.92</v>
      </c>
    </row>
    <row r="3881" spans="1:7">
      <c r="A3881" s="3324"/>
      <c r="B3881" s="3319"/>
      <c r="C3881" s="3319" t="s">
        <v>4001</v>
      </c>
      <c r="D3881" s="3319"/>
      <c r="E3881" s="3317">
        <f t="shared" si="212"/>
        <v>0.1199659671015314</v>
      </c>
      <c r="F3881" s="3319">
        <v>31.03</v>
      </c>
      <c r="G3881" s="3356">
        <v>35.26</v>
      </c>
    </row>
    <row r="3882" spans="1:7">
      <c r="A3882" s="3324"/>
      <c r="B3882" s="3319"/>
      <c r="C3882" s="3319" t="s">
        <v>4002</v>
      </c>
      <c r="D3882" s="3319"/>
      <c r="E3882" s="3317">
        <f t="shared" si="212"/>
        <v>0.1199659671015314</v>
      </c>
      <c r="F3882" s="3319">
        <v>31.03</v>
      </c>
      <c r="G3882" s="3356">
        <v>35.26</v>
      </c>
    </row>
    <row r="3883" spans="1:7" ht="15.75" thickBot="1">
      <c r="A3883" s="3327"/>
      <c r="B3883" s="3328"/>
      <c r="C3883" s="3328" t="s">
        <v>4003</v>
      </c>
      <c r="D3883" s="3328"/>
      <c r="E3883" s="3330">
        <f t="shared" si="212"/>
        <v>0.25017818959372773</v>
      </c>
      <c r="F3883" s="3328">
        <v>10.52</v>
      </c>
      <c r="G3883" s="3374">
        <v>14.03</v>
      </c>
    </row>
    <row r="3884" spans="1:7" ht="15.75" thickBot="1"/>
    <row r="3885" spans="1:7">
      <c r="A3885" s="3614" t="s">
        <v>0</v>
      </c>
      <c r="B3885" s="3518" t="s">
        <v>1</v>
      </c>
      <c r="C3885" s="3518" t="s">
        <v>2</v>
      </c>
      <c r="D3885" s="3518" t="s">
        <v>3</v>
      </c>
      <c r="E3885" s="3518" t="s">
        <v>4</v>
      </c>
      <c r="F3885" s="3518" t="s">
        <v>5</v>
      </c>
      <c r="G3885" s="3522" t="s">
        <v>3504</v>
      </c>
    </row>
    <row r="3886" spans="1:7" ht="15.75" thickBot="1">
      <c r="A3886" s="3532"/>
      <c r="B3886" s="3519"/>
      <c r="C3886" s="3519"/>
      <c r="D3886" s="3519"/>
      <c r="E3886" s="3519"/>
      <c r="F3886" s="3519"/>
      <c r="G3886" s="3523"/>
    </row>
    <row r="3887" spans="1:7">
      <c r="A3887" s="3102" t="s">
        <v>4008</v>
      </c>
      <c r="B3887" s="2887" t="s">
        <v>460</v>
      </c>
      <c r="C3887" s="2401" t="s">
        <v>3004</v>
      </c>
      <c r="D3887" s="2402"/>
      <c r="E3887" s="2888">
        <f t="shared" ref="E3887:E3888" si="213">(G3887-F3887)/G3887</f>
        <v>0.15079365079365076</v>
      </c>
      <c r="F3887" s="3239">
        <v>2.14</v>
      </c>
      <c r="G3887" s="3240">
        <v>2.52</v>
      </c>
    </row>
    <row r="3888" spans="1:7" ht="15.75" thickBot="1">
      <c r="A3888" s="3416"/>
      <c r="B3888" s="3417"/>
      <c r="C3888" s="3418" t="s">
        <v>3005</v>
      </c>
      <c r="D3888" s="3419"/>
      <c r="E3888" s="3330">
        <f t="shared" si="213"/>
        <v>0.15079365079365076</v>
      </c>
      <c r="F3888" s="3414">
        <v>2.14</v>
      </c>
      <c r="G3888" s="3415">
        <v>2.52</v>
      </c>
    </row>
    <row r="3889" spans="1:7" ht="15.75" thickBot="1"/>
    <row r="3890" spans="1:7">
      <c r="A3890" s="3614" t="s">
        <v>0</v>
      </c>
      <c r="B3890" s="3518" t="s">
        <v>1</v>
      </c>
      <c r="C3890" s="3518" t="s">
        <v>2</v>
      </c>
      <c r="D3890" s="3518" t="s">
        <v>3</v>
      </c>
      <c r="E3890" s="3518" t="s">
        <v>4</v>
      </c>
      <c r="F3890" s="3518" t="s">
        <v>5</v>
      </c>
      <c r="G3890" s="3522" t="s">
        <v>3504</v>
      </c>
    </row>
    <row r="3891" spans="1:7" ht="15.75" thickBot="1">
      <c r="A3891" s="3532"/>
      <c r="B3891" s="3519"/>
      <c r="C3891" s="3519"/>
      <c r="D3891" s="3519"/>
      <c r="E3891" s="3519"/>
      <c r="F3891" s="3519"/>
      <c r="G3891" s="3523"/>
    </row>
    <row r="3892" spans="1:7" ht="15.75">
      <c r="A3892" s="1675" t="s">
        <v>4012</v>
      </c>
      <c r="B3892" s="2887" t="s">
        <v>2082</v>
      </c>
      <c r="C3892" s="3058" t="s">
        <v>2251</v>
      </c>
      <c r="D3892" s="2887"/>
      <c r="E3892" s="3059">
        <f>(G3892-F3892)/G3892</f>
        <v>0.1297071129707113</v>
      </c>
      <c r="F3892" s="3091">
        <v>2.08</v>
      </c>
      <c r="G3892" s="3092">
        <v>2.39</v>
      </c>
    </row>
    <row r="3893" spans="1:7" ht="15.75">
      <c r="A3893" s="3335"/>
      <c r="B3893" s="3336"/>
      <c r="C3893" s="3462" t="s">
        <v>2455</v>
      </c>
      <c r="D3893" s="3336"/>
      <c r="E3893" s="3457" t="e">
        <f t="shared" ref="E3893:E3894" si="214">(G3893-F3893)/G3893</f>
        <v>#VALUE!</v>
      </c>
      <c r="F3893" s="3339">
        <v>1.52</v>
      </c>
      <c r="G3893" s="3458" t="s">
        <v>1903</v>
      </c>
    </row>
    <row r="3894" spans="1:7" ht="16.5" thickBot="1">
      <c r="A3894" s="3327"/>
      <c r="B3894" s="3328"/>
      <c r="C3894" s="3461" t="s">
        <v>2176</v>
      </c>
      <c r="D3894" s="3328"/>
      <c r="E3894" s="3460" t="e">
        <f t="shared" si="214"/>
        <v>#VALUE!</v>
      </c>
      <c r="F3894" s="3328">
        <v>2.08</v>
      </c>
      <c r="G3894" s="3459" t="s">
        <v>1903</v>
      </c>
    </row>
    <row r="3895" spans="1:7" ht="15.75" thickBot="1"/>
    <row r="3896" spans="1:7" ht="14.65" customHeight="1">
      <c r="A3896" s="3614" t="s">
        <v>0</v>
      </c>
      <c r="B3896" s="3518" t="s">
        <v>1</v>
      </c>
      <c r="C3896" s="3518" t="s">
        <v>2</v>
      </c>
      <c r="D3896" s="3518" t="s">
        <v>3</v>
      </c>
      <c r="E3896" s="3518" t="s">
        <v>4</v>
      </c>
      <c r="F3896" s="3518" t="s">
        <v>5</v>
      </c>
      <c r="G3896" s="3522" t="s">
        <v>3504</v>
      </c>
    </row>
    <row r="3897" spans="1:7" ht="15" customHeight="1" thickBot="1">
      <c r="A3897" s="3894"/>
      <c r="B3897" s="3546"/>
      <c r="C3897" s="3546"/>
      <c r="D3897" s="3546"/>
      <c r="E3897" s="3546"/>
      <c r="F3897" s="3546"/>
      <c r="G3897" s="3548"/>
    </row>
    <row r="3898" spans="1:7">
      <c r="A3898" s="3472" t="s">
        <v>4019</v>
      </c>
      <c r="B3898" s="2072" t="s">
        <v>2082</v>
      </c>
      <c r="C3898" s="3473" t="s">
        <v>1892</v>
      </c>
      <c r="D3898" s="2072"/>
      <c r="E3898" s="3474">
        <f>(G3898-F3898)/G3898</f>
        <v>0.30232558139534882</v>
      </c>
      <c r="F3898" s="3475">
        <v>0.9</v>
      </c>
      <c r="G3898" s="3476">
        <v>1.29</v>
      </c>
    </row>
    <row r="3899" spans="1:7">
      <c r="A3899" s="3322"/>
      <c r="B3899" s="3336"/>
      <c r="C3899" s="3463" t="s">
        <v>1891</v>
      </c>
      <c r="D3899" s="3336"/>
      <c r="E3899" s="3464">
        <f t="shared" ref="E3899:E3900" si="215">(G3899-F3899)/G3899</f>
        <v>0.30232558139534882</v>
      </c>
      <c r="F3899" s="3465">
        <v>0.9</v>
      </c>
      <c r="G3899" s="3466">
        <v>1.29</v>
      </c>
    </row>
    <row r="3900" spans="1:7" ht="15.75" thickBot="1">
      <c r="A3900" s="3467"/>
      <c r="B3900" s="3425"/>
      <c r="C3900" s="3468" t="s">
        <v>2743</v>
      </c>
      <c r="D3900" s="3425"/>
      <c r="E3900" s="3469">
        <f t="shared" si="215"/>
        <v>0.30303030303030309</v>
      </c>
      <c r="F3900" s="3470">
        <v>0.69</v>
      </c>
      <c r="G3900" s="3471">
        <v>0.99</v>
      </c>
    </row>
    <row r="3901" spans="1:7" ht="15.75" thickBot="1"/>
    <row r="3902" spans="1:7">
      <c r="A3902" s="3614" t="s">
        <v>0</v>
      </c>
      <c r="B3902" s="3518" t="s">
        <v>1</v>
      </c>
      <c r="C3902" s="3518" t="s">
        <v>2</v>
      </c>
      <c r="D3902" s="3518" t="s">
        <v>3</v>
      </c>
      <c r="E3902" s="3518" t="s">
        <v>4</v>
      </c>
      <c r="F3902" s="3518" t="s">
        <v>5</v>
      </c>
      <c r="G3902" s="3522" t="s">
        <v>3504</v>
      </c>
    </row>
    <row r="3903" spans="1:7" ht="15.75" thickBot="1">
      <c r="A3903" s="3894"/>
      <c r="B3903" s="3546"/>
      <c r="C3903" s="3546"/>
      <c r="D3903" s="3546"/>
      <c r="E3903" s="3546"/>
      <c r="F3903" s="3546"/>
      <c r="G3903" s="3548"/>
    </row>
    <row r="3904" spans="1:7">
      <c r="A3904" s="3477" t="s">
        <v>4022</v>
      </c>
      <c r="B3904" s="2072" t="s">
        <v>2183</v>
      </c>
      <c r="C3904" s="3478" t="s">
        <v>4023</v>
      </c>
      <c r="D3904" s="3479"/>
      <c r="E3904" s="3480">
        <f>(G3904-F3904)/G3904</f>
        <v>0.36933797909407667</v>
      </c>
      <c r="F3904" s="3481">
        <v>1.81</v>
      </c>
      <c r="G3904" s="3482">
        <v>2.87</v>
      </c>
    </row>
    <row r="3905" spans="1:7">
      <c r="A3905" s="3322"/>
      <c r="B3905" s="3320"/>
      <c r="C3905" s="3319" t="s">
        <v>4024</v>
      </c>
      <c r="D3905" s="3319"/>
      <c r="E3905" s="3317">
        <f t="shared" ref="E3905:E3928" si="216">(G3905-F3905)/G3905</f>
        <v>0.36933797909407667</v>
      </c>
      <c r="F3905" s="3407">
        <v>1.81</v>
      </c>
      <c r="G3905" s="3355">
        <v>2.87</v>
      </c>
    </row>
    <row r="3906" spans="1:7">
      <c r="A3906" s="3324"/>
      <c r="B3906" s="3319"/>
      <c r="C3906" s="3319" t="s">
        <v>4025</v>
      </c>
      <c r="D3906" s="3319"/>
      <c r="E3906" s="3317">
        <f t="shared" si="216"/>
        <v>0.36933797909407667</v>
      </c>
      <c r="F3906" s="3319">
        <v>1.81</v>
      </c>
      <c r="G3906" s="3355">
        <v>2.87</v>
      </c>
    </row>
    <row r="3907" spans="1:7">
      <c r="A3907" s="3324"/>
      <c r="B3907" s="3319"/>
      <c r="C3907" s="3319" t="s">
        <v>4026</v>
      </c>
      <c r="D3907" s="3319"/>
      <c r="E3907" s="3317">
        <f t="shared" si="216"/>
        <v>0.36933797909407667</v>
      </c>
      <c r="F3907" s="3319">
        <v>1.81</v>
      </c>
      <c r="G3907" s="3355">
        <v>2.87</v>
      </c>
    </row>
    <row r="3908" spans="1:7">
      <c r="A3908" s="3324"/>
      <c r="B3908" s="3319"/>
      <c r="C3908" s="3319" t="s">
        <v>4027</v>
      </c>
      <c r="D3908" s="3319"/>
      <c r="E3908" s="3317">
        <f t="shared" si="216"/>
        <v>0.36933797909407667</v>
      </c>
      <c r="F3908" s="3354">
        <v>1.81</v>
      </c>
      <c r="G3908" s="3356">
        <v>2.87</v>
      </c>
    </row>
    <row r="3909" spans="1:7">
      <c r="A3909" s="3324"/>
      <c r="B3909" s="3319"/>
      <c r="C3909" s="3319" t="s">
        <v>1888</v>
      </c>
      <c r="D3909" s="3319"/>
      <c r="E3909" s="3317">
        <f t="shared" si="216"/>
        <v>0.19696969696969696</v>
      </c>
      <c r="F3909" s="3319">
        <v>1.06</v>
      </c>
      <c r="G3909" s="3356">
        <v>1.32</v>
      </c>
    </row>
    <row r="3910" spans="1:7">
      <c r="A3910" s="3324"/>
      <c r="B3910" s="3319"/>
      <c r="C3910" s="3319" t="s">
        <v>385</v>
      </c>
      <c r="D3910" s="3319"/>
      <c r="E3910" s="3317">
        <f t="shared" si="216"/>
        <v>0.19696969696969696</v>
      </c>
      <c r="F3910" s="3319">
        <v>1.06</v>
      </c>
      <c r="G3910" s="3356">
        <v>1.32</v>
      </c>
    </row>
    <row r="3911" spans="1:7">
      <c r="A3911" s="3324"/>
      <c r="B3911" s="3319"/>
      <c r="C3911" s="3319" t="s">
        <v>388</v>
      </c>
      <c r="D3911" s="3319"/>
      <c r="E3911" s="3317">
        <f t="shared" si="216"/>
        <v>0.19696969696969696</v>
      </c>
      <c r="F3911" s="3319">
        <v>1.06</v>
      </c>
      <c r="G3911" s="3356">
        <v>1.32</v>
      </c>
    </row>
    <row r="3912" spans="1:7">
      <c r="A3912" s="3324"/>
      <c r="B3912" s="3319"/>
      <c r="C3912" s="3319" t="s">
        <v>387</v>
      </c>
      <c r="D3912" s="3319"/>
      <c r="E3912" s="3317">
        <f t="shared" si="216"/>
        <v>0.19696969696969696</v>
      </c>
      <c r="F3912" s="3319">
        <v>1.06</v>
      </c>
      <c r="G3912" s="3356">
        <v>1.32</v>
      </c>
    </row>
    <row r="3913" spans="1:7">
      <c r="A3913" s="3324"/>
      <c r="B3913" s="3319"/>
      <c r="C3913" s="3319" t="s">
        <v>2042</v>
      </c>
      <c r="D3913" s="3319"/>
      <c r="E3913" s="3317">
        <f t="shared" si="216"/>
        <v>0.19696969696969696</v>
      </c>
      <c r="F3913" s="3319">
        <v>1.06</v>
      </c>
      <c r="G3913" s="3356">
        <v>1.32</v>
      </c>
    </row>
    <row r="3914" spans="1:7">
      <c r="A3914" s="3324"/>
      <c r="B3914" s="3319"/>
      <c r="C3914" s="3319" t="s">
        <v>1522</v>
      </c>
      <c r="D3914" s="3319"/>
      <c r="E3914" s="3317">
        <f t="shared" si="216"/>
        <v>0.19696969696969696</v>
      </c>
      <c r="F3914" s="3319">
        <v>1.06</v>
      </c>
      <c r="G3914" s="3356">
        <v>1.32</v>
      </c>
    </row>
    <row r="3915" spans="1:7">
      <c r="A3915" s="3324"/>
      <c r="B3915" s="3319"/>
      <c r="C3915" s="3319" t="s">
        <v>3894</v>
      </c>
      <c r="D3915" s="3319"/>
      <c r="E3915" s="3317">
        <f t="shared" si="216"/>
        <v>0.19865319865319875</v>
      </c>
      <c r="F3915" s="3319">
        <v>2.38</v>
      </c>
      <c r="G3915" s="3356">
        <v>2.97</v>
      </c>
    </row>
    <row r="3916" spans="1:7">
      <c r="A3916" s="3324"/>
      <c r="B3916" s="3319"/>
      <c r="C3916" s="3319" t="s">
        <v>2021</v>
      </c>
      <c r="D3916" s="3319"/>
      <c r="E3916" s="3317">
        <f t="shared" si="216"/>
        <v>0.19806763285024151</v>
      </c>
      <c r="F3916" s="3319">
        <v>1.66</v>
      </c>
      <c r="G3916" s="3356">
        <v>2.0699999999999998</v>
      </c>
    </row>
    <row r="3917" spans="1:7">
      <c r="A3917" s="3324"/>
      <c r="B3917" s="3319"/>
      <c r="C3917" s="3319" t="s">
        <v>1905</v>
      </c>
      <c r="D3917" s="3319"/>
      <c r="E3917" s="3317">
        <f t="shared" si="216"/>
        <v>0.19806763285024151</v>
      </c>
      <c r="F3917" s="3319">
        <v>1.66</v>
      </c>
      <c r="G3917" s="3323">
        <v>2.0699999999999998</v>
      </c>
    </row>
    <row r="3918" spans="1:7">
      <c r="A3918" s="3324"/>
      <c r="B3918" s="3319"/>
      <c r="C3918" s="3319" t="s">
        <v>2357</v>
      </c>
      <c r="D3918" s="3319"/>
      <c r="E3918" s="3317">
        <f t="shared" si="216"/>
        <v>0.20121951219512188</v>
      </c>
      <c r="F3918" s="3319">
        <v>1.31</v>
      </c>
      <c r="G3918" s="3323">
        <v>1.64</v>
      </c>
    </row>
    <row r="3919" spans="1:7">
      <c r="A3919" s="3324"/>
      <c r="B3919" s="3319"/>
      <c r="C3919" s="3319" t="s">
        <v>2192</v>
      </c>
      <c r="D3919" s="3319"/>
      <c r="E3919" s="3317">
        <f t="shared" si="216"/>
        <v>0.18726591760299627</v>
      </c>
      <c r="F3919" s="3319">
        <v>6.51</v>
      </c>
      <c r="G3919" s="3323">
        <v>8.01</v>
      </c>
    </row>
    <row r="3920" spans="1:7">
      <c r="A3920" s="3324"/>
      <c r="B3920" s="3319"/>
      <c r="C3920" s="3319" t="s">
        <v>2194</v>
      </c>
      <c r="D3920" s="3319"/>
      <c r="E3920" s="3317">
        <f t="shared" si="216"/>
        <v>0.18726591760299627</v>
      </c>
      <c r="F3920" s="3319">
        <v>6.51</v>
      </c>
      <c r="G3920" s="3323">
        <v>8.01</v>
      </c>
    </row>
    <row r="3921" spans="1:7">
      <c r="A3921" s="3324"/>
      <c r="B3921" s="3319"/>
      <c r="C3921" s="3319" t="s">
        <v>2266</v>
      </c>
      <c r="D3921" s="3319"/>
      <c r="E3921" s="3317">
        <f t="shared" si="216"/>
        <v>0.18726591760299627</v>
      </c>
      <c r="F3921" s="3319">
        <v>6.51</v>
      </c>
      <c r="G3921" s="3323">
        <v>8.01</v>
      </c>
    </row>
    <row r="3922" spans="1:7">
      <c r="A3922" s="3324"/>
      <c r="B3922" s="3319"/>
      <c r="C3922" s="3319" t="s">
        <v>2359</v>
      </c>
      <c r="D3922" s="3319"/>
      <c r="E3922" s="3317">
        <f t="shared" si="216"/>
        <v>0.18726591760299627</v>
      </c>
      <c r="F3922" s="3354">
        <v>6.51</v>
      </c>
      <c r="G3922" s="3355">
        <v>8.01</v>
      </c>
    </row>
    <row r="3923" spans="1:7">
      <c r="A3923" s="3324"/>
      <c r="B3923" s="3319"/>
      <c r="C3923" s="3319" t="s">
        <v>4028</v>
      </c>
      <c r="D3923" s="3319"/>
      <c r="E3923" s="3317">
        <f t="shared" si="216"/>
        <v>0.19999999999999993</v>
      </c>
      <c r="F3923" s="3354">
        <v>1.36</v>
      </c>
      <c r="G3923" s="3355">
        <v>1.7</v>
      </c>
    </row>
    <row r="3924" spans="1:7">
      <c r="A3924" s="3324"/>
      <c r="B3924" s="3319"/>
      <c r="C3924" s="3319" t="s">
        <v>4029</v>
      </c>
      <c r="D3924" s="3319"/>
      <c r="E3924" s="3317">
        <f t="shared" si="216"/>
        <v>0.20075757575757583</v>
      </c>
      <c r="F3924" s="3354">
        <v>2.11</v>
      </c>
      <c r="G3924" s="3355">
        <v>2.64</v>
      </c>
    </row>
    <row r="3925" spans="1:7">
      <c r="A3925" s="3319"/>
      <c r="B3925" s="3319"/>
      <c r="C3925" s="3319" t="s">
        <v>4030</v>
      </c>
      <c r="D3925" s="3319"/>
      <c r="E3925" s="3317">
        <f t="shared" si="216"/>
        <v>0.20270270270270274</v>
      </c>
      <c r="F3925" s="3354">
        <v>1.18</v>
      </c>
      <c r="G3925" s="3354">
        <v>1.48</v>
      </c>
    </row>
    <row r="3926" spans="1:7">
      <c r="A3926" s="3319"/>
      <c r="B3926" s="3319"/>
      <c r="C3926" s="3319" t="s">
        <v>4031</v>
      </c>
      <c r="D3926" s="3319"/>
      <c r="E3926" s="3317">
        <f t="shared" si="216"/>
        <v>0.2</v>
      </c>
      <c r="F3926" s="3354">
        <v>2</v>
      </c>
      <c r="G3926" s="3354">
        <v>2.5</v>
      </c>
    </row>
    <row r="3927" spans="1:7" s="2885" customFormat="1">
      <c r="A3927" s="3483"/>
      <c r="B3927" s="3483"/>
      <c r="C3927" s="3483" t="s">
        <v>3985</v>
      </c>
      <c r="D3927" s="3483"/>
      <c r="E3927" s="3484">
        <f t="shared" si="216"/>
        <v>9.9912739965096101E-2</v>
      </c>
      <c r="F3927" s="3485">
        <v>20.63</v>
      </c>
      <c r="G3927" s="3485">
        <v>22.92</v>
      </c>
    </row>
    <row r="3928" spans="1:7" s="2885" customFormat="1">
      <c r="A3928" s="3483"/>
      <c r="B3928" s="3483"/>
      <c r="C3928" s="3483" t="s">
        <v>3984</v>
      </c>
      <c r="D3928" s="3483"/>
      <c r="E3928" s="3484">
        <f t="shared" si="216"/>
        <v>9.9912739965096101E-2</v>
      </c>
      <c r="F3928" s="3485">
        <v>20.63</v>
      </c>
      <c r="G3928" s="3485">
        <v>22.92</v>
      </c>
    </row>
    <row r="3929" spans="1:7" ht="15.75" thickBot="1"/>
    <row r="3930" spans="1:7">
      <c r="A3930" s="3614" t="s">
        <v>0</v>
      </c>
      <c r="B3930" s="3518" t="s">
        <v>1</v>
      </c>
      <c r="C3930" s="3518" t="s">
        <v>2</v>
      </c>
      <c r="D3930" s="3518" t="s">
        <v>3</v>
      </c>
      <c r="E3930" s="3518" t="s">
        <v>4</v>
      </c>
      <c r="F3930" s="3518" t="s">
        <v>5</v>
      </c>
      <c r="G3930" s="3522" t="s">
        <v>3504</v>
      </c>
    </row>
    <row r="3931" spans="1:7" ht="15.75" thickBot="1">
      <c r="A3931" s="3532"/>
      <c r="B3931" s="3519"/>
      <c r="C3931" s="3519"/>
      <c r="D3931" s="3519"/>
      <c r="E3931" s="3519"/>
      <c r="F3931" s="3519"/>
      <c r="G3931" s="3523"/>
    </row>
    <row r="3932" spans="1:7">
      <c r="A3932" s="3102" t="s">
        <v>4032</v>
      </c>
      <c r="B3932" s="2887" t="s">
        <v>460</v>
      </c>
      <c r="C3932" s="2401" t="s">
        <v>385</v>
      </c>
      <c r="D3932" s="2402"/>
      <c r="E3932" s="2888">
        <f t="shared" ref="E3932:E3933" si="217">(G3932-F3932)/G3932</f>
        <v>0.25954198473282447</v>
      </c>
      <c r="F3932" s="3239">
        <v>0.97</v>
      </c>
      <c r="G3932" s="3240">
        <v>1.31</v>
      </c>
    </row>
    <row r="3933" spans="1:7" ht="15.75" thickBot="1">
      <c r="A3933" s="3416"/>
      <c r="B3933" s="3417" t="s">
        <v>1674</v>
      </c>
      <c r="C3933" s="3418" t="s">
        <v>387</v>
      </c>
      <c r="D3933" s="3419"/>
      <c r="E3933" s="3330">
        <f t="shared" si="217"/>
        <v>0.25954198473282447</v>
      </c>
      <c r="F3933" s="3414">
        <v>0.97</v>
      </c>
      <c r="G3933" s="3415">
        <v>1.31</v>
      </c>
    </row>
    <row r="3935" spans="1:7">
      <c r="A3935" s="3533" t="s">
        <v>0</v>
      </c>
      <c r="B3935" s="3533" t="s">
        <v>1</v>
      </c>
      <c r="C3935" s="3533" t="s">
        <v>2</v>
      </c>
      <c r="D3935" s="3533" t="s">
        <v>3</v>
      </c>
      <c r="E3935" s="3533" t="s">
        <v>4</v>
      </c>
      <c r="F3935" s="3533" t="s">
        <v>5</v>
      </c>
      <c r="G3935" s="3533" t="s">
        <v>3504</v>
      </c>
    </row>
    <row r="3936" spans="1:7">
      <c r="A3936" s="3533"/>
      <c r="B3936" s="3533"/>
      <c r="C3936" s="3533"/>
      <c r="D3936" s="3533"/>
      <c r="E3936" s="3533"/>
      <c r="F3936" s="3533"/>
      <c r="G3936" s="3533"/>
    </row>
    <row r="3937" spans="1:7">
      <c r="A3937" s="3486" t="s">
        <v>4038</v>
      </c>
      <c r="B3937" s="3487" t="s">
        <v>3979</v>
      </c>
      <c r="C3937" s="3488" t="s">
        <v>4033</v>
      </c>
      <c r="D3937" s="3487"/>
      <c r="E3937" s="3489">
        <f>(G3937-F3937)/G3937</f>
        <v>0.300438596491228</v>
      </c>
      <c r="F3937" s="3490">
        <v>3.19</v>
      </c>
      <c r="G3937" s="3491">
        <v>4.5599999999999996</v>
      </c>
    </row>
    <row r="3938" spans="1:7" ht="14.65" customHeight="1">
      <c r="A3938" s="3491"/>
      <c r="B3938" s="3487"/>
      <c r="C3938" s="3492" t="s">
        <v>3244</v>
      </c>
      <c r="D3938" s="3487"/>
      <c r="E3938" s="3493">
        <f>(G3938-F3938)/G3938</f>
        <v>0.29949874686716799</v>
      </c>
      <c r="F3938" s="3490">
        <v>5.59</v>
      </c>
      <c r="G3938" s="3491">
        <v>7.98</v>
      </c>
    </row>
    <row r="3939" spans="1:7">
      <c r="A3939" s="3494"/>
      <c r="B3939" s="3494"/>
      <c r="C3939" s="3494" t="s">
        <v>3245</v>
      </c>
      <c r="D3939" s="3494"/>
      <c r="E3939" s="3493">
        <f>(G3939-F3939)/G3939</f>
        <v>0.29949874686716799</v>
      </c>
      <c r="F3939" s="3494">
        <v>5.59</v>
      </c>
      <c r="G3939" s="3494">
        <v>7.98</v>
      </c>
    </row>
    <row r="3940" spans="1:7">
      <c r="A3940" s="3494"/>
      <c r="B3940" s="3494"/>
      <c r="C3940" s="3494" t="s">
        <v>3246</v>
      </c>
      <c r="D3940" s="3494"/>
      <c r="E3940" s="3493">
        <f t="shared" ref="E3940:E3964" si="218">(G3940-F3940)/G3940</f>
        <v>0.29949874686716799</v>
      </c>
      <c r="F3940" s="3494">
        <v>5.59</v>
      </c>
      <c r="G3940" s="3494">
        <v>7.98</v>
      </c>
    </row>
    <row r="3941" spans="1:7">
      <c r="A3941" s="3494"/>
      <c r="B3941" s="3494"/>
      <c r="C3941" s="3494" t="s">
        <v>3247</v>
      </c>
      <c r="D3941" s="3494"/>
      <c r="E3941" s="3493">
        <f t="shared" si="218"/>
        <v>0.29949874686716799</v>
      </c>
      <c r="F3941" s="3494">
        <v>5.59</v>
      </c>
      <c r="G3941" s="3494">
        <v>7.98</v>
      </c>
    </row>
    <row r="3942" spans="1:7">
      <c r="A3942" s="3494"/>
      <c r="B3942" s="3494"/>
      <c r="C3942" s="3494" t="s">
        <v>3248</v>
      </c>
      <c r="D3942" s="3494"/>
      <c r="E3942" s="3493">
        <f t="shared" si="218"/>
        <v>0.29949874686716799</v>
      </c>
      <c r="F3942" s="3494">
        <v>5.59</v>
      </c>
      <c r="G3942" s="3494">
        <v>7.98</v>
      </c>
    </row>
    <row r="3943" spans="1:7">
      <c r="A3943" s="3494"/>
      <c r="B3943" s="3494"/>
      <c r="C3943" s="3494" t="s">
        <v>3249</v>
      </c>
      <c r="D3943" s="3494"/>
      <c r="E3943" s="3493">
        <f t="shared" si="218"/>
        <v>0.29949874686716799</v>
      </c>
      <c r="F3943" s="3494">
        <v>5.59</v>
      </c>
      <c r="G3943" s="3494">
        <v>7.98</v>
      </c>
    </row>
    <row r="3944" spans="1:7">
      <c r="A3944" s="3494"/>
      <c r="B3944" s="3494"/>
      <c r="C3944" s="3494" t="s">
        <v>3250</v>
      </c>
      <c r="D3944" s="3494"/>
      <c r="E3944" s="3493">
        <f t="shared" si="218"/>
        <v>0.29949874686716799</v>
      </c>
      <c r="F3944" s="3494">
        <v>5.59</v>
      </c>
      <c r="G3944" s="3494">
        <v>7.98</v>
      </c>
    </row>
    <row r="3945" spans="1:7">
      <c r="A3945" s="3494"/>
      <c r="B3945" s="3494"/>
      <c r="C3945" s="3494" t="s">
        <v>3251</v>
      </c>
      <c r="D3945" s="3494"/>
      <c r="E3945" s="3493">
        <f t="shared" si="218"/>
        <v>0.29949874686716799</v>
      </c>
      <c r="F3945" s="3494">
        <v>5.59</v>
      </c>
      <c r="G3945" s="3494">
        <v>7.98</v>
      </c>
    </row>
    <row r="3946" spans="1:7">
      <c r="A3946" s="3494"/>
      <c r="B3946" s="3494"/>
      <c r="C3946" s="3494" t="s">
        <v>3252</v>
      </c>
      <c r="D3946" s="3494"/>
      <c r="E3946" s="3493">
        <f t="shared" si="218"/>
        <v>0.29949874686716799</v>
      </c>
      <c r="F3946" s="3494">
        <v>5.59</v>
      </c>
      <c r="G3946" s="3494">
        <v>7.98</v>
      </c>
    </row>
    <row r="3947" spans="1:7">
      <c r="A3947" s="3494"/>
      <c r="B3947" s="3494"/>
      <c r="C3947" s="3494" t="s">
        <v>2192</v>
      </c>
      <c r="D3947" s="3494"/>
      <c r="E3947" s="3493">
        <f t="shared" si="218"/>
        <v>0.1999999999999999</v>
      </c>
      <c r="F3947" s="3494">
        <v>6.48</v>
      </c>
      <c r="G3947" s="3494">
        <v>8.1</v>
      </c>
    </row>
    <row r="3948" spans="1:7">
      <c r="A3948" s="3494"/>
      <c r="B3948" s="3494"/>
      <c r="C3948" s="3494" t="s">
        <v>2194</v>
      </c>
      <c r="D3948" s="3494"/>
      <c r="E3948" s="3493">
        <f t="shared" si="218"/>
        <v>0.1999999999999999</v>
      </c>
      <c r="F3948" s="3494">
        <v>6.48</v>
      </c>
      <c r="G3948" s="3494">
        <v>8.1</v>
      </c>
    </row>
    <row r="3949" spans="1:7">
      <c r="A3949" s="3494"/>
      <c r="B3949" s="3494"/>
      <c r="C3949" s="3494" t="s">
        <v>2359</v>
      </c>
      <c r="D3949" s="3494"/>
      <c r="E3949" s="3493">
        <f t="shared" si="218"/>
        <v>0.1999999999999999</v>
      </c>
      <c r="F3949" s="3494">
        <v>6.48</v>
      </c>
      <c r="G3949" s="3494">
        <v>8.1</v>
      </c>
    </row>
    <row r="3950" spans="1:7">
      <c r="A3950" s="3494"/>
      <c r="B3950" s="3494"/>
      <c r="C3950" s="3494" t="s">
        <v>3561</v>
      </c>
      <c r="D3950" s="3494"/>
      <c r="E3950" s="3493">
        <f t="shared" si="218"/>
        <v>0.14977477477477488</v>
      </c>
      <c r="F3950" s="3494">
        <v>7.55</v>
      </c>
      <c r="G3950" s="3494">
        <v>8.8800000000000008</v>
      </c>
    </row>
    <row r="3951" spans="1:7">
      <c r="A3951" s="3494"/>
      <c r="B3951" s="3494"/>
      <c r="C3951" s="3494" t="s">
        <v>3562</v>
      </c>
      <c r="D3951" s="3494"/>
      <c r="E3951" s="3493">
        <f t="shared" si="218"/>
        <v>0.14977477477477488</v>
      </c>
      <c r="F3951" s="3494">
        <v>7.55</v>
      </c>
      <c r="G3951" s="3494">
        <v>8.8800000000000008</v>
      </c>
    </row>
    <row r="3952" spans="1:7">
      <c r="A3952" s="3494"/>
      <c r="B3952" s="3494"/>
      <c r="C3952" s="3494" t="s">
        <v>1891</v>
      </c>
      <c r="D3952" s="3494"/>
      <c r="E3952" s="3493">
        <f t="shared" si="218"/>
        <v>0.24324324324324317</v>
      </c>
      <c r="F3952" s="3494">
        <v>1.1200000000000001</v>
      </c>
      <c r="G3952" s="3494">
        <v>1.48</v>
      </c>
    </row>
    <row r="3953" spans="1:7">
      <c r="A3953" s="3494"/>
      <c r="B3953" s="3494"/>
      <c r="C3953" s="3494" t="s">
        <v>2284</v>
      </c>
      <c r="D3953" s="3494"/>
      <c r="E3953" s="3493">
        <f t="shared" si="218"/>
        <v>0.22992700729927018</v>
      </c>
      <c r="F3953" s="3494">
        <v>2.11</v>
      </c>
      <c r="G3953" s="3494">
        <v>2.74</v>
      </c>
    </row>
    <row r="3954" spans="1:7">
      <c r="A3954" s="3494"/>
      <c r="B3954" s="3494"/>
      <c r="C3954" s="3494" t="s">
        <v>2743</v>
      </c>
      <c r="D3954" s="3494"/>
      <c r="E3954" s="3493">
        <f t="shared" si="218"/>
        <v>0.22222222222222229</v>
      </c>
      <c r="F3954" s="3494">
        <v>0.7</v>
      </c>
      <c r="G3954" s="3494">
        <v>0.9</v>
      </c>
    </row>
    <row r="3955" spans="1:7">
      <c r="A3955" s="3494"/>
      <c r="B3955" s="3494"/>
      <c r="C3955" s="3494" t="s">
        <v>2717</v>
      </c>
      <c r="D3955" s="3494"/>
      <c r="E3955" s="3493">
        <f t="shared" si="218"/>
        <v>0.1983805668016195</v>
      </c>
      <c r="F3955" s="3494">
        <v>1.98</v>
      </c>
      <c r="G3955" s="3494">
        <v>2.4700000000000002</v>
      </c>
    </row>
    <row r="3956" spans="1:7">
      <c r="A3956" s="3494"/>
      <c r="B3956" s="3494"/>
      <c r="C3956" s="3494" t="s">
        <v>4034</v>
      </c>
      <c r="D3956" s="3494"/>
      <c r="E3956" s="3493">
        <f t="shared" si="218"/>
        <v>0.23886953155245833</v>
      </c>
      <c r="F3956" s="3494">
        <v>19.66</v>
      </c>
      <c r="G3956" s="3494">
        <v>25.83</v>
      </c>
    </row>
    <row r="3957" spans="1:7">
      <c r="A3957" s="3494"/>
      <c r="B3957" s="3494"/>
      <c r="C3957" s="3494" t="s">
        <v>4035</v>
      </c>
      <c r="D3957" s="3494"/>
      <c r="E3957" s="3493">
        <f t="shared" si="218"/>
        <v>0.23886953155245833</v>
      </c>
      <c r="F3957" s="3494">
        <v>19.66</v>
      </c>
      <c r="G3957" s="3494">
        <v>25.83</v>
      </c>
    </row>
    <row r="3958" spans="1:7">
      <c r="A3958" s="3494"/>
      <c r="B3958" s="3494"/>
      <c r="C3958" s="3494" t="s">
        <v>4036</v>
      </c>
      <c r="D3958" s="3494"/>
      <c r="E3958" s="3493">
        <f t="shared" si="218"/>
        <v>0.23886953155245833</v>
      </c>
      <c r="F3958" s="3494">
        <v>19.66</v>
      </c>
      <c r="G3958" s="3494">
        <v>25.83</v>
      </c>
    </row>
    <row r="3959" spans="1:7">
      <c r="A3959" s="3494"/>
      <c r="B3959" s="3494"/>
      <c r="C3959" s="3494" t="s">
        <v>4037</v>
      </c>
      <c r="D3959" s="3494"/>
      <c r="E3959" s="3493">
        <f t="shared" si="218"/>
        <v>0.23886953155245833</v>
      </c>
      <c r="F3959" s="3494">
        <v>19.66</v>
      </c>
      <c r="G3959" s="3494">
        <v>25.83</v>
      </c>
    </row>
    <row r="3960" spans="1:7">
      <c r="A3960" s="3494"/>
      <c r="B3960" s="3494"/>
      <c r="C3960" s="3494" t="s">
        <v>2066</v>
      </c>
      <c r="D3960" s="3494"/>
      <c r="E3960" s="3493">
        <f t="shared" si="218"/>
        <v>0.16766467065868265</v>
      </c>
      <c r="F3960" s="3494">
        <v>1.39</v>
      </c>
      <c r="G3960" s="3494">
        <v>1.67</v>
      </c>
    </row>
    <row r="3961" spans="1:7">
      <c r="A3961" s="3494"/>
      <c r="B3961" s="3494"/>
      <c r="C3961" s="3494" t="s">
        <v>2115</v>
      </c>
      <c r="D3961" s="3494"/>
      <c r="E3961" s="3493">
        <f t="shared" si="218"/>
        <v>0.16766467065868265</v>
      </c>
      <c r="F3961" s="3494">
        <v>1.39</v>
      </c>
      <c r="G3961" s="3494">
        <v>1.67</v>
      </c>
    </row>
    <row r="3962" spans="1:7">
      <c r="A3962" s="3494"/>
      <c r="B3962" s="3494"/>
      <c r="C3962" s="3494" t="s">
        <v>517</v>
      </c>
      <c r="D3962" s="3494"/>
      <c r="E3962" s="3493">
        <f t="shared" si="218"/>
        <v>0.10738255033557041</v>
      </c>
      <c r="F3962" s="3494">
        <v>1.33</v>
      </c>
      <c r="G3962" s="3494">
        <v>1.49</v>
      </c>
    </row>
    <row r="3963" spans="1:7">
      <c r="A3963" s="3494"/>
      <c r="B3963" s="3494"/>
      <c r="C3963" s="3494" t="s">
        <v>3765</v>
      </c>
      <c r="D3963" s="3494"/>
      <c r="E3963" s="3493">
        <f t="shared" si="218"/>
        <v>0.10051993067590974</v>
      </c>
      <c r="F3963" s="3494">
        <v>5.19</v>
      </c>
      <c r="G3963" s="3494">
        <v>5.77</v>
      </c>
    </row>
    <row r="3964" spans="1:7">
      <c r="A3964" s="3494"/>
      <c r="B3964" s="3494"/>
      <c r="C3964" s="3494" t="s">
        <v>3767</v>
      </c>
      <c r="D3964" s="3494"/>
      <c r="E3964" s="3493">
        <f t="shared" si="218"/>
        <v>0.10051993067590974</v>
      </c>
      <c r="F3964" s="3494">
        <v>5.19</v>
      </c>
      <c r="G3964" s="3494">
        <v>5.77</v>
      </c>
    </row>
    <row r="3965" spans="1:7" ht="15.75" thickBot="1"/>
    <row r="3966" spans="1:7">
      <c r="A3966" s="3614" t="s">
        <v>0</v>
      </c>
      <c r="B3966" s="3518" t="s">
        <v>1</v>
      </c>
      <c r="C3966" s="3518" t="s">
        <v>2</v>
      </c>
      <c r="D3966" s="3518" t="s">
        <v>3</v>
      </c>
      <c r="E3966" s="3518" t="s">
        <v>4</v>
      </c>
      <c r="F3966" s="3518" t="s">
        <v>5</v>
      </c>
      <c r="G3966" s="3522" t="s">
        <v>3504</v>
      </c>
    </row>
    <row r="3967" spans="1:7" ht="15.75" thickBot="1">
      <c r="A3967" s="3894"/>
      <c r="B3967" s="3546"/>
      <c r="C3967" s="3546"/>
      <c r="D3967" s="3546"/>
      <c r="E3967" s="3546"/>
      <c r="F3967" s="3546"/>
      <c r="G3967" s="3548"/>
    </row>
    <row r="3968" spans="1:7">
      <c r="A3968" s="3477" t="s">
        <v>4039</v>
      </c>
      <c r="B3968" s="2072" t="s">
        <v>2183</v>
      </c>
      <c r="C3968" s="3478" t="s">
        <v>2602</v>
      </c>
      <c r="D3968" s="3479"/>
      <c r="E3968" s="3480">
        <f>(G3968-F3968)/G3968</f>
        <v>0.2</v>
      </c>
      <c r="F3968" s="3481">
        <v>2.84</v>
      </c>
      <c r="G3968" s="3482">
        <v>3.55</v>
      </c>
    </row>
    <row r="3969" spans="1:7">
      <c r="A3969" s="3322"/>
      <c r="B3969" s="3320"/>
      <c r="C3969" s="3319" t="s">
        <v>2558</v>
      </c>
      <c r="D3969" s="3319"/>
      <c r="E3969" s="3317">
        <f t="shared" ref="E3969:E3988" si="219">(G3969-F3969)/G3969</f>
        <v>0.2</v>
      </c>
      <c r="F3969" s="3407">
        <v>2.84</v>
      </c>
      <c r="G3969" s="3355">
        <v>3.55</v>
      </c>
    </row>
    <row r="3970" spans="1:7">
      <c r="A3970" s="3324"/>
      <c r="B3970" s="3319"/>
      <c r="C3970" s="3319" t="s">
        <v>2603</v>
      </c>
      <c r="D3970" s="3319"/>
      <c r="E3970" s="3317">
        <f t="shared" si="219"/>
        <v>0.2</v>
      </c>
      <c r="F3970" s="3319">
        <v>2.84</v>
      </c>
      <c r="G3970" s="3355">
        <v>3.55</v>
      </c>
    </row>
    <row r="3971" spans="1:7">
      <c r="A3971" s="3324"/>
      <c r="B3971" s="3319"/>
      <c r="C3971" s="3319" t="s">
        <v>2559</v>
      </c>
      <c r="D3971" s="3319"/>
      <c r="E3971" s="3317">
        <f t="shared" si="219"/>
        <v>0.2</v>
      </c>
      <c r="F3971" s="3319">
        <v>2.84</v>
      </c>
      <c r="G3971" s="3355">
        <v>3.55</v>
      </c>
    </row>
    <row r="3972" spans="1:7">
      <c r="A3972" s="3324"/>
      <c r="B3972" s="3319"/>
      <c r="C3972" s="3319" t="s">
        <v>623</v>
      </c>
      <c r="D3972" s="3319"/>
      <c r="E3972" s="3317">
        <f t="shared" si="219"/>
        <v>0.19806763285024151</v>
      </c>
      <c r="F3972" s="3354">
        <v>1.66</v>
      </c>
      <c r="G3972" s="3356">
        <v>2.0699999999999998</v>
      </c>
    </row>
    <row r="3973" spans="1:7">
      <c r="A3973" s="3324"/>
      <c r="B3973" s="3319"/>
      <c r="C3973" s="3319" t="s">
        <v>3328</v>
      </c>
      <c r="D3973" s="3319"/>
      <c r="E3973" s="3317">
        <f t="shared" si="219"/>
        <v>0.19927536231884052</v>
      </c>
      <c r="F3973" s="3319">
        <v>2.21</v>
      </c>
      <c r="G3973" s="3356">
        <v>2.76</v>
      </c>
    </row>
    <row r="3974" spans="1:7">
      <c r="A3974" s="3324"/>
      <c r="B3974" s="3319"/>
      <c r="C3974" s="3319" t="s">
        <v>3324</v>
      </c>
      <c r="D3974" s="3319"/>
      <c r="E3974" s="3317">
        <f t="shared" si="219"/>
        <v>0.19927536231884052</v>
      </c>
      <c r="F3974" s="3319">
        <v>2.21</v>
      </c>
      <c r="G3974" s="3356">
        <v>2.76</v>
      </c>
    </row>
    <row r="3975" spans="1:7">
      <c r="A3975" s="3324"/>
      <c r="B3975" s="3319"/>
      <c r="C3975" s="3319" t="s">
        <v>3325</v>
      </c>
      <c r="D3975" s="3319"/>
      <c r="E3975" s="3317">
        <f t="shared" si="219"/>
        <v>0.19927536231884052</v>
      </c>
      <c r="F3975" s="3319">
        <v>2.21</v>
      </c>
      <c r="G3975" s="3356">
        <v>2.76</v>
      </c>
    </row>
    <row r="3976" spans="1:7">
      <c r="A3976" s="3324"/>
      <c r="B3976" s="3319"/>
      <c r="C3976" s="3319" t="s">
        <v>3326</v>
      </c>
      <c r="D3976" s="3319"/>
      <c r="E3976" s="3317">
        <f t="shared" si="219"/>
        <v>0.19927536231884052</v>
      </c>
      <c r="F3976" s="3319">
        <v>2.21</v>
      </c>
      <c r="G3976" s="3356">
        <v>2.76</v>
      </c>
    </row>
    <row r="3977" spans="1:7">
      <c r="A3977" s="3324"/>
      <c r="B3977" s="3319"/>
      <c r="C3977" s="3319" t="s">
        <v>3327</v>
      </c>
      <c r="D3977" s="3319"/>
      <c r="E3977" s="3317">
        <f t="shared" si="219"/>
        <v>0.19927536231884052</v>
      </c>
      <c r="F3977" s="3319">
        <v>2.21</v>
      </c>
      <c r="G3977" s="3356">
        <v>2.76</v>
      </c>
    </row>
    <row r="3978" spans="1:7">
      <c r="A3978" s="3324"/>
      <c r="B3978" s="3319"/>
      <c r="C3978" s="3319" t="s">
        <v>3329</v>
      </c>
      <c r="D3978" s="3319"/>
      <c r="E3978" s="3317">
        <f t="shared" si="219"/>
        <v>0.19927536231884052</v>
      </c>
      <c r="F3978" s="3319">
        <v>2.21</v>
      </c>
      <c r="G3978" s="3356">
        <v>2.76</v>
      </c>
    </row>
    <row r="3979" spans="1:7">
      <c r="A3979" s="3324"/>
      <c r="B3979" s="3319"/>
      <c r="C3979" s="3319" t="s">
        <v>3561</v>
      </c>
      <c r="D3979" s="3319"/>
      <c r="E3979" s="3317">
        <f t="shared" si="219"/>
        <v>0.20045045045045057</v>
      </c>
      <c r="F3979" s="3319">
        <v>7.1</v>
      </c>
      <c r="G3979" s="3356">
        <v>8.8800000000000008</v>
      </c>
    </row>
    <row r="3980" spans="1:7">
      <c r="A3980" s="3324"/>
      <c r="B3980" s="3319"/>
      <c r="C3980" s="3319" t="s">
        <v>2359</v>
      </c>
      <c r="D3980" s="3319"/>
      <c r="E3980" s="3317">
        <f t="shared" si="219"/>
        <v>0.18726591760299627</v>
      </c>
      <c r="F3980" s="3319">
        <v>6.51</v>
      </c>
      <c r="G3980" s="3323">
        <v>8.01</v>
      </c>
    </row>
    <row r="3981" spans="1:7">
      <c r="A3981" s="3324"/>
      <c r="B3981" s="3319"/>
      <c r="C3981" s="3319" t="s">
        <v>2192</v>
      </c>
      <c r="D3981" s="3319"/>
      <c r="E3981" s="3317">
        <f t="shared" si="219"/>
        <v>0.18726591760299627</v>
      </c>
      <c r="F3981" s="3319">
        <v>6.51</v>
      </c>
      <c r="G3981" s="3323">
        <v>8.01</v>
      </c>
    </row>
    <row r="3982" spans="1:7">
      <c r="A3982" s="3324"/>
      <c r="B3982" s="3319"/>
      <c r="C3982" s="3319" t="s">
        <v>2194</v>
      </c>
      <c r="D3982" s="3319"/>
      <c r="E3982" s="3317">
        <f t="shared" si="219"/>
        <v>0.18726591760299627</v>
      </c>
      <c r="F3982" s="3319">
        <v>6.51</v>
      </c>
      <c r="G3982" s="3323">
        <v>8.01</v>
      </c>
    </row>
    <row r="3983" spans="1:7">
      <c r="A3983" s="3324"/>
      <c r="B3983" s="3319"/>
      <c r="C3983" s="3319" t="s">
        <v>2266</v>
      </c>
      <c r="D3983" s="3319"/>
      <c r="E3983" s="3317">
        <f t="shared" si="219"/>
        <v>0.18726591760299627</v>
      </c>
      <c r="F3983" s="3319">
        <v>6.51</v>
      </c>
      <c r="G3983" s="3323">
        <v>8.01</v>
      </c>
    </row>
    <row r="3984" spans="1:7">
      <c r="A3984" s="3324"/>
      <c r="B3984" s="3319"/>
      <c r="C3984" s="3319" t="s">
        <v>3985</v>
      </c>
      <c r="D3984" s="3319"/>
      <c r="E3984" s="3317">
        <f t="shared" si="219"/>
        <v>9.9912739965096101E-2</v>
      </c>
      <c r="F3984" s="3319">
        <v>20.63</v>
      </c>
      <c r="G3984" s="3323">
        <v>22.92</v>
      </c>
    </row>
    <row r="3985" spans="1:7">
      <c r="A3985" s="3324"/>
      <c r="B3985" s="3319"/>
      <c r="C3985" s="3319" t="s">
        <v>3984</v>
      </c>
      <c r="D3985" s="3319"/>
      <c r="E3985" s="3317">
        <f t="shared" si="219"/>
        <v>9.9912739965096101E-2</v>
      </c>
      <c r="F3985" s="3319">
        <v>20.63</v>
      </c>
      <c r="G3985" s="3323">
        <v>22.92</v>
      </c>
    </row>
    <row r="3986" spans="1:7">
      <c r="A3986" s="3324"/>
      <c r="B3986" s="3319"/>
      <c r="C3986" s="3319" t="s">
        <v>2455</v>
      </c>
      <c r="D3986" s="3319"/>
      <c r="E3986" s="3317">
        <f t="shared" si="219"/>
        <v>0.20197044334975356</v>
      </c>
      <c r="F3986" s="3354">
        <v>1.62</v>
      </c>
      <c r="G3986" s="3355">
        <v>2.0299999999999998</v>
      </c>
    </row>
    <row r="3987" spans="1:7">
      <c r="A3987" s="3324"/>
      <c r="B3987" s="3319"/>
      <c r="C3987" s="3319" t="s">
        <v>2176</v>
      </c>
      <c r="D3987" s="3319"/>
      <c r="E3987" s="3317">
        <f t="shared" si="219"/>
        <v>0.1985559566787003</v>
      </c>
      <c r="F3987" s="3354">
        <v>2.2200000000000002</v>
      </c>
      <c r="G3987" s="3355">
        <v>2.77</v>
      </c>
    </row>
    <row r="3988" spans="1:7" ht="15.75" thickBot="1">
      <c r="A3988" s="3327"/>
      <c r="B3988" s="3328"/>
      <c r="C3988" s="3328" t="s">
        <v>3974</v>
      </c>
      <c r="D3988" s="3328"/>
      <c r="E3988" s="3330">
        <f t="shared" si="219"/>
        <v>0.15357142857142847</v>
      </c>
      <c r="F3988" s="3343">
        <v>2.37</v>
      </c>
      <c r="G3988" s="3415">
        <v>2.8</v>
      </c>
    </row>
    <row r="3989" spans="1:7" ht="15.75" thickBot="1"/>
    <row r="3990" spans="1:7">
      <c r="A3990" s="3614" t="s">
        <v>0</v>
      </c>
      <c r="B3990" s="3518" t="s">
        <v>1</v>
      </c>
      <c r="C3990" s="3518" t="s">
        <v>2</v>
      </c>
      <c r="D3990" s="3518" t="s">
        <v>3</v>
      </c>
      <c r="E3990" s="3518" t="s">
        <v>4</v>
      </c>
      <c r="F3990" s="3518" t="s">
        <v>5</v>
      </c>
      <c r="G3990" s="3522" t="s">
        <v>3504</v>
      </c>
    </row>
    <row r="3991" spans="1:7" ht="15.75" thickBot="1">
      <c r="A3991" s="3894"/>
      <c r="B3991" s="3546"/>
      <c r="C3991" s="3546"/>
      <c r="D3991" s="3546"/>
      <c r="E3991" s="3546"/>
      <c r="F3991" s="3546"/>
      <c r="G3991" s="3548"/>
    </row>
    <row r="3992" spans="1:7" ht="15.75" thickBot="1">
      <c r="A3992" s="3503" t="s">
        <v>4044</v>
      </c>
      <c r="B3992" s="873" t="s">
        <v>1593</v>
      </c>
      <c r="C3992" s="3504" t="s">
        <v>1904</v>
      </c>
      <c r="D3992" s="3505"/>
      <c r="E3992" s="785">
        <f>(G3992-F3992)/G3992</f>
        <v>0.19999999999999998</v>
      </c>
      <c r="F3992" s="3506">
        <v>1.64</v>
      </c>
      <c r="G3992" s="3507">
        <v>2.0499999999999998</v>
      </c>
    </row>
    <row r="3993" spans="1:7" ht="15.75" thickBot="1"/>
    <row r="3994" spans="1:7">
      <c r="A3994" s="3614" t="s">
        <v>0</v>
      </c>
      <c r="B3994" s="3518" t="s">
        <v>1</v>
      </c>
      <c r="C3994" s="3518" t="s">
        <v>2</v>
      </c>
      <c r="D3994" s="3518" t="s">
        <v>3</v>
      </c>
      <c r="E3994" s="3518" t="s">
        <v>4</v>
      </c>
      <c r="F3994" s="3518" t="s">
        <v>5</v>
      </c>
      <c r="G3994" s="3522" t="s">
        <v>3504</v>
      </c>
    </row>
    <row r="3995" spans="1:7">
      <c r="A3995" s="3895"/>
      <c r="B3995" s="3533"/>
      <c r="C3995" s="3533"/>
      <c r="D3995" s="3533"/>
      <c r="E3995" s="3533"/>
      <c r="F3995" s="3533"/>
      <c r="G3995" s="3896"/>
    </row>
    <row r="3996" spans="1:7">
      <c r="A3996" s="3326" t="s">
        <v>4043</v>
      </c>
      <c r="B3996" s="3336" t="s">
        <v>3929</v>
      </c>
      <c r="C3996" s="3332" t="s">
        <v>1374</v>
      </c>
      <c r="D3996" s="3316"/>
      <c r="E3996" s="3317" t="e">
        <f>(G3996-F3996)/G3996</f>
        <v>#VALUE!</v>
      </c>
      <c r="F3996" s="3407">
        <v>1.1200000000000001</v>
      </c>
      <c r="G3996" s="3431" t="s">
        <v>1903</v>
      </c>
    </row>
    <row r="3997" spans="1:7">
      <c r="A3997" s="3324"/>
      <c r="B3997" s="3319"/>
      <c r="C3997" s="3319" t="s">
        <v>1301</v>
      </c>
      <c r="D3997" s="3319"/>
      <c r="E3997" s="3317" t="e">
        <f t="shared" ref="E3997:E4000" si="220">(G3997-F3997)/G3997</f>
        <v>#VALUE!</v>
      </c>
      <c r="F3997" s="3319">
        <v>1.1200000000000001</v>
      </c>
      <c r="G3997" s="3431" t="s">
        <v>1903</v>
      </c>
    </row>
    <row r="3998" spans="1:7">
      <c r="A3998" s="3324"/>
      <c r="B3998" s="3319"/>
      <c r="C3998" s="3319" t="s">
        <v>1904</v>
      </c>
      <c r="D3998" s="3319"/>
      <c r="E3998" s="3317" t="e">
        <f t="shared" si="220"/>
        <v>#VALUE!</v>
      </c>
      <c r="F3998" s="3319">
        <v>1.72</v>
      </c>
      <c r="G3998" s="3431" t="s">
        <v>1903</v>
      </c>
    </row>
    <row r="3999" spans="1:7">
      <c r="A3999" s="3324"/>
      <c r="B3999" s="3319"/>
      <c r="C3999" s="3319" t="s">
        <v>2021</v>
      </c>
      <c r="D3999" s="3319"/>
      <c r="E3999" s="3317" t="e">
        <f t="shared" si="220"/>
        <v>#VALUE!</v>
      </c>
      <c r="F3999" s="3319">
        <v>1.72</v>
      </c>
      <c r="G3999" s="3431" t="s">
        <v>1903</v>
      </c>
    </row>
    <row r="4000" spans="1:7" ht="15.75" thickBot="1">
      <c r="A4000" s="3327"/>
      <c r="B4000" s="3328"/>
      <c r="C4000" s="3328" t="s">
        <v>1905</v>
      </c>
      <c r="D4000" s="3328"/>
      <c r="E4000" s="3317" t="e">
        <f t="shared" si="220"/>
        <v>#VALUE!</v>
      </c>
      <c r="F4000" s="3328">
        <v>1.72</v>
      </c>
      <c r="G4000" s="3432" t="s">
        <v>1903</v>
      </c>
    </row>
    <row r="4001" spans="1:7" ht="15.75" thickBot="1"/>
    <row r="4002" spans="1:7">
      <c r="A4002" s="3614" t="s">
        <v>0</v>
      </c>
      <c r="B4002" s="3518" t="s">
        <v>1</v>
      </c>
      <c r="C4002" s="3518" t="s">
        <v>2</v>
      </c>
      <c r="D4002" s="3518" t="s">
        <v>3</v>
      </c>
      <c r="E4002" s="3518" t="s">
        <v>4</v>
      </c>
      <c r="F4002" s="3518" t="s">
        <v>5</v>
      </c>
      <c r="G4002" s="3522" t="s">
        <v>3504</v>
      </c>
    </row>
    <row r="4003" spans="1:7" ht="15.75" thickBot="1">
      <c r="A4003" s="3532"/>
      <c r="B4003" s="3519"/>
      <c r="C4003" s="3519"/>
      <c r="D4003" s="3519"/>
      <c r="E4003" s="3519"/>
      <c r="F4003" s="3519"/>
      <c r="G4003" s="3523"/>
    </row>
    <row r="4004" spans="1:7">
      <c r="A4004" s="3102" t="s">
        <v>4046</v>
      </c>
      <c r="B4004" s="2887" t="s">
        <v>460</v>
      </c>
      <c r="C4004" s="2401" t="s">
        <v>3487</v>
      </c>
      <c r="D4004" s="2402"/>
      <c r="E4004" s="2888">
        <f t="shared" ref="E4004:E4005" si="221">(G4004-F4004)/G4004</f>
        <v>0.37048192771084337</v>
      </c>
      <c r="F4004" s="3239">
        <v>2.09</v>
      </c>
      <c r="G4004" s="3240">
        <v>3.32</v>
      </c>
    </row>
    <row r="4005" spans="1:7" ht="15.75" thickBot="1">
      <c r="A4005" s="3416"/>
      <c r="B4005" s="3417" t="s">
        <v>1674</v>
      </c>
      <c r="C4005" s="3418" t="s">
        <v>3490</v>
      </c>
      <c r="D4005" s="3419"/>
      <c r="E4005" s="3330">
        <f t="shared" si="221"/>
        <v>0.37048192771084337</v>
      </c>
      <c r="F4005" s="3414">
        <v>2.09</v>
      </c>
      <c r="G4005" s="3415">
        <v>3.32</v>
      </c>
    </row>
    <row r="4006" spans="1:7" ht="15.75" thickBot="1"/>
    <row r="4007" spans="1:7">
      <c r="A4007" s="3614" t="s">
        <v>0</v>
      </c>
      <c r="B4007" s="3518" t="s">
        <v>1</v>
      </c>
      <c r="C4007" s="3518" t="s">
        <v>2</v>
      </c>
      <c r="D4007" s="3518" t="s">
        <v>3</v>
      </c>
      <c r="E4007" s="3518" t="s">
        <v>4</v>
      </c>
      <c r="F4007" s="3518" t="s">
        <v>5</v>
      </c>
      <c r="G4007" s="3522" t="s">
        <v>3504</v>
      </c>
    </row>
    <row r="4008" spans="1:7" ht="15.75" thickBot="1">
      <c r="A4008" s="3532"/>
      <c r="B4008" s="3519"/>
      <c r="C4008" s="3519"/>
      <c r="D4008" s="3519"/>
      <c r="E4008" s="3519"/>
      <c r="F4008" s="3519"/>
      <c r="G4008" s="3523"/>
    </row>
    <row r="4009" spans="1:7">
      <c r="A4009" s="3102" t="s">
        <v>4047</v>
      </c>
      <c r="B4009" s="2400" t="s">
        <v>2155</v>
      </c>
      <c r="C4009" s="2401" t="s">
        <v>1058</v>
      </c>
      <c r="D4009" s="2402"/>
      <c r="E4009" s="2888">
        <f t="shared" ref="E4009:E4011" si="222">(G4009-F4009)/G4009</f>
        <v>0.24137931034482749</v>
      </c>
      <c r="F4009" s="3239">
        <v>1.54</v>
      </c>
      <c r="G4009" s="881">
        <v>2.0299999999999998</v>
      </c>
    </row>
    <row r="4010" spans="1:7">
      <c r="A4010" s="3324"/>
      <c r="B4010" s="3319"/>
      <c r="C4010" s="3319" t="s">
        <v>858</v>
      </c>
      <c r="D4010" s="3319"/>
      <c r="E4010" s="3317">
        <f t="shared" si="222"/>
        <v>0.23622047244094491</v>
      </c>
      <c r="F4010" s="3354">
        <v>0.97</v>
      </c>
      <c r="G4010" s="3325">
        <v>1.27</v>
      </c>
    </row>
    <row r="4011" spans="1:7" ht="15.75" thickBot="1">
      <c r="A4011" s="3327"/>
      <c r="B4011" s="3328"/>
      <c r="C4011" s="3328" t="s">
        <v>2251</v>
      </c>
      <c r="D4011" s="3328"/>
      <c r="E4011" s="3330">
        <f t="shared" si="222"/>
        <v>0.18823529411764706</v>
      </c>
      <c r="F4011" s="3343">
        <v>2.0699999999999998</v>
      </c>
      <c r="G4011" s="3331">
        <v>2.5499999999999998</v>
      </c>
    </row>
    <row r="4012" spans="1:7" ht="15.75" thickBot="1"/>
    <row r="4013" spans="1:7">
      <c r="A4013" s="3614" t="s">
        <v>0</v>
      </c>
      <c r="B4013" s="3518" t="s">
        <v>1</v>
      </c>
      <c r="C4013" s="3518" t="s">
        <v>2</v>
      </c>
      <c r="D4013" s="3518" t="s">
        <v>3</v>
      </c>
      <c r="E4013" s="3518" t="s">
        <v>4</v>
      </c>
      <c r="F4013" s="3518" t="s">
        <v>5</v>
      </c>
      <c r="G4013" s="3522" t="s">
        <v>3504</v>
      </c>
    </row>
    <row r="4014" spans="1:7" ht="15.75" thickBot="1">
      <c r="A4014" s="3894"/>
      <c r="B4014" s="3546"/>
      <c r="C4014" s="3546"/>
      <c r="D4014" s="3546"/>
      <c r="E4014" s="3546"/>
      <c r="F4014" s="3546"/>
      <c r="G4014" s="3548"/>
    </row>
    <row r="4015" spans="1:7">
      <c r="A4015" s="3477" t="s">
        <v>4048</v>
      </c>
      <c r="B4015" s="2072" t="s">
        <v>4049</v>
      </c>
      <c r="C4015" s="3478" t="s">
        <v>3627</v>
      </c>
      <c r="D4015" s="3479"/>
      <c r="E4015" s="3480">
        <f>(G4015-F4015)/G4015</f>
        <v>0.24916943521594687</v>
      </c>
      <c r="F4015" s="3481">
        <v>2.2599999999999998</v>
      </c>
      <c r="G4015" s="3482">
        <v>3.01</v>
      </c>
    </row>
    <row r="4016" spans="1:7">
      <c r="A4016" s="3322"/>
      <c r="B4016" s="3320"/>
      <c r="C4016" s="3319" t="s">
        <v>3797</v>
      </c>
      <c r="D4016" s="3319"/>
      <c r="E4016" s="3317">
        <f t="shared" ref="E4016:E4020" si="223">(G4016-F4016)/G4016</f>
        <v>0.24916943521594687</v>
      </c>
      <c r="F4016" s="3407">
        <v>2.2599999999999998</v>
      </c>
      <c r="G4016" s="3355">
        <v>3.01</v>
      </c>
    </row>
    <row r="4017" spans="1:7">
      <c r="A4017" s="3324"/>
      <c r="B4017" s="3319"/>
      <c r="C4017" s="3319" t="s">
        <v>3628</v>
      </c>
      <c r="D4017" s="3319"/>
      <c r="E4017" s="3317">
        <f t="shared" si="223"/>
        <v>0.24916943521594687</v>
      </c>
      <c r="F4017" s="3319">
        <v>2.2599999999999998</v>
      </c>
      <c r="G4017" s="3355">
        <v>3.01</v>
      </c>
    </row>
    <row r="4018" spans="1:7">
      <c r="A4018" s="3324"/>
      <c r="B4018" s="3319"/>
      <c r="C4018" s="3319" t="s">
        <v>3487</v>
      </c>
      <c r="D4018" s="3319"/>
      <c r="E4018" s="3317">
        <f t="shared" si="223"/>
        <v>0.24916943521594687</v>
      </c>
      <c r="F4018" s="3319">
        <v>2.2599999999999998</v>
      </c>
      <c r="G4018" s="3355">
        <v>3.01</v>
      </c>
    </row>
    <row r="4019" spans="1:7">
      <c r="A4019" s="3324"/>
      <c r="B4019" s="3319"/>
      <c r="C4019" s="3319" t="s">
        <v>3629</v>
      </c>
      <c r="D4019" s="3319"/>
      <c r="E4019" s="3317">
        <f t="shared" si="223"/>
        <v>0.24916943521594687</v>
      </c>
      <c r="F4019" s="3354">
        <v>2.2599999999999998</v>
      </c>
      <c r="G4019" s="3355">
        <v>3.01</v>
      </c>
    </row>
    <row r="4020" spans="1:7">
      <c r="A4020" s="3324"/>
      <c r="B4020" s="3319"/>
      <c r="C4020" s="3319" t="s">
        <v>3490</v>
      </c>
      <c r="D4020" s="3319"/>
      <c r="E4020" s="3317">
        <f t="shared" si="223"/>
        <v>0.24916943521594687</v>
      </c>
      <c r="F4020" s="3319">
        <v>2.2599999999999998</v>
      </c>
      <c r="G4020" s="3355">
        <v>3.01</v>
      </c>
    </row>
    <row r="4021" spans="1:7" ht="15.75" thickBot="1"/>
    <row r="4022" spans="1:7">
      <c r="A4022" s="3614" t="s">
        <v>0</v>
      </c>
      <c r="B4022" s="3518" t="s">
        <v>1</v>
      </c>
      <c r="C4022" s="3518" t="s">
        <v>2</v>
      </c>
      <c r="D4022" s="3518" t="s">
        <v>3</v>
      </c>
      <c r="E4022" s="3518" t="s">
        <v>4</v>
      </c>
      <c r="F4022" s="3518" t="s">
        <v>5</v>
      </c>
      <c r="G4022" s="3522" t="s">
        <v>3504</v>
      </c>
    </row>
    <row r="4023" spans="1:7" ht="15.75" thickBot="1">
      <c r="A4023" s="4031"/>
      <c r="B4023" s="3622"/>
      <c r="C4023" s="3622"/>
      <c r="D4023" s="3622"/>
      <c r="E4023" s="3622"/>
      <c r="F4023" s="3622"/>
      <c r="G4023" s="3846"/>
    </row>
    <row r="4024" spans="1:7">
      <c r="A4024" s="3102" t="s">
        <v>4051</v>
      </c>
      <c r="B4024" s="2887" t="s">
        <v>1593</v>
      </c>
      <c r="C4024" s="2401" t="s">
        <v>554</v>
      </c>
      <c r="D4024" s="2402"/>
      <c r="E4024" s="2888" t="e">
        <f>(G4024-F4024)/G4024</f>
        <v>#VALUE!</v>
      </c>
      <c r="F4024" s="3239">
        <v>1.28</v>
      </c>
      <c r="G4024" s="3508" t="s">
        <v>3817</v>
      </c>
    </row>
    <row r="4025" spans="1:7" ht="15.75" thickBot="1">
      <c r="A4025" s="3327"/>
      <c r="B4025" s="3328"/>
      <c r="C4025" s="3328" t="s">
        <v>1120</v>
      </c>
      <c r="D4025" s="3328"/>
      <c r="E4025" s="3330" t="e">
        <f>(G4025-F4025)/G4025</f>
        <v>#VALUE!</v>
      </c>
      <c r="F4025" s="3328">
        <v>0.54</v>
      </c>
      <c r="G4025" s="3432" t="s">
        <v>3817</v>
      </c>
    </row>
    <row r="4026" spans="1:7" ht="15.75" thickBot="1"/>
    <row r="4027" spans="1:7">
      <c r="A4027" s="3614" t="s">
        <v>0</v>
      </c>
      <c r="B4027" s="3518" t="s">
        <v>1</v>
      </c>
      <c r="C4027" s="3518" t="s">
        <v>2</v>
      </c>
      <c r="D4027" s="3518" t="s">
        <v>3</v>
      </c>
      <c r="E4027" s="3518" t="s">
        <v>4</v>
      </c>
      <c r="F4027" s="3518" t="s">
        <v>5</v>
      </c>
      <c r="G4027" s="3522" t="s">
        <v>3504</v>
      </c>
    </row>
    <row r="4028" spans="1:7">
      <c r="A4028" s="3895"/>
      <c r="B4028" s="3533"/>
      <c r="C4028" s="3533"/>
      <c r="D4028" s="3533"/>
      <c r="E4028" s="3533"/>
      <c r="F4028" s="3533"/>
      <c r="G4028" s="3896"/>
    </row>
    <row r="4029" spans="1:7">
      <c r="A4029" s="3322" t="s">
        <v>4053</v>
      </c>
      <c r="B4029" s="3336" t="s">
        <v>3979</v>
      </c>
      <c r="C4029" s="3509" t="s">
        <v>4034</v>
      </c>
      <c r="D4029" s="3336"/>
      <c r="E4029" s="3457">
        <f>(G4029-F4029)/G4029</f>
        <v>0.23886953155245833</v>
      </c>
      <c r="F4029" s="3511">
        <v>19.66</v>
      </c>
      <c r="G4029" s="3512">
        <v>25.83</v>
      </c>
    </row>
    <row r="4030" spans="1:7">
      <c r="A4030" s="3335"/>
      <c r="B4030" s="3336"/>
      <c r="C4030" s="3509" t="s">
        <v>4035</v>
      </c>
      <c r="D4030" s="3336"/>
      <c r="E4030" s="3338">
        <f>(G4030-F4030)/G4030</f>
        <v>0.23886953155245833</v>
      </c>
      <c r="F4030" s="3511">
        <v>19.66</v>
      </c>
      <c r="G4030" s="3512">
        <v>25.83</v>
      </c>
    </row>
    <row r="4031" spans="1:7">
      <c r="A4031" s="3445"/>
      <c r="B4031" s="3441"/>
      <c r="C4031" s="3509" t="s">
        <v>4037</v>
      </c>
      <c r="D4031" s="3441"/>
      <c r="E4031" s="3338">
        <f>(G4031-F4031)/G4031</f>
        <v>0.23886953155245833</v>
      </c>
      <c r="F4031" s="3511">
        <v>19.66</v>
      </c>
      <c r="G4031" s="3512">
        <v>25.83</v>
      </c>
    </row>
    <row r="4032" spans="1:7">
      <c r="A4032" s="3445"/>
      <c r="B4032" s="3441"/>
      <c r="C4032" s="3509" t="s">
        <v>1256</v>
      </c>
      <c r="D4032" s="3441"/>
      <c r="E4032" s="3338">
        <f t="shared" ref="E4032:E4033" si="224">(G4032-F4032)/G4032</f>
        <v>9.9830795262267319E-2</v>
      </c>
      <c r="F4032" s="3511">
        <v>10.64</v>
      </c>
      <c r="G4032" s="3513">
        <v>11.82</v>
      </c>
    </row>
    <row r="4033" spans="1:7" ht="15.75" customHeight="1" thickBot="1">
      <c r="A4033" s="3498"/>
      <c r="B4033" s="3499"/>
      <c r="C4033" s="3510" t="s">
        <v>1254</v>
      </c>
      <c r="D4033" s="3499"/>
      <c r="E4033" s="3341">
        <f t="shared" si="224"/>
        <v>9.9929128277817164E-2</v>
      </c>
      <c r="F4033" s="3514">
        <v>12.7</v>
      </c>
      <c r="G4033" s="3515">
        <v>14.11</v>
      </c>
    </row>
    <row r="4034" spans="1:7" ht="15.75" thickBot="1"/>
    <row r="4035" spans="1:7">
      <c r="A4035" s="3614" t="s">
        <v>0</v>
      </c>
      <c r="B4035" s="3518" t="s">
        <v>1</v>
      </c>
      <c r="C4035" s="3518" t="s">
        <v>2</v>
      </c>
      <c r="D4035" s="3518" t="s">
        <v>3</v>
      </c>
      <c r="E4035" s="3518" t="s">
        <v>4</v>
      </c>
      <c r="F4035" s="3518" t="s">
        <v>5</v>
      </c>
      <c r="G4035" s="3522" t="s">
        <v>3504</v>
      </c>
    </row>
    <row r="4036" spans="1:7" ht="15.75" thickBot="1">
      <c r="A4036" s="3894"/>
      <c r="B4036" s="3546"/>
      <c r="C4036" s="3546"/>
      <c r="D4036" s="3546"/>
      <c r="E4036" s="3546"/>
      <c r="F4036" s="3546"/>
      <c r="G4036" s="3548"/>
    </row>
    <row r="4037" spans="1:7">
      <c r="A4037" s="3102" t="s">
        <v>4054</v>
      </c>
      <c r="B4037" s="2887" t="s">
        <v>2183</v>
      </c>
      <c r="C4037" s="2401" t="s">
        <v>4036</v>
      </c>
      <c r="D4037" s="2402"/>
      <c r="E4037" s="2888">
        <f>(G4037-F4037)/G4037</f>
        <v>0.15010660980810234</v>
      </c>
      <c r="F4037" s="3239">
        <v>19.93</v>
      </c>
      <c r="G4037" s="3240">
        <v>23.45</v>
      </c>
    </row>
    <row r="4038" spans="1:7">
      <c r="A4038" s="3322"/>
      <c r="B4038" s="3320"/>
      <c r="C4038" s="3319" t="s">
        <v>4037</v>
      </c>
      <c r="D4038" s="3319"/>
      <c r="E4038" s="3317">
        <f t="shared" ref="E4038:E4048" si="225">(G4038-F4038)/G4038</f>
        <v>0.15010660980810234</v>
      </c>
      <c r="F4038" s="3407">
        <v>19.93</v>
      </c>
      <c r="G4038" s="3355">
        <v>23.45</v>
      </c>
    </row>
    <row r="4039" spans="1:7">
      <c r="A4039" s="3324"/>
      <c r="B4039" s="3319"/>
      <c r="C4039" s="3319" t="s">
        <v>4035</v>
      </c>
      <c r="D4039" s="3319"/>
      <c r="E4039" s="3317">
        <f t="shared" si="225"/>
        <v>0.15010660980810234</v>
      </c>
      <c r="F4039" s="3319">
        <v>19.93</v>
      </c>
      <c r="G4039" s="3355">
        <v>23.45</v>
      </c>
    </row>
    <row r="4040" spans="1:7">
      <c r="A4040" s="3324"/>
      <c r="B4040" s="3319"/>
      <c r="C4040" s="3319" t="s">
        <v>4055</v>
      </c>
      <c r="D4040" s="3319"/>
      <c r="E4040" s="3317">
        <f t="shared" si="225"/>
        <v>0.15010660980810234</v>
      </c>
      <c r="F4040" s="3319">
        <v>19.93</v>
      </c>
      <c r="G4040" s="3355">
        <v>23.45</v>
      </c>
    </row>
    <row r="4041" spans="1:7">
      <c r="A4041" s="3324"/>
      <c r="B4041" s="3319"/>
      <c r="C4041" s="3319" t="s">
        <v>4034</v>
      </c>
      <c r="D4041" s="3319"/>
      <c r="E4041" s="3317">
        <f t="shared" si="225"/>
        <v>0.15010660980810234</v>
      </c>
      <c r="F4041" s="3354">
        <v>19.93</v>
      </c>
      <c r="G4041" s="3355">
        <v>23.45</v>
      </c>
    </row>
    <row r="4042" spans="1:7">
      <c r="A4042" s="3324"/>
      <c r="B4042" s="3319"/>
      <c r="C4042" s="3319" t="s">
        <v>4056</v>
      </c>
      <c r="D4042" s="3319"/>
      <c r="E4042" s="3317">
        <f t="shared" si="225"/>
        <v>0.15010660980810234</v>
      </c>
      <c r="F4042" s="3319">
        <v>19.93</v>
      </c>
      <c r="G4042" s="3355">
        <v>23.45</v>
      </c>
    </row>
    <row r="4043" spans="1:7">
      <c r="A4043" s="3324"/>
      <c r="B4043" s="3319"/>
      <c r="C4043" s="3319" t="s">
        <v>4057</v>
      </c>
      <c r="D4043" s="3319"/>
      <c r="E4043" s="3317">
        <f t="shared" si="225"/>
        <v>9.9912739965096101E-2</v>
      </c>
      <c r="F4043" s="3319">
        <v>20.63</v>
      </c>
      <c r="G4043" s="3356">
        <v>22.92</v>
      </c>
    </row>
    <row r="4044" spans="1:7">
      <c r="A4044" s="3324"/>
      <c r="B4044" s="3319"/>
      <c r="C4044" s="3319" t="s">
        <v>3222</v>
      </c>
      <c r="D4044" s="3319"/>
      <c r="E4044" s="3317">
        <f t="shared" si="225"/>
        <v>0.3202742409402547</v>
      </c>
      <c r="F4044" s="3319">
        <v>6.94</v>
      </c>
      <c r="G4044" s="3356">
        <v>10.210000000000001</v>
      </c>
    </row>
    <row r="4045" spans="1:7">
      <c r="A4045" s="3324"/>
      <c r="B4045" s="3319"/>
      <c r="C4045" s="3319" t="s">
        <v>3223</v>
      </c>
      <c r="D4045" s="3319"/>
      <c r="E4045" s="3317">
        <f t="shared" si="225"/>
        <v>0.3202742409402547</v>
      </c>
      <c r="F4045" s="3319">
        <v>6.94</v>
      </c>
      <c r="G4045" s="3356">
        <v>10.210000000000001</v>
      </c>
    </row>
    <row r="4046" spans="1:7">
      <c r="A4046" s="3324"/>
      <c r="B4046" s="3319"/>
      <c r="C4046" s="3319" t="s">
        <v>3224</v>
      </c>
      <c r="D4046" s="3319"/>
      <c r="E4046" s="3317">
        <f t="shared" si="225"/>
        <v>0.3202742409402547</v>
      </c>
      <c r="F4046" s="3319">
        <v>6.94</v>
      </c>
      <c r="G4046" s="3356">
        <v>10.210000000000001</v>
      </c>
    </row>
    <row r="4047" spans="1:7">
      <c r="A4047" s="3324"/>
      <c r="B4047" s="3319"/>
      <c r="C4047" s="3319" t="s">
        <v>3225</v>
      </c>
      <c r="D4047" s="3319"/>
      <c r="E4047" s="3317">
        <f t="shared" si="225"/>
        <v>0.3202742409402547</v>
      </c>
      <c r="F4047" s="3319">
        <v>6.94</v>
      </c>
      <c r="G4047" s="3356">
        <v>10.210000000000001</v>
      </c>
    </row>
    <row r="4048" spans="1:7" ht="15.75" thickBot="1">
      <c r="A4048" s="3327"/>
      <c r="B4048" s="3328"/>
      <c r="C4048" s="3328" t="s">
        <v>3226</v>
      </c>
      <c r="D4048" s="3328"/>
      <c r="E4048" s="3330">
        <f t="shared" si="225"/>
        <v>0.3202742409402547</v>
      </c>
      <c r="F4048" s="3328">
        <v>6.94</v>
      </c>
      <c r="G4048" s="3374">
        <v>10.210000000000001</v>
      </c>
    </row>
  </sheetData>
  <mergeCells count="2464">
    <mergeCell ref="A4035:A4036"/>
    <mergeCell ref="B4035:B4036"/>
    <mergeCell ref="C4035:C4036"/>
    <mergeCell ref="D4035:D4036"/>
    <mergeCell ref="E4035:E4036"/>
    <mergeCell ref="F4035:F4036"/>
    <mergeCell ref="G4035:G4036"/>
    <mergeCell ref="A4022:A4023"/>
    <mergeCell ref="B4022:B4023"/>
    <mergeCell ref="C4022:C4023"/>
    <mergeCell ref="D4022:D4023"/>
    <mergeCell ref="E4022:E4023"/>
    <mergeCell ref="F4022:F4023"/>
    <mergeCell ref="G4022:G4023"/>
    <mergeCell ref="E3990:E3991"/>
    <mergeCell ref="F3990:F3991"/>
    <mergeCell ref="G3990:G3991"/>
    <mergeCell ref="A3994:A3995"/>
    <mergeCell ref="B3994:B3995"/>
    <mergeCell ref="C3994:C3995"/>
    <mergeCell ref="D3994:D3995"/>
    <mergeCell ref="E3994:E3995"/>
    <mergeCell ref="F3994:F3995"/>
    <mergeCell ref="G3994:G3995"/>
    <mergeCell ref="A4002:A4003"/>
    <mergeCell ref="B4002:B4003"/>
    <mergeCell ref="C4002:C4003"/>
    <mergeCell ref="D4002:D4003"/>
    <mergeCell ref="E4002:E4003"/>
    <mergeCell ref="F4002:F4003"/>
    <mergeCell ref="G4002:G4003"/>
    <mergeCell ref="A4013:A4014"/>
    <mergeCell ref="B4013:B4014"/>
    <mergeCell ref="C4013:C4014"/>
    <mergeCell ref="D4013:D4014"/>
    <mergeCell ref="E4013:E4014"/>
    <mergeCell ref="F4013:F4014"/>
    <mergeCell ref="G4013:G4014"/>
    <mergeCell ref="A3808:A3809"/>
    <mergeCell ref="B3808:B3809"/>
    <mergeCell ref="C3808:C3809"/>
    <mergeCell ref="D3808:D3809"/>
    <mergeCell ref="E3808:E3809"/>
    <mergeCell ref="F3808:F3809"/>
    <mergeCell ref="G3808:G3809"/>
    <mergeCell ref="A3824:A3825"/>
    <mergeCell ref="B3824:B3825"/>
    <mergeCell ref="C3824:C3825"/>
    <mergeCell ref="D3824:D3825"/>
    <mergeCell ref="E3824:E3825"/>
    <mergeCell ref="F3824:F3825"/>
    <mergeCell ref="G3824:G3825"/>
    <mergeCell ref="A3813:A3814"/>
    <mergeCell ref="B3813:B3814"/>
    <mergeCell ref="C3813:C3814"/>
    <mergeCell ref="D3813:D3814"/>
    <mergeCell ref="E3813:E3814"/>
    <mergeCell ref="F3813:F3814"/>
    <mergeCell ref="G3813:G3814"/>
    <mergeCell ref="A3818:A3819"/>
    <mergeCell ref="B3818:B3819"/>
    <mergeCell ref="C3818:C3819"/>
    <mergeCell ref="D3818:D3819"/>
    <mergeCell ref="E3818:E3819"/>
    <mergeCell ref="F3818:F3819"/>
    <mergeCell ref="G3818:G3819"/>
    <mergeCell ref="A3797:A3798"/>
    <mergeCell ref="B3797:B3798"/>
    <mergeCell ref="C3797:C3798"/>
    <mergeCell ref="D3797:D3798"/>
    <mergeCell ref="A3792:A3793"/>
    <mergeCell ref="B3792:B3793"/>
    <mergeCell ref="C3792:C3793"/>
    <mergeCell ref="F3779:F3780"/>
    <mergeCell ref="G3779:G3780"/>
    <mergeCell ref="F3767:F3768"/>
    <mergeCell ref="G3767:G3768"/>
    <mergeCell ref="E3797:E3798"/>
    <mergeCell ref="F3797:F3798"/>
    <mergeCell ref="G3797:G3798"/>
    <mergeCell ref="E3772:E3773"/>
    <mergeCell ref="F3772:F3773"/>
    <mergeCell ref="G3772:G3773"/>
    <mergeCell ref="E3792:E3793"/>
    <mergeCell ref="F3792:F3793"/>
    <mergeCell ref="G3792:G3793"/>
    <mergeCell ref="A3786:A3787"/>
    <mergeCell ref="B3786:B3787"/>
    <mergeCell ref="C3786:C3787"/>
    <mergeCell ref="D3786:D3787"/>
    <mergeCell ref="E3786:E3787"/>
    <mergeCell ref="G3748:G3749"/>
    <mergeCell ref="A3748:A3749"/>
    <mergeCell ref="B3748:B3749"/>
    <mergeCell ref="C3748:C3749"/>
    <mergeCell ref="D3748:D3749"/>
    <mergeCell ref="E3748:E3749"/>
    <mergeCell ref="F3748:F3749"/>
    <mergeCell ref="D3767:D3768"/>
    <mergeCell ref="E3767:E3768"/>
    <mergeCell ref="A3779:A3780"/>
    <mergeCell ref="B3779:B3780"/>
    <mergeCell ref="C3779:C3780"/>
    <mergeCell ref="D3779:D3780"/>
    <mergeCell ref="A3754:A3755"/>
    <mergeCell ref="B3754:B3755"/>
    <mergeCell ref="D3792:D3793"/>
    <mergeCell ref="G3693:G3694"/>
    <mergeCell ref="F3786:F3787"/>
    <mergeCell ref="G3786:G3787"/>
    <mergeCell ref="A3772:A3773"/>
    <mergeCell ref="B3772:B3773"/>
    <mergeCell ref="C3772:C3773"/>
    <mergeCell ref="D3772:D3773"/>
    <mergeCell ref="G3754:G3755"/>
    <mergeCell ref="E3754:E3755"/>
    <mergeCell ref="F3754:F3755"/>
    <mergeCell ref="E3779:E3780"/>
    <mergeCell ref="A3767:A3768"/>
    <mergeCell ref="B3767:B3768"/>
    <mergeCell ref="C3767:C3768"/>
    <mergeCell ref="C3754:C3755"/>
    <mergeCell ref="D3754:D3755"/>
    <mergeCell ref="A3683:A3684"/>
    <mergeCell ref="B3683:B3684"/>
    <mergeCell ref="C3683:C3684"/>
    <mergeCell ref="D3683:D3684"/>
    <mergeCell ref="E3683:E3684"/>
    <mergeCell ref="F3683:F3684"/>
    <mergeCell ref="D3722:D3723"/>
    <mergeCell ref="E3722:E3723"/>
    <mergeCell ref="F3722:F3723"/>
    <mergeCell ref="G3722:G3723"/>
    <mergeCell ref="A3693:A3694"/>
    <mergeCell ref="B3693:B3694"/>
    <mergeCell ref="C3693:C3694"/>
    <mergeCell ref="D3693:D3694"/>
    <mergeCell ref="G3733:G3734"/>
    <mergeCell ref="A3739:A3740"/>
    <mergeCell ref="B3739:B3740"/>
    <mergeCell ref="C3739:C3740"/>
    <mergeCell ref="E3733:E3734"/>
    <mergeCell ref="F3733:F3734"/>
    <mergeCell ref="D3733:D3734"/>
    <mergeCell ref="G3739:G3740"/>
    <mergeCell ref="A3733:A3734"/>
    <mergeCell ref="B3733:B3734"/>
    <mergeCell ref="C3733:C3734"/>
    <mergeCell ref="F3739:F3740"/>
    <mergeCell ref="F3505:F3506"/>
    <mergeCell ref="G3505:G3506"/>
    <mergeCell ref="F3544:F3545"/>
    <mergeCell ref="G3544:G3545"/>
    <mergeCell ref="C3555:C3556"/>
    <mergeCell ref="D3555:D3556"/>
    <mergeCell ref="A3584:A3585"/>
    <mergeCell ref="B3584:B3585"/>
    <mergeCell ref="C3584:C3585"/>
    <mergeCell ref="D3584:D3585"/>
    <mergeCell ref="E3584:E3585"/>
    <mergeCell ref="F3584:F3585"/>
    <mergeCell ref="G3584:G3585"/>
    <mergeCell ref="A3566:A3567"/>
    <mergeCell ref="B3566:B3567"/>
    <mergeCell ref="C3566:C3567"/>
    <mergeCell ref="D3566:D3567"/>
    <mergeCell ref="E3566:E3567"/>
    <mergeCell ref="F3566:F3567"/>
    <mergeCell ref="G3566:G3567"/>
    <mergeCell ref="A3577:A3578"/>
    <mergeCell ref="B3577:B3578"/>
    <mergeCell ref="C3577:C3578"/>
    <mergeCell ref="D3577:D3578"/>
    <mergeCell ref="E3577:E3578"/>
    <mergeCell ref="F3577:F3578"/>
    <mergeCell ref="G3577:G3578"/>
    <mergeCell ref="G3527:G3528"/>
    <mergeCell ref="A3498:A3499"/>
    <mergeCell ref="B3498:B3499"/>
    <mergeCell ref="C3498:C3499"/>
    <mergeCell ref="E3595:E3596"/>
    <mergeCell ref="F3595:F3596"/>
    <mergeCell ref="G3595:G3596"/>
    <mergeCell ref="D3498:D3499"/>
    <mergeCell ref="E3498:E3499"/>
    <mergeCell ref="F3498:F3499"/>
    <mergeCell ref="G3498:G3499"/>
    <mergeCell ref="B3561:B3562"/>
    <mergeCell ref="C3561:C3562"/>
    <mergeCell ref="D3561:D3562"/>
    <mergeCell ref="E3561:E3562"/>
    <mergeCell ref="F3561:F3562"/>
    <mergeCell ref="G3561:G3562"/>
    <mergeCell ref="A3590:A3591"/>
    <mergeCell ref="B3590:B3591"/>
    <mergeCell ref="C3590:C3591"/>
    <mergeCell ref="D3590:D3591"/>
    <mergeCell ref="E3590:E3591"/>
    <mergeCell ref="F3590:F3591"/>
    <mergeCell ref="G3590:G3591"/>
    <mergeCell ref="A3595:A3596"/>
    <mergeCell ref="B3595:B3596"/>
    <mergeCell ref="C3595:C3596"/>
    <mergeCell ref="D3595:D3596"/>
    <mergeCell ref="A3505:A3506"/>
    <mergeCell ref="B3505:B3506"/>
    <mergeCell ref="C3505:C3506"/>
    <mergeCell ref="D3505:D3506"/>
    <mergeCell ref="E3505:E3506"/>
    <mergeCell ref="D3603:D3604"/>
    <mergeCell ref="E3603:E3604"/>
    <mergeCell ref="F3603:F3604"/>
    <mergeCell ref="G3603:G3604"/>
    <mergeCell ref="A3537:A3538"/>
    <mergeCell ref="B3537:B3538"/>
    <mergeCell ref="C3537:C3538"/>
    <mergeCell ref="D3537:D3538"/>
    <mergeCell ref="E3537:E3538"/>
    <mergeCell ref="F3537:F3538"/>
    <mergeCell ref="G3537:G3538"/>
    <mergeCell ref="A3512:A3513"/>
    <mergeCell ref="B3512:B3513"/>
    <mergeCell ref="C3512:C3513"/>
    <mergeCell ref="D3512:D3513"/>
    <mergeCell ref="E3512:E3513"/>
    <mergeCell ref="F3512:F3513"/>
    <mergeCell ref="G3512:G3513"/>
    <mergeCell ref="A3544:A3545"/>
    <mergeCell ref="B3544:B3545"/>
    <mergeCell ref="C3544:C3545"/>
    <mergeCell ref="D3544:D3545"/>
    <mergeCell ref="E3544:E3545"/>
    <mergeCell ref="E3555:E3556"/>
    <mergeCell ref="F3555:F3556"/>
    <mergeCell ref="G3555:G3556"/>
    <mergeCell ref="A3555:A3556"/>
    <mergeCell ref="B3555:B3556"/>
    <mergeCell ref="A3561:A3562"/>
    <mergeCell ref="A3603:A3604"/>
    <mergeCell ref="B3603:B3604"/>
    <mergeCell ref="C3603:C3604"/>
    <mergeCell ref="A3467:A3468"/>
    <mergeCell ref="B3467:B3468"/>
    <mergeCell ref="C3467:C3468"/>
    <mergeCell ref="D3467:D3468"/>
    <mergeCell ref="E3467:E3468"/>
    <mergeCell ref="F3467:F3468"/>
    <mergeCell ref="G3467:G3468"/>
    <mergeCell ref="A3447:A3448"/>
    <mergeCell ref="B3447:B3448"/>
    <mergeCell ref="E3480:E3481"/>
    <mergeCell ref="F3480:F3481"/>
    <mergeCell ref="G3480:G3481"/>
    <mergeCell ref="C3447:C3448"/>
    <mergeCell ref="D3447:D3448"/>
    <mergeCell ref="E3447:E3448"/>
    <mergeCell ref="F3447:F3448"/>
    <mergeCell ref="G3447:G3448"/>
    <mergeCell ref="A3480:A3481"/>
    <mergeCell ref="B3480:B3481"/>
    <mergeCell ref="C3480:C3481"/>
    <mergeCell ref="D3480:D3481"/>
    <mergeCell ref="G3269:G3270"/>
    <mergeCell ref="A3277:A3278"/>
    <mergeCell ref="B3277:B3278"/>
    <mergeCell ref="C3277:C3278"/>
    <mergeCell ref="D3277:D3278"/>
    <mergeCell ref="A3334:A3335"/>
    <mergeCell ref="B3334:B3335"/>
    <mergeCell ref="C3334:C3335"/>
    <mergeCell ref="D3334:D3335"/>
    <mergeCell ref="E3334:E3335"/>
    <mergeCell ref="F3334:F3335"/>
    <mergeCell ref="G3334:G3335"/>
    <mergeCell ref="G3310:G3311"/>
    <mergeCell ref="A3305:A3306"/>
    <mergeCell ref="B3305:B3306"/>
    <mergeCell ref="C3305:C3306"/>
    <mergeCell ref="D3305:D3306"/>
    <mergeCell ref="E3305:E3306"/>
    <mergeCell ref="F3305:F3306"/>
    <mergeCell ref="G3305:G3306"/>
    <mergeCell ref="A3281:A3282"/>
    <mergeCell ref="B3281:B3282"/>
    <mergeCell ref="C3281:C3282"/>
    <mergeCell ref="D3281:D3282"/>
    <mergeCell ref="E3281:E3282"/>
    <mergeCell ref="F3281:F3282"/>
    <mergeCell ref="G3281:G3282"/>
    <mergeCell ref="A3323:A3324"/>
    <mergeCell ref="B3323:B3324"/>
    <mergeCell ref="C3323:C3324"/>
    <mergeCell ref="D3323:D3324"/>
    <mergeCell ref="E3323:E3324"/>
    <mergeCell ref="F3323:F3324"/>
    <mergeCell ref="G3323:G3324"/>
    <mergeCell ref="A3318:A3319"/>
    <mergeCell ref="B3318:B3319"/>
    <mergeCell ref="C3318:C3319"/>
    <mergeCell ref="E3297:E3298"/>
    <mergeCell ref="F3297:F3298"/>
    <mergeCell ref="G3297:G3298"/>
    <mergeCell ref="D3318:D3319"/>
    <mergeCell ref="E3318:E3319"/>
    <mergeCell ref="F3318:F3319"/>
    <mergeCell ref="G3318:G3319"/>
    <mergeCell ref="A3297:A3298"/>
    <mergeCell ref="A3310:A3311"/>
    <mergeCell ref="B3310:B3311"/>
    <mergeCell ref="C3310:C3311"/>
    <mergeCell ref="D3310:D3311"/>
    <mergeCell ref="E3310:E3311"/>
    <mergeCell ref="F3310:F3311"/>
    <mergeCell ref="C3297:C3298"/>
    <mergeCell ref="D3297:D3298"/>
    <mergeCell ref="G3058:G3059"/>
    <mergeCell ref="A3000:A3001"/>
    <mergeCell ref="B3000:B3001"/>
    <mergeCell ref="C3000:C3001"/>
    <mergeCell ref="D3000:D3001"/>
    <mergeCell ref="E3000:E3001"/>
    <mergeCell ref="F3000:F3001"/>
    <mergeCell ref="A3034:A3035"/>
    <mergeCell ref="B3034:B3035"/>
    <mergeCell ref="C3034:C3035"/>
    <mergeCell ref="D3034:D3035"/>
    <mergeCell ref="E3034:E3035"/>
    <mergeCell ref="F3034:F3035"/>
    <mergeCell ref="A3006:A3007"/>
    <mergeCell ref="B3006:B3007"/>
    <mergeCell ref="C3006:C3007"/>
    <mergeCell ref="D3006:D3007"/>
    <mergeCell ref="E3006:E3007"/>
    <mergeCell ref="F3006:F3007"/>
    <mergeCell ref="E3020:E3021"/>
    <mergeCell ref="C3058:C3059"/>
    <mergeCell ref="D3058:D3059"/>
    <mergeCell ref="E3058:E3059"/>
    <mergeCell ref="A3013:A3014"/>
    <mergeCell ref="B3013:B3014"/>
    <mergeCell ref="C3013:C3014"/>
    <mergeCell ref="D3013:D3014"/>
    <mergeCell ref="E3013:E3014"/>
    <mergeCell ref="F3013:F3014"/>
    <mergeCell ref="A3269:A3270"/>
    <mergeCell ref="B3269:B3270"/>
    <mergeCell ref="C3269:C3270"/>
    <mergeCell ref="D3269:D3270"/>
    <mergeCell ref="E3269:E3270"/>
    <mergeCell ref="F3269:F3270"/>
    <mergeCell ref="A2955:A2956"/>
    <mergeCell ref="B2955:B2956"/>
    <mergeCell ref="C2955:C2956"/>
    <mergeCell ref="D2955:D2956"/>
    <mergeCell ref="E2955:E2956"/>
    <mergeCell ref="F2955:F2956"/>
    <mergeCell ref="A2933:A2934"/>
    <mergeCell ref="B2933:B2934"/>
    <mergeCell ref="C2933:C2934"/>
    <mergeCell ref="D2933:D2934"/>
    <mergeCell ref="E2933:E2934"/>
    <mergeCell ref="F2933:F2934"/>
    <mergeCell ref="F3052:F3053"/>
    <mergeCell ref="F3020:F3021"/>
    <mergeCell ref="C3046:C3047"/>
    <mergeCell ref="D3046:D3047"/>
    <mergeCell ref="E3046:E3047"/>
    <mergeCell ref="F3046:F3047"/>
    <mergeCell ref="A2985:A2986"/>
    <mergeCell ref="B2985:B2986"/>
    <mergeCell ref="C2985:C2986"/>
    <mergeCell ref="D2985:D2986"/>
    <mergeCell ref="E2985:E2986"/>
    <mergeCell ref="F2985:F2986"/>
    <mergeCell ref="A2963:A2964"/>
    <mergeCell ref="B2963:B2964"/>
    <mergeCell ref="C2963:C2964"/>
    <mergeCell ref="D2963:D2964"/>
    <mergeCell ref="E2963:E2964"/>
    <mergeCell ref="F2963:F2964"/>
    <mergeCell ref="A2992:A2993"/>
    <mergeCell ref="B2992:B2993"/>
    <mergeCell ref="A2922:A2923"/>
    <mergeCell ref="B2922:B2923"/>
    <mergeCell ref="C2922:C2923"/>
    <mergeCell ref="D2922:D2923"/>
    <mergeCell ref="E2922:E2923"/>
    <mergeCell ref="F2922:F2923"/>
    <mergeCell ref="A2939:A2940"/>
    <mergeCell ref="B2939:B2940"/>
    <mergeCell ref="C2939:C2940"/>
    <mergeCell ref="D2939:D2940"/>
    <mergeCell ref="E2939:E2940"/>
    <mergeCell ref="F2939:F2940"/>
    <mergeCell ref="C2992:C2993"/>
    <mergeCell ref="D2992:D2993"/>
    <mergeCell ref="E2992:E2993"/>
    <mergeCell ref="F2992:F2993"/>
    <mergeCell ref="A2907:A2908"/>
    <mergeCell ref="B2907:B2908"/>
    <mergeCell ref="C2907:C2908"/>
    <mergeCell ref="D2907:D2908"/>
    <mergeCell ref="E2907:E2908"/>
    <mergeCell ref="F2907:F2908"/>
    <mergeCell ref="C2812:C2813"/>
    <mergeCell ref="D2812:D2813"/>
    <mergeCell ref="E2812:E2813"/>
    <mergeCell ref="F2812:F2813"/>
    <mergeCell ref="A2824:A2825"/>
    <mergeCell ref="E2863:E2864"/>
    <mergeCell ref="F2863:F2864"/>
    <mergeCell ref="E2885:E2886"/>
    <mergeCell ref="F2885:F2886"/>
    <mergeCell ref="A2812:A2813"/>
    <mergeCell ref="B2812:B2813"/>
    <mergeCell ref="A2913:A2914"/>
    <mergeCell ref="B2913:B2914"/>
    <mergeCell ref="C2913:C2914"/>
    <mergeCell ref="D2913:D2914"/>
    <mergeCell ref="E2913:E2914"/>
    <mergeCell ref="F2913:F2914"/>
    <mergeCell ref="A2801:A2802"/>
    <mergeCell ref="B2824:B2825"/>
    <mergeCell ref="C2824:C2825"/>
    <mergeCell ref="D2824:D2825"/>
    <mergeCell ref="E2824:E2825"/>
    <mergeCell ref="F2824:F2825"/>
    <mergeCell ref="A2863:A2864"/>
    <mergeCell ref="B2863:B2864"/>
    <mergeCell ref="C2863:C2864"/>
    <mergeCell ref="D2863:D2864"/>
    <mergeCell ref="E2713:E2714"/>
    <mergeCell ref="F2713:F2714"/>
    <mergeCell ref="A2900:A2901"/>
    <mergeCell ref="B2900:B2901"/>
    <mergeCell ref="C2900:C2901"/>
    <mergeCell ref="D2900:D2901"/>
    <mergeCell ref="E2900:E2901"/>
    <mergeCell ref="F2900:F2901"/>
    <mergeCell ref="A2885:A2886"/>
    <mergeCell ref="B2885:B2886"/>
    <mergeCell ref="C2885:C2886"/>
    <mergeCell ref="D2885:D2886"/>
    <mergeCell ref="B2801:B2802"/>
    <mergeCell ref="C2801:C2802"/>
    <mergeCell ref="D2801:D2802"/>
    <mergeCell ref="E2801:E2802"/>
    <mergeCell ref="F2801:F2802"/>
    <mergeCell ref="A2789:A2790"/>
    <mergeCell ref="B2789:B2790"/>
    <mergeCell ref="C2789:C2790"/>
    <mergeCell ref="D2789:D2790"/>
    <mergeCell ref="E2789:E2790"/>
    <mergeCell ref="F2789:F2790"/>
    <mergeCell ref="A2768:A2769"/>
    <mergeCell ref="B2768:B2769"/>
    <mergeCell ref="C2768:C2769"/>
    <mergeCell ref="D2768:D2769"/>
    <mergeCell ref="E2768:E2769"/>
    <mergeCell ref="F2768:F2769"/>
    <mergeCell ref="A2755:A2756"/>
    <mergeCell ref="B2755:B2756"/>
    <mergeCell ref="C2755:C2756"/>
    <mergeCell ref="D2755:D2756"/>
    <mergeCell ref="E2755:E2756"/>
    <mergeCell ref="F2755:F2756"/>
    <mergeCell ref="F2652:F2653"/>
    <mergeCell ref="A2713:A2714"/>
    <mergeCell ref="B2713:B2714"/>
    <mergeCell ref="C2713:C2714"/>
    <mergeCell ref="D2713:D2714"/>
    <mergeCell ref="D2659:D2660"/>
    <mergeCell ref="E2659:E2660"/>
    <mergeCell ref="F2659:F2660"/>
    <mergeCell ref="B2721:B2722"/>
    <mergeCell ref="C2721:C2722"/>
    <mergeCell ref="D2721:D2722"/>
    <mergeCell ref="E2721:E2722"/>
    <mergeCell ref="F2721:F2722"/>
    <mergeCell ref="A2682:A2683"/>
    <mergeCell ref="A2652:A2653"/>
    <mergeCell ref="B2652:B2653"/>
    <mergeCell ref="C2652:C2653"/>
    <mergeCell ref="B2581:B2582"/>
    <mergeCell ref="C2581:C2582"/>
    <mergeCell ref="D2581:D2582"/>
    <mergeCell ref="E2581:E2582"/>
    <mergeCell ref="F2581:F2582"/>
    <mergeCell ref="D2559:D2560"/>
    <mergeCell ref="E2627:E2628"/>
    <mergeCell ref="E2644:E2645"/>
    <mergeCell ref="F2644:F2645"/>
    <mergeCell ref="A2744:A2745"/>
    <mergeCell ref="B2744:B2745"/>
    <mergeCell ref="C2744:C2745"/>
    <mergeCell ref="D2744:D2745"/>
    <mergeCell ref="E2744:E2745"/>
    <mergeCell ref="F2744:F2745"/>
    <mergeCell ref="B2682:B2683"/>
    <mergeCell ref="C2682:C2683"/>
    <mergeCell ref="D2682:D2683"/>
    <mergeCell ref="E2682:E2683"/>
    <mergeCell ref="F2682:F2683"/>
    <mergeCell ref="A2659:A2660"/>
    <mergeCell ref="B2659:B2660"/>
    <mergeCell ref="C2659:C2660"/>
    <mergeCell ref="A2733:A2734"/>
    <mergeCell ref="B2733:B2734"/>
    <mergeCell ref="C2733:C2734"/>
    <mergeCell ref="D2733:D2734"/>
    <mergeCell ref="E2733:E2734"/>
    <mergeCell ref="F2733:F2734"/>
    <mergeCell ref="A2721:A2722"/>
    <mergeCell ref="D2652:D2653"/>
    <mergeCell ref="E2652:E2653"/>
    <mergeCell ref="A2377:A2378"/>
    <mergeCell ref="B2377:B2378"/>
    <mergeCell ref="C2377:C2378"/>
    <mergeCell ref="D2377:D2378"/>
    <mergeCell ref="E2377:E2378"/>
    <mergeCell ref="F2377:F2378"/>
    <mergeCell ref="A2478:A2479"/>
    <mergeCell ref="B2478:B2479"/>
    <mergeCell ref="C2478:C2479"/>
    <mergeCell ref="D2478:D2479"/>
    <mergeCell ref="E2478:E2479"/>
    <mergeCell ref="F2478:F2479"/>
    <mergeCell ref="A2451:A2452"/>
    <mergeCell ref="B2451:B2452"/>
    <mergeCell ref="C2451:C2452"/>
    <mergeCell ref="D2451:D2452"/>
    <mergeCell ref="C2416:C2417"/>
    <mergeCell ref="D2416:D2417"/>
    <mergeCell ref="E2416:E2417"/>
    <mergeCell ref="F2416:F2417"/>
    <mergeCell ref="A2431:A2432"/>
    <mergeCell ref="C2440:C2441"/>
    <mergeCell ref="D2440:D2441"/>
    <mergeCell ref="E2440:E2441"/>
    <mergeCell ref="F2440:F2441"/>
    <mergeCell ref="C2431:C2432"/>
    <mergeCell ref="F2388:F2389"/>
    <mergeCell ref="F2396:F2397"/>
    <mergeCell ref="C2388:C2389"/>
    <mergeCell ref="D2388:D2389"/>
    <mergeCell ref="E2388:E2389"/>
    <mergeCell ref="A2388:A2389"/>
    <mergeCell ref="B2254:B2255"/>
    <mergeCell ref="C2254:C2255"/>
    <mergeCell ref="E2331:E2332"/>
    <mergeCell ref="D2300:D2301"/>
    <mergeCell ref="E2300:E2301"/>
    <mergeCell ref="C2326:C2327"/>
    <mergeCell ref="D2326:D2327"/>
    <mergeCell ref="B2269:B2270"/>
    <mergeCell ref="F2300:F2301"/>
    <mergeCell ref="A2326:A2327"/>
    <mergeCell ref="B2326:B2327"/>
    <mergeCell ref="A2331:A2332"/>
    <mergeCell ref="C2229:C2230"/>
    <mergeCell ref="D2229:D2230"/>
    <mergeCell ref="D2243:D2244"/>
    <mergeCell ref="F2293:F2294"/>
    <mergeCell ref="D2331:D2332"/>
    <mergeCell ref="E2293:E2294"/>
    <mergeCell ref="F2331:F2332"/>
    <mergeCell ref="A2269:A2270"/>
    <mergeCell ref="E2326:E2327"/>
    <mergeCell ref="A2254:A2255"/>
    <mergeCell ref="A2293:A2294"/>
    <mergeCell ref="A2282:A2283"/>
    <mergeCell ref="B2282:B2283"/>
    <mergeCell ref="C2282:C2283"/>
    <mergeCell ref="D2282:D2283"/>
    <mergeCell ref="E2269:E2270"/>
    <mergeCell ref="E2243:E2244"/>
    <mergeCell ref="E2254:E2255"/>
    <mergeCell ref="F2254:F2255"/>
    <mergeCell ref="F2229:F2230"/>
    <mergeCell ref="F2354:F2355"/>
    <mergeCell ref="A2341:A2342"/>
    <mergeCell ref="B2341:B2342"/>
    <mergeCell ref="C2341:C2342"/>
    <mergeCell ref="D2341:D2342"/>
    <mergeCell ref="E2341:E2342"/>
    <mergeCell ref="F2341:F2342"/>
    <mergeCell ref="C2269:C2270"/>
    <mergeCell ref="D2269:D2270"/>
    <mergeCell ref="B2354:B2355"/>
    <mergeCell ref="B2371:B2372"/>
    <mergeCell ref="C2371:C2372"/>
    <mergeCell ref="D2371:D2372"/>
    <mergeCell ref="E2371:E2372"/>
    <mergeCell ref="F2371:F2372"/>
    <mergeCell ref="A2371:A2372"/>
    <mergeCell ref="F2269:F2270"/>
    <mergeCell ref="F2282:F2283"/>
    <mergeCell ref="A2312:A2313"/>
    <mergeCell ref="B2312:B2313"/>
    <mergeCell ref="C2312:C2313"/>
    <mergeCell ref="D2312:D2313"/>
    <mergeCell ref="E2312:E2313"/>
    <mergeCell ref="F2312:F2313"/>
    <mergeCell ref="E2282:E2283"/>
    <mergeCell ref="A2354:A2355"/>
    <mergeCell ref="D1870:D1871"/>
    <mergeCell ref="E1870:E1871"/>
    <mergeCell ref="F1870:F1871"/>
    <mergeCell ref="B1872:B1884"/>
    <mergeCell ref="A1886:A1887"/>
    <mergeCell ref="D1997:D1998"/>
    <mergeCell ref="E1997:E1998"/>
    <mergeCell ref="F1997:F1998"/>
    <mergeCell ref="C2024:C2025"/>
    <mergeCell ref="A1997:A1998"/>
    <mergeCell ref="B1997:B1998"/>
    <mergeCell ref="A1960:A1961"/>
    <mergeCell ref="B1960:B1961"/>
    <mergeCell ref="C1960:C1961"/>
    <mergeCell ref="D1960:D1961"/>
    <mergeCell ref="E1960:E1961"/>
    <mergeCell ref="F1960:F1961"/>
    <mergeCell ref="B1926:B1927"/>
    <mergeCell ref="C1926:C1927"/>
    <mergeCell ref="A1905:A1906"/>
    <mergeCell ref="B1905:B1906"/>
    <mergeCell ref="C1905:C1906"/>
    <mergeCell ref="D1905:D1906"/>
    <mergeCell ref="A1911:A1912"/>
    <mergeCell ref="B1911:B1912"/>
    <mergeCell ref="C1911:C1912"/>
    <mergeCell ref="D1911:D1912"/>
    <mergeCell ref="E1911:E1912"/>
    <mergeCell ref="F1911:F1912"/>
    <mergeCell ref="B1888:B1891"/>
    <mergeCell ref="D1926:D1927"/>
    <mergeCell ref="E1926:E1927"/>
    <mergeCell ref="F1926:F1927"/>
    <mergeCell ref="B2012:B2013"/>
    <mergeCell ref="C2012:C2013"/>
    <mergeCell ref="D2091:D2092"/>
    <mergeCell ref="B2024:B2025"/>
    <mergeCell ref="B2006:B2010"/>
    <mergeCell ref="B1928:B1931"/>
    <mergeCell ref="A1934:A1935"/>
    <mergeCell ref="D2012:D2013"/>
    <mergeCell ref="E2012:E2013"/>
    <mergeCell ref="F2012:F2013"/>
    <mergeCell ref="F1934:F1935"/>
    <mergeCell ref="A1926:A1927"/>
    <mergeCell ref="C1997:C1998"/>
    <mergeCell ref="B1980:B1981"/>
    <mergeCell ref="C1980:C1981"/>
    <mergeCell ref="D1980:D1981"/>
    <mergeCell ref="A2091:A2092"/>
    <mergeCell ref="D2067:D2068"/>
    <mergeCell ref="E2067:E2068"/>
    <mergeCell ref="F2067:F2068"/>
    <mergeCell ref="A2056:A2057"/>
    <mergeCell ref="B2056:B2057"/>
    <mergeCell ref="C2056:C2057"/>
    <mergeCell ref="D2056:D2057"/>
    <mergeCell ref="E2056:E2057"/>
    <mergeCell ref="D2004:D2005"/>
    <mergeCell ref="E2004:E2005"/>
    <mergeCell ref="F2004:F2005"/>
    <mergeCell ref="A1986:A1987"/>
    <mergeCell ref="B1986:B1987"/>
    <mergeCell ref="C1986:C1987"/>
    <mergeCell ref="B1999:B2002"/>
    <mergeCell ref="A2004:A2005"/>
    <mergeCell ref="B2004:B2005"/>
    <mergeCell ref="E2091:E2092"/>
    <mergeCell ref="D2165:D2166"/>
    <mergeCell ref="D2115:D2116"/>
    <mergeCell ref="A2142:A2143"/>
    <mergeCell ref="B2142:B2143"/>
    <mergeCell ref="A2165:A2166"/>
    <mergeCell ref="C2115:C2116"/>
    <mergeCell ref="E2165:E2166"/>
    <mergeCell ref="F2165:F2166"/>
    <mergeCell ref="F2132:F2133"/>
    <mergeCell ref="A2074:A2075"/>
    <mergeCell ref="B2331:B2332"/>
    <mergeCell ref="B2091:B2092"/>
    <mergeCell ref="C2091:C2092"/>
    <mergeCell ref="F2056:F2057"/>
    <mergeCell ref="A2012:A2013"/>
    <mergeCell ref="D2254:D2255"/>
    <mergeCell ref="B2293:B2294"/>
    <mergeCell ref="C2293:C2294"/>
    <mergeCell ref="D2293:D2294"/>
    <mergeCell ref="C2331:C2332"/>
    <mergeCell ref="A2229:A2230"/>
    <mergeCell ref="B2229:B2230"/>
    <mergeCell ref="B2074:B2075"/>
    <mergeCell ref="C2074:C2075"/>
    <mergeCell ref="D2074:D2075"/>
    <mergeCell ref="E2074:E2075"/>
    <mergeCell ref="F2074:F2075"/>
    <mergeCell ref="F2091:F2092"/>
    <mergeCell ref="D1953:D1954"/>
    <mergeCell ref="E1953:E1954"/>
    <mergeCell ref="F1953:F1954"/>
    <mergeCell ref="B1936:B1948"/>
    <mergeCell ref="E1970:E1971"/>
    <mergeCell ref="F1970:F1971"/>
    <mergeCell ref="A1970:A1971"/>
    <mergeCell ref="B1970:B1971"/>
    <mergeCell ref="D1986:D1987"/>
    <mergeCell ref="E1986:E1987"/>
    <mergeCell ref="E1980:E1981"/>
    <mergeCell ref="F1980:F1981"/>
    <mergeCell ref="A1980:A1981"/>
    <mergeCell ref="B1934:B1935"/>
    <mergeCell ref="C1934:C1935"/>
    <mergeCell ref="C1970:C1971"/>
    <mergeCell ref="D1970:D1971"/>
    <mergeCell ref="D1934:D1935"/>
    <mergeCell ref="E1934:E1935"/>
    <mergeCell ref="F1986:F1987"/>
    <mergeCell ref="A1953:A1954"/>
    <mergeCell ref="B1953:B1954"/>
    <mergeCell ref="F1561:F1562"/>
    <mergeCell ref="D1855:D1856"/>
    <mergeCell ref="E1855:E1856"/>
    <mergeCell ref="F1855:F1856"/>
    <mergeCell ref="E1905:E1906"/>
    <mergeCell ref="F1905:F1906"/>
    <mergeCell ref="B1590:B1592"/>
    <mergeCell ref="A1582:A1583"/>
    <mergeCell ref="A1576:A1577"/>
    <mergeCell ref="B1576:B1577"/>
    <mergeCell ref="C1576:C1577"/>
    <mergeCell ref="D1576:D1577"/>
    <mergeCell ref="E1576:E1577"/>
    <mergeCell ref="F1576:F1577"/>
    <mergeCell ref="B1582:B1583"/>
    <mergeCell ref="C1582:C1583"/>
    <mergeCell ref="D1582:D1583"/>
    <mergeCell ref="E1582:E1583"/>
    <mergeCell ref="F1582:F1583"/>
    <mergeCell ref="A1588:A1589"/>
    <mergeCell ref="B1588:B1589"/>
    <mergeCell ref="C1588:C1589"/>
    <mergeCell ref="D1588:D1589"/>
    <mergeCell ref="E1588:E1589"/>
    <mergeCell ref="F1588:F1589"/>
    <mergeCell ref="F1594:F1595"/>
    <mergeCell ref="A1602:A1603"/>
    <mergeCell ref="B1602:B1603"/>
    <mergeCell ref="C1602:C1603"/>
    <mergeCell ref="D1602:D1603"/>
    <mergeCell ref="A1893:A1894"/>
    <mergeCell ref="B1893:B1894"/>
    <mergeCell ref="F1506:F1507"/>
    <mergeCell ref="A1468:A1469"/>
    <mergeCell ref="B1468:B1469"/>
    <mergeCell ref="C1468:C1469"/>
    <mergeCell ref="D1468:D1469"/>
    <mergeCell ref="E1468:E1469"/>
    <mergeCell ref="F1468:F1469"/>
    <mergeCell ref="A1570:A1571"/>
    <mergeCell ref="B1546:B1559"/>
    <mergeCell ref="A1527:A1528"/>
    <mergeCell ref="B1527:B1528"/>
    <mergeCell ref="C1527:C1528"/>
    <mergeCell ref="D1527:D1528"/>
    <mergeCell ref="E1527:E1528"/>
    <mergeCell ref="F1527:F1528"/>
    <mergeCell ref="B1529:B1542"/>
    <mergeCell ref="A1544:A1545"/>
    <mergeCell ref="B1544:B1545"/>
    <mergeCell ref="C1544:C1545"/>
    <mergeCell ref="E1544:E1545"/>
    <mergeCell ref="F1544:F1545"/>
    <mergeCell ref="D1544:D1545"/>
    <mergeCell ref="B1570:B1571"/>
    <mergeCell ref="C1570:C1571"/>
    <mergeCell ref="D1570:D1571"/>
    <mergeCell ref="E1570:E1571"/>
    <mergeCell ref="F1570:F1571"/>
    <mergeCell ref="A1561:A1562"/>
    <mergeCell ref="B1561:B1562"/>
    <mergeCell ref="C1561:C1562"/>
    <mergeCell ref="D1561:D1562"/>
    <mergeCell ref="E1561:E1562"/>
    <mergeCell ref="B1497:B1498"/>
    <mergeCell ref="C1497:C1498"/>
    <mergeCell ref="D1497:D1498"/>
    <mergeCell ref="E1497:E1498"/>
    <mergeCell ref="F1450:F1451"/>
    <mergeCell ref="B1452:B1465"/>
    <mergeCell ref="A1483:A1484"/>
    <mergeCell ref="B1483:B1484"/>
    <mergeCell ref="C1483:C1484"/>
    <mergeCell ref="D1483:D1484"/>
    <mergeCell ref="E1483:E1484"/>
    <mergeCell ref="F1483:F1484"/>
    <mergeCell ref="B1485:B1487"/>
    <mergeCell ref="A1489:A1490"/>
    <mergeCell ref="B1489:B1490"/>
    <mergeCell ref="C1489:C1490"/>
    <mergeCell ref="D1489:D1490"/>
    <mergeCell ref="E1489:E1490"/>
    <mergeCell ref="A1497:A1498"/>
    <mergeCell ref="A1275:A1276"/>
    <mergeCell ref="B1275:B1276"/>
    <mergeCell ref="C1275:C1276"/>
    <mergeCell ref="D1275:D1276"/>
    <mergeCell ref="E1275:E1276"/>
    <mergeCell ref="F1275:F1276"/>
    <mergeCell ref="A1304:A1305"/>
    <mergeCell ref="B1304:B1305"/>
    <mergeCell ref="C1304:C1305"/>
    <mergeCell ref="D1304:D1305"/>
    <mergeCell ref="F1489:F1490"/>
    <mergeCell ref="D1506:D1507"/>
    <mergeCell ref="E1506:E1507"/>
    <mergeCell ref="A1450:A1451"/>
    <mergeCell ref="B1450:B1451"/>
    <mergeCell ref="C1450:C1451"/>
    <mergeCell ref="D1450:D1451"/>
    <mergeCell ref="E1450:E1451"/>
    <mergeCell ref="B1403:B1405"/>
    <mergeCell ref="A1407:A1408"/>
    <mergeCell ref="B1407:B1408"/>
    <mergeCell ref="C1407:C1408"/>
    <mergeCell ref="D1407:D1408"/>
    <mergeCell ref="E1407:E1408"/>
    <mergeCell ref="F1407:F1408"/>
    <mergeCell ref="A1431:A1432"/>
    <mergeCell ref="B1431:B1432"/>
    <mergeCell ref="F1497:F1498"/>
    <mergeCell ref="A1506:A1507"/>
    <mergeCell ref="B1506:B1507"/>
    <mergeCell ref="C1506:C1507"/>
    <mergeCell ref="A1440:A1441"/>
    <mergeCell ref="A1241:A1242"/>
    <mergeCell ref="B1241:B1242"/>
    <mergeCell ref="C1241:C1242"/>
    <mergeCell ref="D1241:D1242"/>
    <mergeCell ref="E1241:E1242"/>
    <mergeCell ref="F1241:F1242"/>
    <mergeCell ref="B1266:B1272"/>
    <mergeCell ref="A1256:A1257"/>
    <mergeCell ref="B1256:B1257"/>
    <mergeCell ref="C1256:C1257"/>
    <mergeCell ref="D1256:D1257"/>
    <mergeCell ref="E1256:E1257"/>
    <mergeCell ref="F1256:F1257"/>
    <mergeCell ref="A1250:A1251"/>
    <mergeCell ref="B1250:B1251"/>
    <mergeCell ref="C1250:C1251"/>
    <mergeCell ref="D1250:D1251"/>
    <mergeCell ref="E1250:E1251"/>
    <mergeCell ref="F1250:F1251"/>
    <mergeCell ref="A1235:A1236"/>
    <mergeCell ref="B1235:B1236"/>
    <mergeCell ref="C1235:C1236"/>
    <mergeCell ref="D1235:D1236"/>
    <mergeCell ref="E1235:E1236"/>
    <mergeCell ref="F1235:F1236"/>
    <mergeCell ref="F1225:F1226"/>
    <mergeCell ref="B1227:B1233"/>
    <mergeCell ref="A1207:A1208"/>
    <mergeCell ref="B1207:B1208"/>
    <mergeCell ref="C1207:C1208"/>
    <mergeCell ref="D1207:D1208"/>
    <mergeCell ref="E1207:E1208"/>
    <mergeCell ref="F1207:F1208"/>
    <mergeCell ref="A1216:A1217"/>
    <mergeCell ref="B1216:B1217"/>
    <mergeCell ref="C1216:C1217"/>
    <mergeCell ref="D1216:D1217"/>
    <mergeCell ref="E1216:E1217"/>
    <mergeCell ref="F1216:F1217"/>
    <mergeCell ref="A1225:A1226"/>
    <mergeCell ref="B1225:B1226"/>
    <mergeCell ref="C1225:C1226"/>
    <mergeCell ref="D1225:D1226"/>
    <mergeCell ref="E1225:E1226"/>
    <mergeCell ref="B1180:B1181"/>
    <mergeCell ref="C1180:C1181"/>
    <mergeCell ref="D1180:D1181"/>
    <mergeCell ref="E1180:E1181"/>
    <mergeCell ref="A1189:A1190"/>
    <mergeCell ref="B1189:B1190"/>
    <mergeCell ref="C1189:C1190"/>
    <mergeCell ref="D1189:D1190"/>
    <mergeCell ref="E1189:E1190"/>
    <mergeCell ref="F1189:F1190"/>
    <mergeCell ref="A1197:A1198"/>
    <mergeCell ref="B1197:B1198"/>
    <mergeCell ref="C1197:C1198"/>
    <mergeCell ref="D1197:D1198"/>
    <mergeCell ref="E1197:E1198"/>
    <mergeCell ref="F1197:F1198"/>
    <mergeCell ref="F1180:F1181"/>
    <mergeCell ref="A1072:A1073"/>
    <mergeCell ref="B1072:B1073"/>
    <mergeCell ref="C1072:C1073"/>
    <mergeCell ref="D1072:D1073"/>
    <mergeCell ref="E1072:E1073"/>
    <mergeCell ref="E1092:E1093"/>
    <mergeCell ref="A1117:A1118"/>
    <mergeCell ref="B1117:B1118"/>
    <mergeCell ref="C1117:C1118"/>
    <mergeCell ref="D1117:D1118"/>
    <mergeCell ref="E1117:E1118"/>
    <mergeCell ref="D1092:D1093"/>
    <mergeCell ref="F1072:F1073"/>
    <mergeCell ref="A1080:A1081"/>
    <mergeCell ref="B1080:B1081"/>
    <mergeCell ref="C1080:C1081"/>
    <mergeCell ref="B1144:B1145"/>
    <mergeCell ref="C1144:C1145"/>
    <mergeCell ref="D1144:D1145"/>
    <mergeCell ref="E1144:E1145"/>
    <mergeCell ref="F1144:F1145"/>
    <mergeCell ref="A1134:A1135"/>
    <mergeCell ref="B1134:B1135"/>
    <mergeCell ref="C1134:C1135"/>
    <mergeCell ref="D1134:D1135"/>
    <mergeCell ref="F1117:F1118"/>
    <mergeCell ref="A1123:A1124"/>
    <mergeCell ref="B1123:B1124"/>
    <mergeCell ref="C1123:C1124"/>
    <mergeCell ref="D1123:D1124"/>
    <mergeCell ref="E1123:E1124"/>
    <mergeCell ref="F1123:F1124"/>
    <mergeCell ref="F1027:F1028"/>
    <mergeCell ref="A1035:A1036"/>
    <mergeCell ref="B1035:B1036"/>
    <mergeCell ref="C1035:C1036"/>
    <mergeCell ref="D1035:D1036"/>
    <mergeCell ref="E1035:E1036"/>
    <mergeCell ref="F1035:F1036"/>
    <mergeCell ref="C1027:C1028"/>
    <mergeCell ref="D1027:D1028"/>
    <mergeCell ref="E1027:E1028"/>
    <mergeCell ref="A1042:A1043"/>
    <mergeCell ref="B1042:B1043"/>
    <mergeCell ref="C1042:C1043"/>
    <mergeCell ref="D1042:D1043"/>
    <mergeCell ref="E1042:E1043"/>
    <mergeCell ref="F1042:F1043"/>
    <mergeCell ref="A1027:A1028"/>
    <mergeCell ref="B1027:B1028"/>
    <mergeCell ref="A1000:A1001"/>
    <mergeCell ref="B1000:B1001"/>
    <mergeCell ref="C1000:C1001"/>
    <mergeCell ref="D1000:D1001"/>
    <mergeCell ref="E1000:E1001"/>
    <mergeCell ref="F1000:F1001"/>
    <mergeCell ref="B1002:B1006"/>
    <mergeCell ref="A1009:A1010"/>
    <mergeCell ref="B1009:B1010"/>
    <mergeCell ref="C1009:C1010"/>
    <mergeCell ref="D1009:D1010"/>
    <mergeCell ref="E1009:E1010"/>
    <mergeCell ref="F1009:F1010"/>
    <mergeCell ref="A1021:A1022"/>
    <mergeCell ref="B1021:B1022"/>
    <mergeCell ref="C1021:C1022"/>
    <mergeCell ref="D1021:D1022"/>
    <mergeCell ref="E1021:E1022"/>
    <mergeCell ref="F1021:F1022"/>
    <mergeCell ref="A968:A969"/>
    <mergeCell ref="B968:B969"/>
    <mergeCell ref="C968:C969"/>
    <mergeCell ref="D968:D969"/>
    <mergeCell ref="E968:E969"/>
    <mergeCell ref="F968:F969"/>
    <mergeCell ref="A975:A976"/>
    <mergeCell ref="B975:B976"/>
    <mergeCell ref="C975:C976"/>
    <mergeCell ref="D975:D976"/>
    <mergeCell ref="E975:E976"/>
    <mergeCell ref="F975:F976"/>
    <mergeCell ref="B977:B981"/>
    <mergeCell ref="A983:A984"/>
    <mergeCell ref="B983:B984"/>
    <mergeCell ref="C983:C984"/>
    <mergeCell ref="D983:D984"/>
    <mergeCell ref="E983:E984"/>
    <mergeCell ref="F983:F984"/>
    <mergeCell ref="A923:A924"/>
    <mergeCell ref="B923:B924"/>
    <mergeCell ref="C923:C924"/>
    <mergeCell ref="D923:D924"/>
    <mergeCell ref="E923:E924"/>
    <mergeCell ref="F923:F924"/>
    <mergeCell ref="A938:A939"/>
    <mergeCell ref="B938:B939"/>
    <mergeCell ref="C938:C939"/>
    <mergeCell ref="D938:D939"/>
    <mergeCell ref="E938:E939"/>
    <mergeCell ref="F938:F939"/>
    <mergeCell ref="A956:A957"/>
    <mergeCell ref="B956:B957"/>
    <mergeCell ref="C956:C957"/>
    <mergeCell ref="D956:D957"/>
    <mergeCell ref="E956:E957"/>
    <mergeCell ref="F956:F957"/>
    <mergeCell ref="A943:A944"/>
    <mergeCell ref="B943:B944"/>
    <mergeCell ref="C943:C944"/>
    <mergeCell ref="D943:D944"/>
    <mergeCell ref="E943:E944"/>
    <mergeCell ref="F943:F944"/>
    <mergeCell ref="B945:B954"/>
    <mergeCell ref="A873:A874"/>
    <mergeCell ref="B873:B874"/>
    <mergeCell ref="C873:C874"/>
    <mergeCell ref="D873:D874"/>
    <mergeCell ref="E873:E874"/>
    <mergeCell ref="F873:F874"/>
    <mergeCell ref="B875:B878"/>
    <mergeCell ref="A835:A836"/>
    <mergeCell ref="B835:B836"/>
    <mergeCell ref="C835:C836"/>
    <mergeCell ref="D835:D836"/>
    <mergeCell ref="E835:E836"/>
    <mergeCell ref="F835:F836"/>
    <mergeCell ref="A837:A839"/>
    <mergeCell ref="A841:A842"/>
    <mergeCell ref="B841:B842"/>
    <mergeCell ref="C841:C842"/>
    <mergeCell ref="D841:D842"/>
    <mergeCell ref="E841:E842"/>
    <mergeCell ref="F841:F842"/>
    <mergeCell ref="A861:A862"/>
    <mergeCell ref="B861:B862"/>
    <mergeCell ref="C861:C862"/>
    <mergeCell ref="D861:D862"/>
    <mergeCell ref="A801:A802"/>
    <mergeCell ref="B801:B802"/>
    <mergeCell ref="C801:C802"/>
    <mergeCell ref="D801:D802"/>
    <mergeCell ref="E801:E802"/>
    <mergeCell ref="F801:F802"/>
    <mergeCell ref="A796:A797"/>
    <mergeCell ref="B796:B797"/>
    <mergeCell ref="C796:C797"/>
    <mergeCell ref="D796:D797"/>
    <mergeCell ref="E796:E797"/>
    <mergeCell ref="F796:F797"/>
    <mergeCell ref="A825:A826"/>
    <mergeCell ref="B825:B826"/>
    <mergeCell ref="C825:C826"/>
    <mergeCell ref="D825:D826"/>
    <mergeCell ref="E825:E826"/>
    <mergeCell ref="F825:F826"/>
    <mergeCell ref="A808:A809"/>
    <mergeCell ref="B808:B809"/>
    <mergeCell ref="C808:C809"/>
    <mergeCell ref="D808:D809"/>
    <mergeCell ref="E808:E809"/>
    <mergeCell ref="F808:F809"/>
    <mergeCell ref="A790:A791"/>
    <mergeCell ref="B790:B791"/>
    <mergeCell ref="C790:C791"/>
    <mergeCell ref="D790:D791"/>
    <mergeCell ref="E790:E791"/>
    <mergeCell ref="F790:F791"/>
    <mergeCell ref="A780:A781"/>
    <mergeCell ref="B780:B781"/>
    <mergeCell ref="C780:C781"/>
    <mergeCell ref="D780:D781"/>
    <mergeCell ref="E780:E781"/>
    <mergeCell ref="F780:F781"/>
    <mergeCell ref="A786:A787"/>
    <mergeCell ref="B786:B787"/>
    <mergeCell ref="C786:C787"/>
    <mergeCell ref="D786:D787"/>
    <mergeCell ref="E786:E787"/>
    <mergeCell ref="F786:F787"/>
    <mergeCell ref="A761:A762"/>
    <mergeCell ref="B761:B762"/>
    <mergeCell ref="C761:C762"/>
    <mergeCell ref="D761:D762"/>
    <mergeCell ref="E761:E762"/>
    <mergeCell ref="F761:F762"/>
    <mergeCell ref="F732:F733"/>
    <mergeCell ref="A741:A742"/>
    <mergeCell ref="B741:B742"/>
    <mergeCell ref="C741:C742"/>
    <mergeCell ref="D741:D742"/>
    <mergeCell ref="E741:E742"/>
    <mergeCell ref="F741:F742"/>
    <mergeCell ref="C732:C733"/>
    <mergeCell ref="D732:D733"/>
    <mergeCell ref="E732:E733"/>
    <mergeCell ref="C745:C746"/>
    <mergeCell ref="D745:D746"/>
    <mergeCell ref="E745:E746"/>
    <mergeCell ref="F745:F746"/>
    <mergeCell ref="A732:A733"/>
    <mergeCell ref="B732:B733"/>
    <mergeCell ref="A745:A746"/>
    <mergeCell ref="B745:B746"/>
    <mergeCell ref="D558:D559"/>
    <mergeCell ref="A713:A714"/>
    <mergeCell ref="B713:B714"/>
    <mergeCell ref="C713:C714"/>
    <mergeCell ref="D713:D714"/>
    <mergeCell ref="E713:E714"/>
    <mergeCell ref="F700:F701"/>
    <mergeCell ref="F646:F647"/>
    <mergeCell ref="F667:F668"/>
    <mergeCell ref="A707:A708"/>
    <mergeCell ref="B707:B708"/>
    <mergeCell ref="C707:C708"/>
    <mergeCell ref="D707:D708"/>
    <mergeCell ref="E707:E708"/>
    <mergeCell ref="F707:F708"/>
    <mergeCell ref="F693:F694"/>
    <mergeCell ref="A679:A680"/>
    <mergeCell ref="B679:B680"/>
    <mergeCell ref="C679:C680"/>
    <mergeCell ref="D679:D680"/>
    <mergeCell ref="E679:E680"/>
    <mergeCell ref="F679:F680"/>
    <mergeCell ref="A686:A687"/>
    <mergeCell ref="B686:B687"/>
    <mergeCell ref="C686:C687"/>
    <mergeCell ref="D686:D687"/>
    <mergeCell ref="E686:E687"/>
    <mergeCell ref="F686:F687"/>
    <mergeCell ref="A700:A701"/>
    <mergeCell ref="B700:B701"/>
    <mergeCell ref="D667:D668"/>
    <mergeCell ref="E667:E668"/>
    <mergeCell ref="A547:A548"/>
    <mergeCell ref="B547:B548"/>
    <mergeCell ref="C547:C548"/>
    <mergeCell ref="D547:D548"/>
    <mergeCell ref="E547:E548"/>
    <mergeCell ref="F547:F548"/>
    <mergeCell ref="E552:E553"/>
    <mergeCell ref="F552:F553"/>
    <mergeCell ref="E558:E559"/>
    <mergeCell ref="F558:F559"/>
    <mergeCell ref="A521:A522"/>
    <mergeCell ref="B521:B522"/>
    <mergeCell ref="C521:C522"/>
    <mergeCell ref="A633:A643"/>
    <mergeCell ref="A693:A694"/>
    <mergeCell ref="B693:B694"/>
    <mergeCell ref="C693:C694"/>
    <mergeCell ref="D693:D694"/>
    <mergeCell ref="E693:E694"/>
    <mergeCell ref="A582:A583"/>
    <mergeCell ref="B582:B583"/>
    <mergeCell ref="C582:C583"/>
    <mergeCell ref="B609:B610"/>
    <mergeCell ref="C609:C610"/>
    <mergeCell ref="D609:D610"/>
    <mergeCell ref="E609:E610"/>
    <mergeCell ref="A621:A622"/>
    <mergeCell ref="B621:B622"/>
    <mergeCell ref="C621:C622"/>
    <mergeCell ref="A558:A559"/>
    <mergeCell ref="B558:B559"/>
    <mergeCell ref="C558:C559"/>
    <mergeCell ref="A474:A475"/>
    <mergeCell ref="B474:B475"/>
    <mergeCell ref="C474:C475"/>
    <mergeCell ref="D474:D475"/>
    <mergeCell ref="E474:E475"/>
    <mergeCell ref="F474:F475"/>
    <mergeCell ref="A502:A503"/>
    <mergeCell ref="B502:B503"/>
    <mergeCell ref="C502:C503"/>
    <mergeCell ref="D502:D503"/>
    <mergeCell ref="E502:E503"/>
    <mergeCell ref="F502:F503"/>
    <mergeCell ref="D521:D522"/>
    <mergeCell ref="A552:A553"/>
    <mergeCell ref="B552:B553"/>
    <mergeCell ref="C552:C553"/>
    <mergeCell ref="D552:D553"/>
    <mergeCell ref="E511:E512"/>
    <mergeCell ref="A534:A544"/>
    <mergeCell ref="E521:E522"/>
    <mergeCell ref="F511:F512"/>
    <mergeCell ref="A511:A512"/>
    <mergeCell ref="B511:B512"/>
    <mergeCell ref="C511:C512"/>
    <mergeCell ref="D511:D512"/>
    <mergeCell ref="F521:F522"/>
    <mergeCell ref="A531:A532"/>
    <mergeCell ref="B531:B532"/>
    <mergeCell ref="C531:C532"/>
    <mergeCell ref="D531:D532"/>
    <mergeCell ref="E531:E532"/>
    <mergeCell ref="F531:F532"/>
    <mergeCell ref="A469:A470"/>
    <mergeCell ref="B469:B470"/>
    <mergeCell ref="C469:C470"/>
    <mergeCell ref="D469:D470"/>
    <mergeCell ref="E469:E470"/>
    <mergeCell ref="F469:F470"/>
    <mergeCell ref="A455:A456"/>
    <mergeCell ref="B455:B456"/>
    <mergeCell ref="C455:C456"/>
    <mergeCell ref="D455:D456"/>
    <mergeCell ref="E455:E456"/>
    <mergeCell ref="F455:F456"/>
    <mergeCell ref="A462:A463"/>
    <mergeCell ref="B462:B463"/>
    <mergeCell ref="C462:C463"/>
    <mergeCell ref="D462:D463"/>
    <mergeCell ref="E462:E463"/>
    <mergeCell ref="F462:F463"/>
    <mergeCell ref="C413:C414"/>
    <mergeCell ref="D413:D414"/>
    <mergeCell ref="E413:E414"/>
    <mergeCell ref="F413:F414"/>
    <mergeCell ref="A425:A426"/>
    <mergeCell ref="B425:B426"/>
    <mergeCell ref="C425:C426"/>
    <mergeCell ref="D425:D426"/>
    <mergeCell ref="E425:E426"/>
    <mergeCell ref="F425:F426"/>
    <mergeCell ref="A433:A434"/>
    <mergeCell ref="B433:B434"/>
    <mergeCell ref="C433:C434"/>
    <mergeCell ref="D433:D434"/>
    <mergeCell ref="E433:E434"/>
    <mergeCell ref="F433:F434"/>
    <mergeCell ref="A447:A448"/>
    <mergeCell ref="B447:B448"/>
    <mergeCell ref="C447:C448"/>
    <mergeCell ref="D447:D448"/>
    <mergeCell ref="E447:E448"/>
    <mergeCell ref="F447:F448"/>
    <mergeCell ref="A17:A18"/>
    <mergeCell ref="B17:B18"/>
    <mergeCell ref="C17:C18"/>
    <mergeCell ref="D17:D18"/>
    <mergeCell ref="E17:E18"/>
    <mergeCell ref="F17:F18"/>
    <mergeCell ref="A204:A205"/>
    <mergeCell ref="B204:B205"/>
    <mergeCell ref="C204:C205"/>
    <mergeCell ref="D204:D205"/>
    <mergeCell ref="E204:E205"/>
    <mergeCell ref="F204:F205"/>
    <mergeCell ref="A50:A51"/>
    <mergeCell ref="B50:B51"/>
    <mergeCell ref="C50:C51"/>
    <mergeCell ref="D50:D51"/>
    <mergeCell ref="E50:E51"/>
    <mergeCell ref="F50:F51"/>
    <mergeCell ref="A130:A131"/>
    <mergeCell ref="B130:B131"/>
    <mergeCell ref="C130:C131"/>
    <mergeCell ref="D130:D131"/>
    <mergeCell ref="E130:E131"/>
    <mergeCell ref="F130:F131"/>
    <mergeCell ref="A66:A67"/>
    <mergeCell ref="B66:B67"/>
    <mergeCell ref="C66:C67"/>
    <mergeCell ref="D66:D67"/>
    <mergeCell ref="E66:E67"/>
    <mergeCell ref="F66:F67"/>
    <mergeCell ref="A82:A83"/>
    <mergeCell ref="B82:B83"/>
    <mergeCell ref="A320:A321"/>
    <mergeCell ref="B320:B321"/>
    <mergeCell ref="C320:C321"/>
    <mergeCell ref="D320:D321"/>
    <mergeCell ref="E320:E321"/>
    <mergeCell ref="F320:F321"/>
    <mergeCell ref="A1:A2"/>
    <mergeCell ref="B1:B2"/>
    <mergeCell ref="C1:C2"/>
    <mergeCell ref="D1:D2"/>
    <mergeCell ref="E1:E2"/>
    <mergeCell ref="F1:F2"/>
    <mergeCell ref="A196:A197"/>
    <mergeCell ref="B196:B197"/>
    <mergeCell ref="C196:C197"/>
    <mergeCell ref="D196:D197"/>
    <mergeCell ref="E196:E197"/>
    <mergeCell ref="F196:F197"/>
    <mergeCell ref="A34:A35"/>
    <mergeCell ref="B34:B35"/>
    <mergeCell ref="C34:C35"/>
    <mergeCell ref="D34:D35"/>
    <mergeCell ref="E34:E35"/>
    <mergeCell ref="F34:F35"/>
    <mergeCell ref="A252:A253"/>
    <mergeCell ref="B252:B253"/>
    <mergeCell ref="C252:C253"/>
    <mergeCell ref="D252:D253"/>
    <mergeCell ref="E252:E253"/>
    <mergeCell ref="F252:F253"/>
    <mergeCell ref="A239:A240"/>
    <mergeCell ref="B239:B240"/>
    <mergeCell ref="C82:C83"/>
    <mergeCell ref="D82:D83"/>
    <mergeCell ref="E82:E83"/>
    <mergeCell ref="F82:F83"/>
    <mergeCell ref="A302:A303"/>
    <mergeCell ref="B302:B303"/>
    <mergeCell ref="C302:C303"/>
    <mergeCell ref="D302:D303"/>
    <mergeCell ref="E302:E303"/>
    <mergeCell ref="F302:F303"/>
    <mergeCell ref="A159:A160"/>
    <mergeCell ref="B159:B160"/>
    <mergeCell ref="C159:C160"/>
    <mergeCell ref="D159:D160"/>
    <mergeCell ref="E159:E160"/>
    <mergeCell ref="F159:F160"/>
    <mergeCell ref="A180:A181"/>
    <mergeCell ref="B180:B181"/>
    <mergeCell ref="C180:C181"/>
    <mergeCell ref="D180:D181"/>
    <mergeCell ref="E180:E181"/>
    <mergeCell ref="F180:F181"/>
    <mergeCell ref="A231:A232"/>
    <mergeCell ref="B231:B232"/>
    <mergeCell ref="A98:A99"/>
    <mergeCell ref="B98:B99"/>
    <mergeCell ref="C98:C99"/>
    <mergeCell ref="D98:D99"/>
    <mergeCell ref="E98:E99"/>
    <mergeCell ref="F98:F99"/>
    <mergeCell ref="A146:A147"/>
    <mergeCell ref="B146:B147"/>
    <mergeCell ref="C146:C147"/>
    <mergeCell ref="D146:D147"/>
    <mergeCell ref="E146:E147"/>
    <mergeCell ref="F146:F147"/>
    <mergeCell ref="A114:A115"/>
    <mergeCell ref="B114:B115"/>
    <mergeCell ref="C114:C115"/>
    <mergeCell ref="D114:D115"/>
    <mergeCell ref="E114:E115"/>
    <mergeCell ref="F114:F115"/>
    <mergeCell ref="A295:A296"/>
    <mergeCell ref="B295:B296"/>
    <mergeCell ref="C295:C296"/>
    <mergeCell ref="D295:D296"/>
    <mergeCell ref="E295:E296"/>
    <mergeCell ref="F295:F296"/>
    <mergeCell ref="A211:A212"/>
    <mergeCell ref="B211:B212"/>
    <mergeCell ref="C211:C212"/>
    <mergeCell ref="D211:D212"/>
    <mergeCell ref="E211:E212"/>
    <mergeCell ref="F211:F212"/>
    <mergeCell ref="A218:A219"/>
    <mergeCell ref="B218:B219"/>
    <mergeCell ref="C218:C219"/>
    <mergeCell ref="D218:D219"/>
    <mergeCell ref="E218:E219"/>
    <mergeCell ref="F218:F219"/>
    <mergeCell ref="C231:C232"/>
    <mergeCell ref="D231:D232"/>
    <mergeCell ref="E231:E232"/>
    <mergeCell ref="F231:F232"/>
    <mergeCell ref="C239:C240"/>
    <mergeCell ref="D239:D240"/>
    <mergeCell ref="E239:E240"/>
    <mergeCell ref="F239:F240"/>
    <mergeCell ref="A268:A269"/>
    <mergeCell ref="B268:B269"/>
    <mergeCell ref="C268:C269"/>
    <mergeCell ref="D268:D269"/>
    <mergeCell ref="E268:E269"/>
    <mergeCell ref="F268:F269"/>
    <mergeCell ref="A282:A283"/>
    <mergeCell ref="B282:B283"/>
    <mergeCell ref="C282:C283"/>
    <mergeCell ref="D282:D283"/>
    <mergeCell ref="E282:E283"/>
    <mergeCell ref="F282:F283"/>
    <mergeCell ref="A167:A168"/>
    <mergeCell ref="B167:B168"/>
    <mergeCell ref="C167:C168"/>
    <mergeCell ref="D167:D168"/>
    <mergeCell ref="E167:E168"/>
    <mergeCell ref="F167:F168"/>
    <mergeCell ref="A363:A364"/>
    <mergeCell ref="B363:B364"/>
    <mergeCell ref="C363:C364"/>
    <mergeCell ref="D363:D364"/>
    <mergeCell ref="E363:E364"/>
    <mergeCell ref="F363:F364"/>
    <mergeCell ref="A370:A371"/>
    <mergeCell ref="B370:B371"/>
    <mergeCell ref="C370:C371"/>
    <mergeCell ref="D370:D371"/>
    <mergeCell ref="E370:E371"/>
    <mergeCell ref="F370:F371"/>
    <mergeCell ref="A336:A337"/>
    <mergeCell ref="B336:B337"/>
    <mergeCell ref="C336:C337"/>
    <mergeCell ref="D336:D337"/>
    <mergeCell ref="E336:E337"/>
    <mergeCell ref="F336:F337"/>
    <mergeCell ref="A351:A352"/>
    <mergeCell ref="B351:B352"/>
    <mergeCell ref="C351:C352"/>
    <mergeCell ref="D351:D352"/>
    <mergeCell ref="E351:E352"/>
    <mergeCell ref="F351:F352"/>
    <mergeCell ref="F378:F379"/>
    <mergeCell ref="A490:A491"/>
    <mergeCell ref="B490:B491"/>
    <mergeCell ref="C490:C491"/>
    <mergeCell ref="D490:D491"/>
    <mergeCell ref="E490:E491"/>
    <mergeCell ref="F490:F491"/>
    <mergeCell ref="A385:A386"/>
    <mergeCell ref="B385:B386"/>
    <mergeCell ref="C385:C386"/>
    <mergeCell ref="D385:D386"/>
    <mergeCell ref="E385:E386"/>
    <mergeCell ref="F385:F386"/>
    <mergeCell ref="A401:A402"/>
    <mergeCell ref="B401:B402"/>
    <mergeCell ref="C401:C402"/>
    <mergeCell ref="D401:D402"/>
    <mergeCell ref="E401:E402"/>
    <mergeCell ref="F401:F402"/>
    <mergeCell ref="A378:A379"/>
    <mergeCell ref="B378:B379"/>
    <mergeCell ref="C378:C379"/>
    <mergeCell ref="D378:D379"/>
    <mergeCell ref="E378:E379"/>
    <mergeCell ref="A407:A408"/>
    <mergeCell ref="B407:B408"/>
    <mergeCell ref="C407:C408"/>
    <mergeCell ref="D407:D408"/>
    <mergeCell ref="E407:E408"/>
    <mergeCell ref="F407:F408"/>
    <mergeCell ref="A413:A414"/>
    <mergeCell ref="B413:B414"/>
    <mergeCell ref="F567:F568"/>
    <mergeCell ref="F582:F583"/>
    <mergeCell ref="A646:A647"/>
    <mergeCell ref="B646:B647"/>
    <mergeCell ref="C646:C647"/>
    <mergeCell ref="D646:D647"/>
    <mergeCell ref="E646:E647"/>
    <mergeCell ref="F576:F577"/>
    <mergeCell ref="A588:A589"/>
    <mergeCell ref="F588:F589"/>
    <mergeCell ref="A594:A595"/>
    <mergeCell ref="B594:B595"/>
    <mergeCell ref="C594:C595"/>
    <mergeCell ref="D594:D595"/>
    <mergeCell ref="E594:E595"/>
    <mergeCell ref="F594:F595"/>
    <mergeCell ref="B567:B568"/>
    <mergeCell ref="C567:C568"/>
    <mergeCell ref="D567:D568"/>
    <mergeCell ref="E576:E577"/>
    <mergeCell ref="E567:E568"/>
    <mergeCell ref="E621:E622"/>
    <mergeCell ref="F621:F622"/>
    <mergeCell ref="A576:A577"/>
    <mergeCell ref="B576:B577"/>
    <mergeCell ref="C576:C577"/>
    <mergeCell ref="D576:D577"/>
    <mergeCell ref="A567:A568"/>
    <mergeCell ref="F609:F610"/>
    <mergeCell ref="F630:F631"/>
    <mergeCell ref="E601:E602"/>
    <mergeCell ref="F719:F720"/>
    <mergeCell ref="D582:D583"/>
    <mergeCell ref="E582:E583"/>
    <mergeCell ref="A630:A631"/>
    <mergeCell ref="B630:B631"/>
    <mergeCell ref="C630:C631"/>
    <mergeCell ref="D630:D631"/>
    <mergeCell ref="E630:E631"/>
    <mergeCell ref="B588:B589"/>
    <mergeCell ref="C588:C589"/>
    <mergeCell ref="D588:D589"/>
    <mergeCell ref="E588:E589"/>
    <mergeCell ref="D621:D622"/>
    <mergeCell ref="A601:A602"/>
    <mergeCell ref="B601:B602"/>
    <mergeCell ref="C601:C602"/>
    <mergeCell ref="D601:D602"/>
    <mergeCell ref="B658:B659"/>
    <mergeCell ref="C658:C659"/>
    <mergeCell ref="D658:D659"/>
    <mergeCell ref="E658:E659"/>
    <mergeCell ref="F658:F659"/>
    <mergeCell ref="A609:A610"/>
    <mergeCell ref="A719:A720"/>
    <mergeCell ref="B719:B720"/>
    <mergeCell ref="C719:C720"/>
    <mergeCell ref="D719:D720"/>
    <mergeCell ref="E719:E720"/>
    <mergeCell ref="A667:A668"/>
    <mergeCell ref="B667:B668"/>
    <mergeCell ref="C667:C668"/>
    <mergeCell ref="F713:F714"/>
    <mergeCell ref="B891:B894"/>
    <mergeCell ref="A882:A883"/>
    <mergeCell ref="B882:B883"/>
    <mergeCell ref="C882:C883"/>
    <mergeCell ref="D882:D883"/>
    <mergeCell ref="E882:E883"/>
    <mergeCell ref="F882:F883"/>
    <mergeCell ref="A889:A890"/>
    <mergeCell ref="B889:B890"/>
    <mergeCell ref="C889:C890"/>
    <mergeCell ref="D889:D890"/>
    <mergeCell ref="E889:E890"/>
    <mergeCell ref="F889:F890"/>
    <mergeCell ref="E861:E862"/>
    <mergeCell ref="F861:F862"/>
    <mergeCell ref="F601:F602"/>
    <mergeCell ref="A658:A659"/>
    <mergeCell ref="A849:A850"/>
    <mergeCell ref="B849:B850"/>
    <mergeCell ref="C849:C850"/>
    <mergeCell ref="D849:D850"/>
    <mergeCell ref="E849:E850"/>
    <mergeCell ref="F849:F850"/>
    <mergeCell ref="C700:C701"/>
    <mergeCell ref="D700:D701"/>
    <mergeCell ref="E700:E701"/>
    <mergeCell ref="A754:A755"/>
    <mergeCell ref="B754:B755"/>
    <mergeCell ref="C754:C755"/>
    <mergeCell ref="D754:D755"/>
    <mergeCell ref="E754:E755"/>
    <mergeCell ref="F754:F755"/>
    <mergeCell ref="A915:A916"/>
    <mergeCell ref="B915:B916"/>
    <mergeCell ref="C915:C916"/>
    <mergeCell ref="D915:D916"/>
    <mergeCell ref="E915:E916"/>
    <mergeCell ref="F915:F916"/>
    <mergeCell ref="A896:A897"/>
    <mergeCell ref="B896:B897"/>
    <mergeCell ref="C896:C897"/>
    <mergeCell ref="D896:D897"/>
    <mergeCell ref="E896:E897"/>
    <mergeCell ref="F896:F897"/>
    <mergeCell ref="A907:A908"/>
    <mergeCell ref="B907:B908"/>
    <mergeCell ref="C907:C908"/>
    <mergeCell ref="D907:D908"/>
    <mergeCell ref="E907:E908"/>
    <mergeCell ref="F907:F908"/>
    <mergeCell ref="F1080:F1081"/>
    <mergeCell ref="A1102:A1103"/>
    <mergeCell ref="B1102:B1103"/>
    <mergeCell ref="C1102:C1103"/>
    <mergeCell ref="D1102:D1103"/>
    <mergeCell ref="E1102:E1103"/>
    <mergeCell ref="F1102:F1103"/>
    <mergeCell ref="A1086:A1087"/>
    <mergeCell ref="B1086:B1087"/>
    <mergeCell ref="C1086:C1087"/>
    <mergeCell ref="D1086:D1087"/>
    <mergeCell ref="E1086:E1087"/>
    <mergeCell ref="F1086:F1087"/>
    <mergeCell ref="A1088:A1090"/>
    <mergeCell ref="A1092:A1093"/>
    <mergeCell ref="B1092:B1093"/>
    <mergeCell ref="C1092:C1093"/>
    <mergeCell ref="F1092:F1093"/>
    <mergeCell ref="B1094:B1100"/>
    <mergeCell ref="D1080:D1081"/>
    <mergeCell ref="E1080:E1081"/>
    <mergeCell ref="A1157:A1158"/>
    <mergeCell ref="B1157:B1158"/>
    <mergeCell ref="C1157:C1158"/>
    <mergeCell ref="D1157:D1158"/>
    <mergeCell ref="E1157:E1158"/>
    <mergeCell ref="F1157:F1158"/>
    <mergeCell ref="A1146:A1148"/>
    <mergeCell ref="A1150:A1151"/>
    <mergeCell ref="B1150:B1151"/>
    <mergeCell ref="C1150:C1151"/>
    <mergeCell ref="D1150:D1151"/>
    <mergeCell ref="E1150:E1151"/>
    <mergeCell ref="F1150:F1151"/>
    <mergeCell ref="F1134:F1135"/>
    <mergeCell ref="B1136:B1142"/>
    <mergeCell ref="A1144:A1145"/>
    <mergeCell ref="A1264:A1265"/>
    <mergeCell ref="B1264:B1265"/>
    <mergeCell ref="C1264:C1265"/>
    <mergeCell ref="D1264:D1265"/>
    <mergeCell ref="E1264:E1265"/>
    <mergeCell ref="F1264:F1265"/>
    <mergeCell ref="E1134:E1135"/>
    <mergeCell ref="A1170:A1171"/>
    <mergeCell ref="B1170:B1171"/>
    <mergeCell ref="C1170:C1171"/>
    <mergeCell ref="D1170:D1171"/>
    <mergeCell ref="E1170:E1171"/>
    <mergeCell ref="F1170:F1171"/>
    <mergeCell ref="B1172:B1178"/>
    <mergeCell ref="B1199:B1205"/>
    <mergeCell ref="A1180:A1181"/>
    <mergeCell ref="B1440:B1441"/>
    <mergeCell ref="E1304:E1305"/>
    <mergeCell ref="F1304:F1305"/>
    <mergeCell ref="A1284:A1285"/>
    <mergeCell ref="B1284:B1285"/>
    <mergeCell ref="C1284:C1285"/>
    <mergeCell ref="D1284:D1285"/>
    <mergeCell ref="E1284:E1285"/>
    <mergeCell ref="F1284:F1285"/>
    <mergeCell ref="A1298:A1299"/>
    <mergeCell ref="B1298:B1299"/>
    <mergeCell ref="C1298:C1299"/>
    <mergeCell ref="D1298:D1299"/>
    <mergeCell ref="E1298:E1299"/>
    <mergeCell ref="F1298:F1299"/>
    <mergeCell ref="E1388:E1389"/>
    <mergeCell ref="F1388:F1389"/>
    <mergeCell ref="B1390:B1398"/>
    <mergeCell ref="B1323:B1324"/>
    <mergeCell ref="C1323:C1324"/>
    <mergeCell ref="A1334:A1339"/>
    <mergeCell ref="B1334:B1339"/>
    <mergeCell ref="A1342:A1343"/>
    <mergeCell ref="B1342:B1343"/>
    <mergeCell ref="C1342:C1343"/>
    <mergeCell ref="D1342:D1343"/>
    <mergeCell ref="D1351:D1352"/>
    <mergeCell ref="B1306:B1309"/>
    <mergeCell ref="E1332:E1333"/>
    <mergeCell ref="F1332:F1333"/>
    <mergeCell ref="A1317:A1318"/>
    <mergeCell ref="B1332:B1333"/>
    <mergeCell ref="B1651:B1664"/>
    <mergeCell ref="B1317:B1318"/>
    <mergeCell ref="C1317:C1318"/>
    <mergeCell ref="D1317:D1318"/>
    <mergeCell ref="E1317:E1318"/>
    <mergeCell ref="F1317:F1318"/>
    <mergeCell ref="A1332:A1333"/>
    <mergeCell ref="B1413:B1414"/>
    <mergeCell ref="C1413:C1414"/>
    <mergeCell ref="D1413:D1414"/>
    <mergeCell ref="B1371:B1372"/>
    <mergeCell ref="A1378:A1379"/>
    <mergeCell ref="B1378:B1379"/>
    <mergeCell ref="A1388:A1389"/>
    <mergeCell ref="B1388:B1389"/>
    <mergeCell ref="C1388:C1389"/>
    <mergeCell ref="D1388:D1389"/>
    <mergeCell ref="D1384:D1385"/>
    <mergeCell ref="A1384:A1385"/>
    <mergeCell ref="B1384:B1385"/>
    <mergeCell ref="F1401:F1402"/>
    <mergeCell ref="B1401:B1402"/>
    <mergeCell ref="C1401:C1402"/>
    <mergeCell ref="D1401:D1402"/>
    <mergeCell ref="E1401:E1402"/>
    <mergeCell ref="E1384:E1385"/>
    <mergeCell ref="F1384:F1385"/>
    <mergeCell ref="A1371:A1372"/>
    <mergeCell ref="A1401:A1402"/>
    <mergeCell ref="E1431:E1432"/>
    <mergeCell ref="F1431:F1432"/>
    <mergeCell ref="C1625:C1626"/>
    <mergeCell ref="D1625:D1626"/>
    <mergeCell ref="E1625:E1626"/>
    <mergeCell ref="E1602:E1603"/>
    <mergeCell ref="F1602:F1603"/>
    <mergeCell ref="E1342:E1343"/>
    <mergeCell ref="F1342:F1343"/>
    <mergeCell ref="A1351:A1352"/>
    <mergeCell ref="A1363:A1364"/>
    <mergeCell ref="B1363:B1364"/>
    <mergeCell ref="C1363:C1364"/>
    <mergeCell ref="D1363:D1364"/>
    <mergeCell ref="C1371:C1372"/>
    <mergeCell ref="D1371:D1372"/>
    <mergeCell ref="E1371:E1372"/>
    <mergeCell ref="F1378:F1379"/>
    <mergeCell ref="F1649:F1650"/>
    <mergeCell ref="C1440:C1441"/>
    <mergeCell ref="D1440:D1441"/>
    <mergeCell ref="E1440:E1441"/>
    <mergeCell ref="F1440:F1441"/>
    <mergeCell ref="C1431:C1432"/>
    <mergeCell ref="D1431:D1432"/>
    <mergeCell ref="E1413:E1414"/>
    <mergeCell ref="F1413:F1414"/>
    <mergeCell ref="A1413:A1414"/>
    <mergeCell ref="A1519:A1520"/>
    <mergeCell ref="B1519:B1520"/>
    <mergeCell ref="C1519:C1520"/>
    <mergeCell ref="D1519:D1520"/>
    <mergeCell ref="E1519:E1520"/>
    <mergeCell ref="F1519:F1520"/>
    <mergeCell ref="F1640:F1641"/>
    <mergeCell ref="A1311:A1312"/>
    <mergeCell ref="B1311:B1312"/>
    <mergeCell ref="C1311:C1312"/>
    <mergeCell ref="D1311:D1312"/>
    <mergeCell ref="E1311:E1312"/>
    <mergeCell ref="F1311:F1312"/>
    <mergeCell ref="B1313:B1315"/>
    <mergeCell ref="D1332:D1333"/>
    <mergeCell ref="B1319:B1321"/>
    <mergeCell ref="C1384:C1385"/>
    <mergeCell ref="E1363:E1364"/>
    <mergeCell ref="F1363:F1364"/>
    <mergeCell ref="E1351:E1352"/>
    <mergeCell ref="F1351:F1352"/>
    <mergeCell ref="B1353:B1361"/>
    <mergeCell ref="C1378:C1379"/>
    <mergeCell ref="D1378:D1379"/>
    <mergeCell ref="E1378:E1379"/>
    <mergeCell ref="B1351:B1352"/>
    <mergeCell ref="A1323:A1324"/>
    <mergeCell ref="D1323:D1324"/>
    <mergeCell ref="E1323:E1324"/>
    <mergeCell ref="F1323:F1324"/>
    <mergeCell ref="F1371:F1372"/>
    <mergeCell ref="B1373:B1376"/>
    <mergeCell ref="C1351:C1352"/>
    <mergeCell ref="C1332:C1333"/>
    <mergeCell ref="A1649:A1650"/>
    <mergeCell ref="B1649:B1650"/>
    <mergeCell ref="A1742:A1743"/>
    <mergeCell ref="A1619:A1620"/>
    <mergeCell ref="B1619:B1620"/>
    <mergeCell ref="C1619:C1620"/>
    <mergeCell ref="D1619:D1620"/>
    <mergeCell ref="E1619:E1620"/>
    <mergeCell ref="F1619:F1620"/>
    <mergeCell ref="B1621:B1623"/>
    <mergeCell ref="A1673:A1674"/>
    <mergeCell ref="B1673:B1674"/>
    <mergeCell ref="C1673:C1674"/>
    <mergeCell ref="D1673:D1674"/>
    <mergeCell ref="E1673:E1674"/>
    <mergeCell ref="A1736:A1737"/>
    <mergeCell ref="B1736:B1737"/>
    <mergeCell ref="C1736:C1737"/>
    <mergeCell ref="D1736:D1737"/>
    <mergeCell ref="E1736:E1737"/>
    <mergeCell ref="A1625:A1626"/>
    <mergeCell ref="B1625:B1626"/>
    <mergeCell ref="B1687:B1688"/>
    <mergeCell ref="C1687:C1688"/>
    <mergeCell ref="D1687:D1688"/>
    <mergeCell ref="F1693:F1694"/>
    <mergeCell ref="B1695:B1708"/>
    <mergeCell ref="A1710:A1711"/>
    <mergeCell ref="B1710:B1711"/>
    <mergeCell ref="C1710:C1711"/>
    <mergeCell ref="D1710:D1711"/>
    <mergeCell ref="A1693:A1694"/>
    <mergeCell ref="F1843:F1844"/>
    <mergeCell ref="F1673:F1674"/>
    <mergeCell ref="A1667:A1668"/>
    <mergeCell ref="B1667:B1668"/>
    <mergeCell ref="C1667:C1668"/>
    <mergeCell ref="D1667:D1668"/>
    <mergeCell ref="E1667:E1668"/>
    <mergeCell ref="F1667:F1668"/>
    <mergeCell ref="F1625:F1626"/>
    <mergeCell ref="B1604:B1617"/>
    <mergeCell ref="A1831:A1832"/>
    <mergeCell ref="B1831:B1832"/>
    <mergeCell ref="C1831:C1832"/>
    <mergeCell ref="D1831:D1832"/>
    <mergeCell ref="E1831:E1832"/>
    <mergeCell ref="F1831:F1832"/>
    <mergeCell ref="A1804:A1805"/>
    <mergeCell ref="B1804:B1805"/>
    <mergeCell ref="C1804:C1805"/>
    <mergeCell ref="D1804:D1805"/>
    <mergeCell ref="E1804:E1805"/>
    <mergeCell ref="F1804:F1805"/>
    <mergeCell ref="A1819:A1820"/>
    <mergeCell ref="B1819:B1820"/>
    <mergeCell ref="F1687:F1688"/>
    <mergeCell ref="E1710:E1711"/>
    <mergeCell ref="F1710:F1711"/>
    <mergeCell ref="C1819:C1820"/>
    <mergeCell ref="D1819:D1820"/>
    <mergeCell ref="E1819:E1820"/>
    <mergeCell ref="C1772:C1773"/>
    <mergeCell ref="D1772:D1773"/>
    <mergeCell ref="A1594:A1595"/>
    <mergeCell ref="B1594:B1595"/>
    <mergeCell ref="C1594:C1595"/>
    <mergeCell ref="D1594:D1595"/>
    <mergeCell ref="E1594:E1595"/>
    <mergeCell ref="E1687:E1688"/>
    <mergeCell ref="A1640:A1641"/>
    <mergeCell ref="B1640:B1641"/>
    <mergeCell ref="C1640:C1641"/>
    <mergeCell ref="D1640:D1641"/>
    <mergeCell ref="E1649:E1650"/>
    <mergeCell ref="E1640:E1641"/>
    <mergeCell ref="A1717:A1718"/>
    <mergeCell ref="B1717:B1718"/>
    <mergeCell ref="C1717:C1718"/>
    <mergeCell ref="D1717:D1718"/>
    <mergeCell ref="A1781:A1782"/>
    <mergeCell ref="B1781:B1782"/>
    <mergeCell ref="C1781:C1782"/>
    <mergeCell ref="B1772:B1773"/>
    <mergeCell ref="E1693:E1694"/>
    <mergeCell ref="D1762:D1763"/>
    <mergeCell ref="E1762:E1763"/>
    <mergeCell ref="B1742:B1743"/>
    <mergeCell ref="C1742:C1743"/>
    <mergeCell ref="D1742:D1743"/>
    <mergeCell ref="B1693:B1694"/>
    <mergeCell ref="C1693:C1694"/>
    <mergeCell ref="D1693:D1694"/>
    <mergeCell ref="C1649:C1650"/>
    <mergeCell ref="A1687:A1688"/>
    <mergeCell ref="D1649:D1650"/>
    <mergeCell ref="E1772:E1773"/>
    <mergeCell ref="E1742:E1743"/>
    <mergeCell ref="F1736:F1737"/>
    <mergeCell ref="E1717:E1718"/>
    <mergeCell ref="F1717:F1718"/>
    <mergeCell ref="D1843:D1844"/>
    <mergeCell ref="E1843:E1844"/>
    <mergeCell ref="D1781:D1782"/>
    <mergeCell ref="E1781:E1782"/>
    <mergeCell ref="A1837:A1838"/>
    <mergeCell ref="B1837:B1838"/>
    <mergeCell ref="B1783:B1793"/>
    <mergeCell ref="A1762:A1763"/>
    <mergeCell ref="B1762:B1763"/>
    <mergeCell ref="F1781:F1782"/>
    <mergeCell ref="B1744:B1757"/>
    <mergeCell ref="A1772:A1773"/>
    <mergeCell ref="F1772:F1773"/>
    <mergeCell ref="B1774:B1779"/>
    <mergeCell ref="F1762:F1763"/>
    <mergeCell ref="F1819:F1820"/>
    <mergeCell ref="F1795:F1796"/>
    <mergeCell ref="A1795:A1796"/>
    <mergeCell ref="D1837:D1838"/>
    <mergeCell ref="E1837:E1838"/>
    <mergeCell ref="F1742:F1743"/>
    <mergeCell ref="B1795:B1796"/>
    <mergeCell ref="C1795:C1796"/>
    <mergeCell ref="D1795:D1796"/>
    <mergeCell ref="E1795:E1796"/>
    <mergeCell ref="F1837:F1838"/>
    <mergeCell ref="C1762:C1763"/>
    <mergeCell ref="A1899:A1900"/>
    <mergeCell ref="B1899:B1900"/>
    <mergeCell ref="C1899:C1900"/>
    <mergeCell ref="D1899:D1900"/>
    <mergeCell ref="E1899:E1900"/>
    <mergeCell ref="A1855:A1856"/>
    <mergeCell ref="D2132:D2133"/>
    <mergeCell ref="E2132:E2133"/>
    <mergeCell ref="B1855:B1856"/>
    <mergeCell ref="C1855:C1856"/>
    <mergeCell ref="D1893:D1894"/>
    <mergeCell ref="A2192:A2193"/>
    <mergeCell ref="B2192:B2193"/>
    <mergeCell ref="F2181:F2182"/>
    <mergeCell ref="C1893:C1894"/>
    <mergeCell ref="B2167:B2170"/>
    <mergeCell ref="E2142:E2143"/>
    <mergeCell ref="E2115:E2116"/>
    <mergeCell ref="F2115:F2116"/>
    <mergeCell ref="F2142:F2143"/>
    <mergeCell ref="C2142:C2143"/>
    <mergeCell ref="D2024:D2025"/>
    <mergeCell ref="E2024:E2025"/>
    <mergeCell ref="F2024:F2025"/>
    <mergeCell ref="A2035:A2036"/>
    <mergeCell ref="B2035:B2036"/>
    <mergeCell ref="C2035:C2036"/>
    <mergeCell ref="D2035:D2036"/>
    <mergeCell ref="E2035:E2036"/>
    <mergeCell ref="F2035:F2036"/>
    <mergeCell ref="A2024:A2025"/>
    <mergeCell ref="C1953:C1954"/>
    <mergeCell ref="A1843:A1844"/>
    <mergeCell ref="B1843:B1844"/>
    <mergeCell ref="A1849:A1850"/>
    <mergeCell ref="B1849:B1850"/>
    <mergeCell ref="C1849:C1850"/>
    <mergeCell ref="D1849:D1850"/>
    <mergeCell ref="E1849:E1850"/>
    <mergeCell ref="F1849:F1850"/>
    <mergeCell ref="C1837:C1838"/>
    <mergeCell ref="B1845:B1847"/>
    <mergeCell ref="C1843:C1844"/>
    <mergeCell ref="A2067:A2068"/>
    <mergeCell ref="B2067:B2068"/>
    <mergeCell ref="C2067:C2068"/>
    <mergeCell ref="B1886:B1887"/>
    <mergeCell ref="C1886:C1887"/>
    <mergeCell ref="D1886:D1887"/>
    <mergeCell ref="E1886:E1887"/>
    <mergeCell ref="F1886:F1887"/>
    <mergeCell ref="F1899:F1900"/>
    <mergeCell ref="D1861:D1862"/>
    <mergeCell ref="E1861:E1862"/>
    <mergeCell ref="F1861:F1862"/>
    <mergeCell ref="A1870:A1871"/>
    <mergeCell ref="B1870:B1871"/>
    <mergeCell ref="C1870:C1871"/>
    <mergeCell ref="C2004:C2005"/>
    <mergeCell ref="E1893:E1894"/>
    <mergeCell ref="F1893:F1894"/>
    <mergeCell ref="A1861:A1862"/>
    <mergeCell ref="B1861:B1862"/>
    <mergeCell ref="C1861:C1862"/>
    <mergeCell ref="B2243:B2244"/>
    <mergeCell ref="A2104:A2105"/>
    <mergeCell ref="B2104:B2105"/>
    <mergeCell ref="C2104:C2105"/>
    <mergeCell ref="F2192:F2193"/>
    <mergeCell ref="A2181:A2182"/>
    <mergeCell ref="B2181:B2182"/>
    <mergeCell ref="D2192:D2193"/>
    <mergeCell ref="E2192:E2193"/>
    <mergeCell ref="C2192:C2193"/>
    <mergeCell ref="D2104:D2105"/>
    <mergeCell ref="E2104:E2105"/>
    <mergeCell ref="F2104:F2105"/>
    <mergeCell ref="A2115:A2116"/>
    <mergeCell ref="B2115:B2116"/>
    <mergeCell ref="A2173:A2174"/>
    <mergeCell ref="B2173:B2174"/>
    <mergeCell ref="C2173:C2174"/>
    <mergeCell ref="C2165:C2166"/>
    <mergeCell ref="A2132:A2133"/>
    <mergeCell ref="B2132:B2133"/>
    <mergeCell ref="C2132:C2133"/>
    <mergeCell ref="C2507:C2508"/>
    <mergeCell ref="D2507:D2508"/>
    <mergeCell ref="C2207:C2208"/>
    <mergeCell ref="D2207:D2208"/>
    <mergeCell ref="A2201:A2202"/>
    <mergeCell ref="E2229:E2230"/>
    <mergeCell ref="D2142:D2143"/>
    <mergeCell ref="E2207:E2208"/>
    <mergeCell ref="F2207:F2208"/>
    <mergeCell ref="C2181:C2182"/>
    <mergeCell ref="D2181:D2182"/>
    <mergeCell ref="E2181:E2182"/>
    <mergeCell ref="B2165:B2166"/>
    <mergeCell ref="A2207:A2208"/>
    <mergeCell ref="B2207:B2208"/>
    <mergeCell ref="C2243:C2244"/>
    <mergeCell ref="D2173:D2174"/>
    <mergeCell ref="E2173:E2174"/>
    <mergeCell ref="F2173:F2174"/>
    <mergeCell ref="B2201:B2202"/>
    <mergeCell ref="C2201:C2202"/>
    <mergeCell ref="D2201:D2202"/>
    <mergeCell ref="E2201:E2202"/>
    <mergeCell ref="F2201:F2202"/>
    <mergeCell ref="C2217:C2218"/>
    <mergeCell ref="F2243:F2244"/>
    <mergeCell ref="A2217:A2218"/>
    <mergeCell ref="D2217:D2218"/>
    <mergeCell ref="E2217:E2218"/>
    <mergeCell ref="F2217:F2218"/>
    <mergeCell ref="B2217:B2218"/>
    <mergeCell ref="A2243:A2244"/>
    <mergeCell ref="C2565:C2566"/>
    <mergeCell ref="D2565:D2566"/>
    <mergeCell ref="B2396:B2397"/>
    <mergeCell ref="C2396:C2397"/>
    <mergeCell ref="C2490:C2491"/>
    <mergeCell ref="D2490:D2491"/>
    <mergeCell ref="E2490:E2491"/>
    <mergeCell ref="F2490:F2491"/>
    <mergeCell ref="F2431:F2432"/>
    <mergeCell ref="A2440:A2441"/>
    <mergeCell ref="A2396:A2397"/>
    <mergeCell ref="E2507:E2508"/>
    <mergeCell ref="F2507:F2508"/>
    <mergeCell ref="B2512:B2513"/>
    <mergeCell ref="C2470:C2471"/>
    <mergeCell ref="D2470:D2471"/>
    <mergeCell ref="E2470:E2471"/>
    <mergeCell ref="F2470:F2471"/>
    <mergeCell ref="C2502:C2503"/>
    <mergeCell ref="D2502:D2503"/>
    <mergeCell ref="E2502:E2503"/>
    <mergeCell ref="F2502:F2503"/>
    <mergeCell ref="A2470:A2471"/>
    <mergeCell ref="A2490:A2491"/>
    <mergeCell ref="A2502:A2503"/>
    <mergeCell ref="B2502:B2503"/>
    <mergeCell ref="B2431:B2432"/>
    <mergeCell ref="D2396:D2397"/>
    <mergeCell ref="E2396:E2397"/>
    <mergeCell ref="E2431:E2432"/>
    <mergeCell ref="A2507:A2508"/>
    <mergeCell ref="B2507:B2508"/>
    <mergeCell ref="C2512:C2513"/>
    <mergeCell ref="B2490:B2491"/>
    <mergeCell ref="E2451:E2452"/>
    <mergeCell ref="F2451:F2452"/>
    <mergeCell ref="A2416:A2417"/>
    <mergeCell ref="B2416:B2417"/>
    <mergeCell ref="A2611:A2612"/>
    <mergeCell ref="B2611:B2612"/>
    <mergeCell ref="C2611:C2612"/>
    <mergeCell ref="D2611:D2612"/>
    <mergeCell ref="E2611:E2612"/>
    <mergeCell ref="F2611:F2612"/>
    <mergeCell ref="A2573:A2574"/>
    <mergeCell ref="A2559:A2560"/>
    <mergeCell ref="B2559:B2560"/>
    <mergeCell ref="C2559:C2560"/>
    <mergeCell ref="B2573:B2574"/>
    <mergeCell ref="A2591:A2592"/>
    <mergeCell ref="F2591:F2592"/>
    <mergeCell ref="B2591:B2592"/>
    <mergeCell ref="C2591:C2592"/>
    <mergeCell ref="F2522:F2523"/>
    <mergeCell ref="A2599:A2600"/>
    <mergeCell ref="C2573:C2574"/>
    <mergeCell ref="D2573:D2574"/>
    <mergeCell ref="E2573:E2574"/>
    <mergeCell ref="F2573:F2574"/>
    <mergeCell ref="A2581:A2582"/>
    <mergeCell ref="E2559:E2560"/>
    <mergeCell ref="F2559:F2560"/>
    <mergeCell ref="A2565:A2566"/>
    <mergeCell ref="B2565:B2566"/>
    <mergeCell ref="C2627:C2628"/>
    <mergeCell ref="D2627:D2628"/>
    <mergeCell ref="B2388:B2389"/>
    <mergeCell ref="F2326:F2327"/>
    <mergeCell ref="A2300:A2301"/>
    <mergeCell ref="B2300:B2301"/>
    <mergeCell ref="C2300:C2301"/>
    <mergeCell ref="C2354:C2355"/>
    <mergeCell ref="D2354:D2355"/>
    <mergeCell ref="E2354:E2355"/>
    <mergeCell ref="B2470:B2471"/>
    <mergeCell ref="A2542:A2543"/>
    <mergeCell ref="B2542:B2543"/>
    <mergeCell ref="C2542:C2543"/>
    <mergeCell ref="D2542:D2543"/>
    <mergeCell ref="E2542:E2543"/>
    <mergeCell ref="F2542:F2543"/>
    <mergeCell ref="A2548:A2549"/>
    <mergeCell ref="B2548:B2549"/>
    <mergeCell ref="C2548:C2549"/>
    <mergeCell ref="B2440:B2441"/>
    <mergeCell ref="D2431:D2432"/>
    <mergeCell ref="A2534:A2535"/>
    <mergeCell ref="B2534:B2535"/>
    <mergeCell ref="C2534:C2535"/>
    <mergeCell ref="D2534:D2535"/>
    <mergeCell ref="E2534:E2535"/>
    <mergeCell ref="F2534:F2535"/>
    <mergeCell ref="D2548:D2549"/>
    <mergeCell ref="E2548:E2549"/>
    <mergeCell ref="F2548:F2549"/>
    <mergeCell ref="A2512:A2513"/>
    <mergeCell ref="F3193:F3194"/>
    <mergeCell ref="A3149:A3150"/>
    <mergeCell ref="D2512:D2513"/>
    <mergeCell ref="E2512:E2513"/>
    <mergeCell ref="F2512:F2513"/>
    <mergeCell ref="A2522:A2523"/>
    <mergeCell ref="B2522:B2523"/>
    <mergeCell ref="C2522:C2523"/>
    <mergeCell ref="D2522:D2523"/>
    <mergeCell ref="E2522:E2523"/>
    <mergeCell ref="A2698:A2699"/>
    <mergeCell ref="B2698:B2699"/>
    <mergeCell ref="C2698:C2699"/>
    <mergeCell ref="D2698:D2699"/>
    <mergeCell ref="E2698:E2699"/>
    <mergeCell ref="F2698:F2699"/>
    <mergeCell ref="D2591:D2592"/>
    <mergeCell ref="B2599:B2600"/>
    <mergeCell ref="C2599:C2600"/>
    <mergeCell ref="D2599:D2600"/>
    <mergeCell ref="E2599:E2600"/>
    <mergeCell ref="F2599:F2600"/>
    <mergeCell ref="E2565:E2566"/>
    <mergeCell ref="F2565:F2566"/>
    <mergeCell ref="F2627:F2628"/>
    <mergeCell ref="E2591:E2592"/>
    <mergeCell ref="A2644:A2645"/>
    <mergeCell ref="B2644:B2645"/>
    <mergeCell ref="C2644:C2645"/>
    <mergeCell ref="D2644:D2645"/>
    <mergeCell ref="A2627:A2628"/>
    <mergeCell ref="B2627:B2628"/>
    <mergeCell ref="A3137:A3138"/>
    <mergeCell ref="B3137:B3138"/>
    <mergeCell ref="C3137:C3138"/>
    <mergeCell ref="A3201:A3202"/>
    <mergeCell ref="D3020:D3021"/>
    <mergeCell ref="C3052:C3053"/>
    <mergeCell ref="D3052:D3053"/>
    <mergeCell ref="E3052:E3053"/>
    <mergeCell ref="A3046:A3047"/>
    <mergeCell ref="B3046:B3047"/>
    <mergeCell ref="A3052:A3053"/>
    <mergeCell ref="B3052:B3053"/>
    <mergeCell ref="A3141:A3142"/>
    <mergeCell ref="B3141:B3142"/>
    <mergeCell ref="C3141:C3142"/>
    <mergeCell ref="D3141:D3142"/>
    <mergeCell ref="E3141:E3142"/>
    <mergeCell ref="A3106:A3107"/>
    <mergeCell ref="B3106:B3107"/>
    <mergeCell ref="C3106:C3107"/>
    <mergeCell ref="D3106:D3107"/>
    <mergeCell ref="E3106:E3107"/>
    <mergeCell ref="B3020:B3021"/>
    <mergeCell ref="C3020:C3021"/>
    <mergeCell ref="E3193:E3194"/>
    <mergeCell ref="A3020:A3021"/>
    <mergeCell ref="G3208:G3209"/>
    <mergeCell ref="D3208:D3209"/>
    <mergeCell ref="D3149:D3150"/>
    <mergeCell ref="E3149:E3150"/>
    <mergeCell ref="F3058:F3059"/>
    <mergeCell ref="A3058:A3059"/>
    <mergeCell ref="B3058:B3059"/>
    <mergeCell ref="E3099:E3100"/>
    <mergeCell ref="F3099:F3100"/>
    <mergeCell ref="A3099:A3100"/>
    <mergeCell ref="B3099:B3100"/>
    <mergeCell ref="C3099:C3100"/>
    <mergeCell ref="D3099:D3100"/>
    <mergeCell ref="A3116:A3117"/>
    <mergeCell ref="B3116:B3117"/>
    <mergeCell ref="C3116:C3117"/>
    <mergeCell ref="B3201:B3202"/>
    <mergeCell ref="C3201:C3202"/>
    <mergeCell ref="D3201:D3202"/>
    <mergeCell ref="E3201:E3202"/>
    <mergeCell ref="F3201:F3202"/>
    <mergeCell ref="B3193:B3194"/>
    <mergeCell ref="C3193:C3194"/>
    <mergeCell ref="D3193:D3194"/>
    <mergeCell ref="F3149:F3150"/>
    <mergeCell ref="D3137:D3138"/>
    <mergeCell ref="E3137:E3138"/>
    <mergeCell ref="F3137:F3138"/>
    <mergeCell ref="F3141:F3142"/>
    <mergeCell ref="D3116:D3117"/>
    <mergeCell ref="E3116:E3117"/>
    <mergeCell ref="F3116:F3117"/>
    <mergeCell ref="E3244:E3245"/>
    <mergeCell ref="F3244:F3245"/>
    <mergeCell ref="G3244:G3245"/>
    <mergeCell ref="E3277:E3278"/>
    <mergeCell ref="F3277:F3278"/>
    <mergeCell ref="G3277:G3278"/>
    <mergeCell ref="B3297:B3298"/>
    <mergeCell ref="E3208:E3209"/>
    <mergeCell ref="F3208:F3209"/>
    <mergeCell ref="F3106:F3107"/>
    <mergeCell ref="F3223:F3224"/>
    <mergeCell ref="A3233:A3234"/>
    <mergeCell ref="B3233:B3234"/>
    <mergeCell ref="C3233:C3234"/>
    <mergeCell ref="D3233:D3234"/>
    <mergeCell ref="E3233:E3234"/>
    <mergeCell ref="G3223:G3224"/>
    <mergeCell ref="F3233:F3234"/>
    <mergeCell ref="G3233:G3234"/>
    <mergeCell ref="B3208:B3209"/>
    <mergeCell ref="C3208:C3209"/>
    <mergeCell ref="G3149:G3150"/>
    <mergeCell ref="A3183:A3184"/>
    <mergeCell ref="B3183:B3184"/>
    <mergeCell ref="C3183:C3184"/>
    <mergeCell ref="D3183:D3184"/>
    <mergeCell ref="E3183:E3184"/>
    <mergeCell ref="F3183:F3184"/>
    <mergeCell ref="B3149:B3150"/>
    <mergeCell ref="C3149:C3150"/>
    <mergeCell ref="G3193:G3194"/>
    <mergeCell ref="G3201:G3202"/>
    <mergeCell ref="A3347:A3348"/>
    <mergeCell ref="B3347:B3348"/>
    <mergeCell ref="C3347:C3348"/>
    <mergeCell ref="D3347:D3348"/>
    <mergeCell ref="E3347:E3348"/>
    <mergeCell ref="F3347:F3348"/>
    <mergeCell ref="G3347:G3348"/>
    <mergeCell ref="A3208:A3209"/>
    <mergeCell ref="A3193:A3194"/>
    <mergeCell ref="A3339:A3340"/>
    <mergeCell ref="B3339:B3340"/>
    <mergeCell ref="C3339:C3340"/>
    <mergeCell ref="D3339:D3340"/>
    <mergeCell ref="E3339:E3340"/>
    <mergeCell ref="F3339:F3340"/>
    <mergeCell ref="G3339:G3340"/>
    <mergeCell ref="A3256:A3257"/>
    <mergeCell ref="B3256:B3257"/>
    <mergeCell ref="C3256:C3257"/>
    <mergeCell ref="D3256:D3257"/>
    <mergeCell ref="E3256:E3257"/>
    <mergeCell ref="F3256:F3257"/>
    <mergeCell ref="G3256:G3257"/>
    <mergeCell ref="A3223:A3224"/>
    <mergeCell ref="B3223:B3224"/>
    <mergeCell ref="C3223:C3224"/>
    <mergeCell ref="D3223:D3224"/>
    <mergeCell ref="E3223:E3224"/>
    <mergeCell ref="A3244:A3245"/>
    <mergeCell ref="B3244:B3245"/>
    <mergeCell ref="C3244:C3245"/>
    <mergeCell ref="D3244:D3245"/>
    <mergeCell ref="F3427:F3428"/>
    <mergeCell ref="G3427:G3428"/>
    <mergeCell ref="A3358:A3359"/>
    <mergeCell ref="B3358:B3359"/>
    <mergeCell ref="C3358:C3359"/>
    <mergeCell ref="D3358:D3359"/>
    <mergeCell ref="E3358:E3359"/>
    <mergeCell ref="F3358:F3359"/>
    <mergeCell ref="G3358:G3359"/>
    <mergeCell ref="A3375:A3376"/>
    <mergeCell ref="B3375:B3376"/>
    <mergeCell ref="C3375:C3376"/>
    <mergeCell ref="D3375:D3376"/>
    <mergeCell ref="E3375:E3376"/>
    <mergeCell ref="F3375:F3376"/>
    <mergeCell ref="G3375:G3376"/>
    <mergeCell ref="E3406:E3407"/>
    <mergeCell ref="F3406:F3407"/>
    <mergeCell ref="G3406:G3407"/>
    <mergeCell ref="A3385:A3386"/>
    <mergeCell ref="B3385:B3386"/>
    <mergeCell ref="C3385:C3386"/>
    <mergeCell ref="D3385:D3386"/>
    <mergeCell ref="E3385:E3386"/>
    <mergeCell ref="F3385:F3386"/>
    <mergeCell ref="G3385:G3386"/>
    <mergeCell ref="A3392:A3393"/>
    <mergeCell ref="B3392:B3393"/>
    <mergeCell ref="C3392:C3393"/>
    <mergeCell ref="D3392:D3393"/>
    <mergeCell ref="E3392:E3393"/>
    <mergeCell ref="A3370:A3371"/>
    <mergeCell ref="B3370:B3371"/>
    <mergeCell ref="C3370:C3371"/>
    <mergeCell ref="D3370:D3371"/>
    <mergeCell ref="E3370:E3371"/>
    <mergeCell ref="F3370:F3371"/>
    <mergeCell ref="G3370:G3371"/>
    <mergeCell ref="B3396:B3397"/>
    <mergeCell ref="C3396:C3397"/>
    <mergeCell ref="D3396:D3397"/>
    <mergeCell ref="E3396:E3397"/>
    <mergeCell ref="F3396:F3397"/>
    <mergeCell ref="G3396:G3397"/>
    <mergeCell ref="A3406:A3407"/>
    <mergeCell ref="B3406:B3407"/>
    <mergeCell ref="C3406:C3407"/>
    <mergeCell ref="D3406:D3407"/>
    <mergeCell ref="F3392:F3393"/>
    <mergeCell ref="G3392:G3393"/>
    <mergeCell ref="A3396:A3397"/>
    <mergeCell ref="A3421:A3422"/>
    <mergeCell ref="A3414:A3415"/>
    <mergeCell ref="B3414:B3415"/>
    <mergeCell ref="C3414:C3415"/>
    <mergeCell ref="D3414:D3415"/>
    <mergeCell ref="E3414:E3415"/>
    <mergeCell ref="F3414:F3415"/>
    <mergeCell ref="G3414:G3415"/>
    <mergeCell ref="A3427:A3428"/>
    <mergeCell ref="B3427:B3428"/>
    <mergeCell ref="C3427:C3428"/>
    <mergeCell ref="D3427:D3428"/>
    <mergeCell ref="A3527:A3528"/>
    <mergeCell ref="B3527:B3528"/>
    <mergeCell ref="C3527:C3528"/>
    <mergeCell ref="D3527:D3528"/>
    <mergeCell ref="E3527:E3528"/>
    <mergeCell ref="F3527:F3528"/>
    <mergeCell ref="B3421:B3422"/>
    <mergeCell ref="C3421:C3422"/>
    <mergeCell ref="D3421:D3422"/>
    <mergeCell ref="E3421:E3422"/>
    <mergeCell ref="F3421:F3422"/>
    <mergeCell ref="G3421:G3422"/>
    <mergeCell ref="A3438:A3439"/>
    <mergeCell ref="B3438:B3439"/>
    <mergeCell ref="C3438:C3439"/>
    <mergeCell ref="D3438:D3439"/>
    <mergeCell ref="E3438:E3439"/>
    <mergeCell ref="F3438:F3439"/>
    <mergeCell ref="G3438:G3439"/>
    <mergeCell ref="E3427:E3428"/>
    <mergeCell ref="E3636:E3637"/>
    <mergeCell ref="F3636:F3637"/>
    <mergeCell ref="G3636:G3637"/>
    <mergeCell ref="A3642:A3643"/>
    <mergeCell ref="B3642:B3643"/>
    <mergeCell ref="C3642:C3643"/>
    <mergeCell ref="D3642:D3643"/>
    <mergeCell ref="C3615:C3616"/>
    <mergeCell ref="D3615:D3616"/>
    <mergeCell ref="E3615:E3616"/>
    <mergeCell ref="F3615:F3616"/>
    <mergeCell ref="G3615:G3616"/>
    <mergeCell ref="F3669:F3670"/>
    <mergeCell ref="G3683:G3684"/>
    <mergeCell ref="D3739:D3740"/>
    <mergeCell ref="E3739:E3740"/>
    <mergeCell ref="A3636:A3637"/>
    <mergeCell ref="B3636:B3637"/>
    <mergeCell ref="C3636:C3637"/>
    <mergeCell ref="D3636:D3637"/>
    <mergeCell ref="A3669:A3670"/>
    <mergeCell ref="G3648:G3649"/>
    <mergeCell ref="A3654:A3655"/>
    <mergeCell ref="B3654:B3655"/>
    <mergeCell ref="C3654:C3655"/>
    <mergeCell ref="D3654:D3655"/>
    <mergeCell ref="C3661:C3662"/>
    <mergeCell ref="C3669:C3670"/>
    <mergeCell ref="D3669:D3670"/>
    <mergeCell ref="E3669:E3670"/>
    <mergeCell ref="E3693:E3694"/>
    <mergeCell ref="F3693:F3694"/>
    <mergeCell ref="F3611:F3612"/>
    <mergeCell ref="G3611:G3612"/>
    <mergeCell ref="E3642:E3643"/>
    <mergeCell ref="F3642:F3643"/>
    <mergeCell ref="G3642:G3643"/>
    <mergeCell ref="A3648:A3649"/>
    <mergeCell ref="G3654:G3655"/>
    <mergeCell ref="A3615:A3616"/>
    <mergeCell ref="B3615:B3616"/>
    <mergeCell ref="D3661:D3662"/>
    <mergeCell ref="B3648:B3649"/>
    <mergeCell ref="C3648:C3649"/>
    <mergeCell ref="D3648:D3649"/>
    <mergeCell ref="E3648:E3649"/>
    <mergeCell ref="F3648:F3649"/>
    <mergeCell ref="A3722:A3723"/>
    <mergeCell ref="B3722:B3723"/>
    <mergeCell ref="C3722:C3723"/>
    <mergeCell ref="E3611:E3612"/>
    <mergeCell ref="B3669:B3670"/>
    <mergeCell ref="E3654:E3655"/>
    <mergeCell ref="F3654:F3655"/>
    <mergeCell ref="E3661:E3662"/>
    <mergeCell ref="F3661:F3662"/>
    <mergeCell ref="G3661:G3662"/>
    <mergeCell ref="G3669:G3670"/>
    <mergeCell ref="A3661:A3662"/>
    <mergeCell ref="B3661:B3662"/>
    <mergeCell ref="A3611:A3612"/>
    <mergeCell ref="B3611:B3612"/>
    <mergeCell ref="C3611:C3612"/>
    <mergeCell ref="D3611:D3612"/>
    <mergeCell ref="A3861:A3862"/>
    <mergeCell ref="B3861:B3862"/>
    <mergeCell ref="C3861:C3862"/>
    <mergeCell ref="D3861:D3862"/>
    <mergeCell ref="E3861:E3862"/>
    <mergeCell ref="F3861:F3862"/>
    <mergeCell ref="G3861:G3862"/>
    <mergeCell ref="A3856:A3857"/>
    <mergeCell ref="B3856:B3857"/>
    <mergeCell ref="C3856:C3857"/>
    <mergeCell ref="D3856:D3857"/>
    <mergeCell ref="E3856:E3857"/>
    <mergeCell ref="F3856:F3857"/>
    <mergeCell ref="G3856:G3857"/>
    <mergeCell ref="A3885:A3886"/>
    <mergeCell ref="B3885:B3886"/>
    <mergeCell ref="C3885:C3886"/>
    <mergeCell ref="D3885:D3886"/>
    <mergeCell ref="E3885:E3886"/>
    <mergeCell ref="F3885:F3886"/>
    <mergeCell ref="G3885:G3886"/>
    <mergeCell ref="A3869:A3870"/>
    <mergeCell ref="B3869:B3870"/>
    <mergeCell ref="C3869:C3870"/>
    <mergeCell ref="D3869:D3870"/>
    <mergeCell ref="E3869:E3870"/>
    <mergeCell ref="F3869:F3870"/>
    <mergeCell ref="G3869:G3870"/>
    <mergeCell ref="A3930:A3931"/>
    <mergeCell ref="B3930:B3931"/>
    <mergeCell ref="C3930:C3931"/>
    <mergeCell ref="D3930:D3931"/>
    <mergeCell ref="E3930:E3931"/>
    <mergeCell ref="F3930:F3931"/>
    <mergeCell ref="G3930:G3931"/>
    <mergeCell ref="A3896:A3897"/>
    <mergeCell ref="B3896:B3897"/>
    <mergeCell ref="C3896:C3897"/>
    <mergeCell ref="D3896:D3897"/>
    <mergeCell ref="E3896:E3897"/>
    <mergeCell ref="F3896:F3897"/>
    <mergeCell ref="G3896:G3897"/>
    <mergeCell ref="A3890:A3891"/>
    <mergeCell ref="B3890:B3891"/>
    <mergeCell ref="C3890:C3891"/>
    <mergeCell ref="D3890:D3891"/>
    <mergeCell ref="E3890:E3891"/>
    <mergeCell ref="F3890:F3891"/>
    <mergeCell ref="G3890:G3891"/>
    <mergeCell ref="A3902:A3903"/>
    <mergeCell ref="B3902:B3903"/>
    <mergeCell ref="C3902:C3903"/>
    <mergeCell ref="D3902:D3903"/>
    <mergeCell ref="E3902:E3903"/>
    <mergeCell ref="F3902:F3903"/>
    <mergeCell ref="G3902:G3903"/>
    <mergeCell ref="A4027:A4028"/>
    <mergeCell ref="B4027:B4028"/>
    <mergeCell ref="C4027:C4028"/>
    <mergeCell ref="D4027:D4028"/>
    <mergeCell ref="E4027:E4028"/>
    <mergeCell ref="F4027:F4028"/>
    <mergeCell ref="G4027:G4028"/>
    <mergeCell ref="A3966:A3967"/>
    <mergeCell ref="B3966:B3967"/>
    <mergeCell ref="C3966:C3967"/>
    <mergeCell ref="D3966:D3967"/>
    <mergeCell ref="E3966:E3967"/>
    <mergeCell ref="F3966:F3967"/>
    <mergeCell ref="G3966:G3967"/>
    <mergeCell ref="A3935:A3936"/>
    <mergeCell ref="B3935:B3936"/>
    <mergeCell ref="C3935:C3936"/>
    <mergeCell ref="D3935:D3936"/>
    <mergeCell ref="E3935:E3936"/>
    <mergeCell ref="F3935:F3936"/>
    <mergeCell ref="G3935:G3936"/>
    <mergeCell ref="A3990:A3991"/>
    <mergeCell ref="A4007:A4008"/>
    <mergeCell ref="B4007:B4008"/>
    <mergeCell ref="C4007:C4008"/>
    <mergeCell ref="D4007:D4008"/>
    <mergeCell ref="E4007:E4008"/>
    <mergeCell ref="F4007:F4008"/>
    <mergeCell ref="G4007:G4008"/>
    <mergeCell ref="B3990:B3991"/>
    <mergeCell ref="C3990:C3991"/>
    <mergeCell ref="D3990:D3991"/>
  </mergeCells>
  <conditionalFormatting sqref="C918">
    <cfRule type="expression" dxfId="6" priority="6" stopIfTrue="1">
      <formula>#REF!="немає"</formula>
    </cfRule>
  </conditionalFormatting>
  <conditionalFormatting sqref="C1024">
    <cfRule type="expression" dxfId="5" priority="5" stopIfTrue="1">
      <formula>#REF!="немає"</formula>
    </cfRule>
  </conditionalFormatting>
  <conditionalFormatting sqref="C1183:C1186">
    <cfRule type="expression" dxfId="4" priority="4" stopIfTrue="1">
      <formula>#REF!="немає"</formula>
    </cfRule>
  </conditionalFormatting>
  <conditionalFormatting sqref="C1238:C1239">
    <cfRule type="expression" dxfId="3" priority="3" stopIfTrue="1">
      <formula>#REF!="немає"</formula>
    </cfRule>
  </conditionalFormatting>
  <conditionalFormatting sqref="C1301">
    <cfRule type="expression" dxfId="2" priority="2" stopIfTrue="1">
      <formula>#REF!="немає"</formula>
    </cfRule>
  </conditionalFormatting>
  <conditionalFormatting sqref="C1381">
    <cfRule type="expression" dxfId="1" priority="1" stopIfTrue="1">
      <formula>#REF!="немає"</formula>
    </cfRule>
  </conditionalFormatting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83"/>
  <sheetViews>
    <sheetView showGridLines="0" zoomScale="70" zoomScaleNormal="70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A20" sqref="A20:XFD20"/>
    </sheetView>
  </sheetViews>
  <sheetFormatPr defaultRowHeight="15" outlineLevelRow="1"/>
  <cols>
    <col min="1" max="1" width="30.140625" bestFit="1" customWidth="1"/>
    <col min="2" max="2" width="60.7109375" customWidth="1"/>
  </cols>
  <sheetData>
    <row r="1" spans="1:94">
      <c r="B1" s="346">
        <f ca="1">TODAY()</f>
        <v>44004</v>
      </c>
    </row>
    <row r="2" spans="1:94">
      <c r="A2" s="351" t="s">
        <v>1028</v>
      </c>
      <c r="B2" t="s">
        <v>1029</v>
      </c>
      <c r="C2" s="345">
        <v>41944</v>
      </c>
      <c r="D2" s="345">
        <v>41945</v>
      </c>
      <c r="E2" s="345">
        <v>41946</v>
      </c>
      <c r="F2" s="345">
        <v>41947</v>
      </c>
      <c r="G2" s="345">
        <v>41948</v>
      </c>
      <c r="H2" s="345">
        <v>41949</v>
      </c>
      <c r="I2" s="345">
        <v>41950</v>
      </c>
      <c r="J2" s="345">
        <v>41951</v>
      </c>
      <c r="K2" s="345">
        <v>41952</v>
      </c>
      <c r="L2" s="345">
        <v>41953</v>
      </c>
      <c r="M2" s="345">
        <v>41954</v>
      </c>
      <c r="N2" s="345">
        <v>41955</v>
      </c>
      <c r="O2" s="345">
        <v>41956</v>
      </c>
      <c r="P2" s="345">
        <v>41957</v>
      </c>
      <c r="Q2" s="345">
        <v>41958</v>
      </c>
      <c r="R2" s="345">
        <v>41959</v>
      </c>
      <c r="S2" s="345">
        <v>41960</v>
      </c>
      <c r="T2" s="345">
        <v>41961</v>
      </c>
      <c r="U2" s="345">
        <v>41962</v>
      </c>
      <c r="V2" s="345">
        <v>41963</v>
      </c>
      <c r="W2" s="345">
        <v>41964</v>
      </c>
      <c r="X2" s="345">
        <v>41965</v>
      </c>
      <c r="Y2" s="345">
        <v>41966</v>
      </c>
      <c r="Z2" s="345">
        <v>41967</v>
      </c>
      <c r="AA2" s="345">
        <v>41968</v>
      </c>
      <c r="AB2" s="345">
        <v>41969</v>
      </c>
      <c r="AC2" s="345">
        <v>41970</v>
      </c>
      <c r="AD2" s="345">
        <v>41971</v>
      </c>
      <c r="AE2" s="345">
        <v>41972</v>
      </c>
      <c r="AF2" s="345">
        <v>41973</v>
      </c>
      <c r="AG2" s="345">
        <v>41974</v>
      </c>
      <c r="AH2" s="345">
        <v>41975</v>
      </c>
      <c r="AI2" s="345">
        <v>41976</v>
      </c>
      <c r="AJ2" s="345">
        <v>41977</v>
      </c>
      <c r="AK2" s="345">
        <v>41978</v>
      </c>
      <c r="AL2" s="345">
        <v>41979</v>
      </c>
      <c r="AM2" s="345">
        <v>41980</v>
      </c>
      <c r="AN2" s="345">
        <v>41981</v>
      </c>
      <c r="AO2" s="345">
        <v>41982</v>
      </c>
      <c r="AP2" s="345">
        <v>41983</v>
      </c>
      <c r="AQ2" s="345">
        <v>41984</v>
      </c>
      <c r="AR2" s="345">
        <v>41985</v>
      </c>
      <c r="AS2" s="345">
        <v>41986</v>
      </c>
      <c r="AT2" s="345">
        <v>41987</v>
      </c>
      <c r="AU2" s="345">
        <v>41988</v>
      </c>
      <c r="AV2" s="345">
        <v>41989</v>
      </c>
      <c r="AW2" s="345">
        <v>41990</v>
      </c>
      <c r="AX2" s="345">
        <v>41991</v>
      </c>
      <c r="AY2" s="345">
        <v>41992</v>
      </c>
      <c r="AZ2" s="345">
        <v>41993</v>
      </c>
      <c r="BA2" s="345">
        <v>41994</v>
      </c>
      <c r="BB2" s="345">
        <v>41995</v>
      </c>
      <c r="BC2" s="345">
        <v>41996</v>
      </c>
      <c r="BD2" s="345">
        <v>41997</v>
      </c>
      <c r="BE2" s="345">
        <v>41998</v>
      </c>
      <c r="BF2" s="345">
        <v>41999</v>
      </c>
      <c r="BG2" s="345">
        <v>42000</v>
      </c>
      <c r="BH2" s="345">
        <v>42001</v>
      </c>
      <c r="BI2" s="345">
        <v>42002</v>
      </c>
      <c r="BJ2" s="345">
        <v>42003</v>
      </c>
      <c r="BK2" s="345">
        <v>42004</v>
      </c>
      <c r="BL2" s="345">
        <v>42005</v>
      </c>
      <c r="BM2" s="345">
        <v>42006</v>
      </c>
      <c r="BN2" s="345">
        <v>42007</v>
      </c>
      <c r="BO2" s="345">
        <v>42008</v>
      </c>
      <c r="BP2" s="345">
        <v>42009</v>
      </c>
      <c r="BQ2" s="345">
        <v>42010</v>
      </c>
      <c r="BR2" s="345">
        <v>42011</v>
      </c>
      <c r="BS2" s="345">
        <v>42012</v>
      </c>
      <c r="BT2" s="345">
        <v>42013</v>
      </c>
      <c r="BU2" s="345">
        <v>42014</v>
      </c>
      <c r="BV2" s="345">
        <v>42015</v>
      </c>
      <c r="BW2" s="345">
        <v>42016</v>
      </c>
      <c r="BX2" s="345">
        <v>42017</v>
      </c>
      <c r="BY2" s="345">
        <v>42018</v>
      </c>
      <c r="BZ2" s="345">
        <v>42019</v>
      </c>
      <c r="CA2" s="345">
        <v>42020</v>
      </c>
      <c r="CB2" s="345">
        <v>42021</v>
      </c>
      <c r="CC2" s="345">
        <v>42022</v>
      </c>
      <c r="CD2" s="345">
        <v>42023</v>
      </c>
      <c r="CE2" s="345">
        <v>42024</v>
      </c>
      <c r="CF2" s="345">
        <v>42025</v>
      </c>
      <c r="CG2" s="345">
        <v>42026</v>
      </c>
      <c r="CH2" s="345">
        <v>42027</v>
      </c>
      <c r="CI2" s="345">
        <v>42028</v>
      </c>
      <c r="CJ2" s="345">
        <v>42029</v>
      </c>
      <c r="CK2" s="345">
        <v>42030</v>
      </c>
      <c r="CL2" s="345">
        <v>42031</v>
      </c>
      <c r="CM2" s="345">
        <v>42032</v>
      </c>
      <c r="CN2" s="345">
        <v>42033</v>
      </c>
      <c r="CO2" s="345">
        <v>42034</v>
      </c>
      <c r="CP2" s="345">
        <v>42035</v>
      </c>
    </row>
    <row r="3" spans="1:94" ht="27.75" customHeight="1">
      <c r="A3" s="349" t="s">
        <v>409</v>
      </c>
      <c r="B3" s="350" t="s">
        <v>1036</v>
      </c>
      <c r="C3" s="344"/>
      <c r="D3" s="344"/>
      <c r="E3" s="344"/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>
        <v>1</v>
      </c>
      <c r="AB3" s="344">
        <v>1</v>
      </c>
      <c r="AC3" s="344">
        <v>1</v>
      </c>
      <c r="AD3" s="344">
        <v>1</v>
      </c>
      <c r="AE3" s="344">
        <v>1</v>
      </c>
      <c r="AF3" s="344">
        <v>1</v>
      </c>
      <c r="AG3" s="344">
        <v>1</v>
      </c>
      <c r="AH3" s="344">
        <v>1</v>
      </c>
      <c r="AI3" s="344">
        <v>1</v>
      </c>
      <c r="AJ3" s="344">
        <v>1</v>
      </c>
      <c r="AK3" s="344">
        <v>1</v>
      </c>
      <c r="AL3" s="344">
        <v>1</v>
      </c>
      <c r="AM3" s="344">
        <v>1</v>
      </c>
      <c r="AN3" s="344">
        <v>1</v>
      </c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4"/>
      <c r="BY3" s="344"/>
      <c r="BZ3" s="344"/>
      <c r="CA3" s="344"/>
      <c r="CB3" s="344"/>
      <c r="CC3" s="344"/>
      <c r="CD3" s="344"/>
      <c r="CE3" s="344"/>
      <c r="CF3" s="344"/>
      <c r="CG3" s="344"/>
      <c r="CH3" s="344"/>
      <c r="CI3" s="344"/>
      <c r="CJ3" s="344"/>
      <c r="CK3" s="344"/>
      <c r="CL3" s="344"/>
      <c r="CM3" s="344"/>
      <c r="CN3" s="344"/>
      <c r="CO3" s="344"/>
      <c r="CP3" s="344"/>
    </row>
    <row r="4" spans="1:94" ht="27.75" customHeight="1">
      <c r="A4" s="349" t="s">
        <v>202</v>
      </c>
      <c r="B4" s="350" t="s">
        <v>1037</v>
      </c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>
        <v>1</v>
      </c>
      <c r="AA4" s="344">
        <v>1</v>
      </c>
      <c r="AB4" s="344">
        <v>1</v>
      </c>
      <c r="AC4" s="344">
        <v>1</v>
      </c>
      <c r="AD4" s="344">
        <v>1</v>
      </c>
      <c r="AE4" s="344">
        <v>1</v>
      </c>
      <c r="AF4" s="344">
        <v>1</v>
      </c>
      <c r="AG4" s="344">
        <v>1</v>
      </c>
      <c r="AH4" s="344">
        <v>1</v>
      </c>
      <c r="AI4" s="344">
        <v>1</v>
      </c>
      <c r="AJ4" s="344">
        <v>1</v>
      </c>
      <c r="AK4" s="344">
        <v>1</v>
      </c>
      <c r="AL4" s="344">
        <v>1</v>
      </c>
      <c r="AM4" s="344">
        <v>1</v>
      </c>
      <c r="AN4" s="344">
        <v>1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  <c r="BV4" s="344"/>
      <c r="BW4" s="344"/>
      <c r="BX4" s="344"/>
      <c r="BY4" s="344"/>
      <c r="BZ4" s="344"/>
      <c r="CA4" s="344"/>
      <c r="CB4" s="344"/>
      <c r="CC4" s="344"/>
      <c r="CD4" s="344"/>
      <c r="CE4" s="344"/>
      <c r="CF4" s="344"/>
      <c r="CG4" s="344"/>
      <c r="CH4" s="344"/>
      <c r="CI4" s="344"/>
      <c r="CJ4" s="344"/>
      <c r="CK4" s="344"/>
      <c r="CL4" s="344"/>
      <c r="CM4" s="344"/>
      <c r="CN4" s="344"/>
      <c r="CO4" s="344"/>
      <c r="CP4" s="344"/>
    </row>
    <row r="5" spans="1:94" ht="44.25" customHeight="1">
      <c r="A5" s="349" t="s">
        <v>120</v>
      </c>
      <c r="B5" s="350" t="s">
        <v>1038</v>
      </c>
      <c r="C5" s="344"/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/>
      <c r="P5" s="344"/>
      <c r="Q5" s="344"/>
      <c r="R5" s="344"/>
      <c r="S5" s="344">
        <v>1</v>
      </c>
      <c r="T5" s="344">
        <v>1</v>
      </c>
      <c r="U5" s="344">
        <v>1</v>
      </c>
      <c r="V5" s="344">
        <v>1</v>
      </c>
      <c r="W5" s="344">
        <v>1</v>
      </c>
      <c r="X5" s="344">
        <v>1</v>
      </c>
      <c r="Y5" s="344">
        <v>1</v>
      </c>
      <c r="Z5" s="344">
        <v>1</v>
      </c>
      <c r="AA5" s="344">
        <v>1</v>
      </c>
      <c r="AB5" s="344">
        <v>1</v>
      </c>
      <c r="AC5" s="344">
        <v>1</v>
      </c>
      <c r="AD5" s="344">
        <v>1</v>
      </c>
      <c r="AE5" s="344">
        <v>1</v>
      </c>
      <c r="AF5" s="344">
        <v>1</v>
      </c>
      <c r="AG5" s="344">
        <v>1</v>
      </c>
      <c r="AH5" s="344">
        <v>1</v>
      </c>
      <c r="AI5" s="344">
        <v>1</v>
      </c>
      <c r="AJ5" s="344">
        <v>1</v>
      </c>
      <c r="AK5" s="344">
        <v>1</v>
      </c>
      <c r="AL5" s="344">
        <v>1</v>
      </c>
      <c r="AM5" s="344">
        <v>1</v>
      </c>
      <c r="AN5" s="344">
        <v>1</v>
      </c>
      <c r="AO5" s="344">
        <v>1</v>
      </c>
      <c r="AP5" s="344">
        <v>1</v>
      </c>
      <c r="AQ5" s="344">
        <v>1</v>
      </c>
      <c r="AR5" s="344">
        <v>1</v>
      </c>
      <c r="AS5" s="344">
        <v>1</v>
      </c>
      <c r="AT5" s="344">
        <v>1</v>
      </c>
      <c r="AU5" s="344">
        <v>1</v>
      </c>
      <c r="AV5" s="344">
        <v>1</v>
      </c>
      <c r="AW5" s="344">
        <v>1</v>
      </c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/>
      <c r="BW5" s="344"/>
      <c r="BX5" s="344"/>
      <c r="BY5" s="344"/>
      <c r="BZ5" s="344"/>
      <c r="CA5" s="344"/>
      <c r="CB5" s="344"/>
      <c r="CC5" s="344"/>
      <c r="CD5" s="344"/>
      <c r="CE5" s="344"/>
      <c r="CF5" s="344"/>
      <c r="CG5" s="344"/>
      <c r="CH5" s="344"/>
      <c r="CI5" s="344"/>
      <c r="CJ5" s="344"/>
      <c r="CK5" s="344"/>
      <c r="CL5" s="344"/>
      <c r="CM5" s="344"/>
      <c r="CN5" s="344"/>
      <c r="CO5" s="344"/>
      <c r="CP5" s="344"/>
    </row>
    <row r="6" spans="1:94" ht="27.75" customHeight="1">
      <c r="A6" s="349" t="s">
        <v>285</v>
      </c>
      <c r="B6" s="350" t="s">
        <v>1039</v>
      </c>
      <c r="C6" s="344"/>
      <c r="D6" s="344"/>
      <c r="E6" s="344"/>
      <c r="F6" s="344"/>
      <c r="G6" s="344">
        <v>1</v>
      </c>
      <c r="H6" s="344">
        <v>1</v>
      </c>
      <c r="I6" s="344">
        <v>1</v>
      </c>
      <c r="J6" s="344">
        <v>1</v>
      </c>
      <c r="K6" s="344">
        <v>1</v>
      </c>
      <c r="L6" s="344">
        <v>1</v>
      </c>
      <c r="M6" s="344">
        <v>1</v>
      </c>
      <c r="N6" s="344">
        <v>1</v>
      </c>
      <c r="O6" s="344">
        <v>1</v>
      </c>
      <c r="P6" s="344">
        <v>1</v>
      </c>
      <c r="Q6" s="344">
        <v>1</v>
      </c>
      <c r="R6" s="344">
        <v>1</v>
      </c>
      <c r="S6" s="344">
        <v>1</v>
      </c>
      <c r="T6" s="344">
        <v>1</v>
      </c>
      <c r="U6" s="344">
        <v>1</v>
      </c>
      <c r="V6" s="344">
        <v>1</v>
      </c>
      <c r="W6" s="344">
        <v>1</v>
      </c>
      <c r="X6" s="344">
        <v>1</v>
      </c>
      <c r="Y6" s="344">
        <v>1</v>
      </c>
      <c r="Z6" s="344">
        <v>1</v>
      </c>
      <c r="AA6" s="344">
        <v>1</v>
      </c>
      <c r="AB6" s="344">
        <v>1</v>
      </c>
      <c r="AC6" s="344">
        <v>1</v>
      </c>
      <c r="AD6" s="344">
        <v>1</v>
      </c>
      <c r="AE6" s="344">
        <v>1</v>
      </c>
      <c r="AF6" s="344">
        <v>1</v>
      </c>
      <c r="AG6" s="352" t="s">
        <v>1056</v>
      </c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  <c r="BV6" s="344"/>
      <c r="BW6" s="344"/>
      <c r="BX6" s="344"/>
      <c r="BY6" s="344"/>
      <c r="BZ6" s="344"/>
      <c r="CA6" s="344"/>
      <c r="CB6" s="344"/>
      <c r="CC6" s="344"/>
      <c r="CD6" s="344"/>
      <c r="CE6" s="344"/>
      <c r="CF6" s="344"/>
      <c r="CG6" s="344"/>
      <c r="CH6" s="344"/>
      <c r="CI6" s="344"/>
      <c r="CJ6" s="344"/>
      <c r="CK6" s="344"/>
      <c r="CL6" s="344"/>
      <c r="CM6" s="344"/>
      <c r="CN6" s="344"/>
      <c r="CO6" s="344"/>
      <c r="CP6" s="344"/>
    </row>
    <row r="7" spans="1:94" ht="27.75" customHeight="1">
      <c r="A7" s="349" t="s">
        <v>120</v>
      </c>
      <c r="B7" s="350" t="s">
        <v>1040</v>
      </c>
      <c r="C7" s="344">
        <v>1</v>
      </c>
      <c r="D7" s="344">
        <v>1</v>
      </c>
      <c r="E7" s="344">
        <v>1</v>
      </c>
      <c r="F7" s="344">
        <v>1</v>
      </c>
      <c r="G7" s="344">
        <v>1</v>
      </c>
      <c r="H7" s="344">
        <v>1</v>
      </c>
      <c r="I7" s="344">
        <v>1</v>
      </c>
      <c r="J7" s="344">
        <v>1</v>
      </c>
      <c r="K7" s="344">
        <v>1</v>
      </c>
      <c r="L7" s="344">
        <v>1</v>
      </c>
      <c r="M7" s="344">
        <v>1</v>
      </c>
      <c r="N7" s="344">
        <v>1</v>
      </c>
      <c r="O7" s="344">
        <v>1</v>
      </c>
      <c r="P7" s="344">
        <v>1</v>
      </c>
      <c r="Q7" s="344">
        <v>1</v>
      </c>
      <c r="R7" s="344">
        <v>1</v>
      </c>
      <c r="S7" s="344">
        <v>1</v>
      </c>
      <c r="T7" s="344">
        <v>1</v>
      </c>
      <c r="U7" s="344">
        <v>1</v>
      </c>
      <c r="V7" s="344">
        <v>1</v>
      </c>
      <c r="W7" s="344">
        <v>1</v>
      </c>
      <c r="X7" s="344">
        <v>1</v>
      </c>
      <c r="Y7" s="344">
        <v>1</v>
      </c>
      <c r="Z7" s="344">
        <v>1</v>
      </c>
      <c r="AA7" s="344">
        <v>1</v>
      </c>
      <c r="AB7" s="344">
        <v>1</v>
      </c>
      <c r="AC7" s="344">
        <v>1</v>
      </c>
      <c r="AD7" s="344">
        <v>1</v>
      </c>
      <c r="AE7" s="344">
        <v>1</v>
      </c>
      <c r="AF7" s="344">
        <v>1</v>
      </c>
      <c r="AG7" s="352" t="s">
        <v>1056</v>
      </c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  <c r="BV7" s="344"/>
      <c r="BW7" s="344"/>
      <c r="BX7" s="344"/>
      <c r="BY7" s="344"/>
      <c r="BZ7" s="344"/>
      <c r="CA7" s="344"/>
      <c r="CB7" s="344"/>
      <c r="CC7" s="344"/>
      <c r="CD7" s="344"/>
      <c r="CE7" s="344"/>
      <c r="CF7" s="344"/>
      <c r="CG7" s="344"/>
      <c r="CH7" s="344"/>
      <c r="CI7" s="344"/>
      <c r="CJ7" s="344"/>
      <c r="CK7" s="344"/>
      <c r="CL7" s="344"/>
      <c r="CM7" s="344"/>
      <c r="CN7" s="344"/>
      <c r="CO7" s="344"/>
      <c r="CP7" s="344"/>
    </row>
    <row r="8" spans="1:94" ht="27.75" customHeight="1">
      <c r="A8" s="349" t="s">
        <v>202</v>
      </c>
      <c r="B8" s="350" t="s">
        <v>1041</v>
      </c>
      <c r="C8" s="344">
        <v>1</v>
      </c>
      <c r="D8" s="344">
        <v>1</v>
      </c>
      <c r="E8" s="344">
        <v>1</v>
      </c>
      <c r="F8" s="344">
        <v>1</v>
      </c>
      <c r="G8" s="344">
        <v>1</v>
      </c>
      <c r="H8" s="344">
        <v>1</v>
      </c>
      <c r="I8" s="344">
        <v>1</v>
      </c>
      <c r="J8" s="344">
        <v>1</v>
      </c>
      <c r="K8" s="344">
        <v>1</v>
      </c>
      <c r="L8" s="344">
        <v>1</v>
      </c>
      <c r="M8" s="353" t="s">
        <v>1056</v>
      </c>
      <c r="N8" s="344"/>
      <c r="O8" s="344"/>
      <c r="P8" s="344"/>
      <c r="Q8" s="344"/>
      <c r="R8" s="344"/>
      <c r="S8" s="344"/>
      <c r="T8" s="344"/>
      <c r="U8" s="344"/>
      <c r="V8" s="344"/>
      <c r="W8" s="344"/>
      <c r="X8" s="344"/>
      <c r="Y8" s="344"/>
      <c r="Z8" s="344"/>
      <c r="AA8" s="344"/>
      <c r="AB8" s="344"/>
      <c r="AC8" s="344"/>
      <c r="AD8" s="344"/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/>
      <c r="BK8" s="344"/>
      <c r="BL8" s="344"/>
      <c r="BM8" s="344"/>
      <c r="BN8" s="344"/>
      <c r="BO8" s="344"/>
      <c r="BP8" s="344"/>
      <c r="BQ8" s="344"/>
      <c r="BR8" s="344"/>
      <c r="BS8" s="344"/>
      <c r="BT8" s="344"/>
      <c r="BU8" s="344"/>
      <c r="BV8" s="344"/>
      <c r="BW8" s="344"/>
      <c r="BX8" s="344"/>
      <c r="BY8" s="344"/>
      <c r="BZ8" s="344"/>
      <c r="CA8" s="344"/>
      <c r="CB8" s="344"/>
      <c r="CC8" s="344"/>
      <c r="CD8" s="344"/>
      <c r="CE8" s="344"/>
      <c r="CF8" s="344"/>
      <c r="CG8" s="344"/>
      <c r="CH8" s="344"/>
      <c r="CI8" s="344"/>
      <c r="CJ8" s="344"/>
      <c r="CK8" s="344"/>
      <c r="CL8" s="344"/>
      <c r="CM8" s="344"/>
      <c r="CN8" s="344"/>
      <c r="CO8" s="344"/>
      <c r="CP8" s="344"/>
    </row>
    <row r="9" spans="1:94" ht="27.75" customHeight="1">
      <c r="A9" s="349" t="s">
        <v>120</v>
      </c>
      <c r="B9" s="350" t="s">
        <v>1042</v>
      </c>
      <c r="C9" s="344">
        <v>1</v>
      </c>
      <c r="D9" s="344">
        <v>1</v>
      </c>
      <c r="E9" s="344">
        <v>1</v>
      </c>
      <c r="F9" s="344">
        <v>1</v>
      </c>
      <c r="G9" s="344">
        <v>1</v>
      </c>
      <c r="H9" s="344">
        <v>1</v>
      </c>
      <c r="I9" s="344">
        <v>1</v>
      </c>
      <c r="J9" s="344">
        <v>1</v>
      </c>
      <c r="K9" s="344">
        <v>1</v>
      </c>
      <c r="L9" s="344">
        <v>1</v>
      </c>
      <c r="M9" s="344">
        <v>1</v>
      </c>
      <c r="N9" s="344">
        <v>1</v>
      </c>
      <c r="O9" s="344">
        <v>1</v>
      </c>
      <c r="P9" s="344">
        <v>1</v>
      </c>
      <c r="Q9" s="344">
        <v>1</v>
      </c>
      <c r="R9" s="344">
        <v>1</v>
      </c>
      <c r="S9" s="344">
        <v>1</v>
      </c>
      <c r="T9" s="344">
        <v>1</v>
      </c>
      <c r="U9" s="344">
        <v>1</v>
      </c>
      <c r="V9" s="344">
        <v>1</v>
      </c>
      <c r="W9" s="344">
        <v>1</v>
      </c>
      <c r="X9" s="344">
        <v>1</v>
      </c>
      <c r="Y9" s="344">
        <v>1</v>
      </c>
      <c r="Z9" s="344">
        <v>1</v>
      </c>
      <c r="AA9" s="344">
        <v>1</v>
      </c>
      <c r="AB9" s="344">
        <v>1</v>
      </c>
      <c r="AC9" s="344">
        <v>1</v>
      </c>
      <c r="AD9" s="344">
        <v>1</v>
      </c>
      <c r="AE9" s="344">
        <v>1</v>
      </c>
      <c r="AF9" s="344">
        <v>1</v>
      </c>
      <c r="AG9" s="352" t="s">
        <v>1056</v>
      </c>
      <c r="AH9" s="344"/>
      <c r="AI9" s="344"/>
      <c r="AJ9" s="344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/>
      <c r="BI9" s="344"/>
      <c r="BJ9" s="344"/>
      <c r="BK9" s="344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/>
      <c r="BX9" s="344"/>
      <c r="BY9" s="344"/>
      <c r="BZ9" s="344"/>
      <c r="CA9" s="344"/>
      <c r="CB9" s="344"/>
      <c r="CC9" s="344"/>
      <c r="CD9" s="344"/>
      <c r="CE9" s="344"/>
      <c r="CF9" s="344"/>
      <c r="CG9" s="344"/>
      <c r="CH9" s="344"/>
      <c r="CI9" s="344"/>
      <c r="CJ9" s="344"/>
      <c r="CK9" s="344"/>
      <c r="CL9" s="344"/>
      <c r="CM9" s="344"/>
      <c r="CN9" s="344"/>
      <c r="CO9" s="344"/>
      <c r="CP9" s="344"/>
    </row>
    <row r="10" spans="1:94" ht="27.75" customHeight="1">
      <c r="A10" s="349" t="s">
        <v>116</v>
      </c>
      <c r="B10" s="350" t="s">
        <v>1043</v>
      </c>
      <c r="C10" s="344"/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/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>
        <v>1</v>
      </c>
      <c r="AB10" s="344">
        <v>1</v>
      </c>
      <c r="AC10" s="344">
        <v>1</v>
      </c>
      <c r="AD10" s="344">
        <v>1</v>
      </c>
      <c r="AE10" s="344">
        <v>1</v>
      </c>
      <c r="AF10" s="344">
        <v>1</v>
      </c>
      <c r="AG10" s="344">
        <v>1</v>
      </c>
      <c r="AH10" s="344">
        <v>1</v>
      </c>
      <c r="AI10" s="344">
        <v>1</v>
      </c>
      <c r="AJ10" s="344">
        <v>1</v>
      </c>
      <c r="AK10" s="344">
        <v>1</v>
      </c>
      <c r="AL10" s="344">
        <v>1</v>
      </c>
      <c r="AM10" s="344"/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/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  <c r="BK10" s="344"/>
      <c r="BL10" s="344"/>
      <c r="BM10" s="344"/>
      <c r="BN10" s="344"/>
      <c r="BO10" s="344"/>
      <c r="BP10" s="344"/>
      <c r="BQ10" s="344"/>
      <c r="BR10" s="344"/>
      <c r="BS10" s="344"/>
      <c r="BT10" s="344"/>
      <c r="BU10" s="344"/>
      <c r="BV10" s="344"/>
      <c r="BW10" s="344"/>
      <c r="BX10" s="344"/>
      <c r="BY10" s="344"/>
      <c r="BZ10" s="344"/>
      <c r="CA10" s="344"/>
      <c r="CB10" s="344"/>
      <c r="CC10" s="344"/>
      <c r="CD10" s="344"/>
      <c r="CE10" s="344"/>
      <c r="CF10" s="344"/>
      <c r="CG10" s="344"/>
      <c r="CH10" s="344"/>
      <c r="CI10" s="344"/>
      <c r="CJ10" s="344"/>
      <c r="CK10" s="344"/>
      <c r="CL10" s="344"/>
      <c r="CM10" s="344"/>
      <c r="CN10" s="344"/>
      <c r="CO10" s="344"/>
      <c r="CP10" s="344"/>
    </row>
    <row r="11" spans="1:94" ht="27.75" customHeight="1">
      <c r="A11" s="349" t="s">
        <v>106</v>
      </c>
      <c r="B11" s="350" t="s">
        <v>1041</v>
      </c>
      <c r="C11" s="344"/>
      <c r="D11" s="344"/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/>
      <c r="Q11" s="344"/>
      <c r="R11" s="344"/>
      <c r="S11" s="344"/>
      <c r="T11" s="344"/>
      <c r="U11" s="344"/>
      <c r="V11" s="344">
        <v>1</v>
      </c>
      <c r="W11" s="344">
        <v>1</v>
      </c>
      <c r="X11" s="344">
        <v>1</v>
      </c>
      <c r="Y11" s="344">
        <v>1</v>
      </c>
      <c r="Z11" s="344">
        <v>1</v>
      </c>
      <c r="AA11" s="344">
        <v>1</v>
      </c>
      <c r="AB11" s="344">
        <v>1</v>
      </c>
      <c r="AC11" s="344">
        <v>1</v>
      </c>
      <c r="AD11" s="344">
        <v>1</v>
      </c>
      <c r="AE11" s="344">
        <v>1</v>
      </c>
      <c r="AF11" s="344">
        <v>1</v>
      </c>
      <c r="AG11" s="344">
        <v>1</v>
      </c>
      <c r="AH11" s="344">
        <v>1</v>
      </c>
      <c r="AI11" s="344">
        <v>1</v>
      </c>
      <c r="AJ11" s="344">
        <v>1</v>
      </c>
      <c r="AK11" s="344">
        <v>1</v>
      </c>
      <c r="AL11" s="344">
        <v>1</v>
      </c>
      <c r="AM11" s="344">
        <v>1</v>
      </c>
      <c r="AN11" s="344">
        <v>1</v>
      </c>
      <c r="AO11" s="344">
        <v>1</v>
      </c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/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  <c r="BL11" s="344"/>
      <c r="BM11" s="344"/>
      <c r="BN11" s="344"/>
      <c r="BO11" s="344"/>
      <c r="BP11" s="344"/>
      <c r="BQ11" s="344"/>
      <c r="BR11" s="344"/>
      <c r="BS11" s="344"/>
      <c r="BT11" s="344"/>
      <c r="BU11" s="344"/>
      <c r="BV11" s="344"/>
      <c r="BW11" s="344"/>
      <c r="BX11" s="344"/>
      <c r="BY11" s="344"/>
      <c r="BZ11" s="344"/>
      <c r="CA11" s="344"/>
      <c r="CB11" s="344"/>
      <c r="CC11" s="344"/>
      <c r="CD11" s="344"/>
      <c r="CE11" s="344"/>
      <c r="CF11" s="344"/>
      <c r="CG11" s="344"/>
      <c r="CH11" s="344"/>
      <c r="CI11" s="344"/>
      <c r="CJ11" s="344"/>
      <c r="CK11" s="344"/>
      <c r="CL11" s="344"/>
      <c r="CM11" s="344"/>
      <c r="CN11" s="344"/>
      <c r="CO11" s="344"/>
      <c r="CP11" s="344"/>
    </row>
    <row r="12" spans="1:94" ht="27.75" customHeight="1">
      <c r="A12" s="349" t="s">
        <v>116</v>
      </c>
      <c r="B12" s="350" t="s">
        <v>1049</v>
      </c>
      <c r="C12" s="344"/>
      <c r="D12" s="344"/>
      <c r="E12" s="344"/>
      <c r="F12" s="344"/>
      <c r="G12" s="344"/>
      <c r="H12" s="344"/>
      <c r="I12" s="344"/>
      <c r="J12" s="344"/>
      <c r="K12" s="344"/>
      <c r="L12" s="344"/>
      <c r="M12" s="344"/>
      <c r="N12" s="344"/>
      <c r="O12" s="344"/>
      <c r="P12" s="344"/>
      <c r="Q12" s="344"/>
      <c r="R12" s="344"/>
      <c r="S12" s="344"/>
      <c r="T12" s="344"/>
      <c r="U12" s="344">
        <v>1</v>
      </c>
      <c r="V12" s="344">
        <v>1</v>
      </c>
      <c r="W12" s="344">
        <v>1</v>
      </c>
      <c r="X12" s="344">
        <v>1</v>
      </c>
      <c r="Y12" s="344">
        <v>1</v>
      </c>
      <c r="Z12" s="344">
        <v>1</v>
      </c>
      <c r="AA12" s="344">
        <v>1</v>
      </c>
      <c r="AB12" s="344">
        <v>1</v>
      </c>
      <c r="AC12" s="344">
        <v>1</v>
      </c>
      <c r="AD12" s="344">
        <v>1</v>
      </c>
      <c r="AE12" s="344">
        <v>1</v>
      </c>
      <c r="AF12" s="344">
        <v>1</v>
      </c>
      <c r="AG12" s="344">
        <v>1</v>
      </c>
      <c r="AH12" s="344">
        <v>1</v>
      </c>
      <c r="AI12" s="344">
        <v>1</v>
      </c>
      <c r="AJ12" s="344">
        <v>1</v>
      </c>
      <c r="AK12" s="344">
        <v>1</v>
      </c>
      <c r="AL12" s="344">
        <v>1</v>
      </c>
      <c r="AM12" s="344">
        <v>1</v>
      </c>
      <c r="AN12" s="344">
        <v>1</v>
      </c>
      <c r="AO12" s="344">
        <v>1</v>
      </c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4"/>
      <c r="BM12" s="344"/>
      <c r="BN12" s="344"/>
      <c r="BO12" s="344"/>
      <c r="BP12" s="344"/>
      <c r="BQ12" s="344"/>
      <c r="BR12" s="344"/>
      <c r="BS12" s="344"/>
      <c r="BT12" s="344"/>
      <c r="BU12" s="344"/>
      <c r="BV12" s="344"/>
      <c r="BW12" s="344"/>
      <c r="BX12" s="344"/>
      <c r="BY12" s="344"/>
      <c r="BZ12" s="344"/>
      <c r="CA12" s="344"/>
      <c r="CB12" s="344"/>
      <c r="CC12" s="344"/>
      <c r="CD12" s="344"/>
      <c r="CE12" s="344"/>
      <c r="CF12" s="344"/>
      <c r="CG12" s="344"/>
      <c r="CH12" s="344"/>
      <c r="CI12" s="344"/>
      <c r="CJ12" s="344"/>
      <c r="CK12" s="344"/>
      <c r="CL12" s="344"/>
      <c r="CM12" s="344"/>
      <c r="CN12" s="344"/>
      <c r="CO12" s="344"/>
      <c r="CP12" s="344"/>
    </row>
    <row r="13" spans="1:94" ht="27.75" customHeight="1">
      <c r="A13" s="349" t="s">
        <v>116</v>
      </c>
      <c r="B13" s="350" t="s">
        <v>1044</v>
      </c>
      <c r="C13" s="344"/>
      <c r="D13" s="344"/>
      <c r="E13" s="344"/>
      <c r="F13" s="344"/>
      <c r="G13" s="344"/>
      <c r="H13" s="344"/>
      <c r="I13" s="344"/>
      <c r="J13" s="344"/>
      <c r="K13" s="344"/>
      <c r="L13" s="344"/>
      <c r="M13" s="344">
        <v>1</v>
      </c>
      <c r="N13" s="344">
        <v>1</v>
      </c>
      <c r="O13" s="344">
        <v>1</v>
      </c>
      <c r="P13" s="344">
        <v>1</v>
      </c>
      <c r="Q13" s="344">
        <v>1</v>
      </c>
      <c r="R13" s="344">
        <v>1</v>
      </c>
      <c r="S13" s="344">
        <v>1</v>
      </c>
      <c r="T13" s="344">
        <v>1</v>
      </c>
      <c r="U13" s="344">
        <v>1</v>
      </c>
      <c r="V13" s="344">
        <v>1</v>
      </c>
      <c r="W13" s="344">
        <v>1</v>
      </c>
      <c r="X13" s="344">
        <v>1</v>
      </c>
      <c r="Y13" s="344">
        <v>1</v>
      </c>
      <c r="Z13" s="344">
        <v>1</v>
      </c>
      <c r="AA13" s="344">
        <v>1</v>
      </c>
      <c r="AB13" s="344">
        <v>1</v>
      </c>
      <c r="AC13" s="344">
        <v>1</v>
      </c>
      <c r="AD13" s="344">
        <v>1</v>
      </c>
      <c r="AE13" s="344">
        <v>1</v>
      </c>
      <c r="AF13" s="344">
        <v>1</v>
      </c>
      <c r="AG13" s="344">
        <v>1</v>
      </c>
      <c r="AH13" s="355" t="s">
        <v>1056</v>
      </c>
      <c r="AI13" s="344"/>
      <c r="AJ13" s="344"/>
      <c r="AK13" s="344"/>
      <c r="AL13" s="344"/>
      <c r="AM13" s="344"/>
      <c r="AN13" s="344"/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  <c r="BL13" s="344"/>
      <c r="BM13" s="344"/>
      <c r="BN13" s="344"/>
      <c r="BO13" s="344"/>
      <c r="BP13" s="344"/>
      <c r="BQ13" s="344"/>
      <c r="BR13" s="344"/>
      <c r="BS13" s="344"/>
      <c r="BT13" s="344"/>
      <c r="BU13" s="344"/>
      <c r="BV13" s="344"/>
      <c r="BW13" s="344"/>
      <c r="BX13" s="344"/>
      <c r="BY13" s="344"/>
      <c r="BZ13" s="344"/>
      <c r="CA13" s="344"/>
      <c r="CB13" s="344"/>
      <c r="CC13" s="344"/>
      <c r="CD13" s="344"/>
      <c r="CE13" s="344"/>
      <c r="CF13" s="344"/>
      <c r="CG13" s="344"/>
      <c r="CH13" s="344"/>
      <c r="CI13" s="344"/>
      <c r="CJ13" s="344"/>
      <c r="CK13" s="344"/>
      <c r="CL13" s="344"/>
      <c r="CM13" s="344"/>
      <c r="CN13" s="344"/>
      <c r="CO13" s="344"/>
      <c r="CP13" s="344"/>
    </row>
    <row r="14" spans="1:94" ht="27.75" customHeight="1">
      <c r="A14" s="349" t="s">
        <v>200</v>
      </c>
      <c r="B14" s="350" t="s">
        <v>1045</v>
      </c>
      <c r="C14" s="344">
        <v>1</v>
      </c>
      <c r="D14" s="344">
        <v>1</v>
      </c>
      <c r="E14" s="344">
        <v>1</v>
      </c>
      <c r="F14" s="344">
        <v>1</v>
      </c>
      <c r="G14" s="344">
        <v>1</v>
      </c>
      <c r="H14" s="344">
        <v>1</v>
      </c>
      <c r="I14" s="344">
        <v>1</v>
      </c>
      <c r="J14" s="344">
        <v>1</v>
      </c>
      <c r="K14" s="344">
        <v>1</v>
      </c>
      <c r="L14" s="344">
        <v>1</v>
      </c>
      <c r="M14" s="344">
        <v>1</v>
      </c>
      <c r="N14" s="344">
        <v>1</v>
      </c>
      <c r="O14" s="344">
        <v>1</v>
      </c>
      <c r="P14" s="344">
        <v>1</v>
      </c>
      <c r="Q14" s="344">
        <v>1</v>
      </c>
      <c r="R14" s="344">
        <v>1</v>
      </c>
      <c r="S14" s="344">
        <v>1</v>
      </c>
      <c r="T14" s="344">
        <v>1</v>
      </c>
      <c r="U14" s="344">
        <v>1</v>
      </c>
      <c r="V14" s="344">
        <v>1</v>
      </c>
      <c r="W14" s="344">
        <v>1</v>
      </c>
      <c r="X14" s="344">
        <v>1</v>
      </c>
      <c r="Y14" s="344">
        <v>1</v>
      </c>
      <c r="Z14" s="344">
        <v>1</v>
      </c>
      <c r="AA14" s="344">
        <v>1</v>
      </c>
      <c r="AB14" s="344">
        <v>1</v>
      </c>
      <c r="AC14" s="344">
        <v>1</v>
      </c>
      <c r="AD14" s="344">
        <v>1</v>
      </c>
      <c r="AE14" s="344">
        <v>1</v>
      </c>
      <c r="AF14" s="344">
        <v>1</v>
      </c>
      <c r="AG14" s="352" t="s">
        <v>1056</v>
      </c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/>
      <c r="BT14" s="344"/>
      <c r="BU14" s="344"/>
      <c r="BV14" s="344"/>
      <c r="BW14" s="344"/>
      <c r="BX14" s="344"/>
      <c r="BY14" s="344"/>
      <c r="BZ14" s="344"/>
      <c r="CA14" s="344"/>
      <c r="CB14" s="344"/>
      <c r="CC14" s="344"/>
      <c r="CD14" s="344"/>
      <c r="CE14" s="344"/>
      <c r="CF14" s="344"/>
      <c r="CG14" s="344"/>
      <c r="CH14" s="344"/>
      <c r="CI14" s="344"/>
      <c r="CJ14" s="344"/>
      <c r="CK14" s="344"/>
      <c r="CL14" s="344"/>
      <c r="CM14" s="344"/>
      <c r="CN14" s="344"/>
      <c r="CO14" s="344"/>
      <c r="CP14" s="344"/>
    </row>
    <row r="15" spans="1:94" ht="27.75" customHeight="1">
      <c r="A15" s="349" t="s">
        <v>181</v>
      </c>
      <c r="B15" s="350" t="s">
        <v>1041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>
        <v>1</v>
      </c>
      <c r="M15" s="344">
        <v>1</v>
      </c>
      <c r="N15" s="344">
        <v>1</v>
      </c>
      <c r="O15" s="344">
        <v>1</v>
      </c>
      <c r="P15" s="344">
        <v>1</v>
      </c>
      <c r="Q15" s="344">
        <v>1</v>
      </c>
      <c r="R15" s="344">
        <v>1</v>
      </c>
      <c r="S15" s="344">
        <v>1</v>
      </c>
      <c r="T15" s="344">
        <v>1</v>
      </c>
      <c r="U15" s="344">
        <v>1</v>
      </c>
      <c r="V15" s="344">
        <v>1</v>
      </c>
      <c r="W15" s="344">
        <v>1</v>
      </c>
      <c r="X15" s="344">
        <v>1</v>
      </c>
      <c r="Y15" s="344">
        <v>1</v>
      </c>
      <c r="Z15" s="344">
        <v>1</v>
      </c>
      <c r="AA15" s="344">
        <v>1</v>
      </c>
      <c r="AB15" s="344">
        <v>1</v>
      </c>
      <c r="AC15" s="344">
        <v>1</v>
      </c>
      <c r="AD15" s="344">
        <v>1</v>
      </c>
      <c r="AE15" s="344">
        <v>1</v>
      </c>
      <c r="AF15" s="344">
        <v>1</v>
      </c>
      <c r="AG15" s="344">
        <v>1</v>
      </c>
      <c r="AH15" s="344">
        <v>1</v>
      </c>
      <c r="AI15" s="355" t="s">
        <v>1056</v>
      </c>
      <c r="AJ15" s="344"/>
      <c r="AK15" s="344"/>
      <c r="AL15" s="344"/>
      <c r="AM15" s="344"/>
      <c r="AN15" s="344"/>
      <c r="AO15" s="344"/>
      <c r="AP15" s="344"/>
      <c r="AQ15" s="344"/>
      <c r="AR15" s="344"/>
      <c r="AS15" s="344"/>
      <c r="AT15" s="344"/>
      <c r="AU15" s="344"/>
      <c r="AV15" s="344"/>
      <c r="AW15" s="344"/>
      <c r="AX15" s="344"/>
      <c r="AY15" s="344"/>
      <c r="AZ15" s="344"/>
      <c r="BA15" s="344"/>
      <c r="BB15" s="344"/>
      <c r="BC15" s="344"/>
      <c r="BD15" s="344"/>
      <c r="BE15" s="344"/>
      <c r="BF15" s="344"/>
      <c r="BG15" s="344"/>
      <c r="BH15" s="344"/>
      <c r="BI15" s="344"/>
      <c r="BJ15" s="344"/>
      <c r="BK15" s="344"/>
      <c r="BL15" s="344"/>
      <c r="BM15" s="344"/>
      <c r="BN15" s="344"/>
      <c r="BO15" s="344"/>
      <c r="BP15" s="344"/>
      <c r="BQ15" s="344"/>
      <c r="BR15" s="344"/>
      <c r="BS15" s="344"/>
      <c r="BT15" s="344"/>
      <c r="BU15" s="344"/>
      <c r="BV15" s="344"/>
      <c r="BW15" s="344"/>
      <c r="BX15" s="344"/>
      <c r="BY15" s="344"/>
      <c r="BZ15" s="344"/>
      <c r="CA15" s="344"/>
      <c r="CB15" s="344"/>
      <c r="CC15" s="344"/>
      <c r="CD15" s="344"/>
      <c r="CE15" s="344"/>
      <c r="CF15" s="344"/>
      <c r="CG15" s="344"/>
      <c r="CH15" s="344"/>
      <c r="CI15" s="344"/>
      <c r="CJ15" s="344"/>
      <c r="CK15" s="344"/>
      <c r="CL15" s="344"/>
      <c r="CM15" s="344"/>
      <c r="CN15" s="344"/>
      <c r="CO15" s="344"/>
      <c r="CP15" s="344"/>
    </row>
    <row r="16" spans="1:94" ht="27.75" customHeight="1">
      <c r="A16" s="349" t="s">
        <v>200</v>
      </c>
      <c r="B16" s="350" t="s">
        <v>1046</v>
      </c>
      <c r="C16" s="344"/>
      <c r="D16" s="344"/>
      <c r="E16" s="344"/>
      <c r="F16" s="344"/>
      <c r="G16" s="344"/>
      <c r="H16" s="344"/>
      <c r="I16" s="344"/>
      <c r="J16" s="344"/>
      <c r="K16" s="344"/>
      <c r="L16" s="344"/>
      <c r="M16" s="344"/>
      <c r="N16" s="344"/>
      <c r="O16" s="344"/>
      <c r="P16" s="344">
        <v>1</v>
      </c>
      <c r="Q16" s="344">
        <v>1</v>
      </c>
      <c r="R16" s="344">
        <v>1</v>
      </c>
      <c r="S16" s="344">
        <v>1</v>
      </c>
      <c r="T16" s="344">
        <v>1</v>
      </c>
      <c r="U16" s="344">
        <v>1</v>
      </c>
      <c r="V16" s="344">
        <v>1</v>
      </c>
      <c r="W16" s="344">
        <v>1</v>
      </c>
      <c r="X16" s="344">
        <v>1</v>
      </c>
      <c r="Y16" s="344">
        <v>1</v>
      </c>
      <c r="Z16" s="344">
        <v>1</v>
      </c>
      <c r="AA16" s="344">
        <v>1</v>
      </c>
      <c r="AB16" s="344">
        <v>1</v>
      </c>
      <c r="AC16" s="344">
        <v>1</v>
      </c>
      <c r="AD16" s="344">
        <v>1</v>
      </c>
      <c r="AE16" s="344">
        <v>1</v>
      </c>
      <c r="AF16" s="344">
        <v>1</v>
      </c>
      <c r="AG16" s="344">
        <v>1</v>
      </c>
      <c r="AH16" s="344">
        <v>1</v>
      </c>
      <c r="AI16" s="344">
        <v>1</v>
      </c>
      <c r="AJ16" s="344">
        <v>1</v>
      </c>
      <c r="AK16" s="344">
        <v>1</v>
      </c>
      <c r="AL16" s="344">
        <v>1</v>
      </c>
      <c r="AM16" s="344">
        <v>1</v>
      </c>
      <c r="AN16" s="344">
        <v>1</v>
      </c>
      <c r="AO16" s="344">
        <v>1</v>
      </c>
      <c r="AP16" s="344">
        <v>1</v>
      </c>
      <c r="AQ16" s="344">
        <v>1</v>
      </c>
      <c r="AR16" s="344">
        <v>1</v>
      </c>
      <c r="AS16" s="344">
        <v>1</v>
      </c>
      <c r="AT16" s="344">
        <v>1</v>
      </c>
      <c r="AU16" s="344">
        <v>1</v>
      </c>
      <c r="AV16" s="344">
        <v>1</v>
      </c>
      <c r="AW16" s="344">
        <v>1</v>
      </c>
      <c r="AX16" s="344">
        <v>1</v>
      </c>
      <c r="AY16" s="344">
        <v>1</v>
      </c>
      <c r="AZ16" s="344">
        <v>1</v>
      </c>
      <c r="BA16" s="344">
        <v>1</v>
      </c>
      <c r="BB16" s="344">
        <v>1</v>
      </c>
      <c r="BC16" s="344">
        <v>1</v>
      </c>
      <c r="BD16" s="344">
        <v>1</v>
      </c>
      <c r="BE16" s="344">
        <v>1</v>
      </c>
      <c r="BF16" s="344">
        <v>1</v>
      </c>
      <c r="BG16" s="344">
        <v>1</v>
      </c>
      <c r="BH16" s="344">
        <v>1</v>
      </c>
      <c r="BI16" s="344">
        <v>1</v>
      </c>
      <c r="BJ16" s="344">
        <v>1</v>
      </c>
      <c r="BK16" s="344">
        <v>1</v>
      </c>
      <c r="BL16" s="344"/>
      <c r="BM16" s="344"/>
      <c r="BN16" s="344"/>
      <c r="BO16" s="344"/>
      <c r="BP16" s="344"/>
      <c r="BQ16" s="344"/>
      <c r="BR16" s="344"/>
      <c r="BS16" s="344"/>
      <c r="BT16" s="344"/>
      <c r="BU16" s="344"/>
      <c r="BV16" s="344"/>
      <c r="BW16" s="344"/>
      <c r="BX16" s="344"/>
      <c r="BY16" s="344"/>
      <c r="BZ16" s="344"/>
      <c r="CA16" s="344"/>
      <c r="CB16" s="344"/>
      <c r="CC16" s="344"/>
      <c r="CD16" s="344"/>
      <c r="CE16" s="344"/>
      <c r="CF16" s="344"/>
      <c r="CG16" s="344"/>
      <c r="CH16" s="344"/>
      <c r="CI16" s="344"/>
      <c r="CJ16" s="344"/>
      <c r="CK16" s="344"/>
      <c r="CL16" s="344"/>
      <c r="CM16" s="344"/>
      <c r="CN16" s="344"/>
      <c r="CO16" s="344"/>
      <c r="CP16" s="344"/>
    </row>
    <row r="17" spans="1:94" ht="27.75" customHeight="1">
      <c r="A17" s="349" t="s">
        <v>445</v>
      </c>
      <c r="B17" s="350" t="s">
        <v>153</v>
      </c>
      <c r="C17" s="344"/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/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>
        <v>1</v>
      </c>
      <c r="AB17" s="344">
        <v>1</v>
      </c>
      <c r="AC17" s="344">
        <v>1</v>
      </c>
      <c r="AD17" s="344">
        <v>1</v>
      </c>
      <c r="AE17" s="344">
        <v>1</v>
      </c>
      <c r="AF17" s="344">
        <v>1</v>
      </c>
      <c r="AG17" s="344">
        <v>1</v>
      </c>
      <c r="AH17" s="344">
        <v>1</v>
      </c>
      <c r="AI17" s="344">
        <v>1</v>
      </c>
      <c r="AJ17" s="344">
        <v>1</v>
      </c>
      <c r="AK17" s="344">
        <v>1</v>
      </c>
      <c r="AL17" s="344">
        <v>1</v>
      </c>
      <c r="AM17" s="344">
        <v>1</v>
      </c>
      <c r="AN17" s="344">
        <v>1</v>
      </c>
      <c r="AO17" s="344">
        <v>1</v>
      </c>
      <c r="AP17" s="344">
        <v>1</v>
      </c>
      <c r="AQ17" s="344">
        <v>1</v>
      </c>
      <c r="AR17" s="344">
        <v>1</v>
      </c>
      <c r="AS17" s="344">
        <v>1</v>
      </c>
      <c r="AT17" s="344">
        <v>1</v>
      </c>
      <c r="AU17" s="344">
        <v>1</v>
      </c>
      <c r="AV17" s="344">
        <v>1</v>
      </c>
      <c r="AW17" s="344">
        <v>1</v>
      </c>
      <c r="AX17" s="344">
        <v>1</v>
      </c>
      <c r="AY17" s="344">
        <v>1</v>
      </c>
      <c r="AZ17" s="344">
        <v>1</v>
      </c>
      <c r="BA17" s="344">
        <v>1</v>
      </c>
      <c r="BB17" s="344">
        <v>1</v>
      </c>
      <c r="BC17" s="344">
        <v>1</v>
      </c>
      <c r="BD17" s="344">
        <v>1</v>
      </c>
      <c r="BE17" s="344">
        <v>1</v>
      </c>
      <c r="BF17" s="344">
        <v>1</v>
      </c>
      <c r="BG17" s="344">
        <v>1</v>
      </c>
      <c r="BH17" s="344">
        <v>1</v>
      </c>
      <c r="BI17" s="344">
        <v>1</v>
      </c>
      <c r="BJ17" s="344">
        <v>1</v>
      </c>
      <c r="BK17" s="344">
        <v>1</v>
      </c>
      <c r="BL17" s="344"/>
      <c r="BM17" s="344"/>
      <c r="BN17" s="344"/>
      <c r="BO17" s="344"/>
      <c r="BP17" s="344"/>
      <c r="BQ17" s="344"/>
      <c r="BR17" s="344"/>
      <c r="BS17" s="344"/>
      <c r="BT17" s="344"/>
      <c r="BU17" s="344"/>
      <c r="BV17" s="344"/>
      <c r="BW17" s="344"/>
      <c r="BX17" s="344"/>
      <c r="BY17" s="344"/>
      <c r="BZ17" s="344"/>
      <c r="CA17" s="344"/>
      <c r="CB17" s="344"/>
      <c r="CC17" s="344"/>
      <c r="CD17" s="344"/>
      <c r="CE17" s="344"/>
      <c r="CF17" s="344"/>
      <c r="CG17" s="344"/>
      <c r="CH17" s="344"/>
      <c r="CI17" s="344"/>
      <c r="CJ17" s="344"/>
      <c r="CK17" s="344"/>
      <c r="CL17" s="344"/>
      <c r="CM17" s="344"/>
      <c r="CN17" s="344"/>
      <c r="CO17" s="344"/>
      <c r="CP17" s="344"/>
    </row>
    <row r="18" spans="1:94" ht="27.75" customHeight="1">
      <c r="A18" s="349" t="s">
        <v>106</v>
      </c>
      <c r="B18" s="350" t="s">
        <v>1055</v>
      </c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344"/>
      <c r="P18" s="344"/>
      <c r="Q18" s="344"/>
      <c r="R18" s="344"/>
      <c r="S18" s="344"/>
      <c r="T18" s="344"/>
      <c r="U18" s="344"/>
      <c r="V18" s="344"/>
      <c r="W18" s="344"/>
      <c r="X18" s="344"/>
      <c r="Y18" s="344"/>
      <c r="Z18" s="344"/>
      <c r="AA18" s="344"/>
      <c r="AB18" s="344"/>
      <c r="AC18" s="344">
        <v>1</v>
      </c>
      <c r="AD18" s="344">
        <v>1</v>
      </c>
      <c r="AE18" s="344">
        <v>1</v>
      </c>
      <c r="AF18" s="344">
        <v>1</v>
      </c>
      <c r="AG18" s="344">
        <v>1</v>
      </c>
      <c r="AH18" s="344">
        <v>1</v>
      </c>
      <c r="AI18" s="344">
        <v>1</v>
      </c>
      <c r="AJ18" s="344">
        <v>1</v>
      </c>
      <c r="AK18" s="344">
        <v>1</v>
      </c>
      <c r="AL18" s="344">
        <v>1</v>
      </c>
      <c r="AM18" s="344">
        <v>1</v>
      </c>
      <c r="AN18" s="344">
        <v>1</v>
      </c>
      <c r="AO18" s="344">
        <v>1</v>
      </c>
      <c r="AP18" s="344">
        <v>1</v>
      </c>
      <c r="AQ18" s="344">
        <v>1</v>
      </c>
      <c r="AR18" s="344">
        <v>1</v>
      </c>
      <c r="AS18" s="344">
        <v>1</v>
      </c>
      <c r="AT18" s="344">
        <v>1</v>
      </c>
      <c r="AU18" s="344">
        <v>1</v>
      </c>
      <c r="AV18" s="344">
        <v>1</v>
      </c>
      <c r="AW18" s="344">
        <v>1</v>
      </c>
      <c r="AX18" s="344">
        <v>1</v>
      </c>
      <c r="AY18" s="344">
        <v>1</v>
      </c>
      <c r="AZ18" s="344">
        <v>1</v>
      </c>
      <c r="BA18" s="344">
        <v>1</v>
      </c>
      <c r="BB18" s="344">
        <v>1</v>
      </c>
      <c r="BC18" s="344">
        <v>1</v>
      </c>
      <c r="BD18" s="344">
        <v>1</v>
      </c>
      <c r="BE18" s="344">
        <v>1</v>
      </c>
      <c r="BF18" s="344">
        <v>1</v>
      </c>
      <c r="BG18" s="344">
        <v>1</v>
      </c>
      <c r="BH18" s="344">
        <v>1</v>
      </c>
      <c r="BI18" s="344">
        <v>1</v>
      </c>
      <c r="BJ18" s="344">
        <v>1</v>
      </c>
      <c r="BK18" s="344">
        <v>1</v>
      </c>
      <c r="BL18" s="344"/>
      <c r="BM18" s="344"/>
      <c r="BN18" s="344"/>
      <c r="BO18" s="344"/>
      <c r="BP18" s="344"/>
      <c r="BQ18" s="344"/>
      <c r="BR18" s="344"/>
      <c r="BS18" s="344"/>
      <c r="BT18" s="344"/>
      <c r="BU18" s="344"/>
      <c r="BV18" s="344"/>
      <c r="BW18" s="344"/>
      <c r="BX18" s="344"/>
      <c r="BY18" s="344"/>
      <c r="BZ18" s="344"/>
      <c r="CA18" s="344"/>
      <c r="CB18" s="344"/>
      <c r="CC18" s="344"/>
      <c r="CD18" s="344"/>
      <c r="CE18" s="344"/>
      <c r="CF18" s="344"/>
      <c r="CG18" s="344"/>
      <c r="CH18" s="344"/>
      <c r="CI18" s="344"/>
      <c r="CJ18" s="344"/>
      <c r="CK18" s="344"/>
      <c r="CL18" s="344"/>
      <c r="CM18" s="344"/>
      <c r="CN18" s="344"/>
      <c r="CO18" s="344"/>
      <c r="CP18" s="344"/>
    </row>
    <row r="19" spans="1:94" ht="27.75" customHeight="1">
      <c r="A19" s="349" t="s">
        <v>116</v>
      </c>
      <c r="B19" s="350" t="s">
        <v>1060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/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/>
      <c r="AB19" s="344"/>
      <c r="AC19" s="344"/>
      <c r="AD19" s="344"/>
      <c r="AE19" s="344"/>
      <c r="AF19" s="344"/>
      <c r="AG19" s="344"/>
      <c r="AH19" s="344"/>
      <c r="AI19" s="344">
        <v>1</v>
      </c>
      <c r="AJ19" s="354">
        <v>1</v>
      </c>
      <c r="AK19" s="354">
        <v>1</v>
      </c>
      <c r="AL19" s="354">
        <v>1</v>
      </c>
      <c r="AM19" s="354">
        <v>1</v>
      </c>
      <c r="AN19" s="354">
        <v>1</v>
      </c>
      <c r="AO19" s="354">
        <v>1</v>
      </c>
      <c r="AP19" s="354">
        <v>1</v>
      </c>
      <c r="AQ19" s="354">
        <v>1</v>
      </c>
      <c r="AR19" s="354">
        <v>1</v>
      </c>
      <c r="AS19" s="354">
        <v>1</v>
      </c>
      <c r="AT19" s="354">
        <v>1</v>
      </c>
      <c r="AU19" s="354">
        <v>1</v>
      </c>
      <c r="AV19" s="354">
        <v>1</v>
      </c>
      <c r="AW19" s="354">
        <v>1</v>
      </c>
      <c r="AX19" s="354">
        <v>1</v>
      </c>
      <c r="AY19" s="354">
        <v>1</v>
      </c>
      <c r="AZ19" s="354">
        <v>1</v>
      </c>
      <c r="BA19" s="354">
        <v>1</v>
      </c>
      <c r="BB19" s="354">
        <v>1</v>
      </c>
      <c r="BC19" s="354">
        <v>1</v>
      </c>
      <c r="BD19" s="344"/>
      <c r="BE19" s="344"/>
      <c r="BF19" s="344"/>
      <c r="BG19" s="344"/>
      <c r="BH19" s="344"/>
      <c r="BI19" s="344"/>
      <c r="BJ19" s="344"/>
      <c r="BK19" s="344"/>
      <c r="BL19" s="344"/>
      <c r="BM19" s="344"/>
      <c r="BN19" s="344"/>
      <c r="BO19" s="344"/>
      <c r="BP19" s="344"/>
      <c r="BQ19" s="344"/>
      <c r="BR19" s="344"/>
      <c r="BS19" s="344"/>
      <c r="BT19" s="344"/>
      <c r="BU19" s="344"/>
      <c r="BV19" s="344"/>
      <c r="BW19" s="344"/>
      <c r="BX19" s="344"/>
      <c r="BY19" s="344"/>
      <c r="BZ19" s="344"/>
      <c r="CA19" s="344"/>
      <c r="CB19" s="344"/>
      <c r="CC19" s="344"/>
      <c r="CD19" s="344"/>
      <c r="CE19" s="344"/>
      <c r="CF19" s="344"/>
      <c r="CG19" s="344"/>
      <c r="CH19" s="344"/>
      <c r="CI19" s="344"/>
      <c r="CJ19" s="344"/>
      <c r="CK19" s="344"/>
      <c r="CL19" s="344"/>
      <c r="CM19" s="344"/>
      <c r="CN19" s="344"/>
      <c r="CO19" s="344"/>
      <c r="CP19" s="344"/>
    </row>
    <row r="20" spans="1:94" ht="27.75" customHeight="1">
      <c r="A20" s="349" t="s">
        <v>120</v>
      </c>
      <c r="B20" s="350" t="s">
        <v>1069</v>
      </c>
      <c r="C20" s="344"/>
      <c r="D20" s="344"/>
      <c r="E20" s="344"/>
      <c r="F20" s="344"/>
      <c r="G20" s="344"/>
      <c r="H20" s="344"/>
      <c r="I20" s="344"/>
      <c r="J20" s="344"/>
      <c r="K20" s="344"/>
      <c r="L20" s="344"/>
      <c r="M20" s="344"/>
      <c r="N20" s="344"/>
      <c r="O20" s="344"/>
      <c r="P20" s="344"/>
      <c r="Q20" s="344"/>
      <c r="R20" s="344"/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>
        <v>1</v>
      </c>
      <c r="AO20" s="356">
        <v>1</v>
      </c>
      <c r="AP20" s="356">
        <v>1</v>
      </c>
      <c r="AQ20" s="356">
        <v>1</v>
      </c>
      <c r="AR20" s="356">
        <v>1</v>
      </c>
      <c r="AS20" s="356">
        <v>1</v>
      </c>
      <c r="AT20" s="356">
        <v>1</v>
      </c>
      <c r="AU20" s="356">
        <v>1</v>
      </c>
      <c r="AV20" s="356">
        <v>1</v>
      </c>
      <c r="AW20" s="356">
        <v>1</v>
      </c>
      <c r="AX20" s="356">
        <v>1</v>
      </c>
      <c r="AY20" s="356">
        <v>1</v>
      </c>
      <c r="AZ20" s="356">
        <v>1</v>
      </c>
      <c r="BA20" s="356">
        <v>1</v>
      </c>
      <c r="BB20" s="356">
        <v>1</v>
      </c>
      <c r="BC20" s="356">
        <v>1</v>
      </c>
      <c r="BD20" s="356">
        <v>1</v>
      </c>
      <c r="BE20" s="356">
        <v>1</v>
      </c>
      <c r="BF20" s="356">
        <v>1</v>
      </c>
      <c r="BG20" s="356">
        <v>1</v>
      </c>
      <c r="BH20" s="356">
        <v>1</v>
      </c>
      <c r="BI20" s="356">
        <v>1</v>
      </c>
      <c r="BJ20" s="356">
        <v>1</v>
      </c>
      <c r="BK20" s="356">
        <v>1</v>
      </c>
      <c r="BL20" s="356">
        <v>1</v>
      </c>
      <c r="BM20" s="356">
        <v>1</v>
      </c>
      <c r="BN20" s="356">
        <v>1</v>
      </c>
      <c r="BO20" s="356">
        <v>1</v>
      </c>
      <c r="BP20" s="356">
        <v>1</v>
      </c>
      <c r="BQ20" s="356">
        <v>1</v>
      </c>
      <c r="BR20" s="356">
        <v>1</v>
      </c>
      <c r="BS20" s="344"/>
      <c r="BT20" s="344"/>
      <c r="BU20" s="344"/>
      <c r="BV20" s="344"/>
      <c r="BW20" s="344"/>
      <c r="BX20" s="344"/>
      <c r="BY20" s="344"/>
      <c r="BZ20" s="344"/>
      <c r="CA20" s="344"/>
      <c r="CB20" s="344"/>
      <c r="CC20" s="344"/>
      <c r="CD20" s="344"/>
      <c r="CE20" s="344"/>
      <c r="CF20" s="344"/>
      <c r="CG20" s="344"/>
      <c r="CH20" s="344"/>
      <c r="CI20" s="344"/>
      <c r="CJ20" s="344"/>
      <c r="CK20" s="344"/>
      <c r="CL20" s="344"/>
      <c r="CM20" s="344"/>
      <c r="CN20" s="344"/>
      <c r="CO20" s="344"/>
      <c r="CP20" s="344"/>
    </row>
    <row r="21" spans="1:94" ht="27.75" hidden="1" customHeight="1" outlineLevel="1">
      <c r="A21" s="349"/>
      <c r="B21" s="350"/>
      <c r="C21" s="344"/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L21" s="344"/>
      <c r="BM21" s="344"/>
      <c r="BN21" s="344"/>
      <c r="BO21" s="344"/>
      <c r="BP21" s="344"/>
      <c r="BQ21" s="344"/>
      <c r="BR21" s="344"/>
      <c r="BS21" s="344"/>
      <c r="BT21" s="344"/>
      <c r="BU21" s="344"/>
      <c r="BV21" s="344"/>
      <c r="BW21" s="344"/>
      <c r="BX21" s="344"/>
      <c r="BY21" s="344"/>
      <c r="BZ21" s="344"/>
      <c r="CA21" s="344"/>
      <c r="CB21" s="344"/>
      <c r="CC21" s="344"/>
      <c r="CD21" s="344"/>
      <c r="CE21" s="344"/>
      <c r="CF21" s="344"/>
      <c r="CG21" s="344"/>
      <c r="CH21" s="344"/>
      <c r="CI21" s="344"/>
      <c r="CJ21" s="344"/>
      <c r="CK21" s="344"/>
      <c r="CL21" s="344"/>
      <c r="CM21" s="344"/>
      <c r="CN21" s="344"/>
      <c r="CO21" s="344"/>
      <c r="CP21" s="344"/>
    </row>
    <row r="22" spans="1:94" ht="27.75" hidden="1" customHeight="1" outlineLevel="1">
      <c r="A22" s="349"/>
      <c r="B22" s="350"/>
      <c r="C22" s="344"/>
      <c r="D22" s="344"/>
      <c r="E22" s="344"/>
      <c r="F22" s="344"/>
      <c r="G22" s="344"/>
      <c r="H22" s="344"/>
      <c r="I22" s="344"/>
      <c r="J22" s="344"/>
      <c r="K22" s="344"/>
      <c r="L22" s="344"/>
      <c r="M22" s="344"/>
      <c r="N22" s="344"/>
      <c r="O22" s="344"/>
      <c r="P22" s="344"/>
      <c r="Q22" s="344"/>
      <c r="R22" s="344"/>
      <c r="S22" s="344"/>
      <c r="T22" s="344"/>
      <c r="U22" s="344"/>
      <c r="V22" s="344"/>
      <c r="W22" s="344"/>
      <c r="X22" s="344"/>
      <c r="Y22" s="344"/>
      <c r="Z22" s="344"/>
      <c r="AA22" s="344"/>
      <c r="AB22" s="344"/>
      <c r="AC22" s="344"/>
      <c r="AD22" s="344"/>
      <c r="AE22" s="344"/>
      <c r="AF22" s="344"/>
      <c r="AG22" s="344"/>
      <c r="AH22" s="344"/>
      <c r="AI22" s="344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44"/>
      <c r="AX22" s="344"/>
      <c r="AY22" s="344"/>
      <c r="AZ22" s="344"/>
      <c r="BA22" s="344"/>
      <c r="BB22" s="344"/>
      <c r="BC22" s="344"/>
      <c r="BD22" s="344"/>
      <c r="BE22" s="344"/>
      <c r="BF22" s="344"/>
      <c r="BG22" s="344"/>
      <c r="BH22" s="344"/>
      <c r="BI22" s="344"/>
      <c r="BJ22" s="344"/>
      <c r="BK22" s="344"/>
      <c r="BL22" s="344"/>
      <c r="BM22" s="344"/>
      <c r="BN22" s="344"/>
      <c r="BO22" s="344"/>
      <c r="BP22" s="344"/>
      <c r="BQ22" s="344"/>
      <c r="BR22" s="344"/>
      <c r="BS22" s="344"/>
      <c r="BT22" s="344"/>
      <c r="BU22" s="344"/>
      <c r="BV22" s="344"/>
      <c r="BW22" s="344"/>
      <c r="BX22" s="344"/>
      <c r="BY22" s="344"/>
      <c r="BZ22" s="344"/>
      <c r="CA22" s="344"/>
      <c r="CB22" s="344"/>
      <c r="CC22" s="344"/>
      <c r="CD22" s="344"/>
      <c r="CE22" s="344"/>
      <c r="CF22" s="344"/>
      <c r="CG22" s="344"/>
      <c r="CH22" s="344"/>
      <c r="CI22" s="344"/>
      <c r="CJ22" s="344"/>
      <c r="CK22" s="344"/>
      <c r="CL22" s="344"/>
      <c r="CM22" s="344"/>
      <c r="CN22" s="344"/>
      <c r="CO22" s="344"/>
      <c r="CP22" s="344"/>
    </row>
    <row r="23" spans="1:94" ht="27.75" hidden="1" customHeight="1" outlineLevel="1">
      <c r="A23" s="349"/>
      <c r="B23" s="350"/>
      <c r="C23" s="344"/>
      <c r="D23" s="344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344"/>
      <c r="AA23" s="344"/>
      <c r="AB23" s="344"/>
      <c r="AC23" s="344"/>
      <c r="AD23" s="344"/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344"/>
      <c r="AS23" s="344"/>
      <c r="AT23" s="344"/>
      <c r="AU23" s="344"/>
      <c r="AV23" s="344"/>
      <c r="AW23" s="344"/>
      <c r="AX23" s="344"/>
      <c r="AY23" s="344"/>
      <c r="AZ23" s="344"/>
      <c r="BA23" s="344"/>
      <c r="BB23" s="344"/>
      <c r="BC23" s="344"/>
      <c r="BD23" s="344"/>
      <c r="BE23" s="344"/>
      <c r="BF23" s="344"/>
      <c r="BG23" s="344"/>
      <c r="BH23" s="344"/>
      <c r="BI23" s="344"/>
      <c r="BJ23" s="344"/>
      <c r="BK23" s="344"/>
      <c r="BL23" s="344"/>
      <c r="BM23" s="344"/>
      <c r="BN23" s="344"/>
      <c r="BO23" s="344"/>
      <c r="BP23" s="344"/>
      <c r="BQ23" s="344"/>
      <c r="BR23" s="344"/>
      <c r="BS23" s="344"/>
      <c r="BT23" s="344"/>
      <c r="BU23" s="344"/>
      <c r="BV23" s="344"/>
      <c r="BW23" s="344"/>
      <c r="BX23" s="344"/>
      <c r="BY23" s="344"/>
      <c r="BZ23" s="344"/>
      <c r="CA23" s="344"/>
      <c r="CB23" s="344"/>
      <c r="CC23" s="344"/>
      <c r="CD23" s="344"/>
      <c r="CE23" s="344"/>
      <c r="CF23" s="344"/>
      <c r="CG23" s="344"/>
      <c r="CH23" s="344"/>
      <c r="CI23" s="344"/>
      <c r="CJ23" s="344"/>
      <c r="CK23" s="344"/>
      <c r="CL23" s="344"/>
      <c r="CM23" s="344"/>
      <c r="CN23" s="344"/>
      <c r="CO23" s="344"/>
      <c r="CP23" s="344"/>
    </row>
    <row r="24" spans="1:94" ht="27.75" hidden="1" customHeight="1" outlineLevel="1">
      <c r="A24" s="349"/>
      <c r="B24" s="350"/>
      <c r="C24" s="344"/>
      <c r="D24" s="344"/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/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/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  <c r="BL24" s="344"/>
      <c r="BM24" s="344"/>
      <c r="BN24" s="344"/>
      <c r="BO24" s="344"/>
      <c r="BP24" s="344"/>
      <c r="BQ24" s="344"/>
      <c r="BR24" s="344"/>
      <c r="BS24" s="344"/>
      <c r="BT24" s="344"/>
      <c r="BU24" s="344"/>
      <c r="BV24" s="344"/>
      <c r="BW24" s="344"/>
      <c r="BX24" s="344"/>
      <c r="BY24" s="344"/>
      <c r="BZ24" s="344"/>
      <c r="CA24" s="344"/>
      <c r="CB24" s="344"/>
      <c r="CC24" s="344"/>
      <c r="CD24" s="344"/>
      <c r="CE24" s="344"/>
      <c r="CF24" s="344"/>
      <c r="CG24" s="344"/>
      <c r="CH24" s="344"/>
      <c r="CI24" s="344"/>
      <c r="CJ24" s="344"/>
      <c r="CK24" s="344"/>
      <c r="CL24" s="344"/>
      <c r="CM24" s="344"/>
      <c r="CN24" s="344"/>
      <c r="CO24" s="344"/>
      <c r="CP24" s="344"/>
    </row>
    <row r="25" spans="1:94" ht="27.75" hidden="1" customHeight="1" outlineLevel="1">
      <c r="A25" s="349"/>
      <c r="B25" s="350"/>
      <c r="C25" s="344"/>
      <c r="D25" s="344"/>
      <c r="E25" s="344"/>
      <c r="F25" s="344"/>
      <c r="G25" s="344"/>
      <c r="H25" s="344"/>
      <c r="I25" s="344"/>
      <c r="J25" s="344"/>
      <c r="K25" s="344"/>
      <c r="L25" s="344"/>
      <c r="M25" s="344"/>
      <c r="N25" s="344"/>
      <c r="O25" s="344"/>
      <c r="P25" s="344"/>
      <c r="Q25" s="344"/>
      <c r="R25" s="344"/>
      <c r="S25" s="344"/>
      <c r="T25" s="344"/>
      <c r="U25" s="344"/>
      <c r="V25" s="344"/>
      <c r="W25" s="344"/>
      <c r="X25" s="344"/>
      <c r="Y25" s="344"/>
      <c r="Z25" s="344"/>
      <c r="AA25" s="344"/>
      <c r="AB25" s="344"/>
      <c r="AC25" s="344"/>
      <c r="AD25" s="344"/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344"/>
      <c r="AS25" s="344"/>
      <c r="AT25" s="344"/>
      <c r="AU25" s="344"/>
      <c r="AV25" s="344"/>
      <c r="AW25" s="344"/>
      <c r="AX25" s="344"/>
      <c r="AY25" s="344"/>
      <c r="AZ25" s="344"/>
      <c r="BA25" s="344"/>
      <c r="BB25" s="344"/>
      <c r="BC25" s="344"/>
      <c r="BD25" s="344"/>
      <c r="BE25" s="344"/>
      <c r="BF25" s="344"/>
      <c r="BG25" s="344"/>
      <c r="BH25" s="344"/>
      <c r="BI25" s="344"/>
      <c r="BJ25" s="344"/>
      <c r="BK25" s="344"/>
      <c r="BL25" s="344"/>
      <c r="BM25" s="344"/>
      <c r="BN25" s="344"/>
      <c r="BO25" s="344"/>
      <c r="BP25" s="344"/>
      <c r="BQ25" s="344"/>
      <c r="BR25" s="344"/>
      <c r="BS25" s="344"/>
      <c r="BT25" s="344"/>
      <c r="BU25" s="344"/>
      <c r="BV25" s="344"/>
      <c r="BW25" s="344"/>
      <c r="BX25" s="344"/>
      <c r="BY25" s="344"/>
      <c r="BZ25" s="344"/>
      <c r="CA25" s="344"/>
      <c r="CB25" s="344"/>
      <c r="CC25" s="344"/>
      <c r="CD25" s="344"/>
      <c r="CE25" s="344"/>
      <c r="CF25" s="344"/>
      <c r="CG25" s="344"/>
      <c r="CH25" s="344"/>
      <c r="CI25" s="344"/>
      <c r="CJ25" s="344"/>
      <c r="CK25" s="344"/>
      <c r="CL25" s="344"/>
      <c r="CM25" s="344"/>
      <c r="CN25" s="344"/>
      <c r="CO25" s="344"/>
      <c r="CP25" s="344"/>
    </row>
    <row r="26" spans="1:94" ht="27.75" hidden="1" customHeight="1" outlineLevel="1">
      <c r="A26" s="349"/>
      <c r="B26" s="350"/>
      <c r="C26" s="344"/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/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/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/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  <c r="BK26" s="344"/>
      <c r="BL26" s="344"/>
      <c r="BM26" s="344"/>
      <c r="BN26" s="344"/>
      <c r="BO26" s="344"/>
      <c r="BP26" s="344"/>
      <c r="BQ26" s="344"/>
      <c r="BR26" s="344"/>
      <c r="BS26" s="344"/>
      <c r="BT26" s="344"/>
      <c r="BU26" s="344"/>
      <c r="BV26" s="344"/>
      <c r="BW26" s="344"/>
      <c r="BX26" s="344"/>
      <c r="BY26" s="344"/>
      <c r="BZ26" s="344"/>
      <c r="CA26" s="344"/>
      <c r="CB26" s="344"/>
      <c r="CC26" s="344"/>
      <c r="CD26" s="344"/>
      <c r="CE26" s="344"/>
      <c r="CF26" s="344"/>
      <c r="CG26" s="344"/>
      <c r="CH26" s="344"/>
      <c r="CI26" s="344"/>
      <c r="CJ26" s="344"/>
      <c r="CK26" s="344"/>
      <c r="CL26" s="344"/>
      <c r="CM26" s="344"/>
      <c r="CN26" s="344"/>
      <c r="CO26" s="344"/>
      <c r="CP26" s="344"/>
    </row>
    <row r="27" spans="1:94" ht="27.75" hidden="1" customHeight="1" outlineLevel="1">
      <c r="A27" s="349"/>
      <c r="B27" s="350"/>
      <c r="C27" s="344"/>
      <c r="D27" s="344"/>
      <c r="E27" s="344"/>
      <c r="F27" s="344"/>
      <c r="G27" s="344"/>
      <c r="H27" s="344"/>
      <c r="I27" s="344"/>
      <c r="J27" s="344"/>
      <c r="K27" s="344"/>
      <c r="L27" s="344"/>
      <c r="M27" s="344"/>
      <c r="N27" s="344"/>
      <c r="O27" s="344"/>
      <c r="P27" s="344"/>
      <c r="Q27" s="344"/>
      <c r="R27" s="344"/>
      <c r="S27" s="344"/>
      <c r="T27" s="344"/>
      <c r="U27" s="344"/>
      <c r="V27" s="344"/>
      <c r="W27" s="344"/>
      <c r="X27" s="344"/>
      <c r="Y27" s="344"/>
      <c r="Z27" s="344"/>
      <c r="AA27" s="344"/>
      <c r="AB27" s="344"/>
      <c r="AC27" s="344"/>
      <c r="AD27" s="344"/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344"/>
      <c r="AS27" s="344"/>
      <c r="AT27" s="344"/>
      <c r="AU27" s="344"/>
      <c r="AV27" s="344"/>
      <c r="AW27" s="344"/>
      <c r="AX27" s="344"/>
      <c r="AY27" s="344"/>
      <c r="AZ27" s="344"/>
      <c r="BA27" s="344"/>
      <c r="BB27" s="344"/>
      <c r="BC27" s="344"/>
      <c r="BD27" s="344"/>
      <c r="BE27" s="344"/>
      <c r="BF27" s="344"/>
      <c r="BG27" s="344"/>
      <c r="BH27" s="344"/>
      <c r="BI27" s="344"/>
      <c r="BJ27" s="344"/>
      <c r="BK27" s="344"/>
      <c r="BL27" s="344"/>
      <c r="BM27" s="344"/>
      <c r="BN27" s="344"/>
      <c r="BO27" s="344"/>
      <c r="BP27" s="344"/>
      <c r="BQ27" s="344"/>
      <c r="BR27" s="344"/>
      <c r="BS27" s="344"/>
      <c r="BT27" s="344"/>
      <c r="BU27" s="344"/>
      <c r="BV27" s="344"/>
      <c r="BW27" s="344"/>
      <c r="BX27" s="344"/>
      <c r="BY27" s="344"/>
      <c r="BZ27" s="344"/>
      <c r="CA27" s="344"/>
      <c r="CB27" s="344"/>
      <c r="CC27" s="344"/>
      <c r="CD27" s="344"/>
      <c r="CE27" s="344"/>
      <c r="CF27" s="344"/>
      <c r="CG27" s="344"/>
      <c r="CH27" s="344"/>
      <c r="CI27" s="344"/>
      <c r="CJ27" s="344"/>
      <c r="CK27" s="344"/>
      <c r="CL27" s="344"/>
      <c r="CM27" s="344"/>
      <c r="CN27" s="344"/>
      <c r="CO27" s="344"/>
      <c r="CP27" s="344"/>
    </row>
    <row r="28" spans="1:94" ht="27.75" hidden="1" customHeight="1" outlineLevel="1">
      <c r="A28" s="349"/>
      <c r="B28" s="350"/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  <c r="AD28" s="344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344"/>
      <c r="AS28" s="344"/>
      <c r="AT28" s="344"/>
      <c r="AU28" s="344"/>
      <c r="AV28" s="344"/>
      <c r="AW28" s="344"/>
      <c r="AX28" s="344"/>
      <c r="AY28" s="344"/>
      <c r="AZ28" s="344"/>
      <c r="BA28" s="344"/>
      <c r="BB28" s="344"/>
      <c r="BC28" s="344"/>
      <c r="BD28" s="344"/>
      <c r="BE28" s="344"/>
      <c r="BF28" s="344"/>
      <c r="BG28" s="344"/>
      <c r="BH28" s="344"/>
      <c r="BI28" s="344"/>
      <c r="BJ28" s="344"/>
      <c r="BK28" s="344"/>
      <c r="BL28" s="344"/>
      <c r="BM28" s="344"/>
      <c r="BN28" s="344"/>
      <c r="BO28" s="344"/>
      <c r="BP28" s="344"/>
      <c r="BQ28" s="344"/>
      <c r="BR28" s="344"/>
      <c r="BS28" s="344"/>
      <c r="BT28" s="344"/>
      <c r="BU28" s="344"/>
      <c r="BV28" s="344"/>
      <c r="BW28" s="344"/>
      <c r="BX28" s="344"/>
      <c r="BY28" s="344"/>
      <c r="BZ28" s="344"/>
      <c r="CA28" s="344"/>
      <c r="CB28" s="344"/>
      <c r="CC28" s="344"/>
      <c r="CD28" s="344"/>
      <c r="CE28" s="344"/>
      <c r="CF28" s="344"/>
      <c r="CG28" s="344"/>
      <c r="CH28" s="344"/>
      <c r="CI28" s="344"/>
      <c r="CJ28" s="344"/>
      <c r="CK28" s="344"/>
      <c r="CL28" s="344"/>
      <c r="CM28" s="344"/>
      <c r="CN28" s="344"/>
      <c r="CO28" s="344"/>
      <c r="CP28" s="344"/>
    </row>
    <row r="29" spans="1:94" ht="27.75" hidden="1" customHeight="1" outlineLevel="1">
      <c r="A29" s="349"/>
      <c r="B29" s="350"/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  <c r="AC29" s="344"/>
      <c r="AD29" s="344"/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344"/>
      <c r="AS29" s="344"/>
      <c r="AT29" s="344"/>
      <c r="AU29" s="344"/>
      <c r="AV29" s="344"/>
      <c r="AW29" s="344"/>
      <c r="AX29" s="344"/>
      <c r="AY29" s="344"/>
      <c r="AZ29" s="344"/>
      <c r="BA29" s="344"/>
      <c r="BB29" s="344"/>
      <c r="BC29" s="344"/>
      <c r="BD29" s="344"/>
      <c r="BE29" s="344"/>
      <c r="BF29" s="344"/>
      <c r="BG29" s="344"/>
      <c r="BH29" s="344"/>
      <c r="BI29" s="344"/>
      <c r="BJ29" s="344"/>
      <c r="BK29" s="344"/>
      <c r="BL29" s="344"/>
      <c r="BM29" s="344"/>
      <c r="BN29" s="344"/>
      <c r="BO29" s="344"/>
      <c r="BP29" s="344"/>
      <c r="BQ29" s="344"/>
      <c r="BR29" s="344"/>
      <c r="BS29" s="344"/>
      <c r="BT29" s="344"/>
      <c r="BU29" s="344"/>
      <c r="BV29" s="344"/>
      <c r="BW29" s="344"/>
      <c r="BX29" s="344"/>
      <c r="BY29" s="344"/>
      <c r="BZ29" s="344"/>
      <c r="CA29" s="344"/>
      <c r="CB29" s="344"/>
      <c r="CC29" s="344"/>
      <c r="CD29" s="344"/>
      <c r="CE29" s="344"/>
      <c r="CF29" s="344"/>
      <c r="CG29" s="344"/>
      <c r="CH29" s="344"/>
      <c r="CI29" s="344"/>
      <c r="CJ29" s="344"/>
      <c r="CK29" s="344"/>
      <c r="CL29" s="344"/>
      <c r="CM29" s="344"/>
      <c r="CN29" s="344"/>
      <c r="CO29" s="344"/>
      <c r="CP29" s="344"/>
    </row>
    <row r="30" spans="1:94" ht="27.75" hidden="1" customHeight="1" outlineLevel="1">
      <c r="A30" s="349"/>
      <c r="B30" s="350"/>
      <c r="C30" s="344"/>
      <c r="D30" s="344"/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/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/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344"/>
      <c r="BM30" s="344"/>
      <c r="BN30" s="344"/>
      <c r="BO30" s="344"/>
      <c r="BP30" s="344"/>
      <c r="BQ30" s="344"/>
      <c r="BR30" s="344"/>
      <c r="BS30" s="344"/>
      <c r="BT30" s="344"/>
      <c r="BU30" s="344"/>
      <c r="BV30" s="344"/>
      <c r="BW30" s="344"/>
      <c r="BX30" s="344"/>
      <c r="BY30" s="344"/>
      <c r="BZ30" s="344"/>
      <c r="CA30" s="344"/>
      <c r="CB30" s="344"/>
      <c r="CC30" s="344"/>
      <c r="CD30" s="344"/>
      <c r="CE30" s="344"/>
      <c r="CF30" s="344"/>
      <c r="CG30" s="344"/>
      <c r="CH30" s="344"/>
      <c r="CI30" s="344"/>
      <c r="CJ30" s="344"/>
      <c r="CK30" s="344"/>
      <c r="CL30" s="344"/>
      <c r="CM30" s="344"/>
      <c r="CN30" s="344"/>
      <c r="CO30" s="344"/>
      <c r="CP30" s="344"/>
    </row>
    <row r="31" spans="1:94" ht="27.75" hidden="1" customHeight="1" outlineLevel="1">
      <c r="A31" s="349"/>
      <c r="B31" s="350"/>
      <c r="C31" s="344"/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344"/>
      <c r="BM31" s="344"/>
      <c r="BN31" s="344"/>
      <c r="BO31" s="344"/>
      <c r="BP31" s="344"/>
      <c r="BQ31" s="344"/>
      <c r="BR31" s="344"/>
      <c r="BS31" s="344"/>
      <c r="BT31" s="344"/>
      <c r="BU31" s="344"/>
      <c r="BV31" s="344"/>
      <c r="BW31" s="344"/>
      <c r="BX31" s="344"/>
      <c r="BY31" s="344"/>
      <c r="BZ31" s="344"/>
      <c r="CA31" s="344"/>
      <c r="CB31" s="344"/>
      <c r="CC31" s="344"/>
      <c r="CD31" s="344"/>
      <c r="CE31" s="344"/>
      <c r="CF31" s="344"/>
      <c r="CG31" s="344"/>
      <c r="CH31" s="344"/>
      <c r="CI31" s="344"/>
      <c r="CJ31" s="344"/>
      <c r="CK31" s="344"/>
      <c r="CL31" s="344"/>
      <c r="CM31" s="344"/>
      <c r="CN31" s="344"/>
      <c r="CO31" s="344"/>
      <c r="CP31" s="344"/>
    </row>
    <row r="32" spans="1:94" ht="27.75" hidden="1" customHeight="1" outlineLevel="1">
      <c r="A32" s="349"/>
      <c r="B32" s="350"/>
      <c r="C32" s="344"/>
      <c r="D32" s="344"/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/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344"/>
      <c r="BU32" s="344"/>
      <c r="BV32" s="344"/>
      <c r="BW32" s="344"/>
      <c r="BX32" s="344"/>
      <c r="BY32" s="344"/>
      <c r="BZ32" s="344"/>
      <c r="CA32" s="344"/>
      <c r="CB32" s="344"/>
      <c r="CC32" s="344"/>
      <c r="CD32" s="344"/>
      <c r="CE32" s="344"/>
      <c r="CF32" s="344"/>
      <c r="CG32" s="344"/>
      <c r="CH32" s="344"/>
      <c r="CI32" s="344"/>
      <c r="CJ32" s="344"/>
      <c r="CK32" s="344"/>
      <c r="CL32" s="344"/>
      <c r="CM32" s="344"/>
      <c r="CN32" s="344"/>
      <c r="CO32" s="344"/>
      <c r="CP32" s="344"/>
    </row>
    <row r="33" spans="1:94" ht="27.75" hidden="1" customHeight="1" outlineLevel="1">
      <c r="A33" s="349"/>
      <c r="B33" s="350"/>
      <c r="C33" s="344"/>
      <c r="D33" s="344"/>
      <c r="E33" s="344"/>
      <c r="F33" s="344"/>
      <c r="G33" s="344"/>
      <c r="H33" s="344"/>
      <c r="I33" s="344"/>
      <c r="J33" s="344"/>
      <c r="K33" s="344"/>
      <c r="L33" s="344"/>
      <c r="M33" s="344"/>
      <c r="N33" s="344"/>
      <c r="O33" s="344"/>
      <c r="P33" s="344"/>
      <c r="Q33" s="344"/>
      <c r="R33" s="344"/>
      <c r="S33" s="344"/>
      <c r="T33" s="344"/>
      <c r="U33" s="344"/>
      <c r="V33" s="344"/>
      <c r="W33" s="344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344"/>
      <c r="AQ33" s="344"/>
      <c r="AR33" s="344"/>
      <c r="AS33" s="344"/>
      <c r="AT33" s="344"/>
      <c r="AU33" s="344"/>
      <c r="AV33" s="344"/>
      <c r="AW33" s="344"/>
      <c r="AX33" s="344"/>
      <c r="AY33" s="344"/>
      <c r="AZ33" s="34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344"/>
      <c r="BU33" s="344"/>
      <c r="BV33" s="344"/>
      <c r="BW33" s="344"/>
      <c r="BX33" s="344"/>
      <c r="BY33" s="344"/>
      <c r="BZ33" s="344"/>
      <c r="CA33" s="344"/>
      <c r="CB33" s="344"/>
      <c r="CC33" s="344"/>
      <c r="CD33" s="344"/>
      <c r="CE33" s="344"/>
      <c r="CF33" s="344"/>
      <c r="CG33" s="344"/>
      <c r="CH33" s="344"/>
      <c r="CI33" s="344"/>
      <c r="CJ33" s="344"/>
      <c r="CK33" s="344"/>
      <c r="CL33" s="344"/>
      <c r="CM33" s="344"/>
      <c r="CN33" s="344"/>
      <c r="CO33" s="344"/>
      <c r="CP33" s="344"/>
    </row>
    <row r="34" spans="1:94" ht="27.75" hidden="1" customHeight="1" outlineLevel="1">
      <c r="A34" s="349"/>
      <c r="B34" s="350"/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/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344"/>
      <c r="BU34" s="344"/>
      <c r="BV34" s="344"/>
      <c r="BW34" s="344"/>
      <c r="BX34" s="344"/>
      <c r="BY34" s="344"/>
      <c r="BZ34" s="344"/>
      <c r="CA34" s="344"/>
      <c r="CB34" s="344"/>
      <c r="CC34" s="344"/>
      <c r="CD34" s="344"/>
      <c r="CE34" s="344"/>
      <c r="CF34" s="344"/>
      <c r="CG34" s="344"/>
      <c r="CH34" s="344"/>
      <c r="CI34" s="344"/>
      <c r="CJ34" s="344"/>
      <c r="CK34" s="344"/>
      <c r="CL34" s="344"/>
      <c r="CM34" s="344"/>
      <c r="CN34" s="344"/>
      <c r="CO34" s="344"/>
      <c r="CP34" s="344"/>
    </row>
    <row r="35" spans="1:94" ht="27.75" hidden="1" customHeight="1" outlineLevel="1">
      <c r="A35" s="349"/>
      <c r="B35" s="350"/>
      <c r="C35" s="344"/>
      <c r="D35" s="344"/>
      <c r="E35" s="344"/>
      <c r="F35" s="344"/>
      <c r="G35" s="344"/>
      <c r="H35" s="344"/>
      <c r="I35" s="344"/>
      <c r="J35" s="344"/>
      <c r="K35" s="344"/>
      <c r="L35" s="344"/>
      <c r="M35" s="344"/>
      <c r="N35" s="344"/>
      <c r="O35" s="344"/>
      <c r="P35" s="344"/>
      <c r="Q35" s="344"/>
      <c r="R35" s="344"/>
      <c r="S35" s="344"/>
      <c r="T35" s="344"/>
      <c r="U35" s="344"/>
      <c r="V35" s="344"/>
      <c r="W35" s="344"/>
      <c r="X35" s="344"/>
      <c r="Y35" s="344"/>
      <c r="Z35" s="344"/>
      <c r="AA35" s="344"/>
      <c r="AB35" s="344"/>
      <c r="AC35" s="344"/>
      <c r="AD35" s="344"/>
      <c r="AE35" s="344"/>
      <c r="AF35" s="344"/>
      <c r="AG35" s="344"/>
      <c r="AH35" s="344"/>
      <c r="AI35" s="344"/>
      <c r="AJ35" s="344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344"/>
      <c r="BU35" s="344"/>
      <c r="BV35" s="344"/>
      <c r="BW35" s="344"/>
      <c r="BX35" s="344"/>
      <c r="BY35" s="344"/>
      <c r="BZ35" s="344"/>
      <c r="CA35" s="344"/>
      <c r="CB35" s="344"/>
      <c r="CC35" s="344"/>
      <c r="CD35" s="344"/>
      <c r="CE35" s="344"/>
      <c r="CF35" s="344"/>
      <c r="CG35" s="344"/>
      <c r="CH35" s="344"/>
      <c r="CI35" s="344"/>
      <c r="CJ35" s="344"/>
      <c r="CK35" s="344"/>
      <c r="CL35" s="344"/>
      <c r="CM35" s="344"/>
      <c r="CN35" s="344"/>
      <c r="CO35" s="344"/>
      <c r="CP35" s="344"/>
    </row>
    <row r="36" spans="1:94" ht="27.75" hidden="1" customHeight="1" outlineLevel="1">
      <c r="A36" s="349"/>
      <c r="B36" s="350"/>
      <c r="C36" s="344"/>
      <c r="D36" s="344"/>
      <c r="E36" s="344"/>
      <c r="F36" s="344"/>
      <c r="G36" s="344"/>
      <c r="H36" s="344"/>
      <c r="I36" s="344"/>
      <c r="J36" s="344"/>
      <c r="K36" s="344"/>
      <c r="L36" s="344"/>
      <c r="M36" s="344"/>
      <c r="N36" s="344"/>
      <c r="O36" s="344"/>
      <c r="P36" s="344"/>
      <c r="Q36" s="344"/>
      <c r="R36" s="344"/>
      <c r="S36" s="344"/>
      <c r="T36" s="344"/>
      <c r="U36" s="344"/>
      <c r="V36" s="344"/>
      <c r="W36" s="344"/>
      <c r="X36" s="344"/>
      <c r="Y36" s="344"/>
      <c r="Z36" s="344"/>
      <c r="AA36" s="344"/>
      <c r="AB36" s="344"/>
      <c r="AC36" s="344"/>
      <c r="AD36" s="344"/>
      <c r="AE36" s="344"/>
      <c r="AF36" s="344"/>
      <c r="AG36" s="344"/>
      <c r="AH36" s="344"/>
      <c r="AI36" s="344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44"/>
      <c r="AV36" s="344"/>
      <c r="AW36" s="344"/>
      <c r="AX36" s="344"/>
      <c r="AY36" s="344"/>
      <c r="AZ36" s="34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344"/>
      <c r="BU36" s="344"/>
      <c r="BV36" s="344"/>
      <c r="BW36" s="344"/>
      <c r="BX36" s="344"/>
      <c r="BY36" s="344"/>
      <c r="BZ36" s="344"/>
      <c r="CA36" s="344"/>
      <c r="CB36" s="344"/>
      <c r="CC36" s="344"/>
      <c r="CD36" s="344"/>
      <c r="CE36" s="344"/>
      <c r="CF36" s="344"/>
      <c r="CG36" s="344"/>
      <c r="CH36" s="344"/>
      <c r="CI36" s="344"/>
      <c r="CJ36" s="344"/>
      <c r="CK36" s="344"/>
      <c r="CL36" s="344"/>
      <c r="CM36" s="344"/>
      <c r="CN36" s="344"/>
      <c r="CO36" s="344"/>
      <c r="CP36" s="344"/>
    </row>
    <row r="37" spans="1:94" ht="27.75" hidden="1" customHeight="1" outlineLevel="1">
      <c r="A37" s="349"/>
      <c r="B37" s="350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  <c r="AE37" s="344"/>
      <c r="AF37" s="344"/>
      <c r="AG37" s="344"/>
      <c r="AH37" s="344"/>
      <c r="AI37" s="344"/>
      <c r="AJ37" s="344"/>
      <c r="AK37" s="344"/>
      <c r="AL37" s="344"/>
      <c r="AM37" s="344"/>
      <c r="AN37" s="344"/>
      <c r="AO37" s="344"/>
      <c r="AP37" s="344"/>
      <c r="AQ37" s="344"/>
      <c r="AR37" s="344"/>
      <c r="AS37" s="344"/>
      <c r="AT37" s="344"/>
      <c r="AU37" s="344"/>
      <c r="AV37" s="344"/>
      <c r="AW37" s="344"/>
      <c r="AX37" s="344"/>
      <c r="AY37" s="344"/>
      <c r="AZ37" s="34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344"/>
      <c r="BU37" s="344"/>
      <c r="BV37" s="344"/>
      <c r="BW37" s="344"/>
      <c r="BX37" s="344"/>
      <c r="BY37" s="344"/>
      <c r="BZ37" s="344"/>
      <c r="CA37" s="344"/>
      <c r="CB37" s="344"/>
      <c r="CC37" s="344"/>
      <c r="CD37" s="344"/>
      <c r="CE37" s="344"/>
      <c r="CF37" s="344"/>
      <c r="CG37" s="344"/>
      <c r="CH37" s="344"/>
      <c r="CI37" s="344"/>
      <c r="CJ37" s="344"/>
      <c r="CK37" s="344"/>
      <c r="CL37" s="344"/>
      <c r="CM37" s="344"/>
      <c r="CN37" s="344"/>
      <c r="CO37" s="344"/>
      <c r="CP37" s="344"/>
    </row>
    <row r="38" spans="1:94" ht="27.75" hidden="1" customHeight="1" outlineLevel="1">
      <c r="A38" s="349"/>
      <c r="B38" s="350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  <c r="BV38" s="344"/>
      <c r="BW38" s="344"/>
      <c r="BX38" s="344"/>
      <c r="BY38" s="344"/>
      <c r="BZ38" s="344"/>
      <c r="CA38" s="344"/>
      <c r="CB38" s="344"/>
      <c r="CC38" s="344"/>
      <c r="CD38" s="344"/>
      <c r="CE38" s="344"/>
      <c r="CF38" s="344"/>
      <c r="CG38" s="344"/>
      <c r="CH38" s="344"/>
      <c r="CI38" s="344"/>
      <c r="CJ38" s="344"/>
      <c r="CK38" s="344"/>
      <c r="CL38" s="344"/>
      <c r="CM38" s="344"/>
      <c r="CN38" s="344"/>
      <c r="CO38" s="344"/>
      <c r="CP38" s="344"/>
    </row>
    <row r="39" spans="1:94" ht="27.75" hidden="1" customHeight="1" outlineLevel="1">
      <c r="A39" s="349"/>
      <c r="B39" s="350"/>
      <c r="C39" s="344"/>
      <c r="D39" s="344"/>
      <c r="E39" s="344"/>
      <c r="F39" s="344"/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  <c r="AE39" s="344"/>
      <c r="AF39" s="344"/>
      <c r="AG39" s="344"/>
      <c r="AH39" s="344"/>
      <c r="AI39" s="344"/>
      <c r="AJ39" s="344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  <c r="BV39" s="344"/>
      <c r="BW39" s="344"/>
      <c r="BX39" s="344"/>
      <c r="BY39" s="344"/>
      <c r="BZ39" s="344"/>
      <c r="CA39" s="344"/>
      <c r="CB39" s="344"/>
      <c r="CC39" s="344"/>
      <c r="CD39" s="344"/>
      <c r="CE39" s="344"/>
      <c r="CF39" s="344"/>
      <c r="CG39" s="344"/>
      <c r="CH39" s="344"/>
      <c r="CI39" s="344"/>
      <c r="CJ39" s="344"/>
      <c r="CK39" s="344"/>
      <c r="CL39" s="344"/>
      <c r="CM39" s="344"/>
      <c r="CN39" s="344"/>
      <c r="CO39" s="344"/>
      <c r="CP39" s="344"/>
    </row>
    <row r="40" spans="1:94" ht="27.75" hidden="1" customHeight="1" outlineLevel="1">
      <c r="A40" s="349"/>
      <c r="B40" s="350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/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344"/>
      <c r="BR40" s="344"/>
      <c r="BS40" s="344"/>
      <c r="BT40" s="344"/>
      <c r="BU40" s="344"/>
      <c r="BV40" s="344"/>
      <c r="BW40" s="344"/>
      <c r="BX40" s="344"/>
      <c r="BY40" s="344"/>
      <c r="BZ40" s="344"/>
      <c r="CA40" s="344"/>
      <c r="CB40" s="344"/>
      <c r="CC40" s="344"/>
      <c r="CD40" s="344"/>
      <c r="CE40" s="344"/>
      <c r="CF40" s="344"/>
      <c r="CG40" s="344"/>
      <c r="CH40" s="344"/>
      <c r="CI40" s="344"/>
      <c r="CJ40" s="344"/>
      <c r="CK40" s="344"/>
      <c r="CL40" s="344"/>
      <c r="CM40" s="344"/>
      <c r="CN40" s="344"/>
      <c r="CO40" s="344"/>
      <c r="CP40" s="344"/>
    </row>
    <row r="41" spans="1:94" ht="27.75" hidden="1" customHeight="1" outlineLevel="1">
      <c r="A41" s="349"/>
      <c r="B41" s="350"/>
      <c r="C41" s="344"/>
      <c r="D41" s="344"/>
      <c r="E41" s="344"/>
      <c r="F41" s="344"/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/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/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344"/>
      <c r="BR41" s="344"/>
      <c r="BS41" s="344"/>
      <c r="BT41" s="344"/>
      <c r="BU41" s="344"/>
      <c r="BV41" s="344"/>
      <c r="BW41" s="344"/>
      <c r="BX41" s="344"/>
      <c r="BY41" s="344"/>
      <c r="BZ41" s="344"/>
      <c r="CA41" s="344"/>
      <c r="CB41" s="344"/>
      <c r="CC41" s="344"/>
      <c r="CD41" s="344"/>
      <c r="CE41" s="344"/>
      <c r="CF41" s="344"/>
      <c r="CG41" s="344"/>
      <c r="CH41" s="344"/>
      <c r="CI41" s="344"/>
      <c r="CJ41" s="344"/>
      <c r="CK41" s="344"/>
      <c r="CL41" s="344"/>
      <c r="CM41" s="344"/>
      <c r="CN41" s="344"/>
      <c r="CO41" s="344"/>
      <c r="CP41" s="344"/>
    </row>
    <row r="42" spans="1:94" ht="27.75" hidden="1" customHeight="1" outlineLevel="1">
      <c r="A42" s="349"/>
      <c r="B42" s="350"/>
      <c r="C42" s="344"/>
      <c r="D42" s="344"/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/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/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344"/>
      <c r="BR42" s="344"/>
      <c r="BS42" s="344"/>
      <c r="BT42" s="344"/>
      <c r="BU42" s="344"/>
      <c r="BV42" s="344"/>
      <c r="BW42" s="344"/>
      <c r="BX42" s="344"/>
      <c r="BY42" s="344"/>
      <c r="BZ42" s="344"/>
      <c r="CA42" s="344"/>
      <c r="CB42" s="344"/>
      <c r="CC42" s="344"/>
      <c r="CD42" s="344"/>
      <c r="CE42" s="344"/>
      <c r="CF42" s="344"/>
      <c r="CG42" s="344"/>
      <c r="CH42" s="344"/>
      <c r="CI42" s="344"/>
      <c r="CJ42" s="344"/>
      <c r="CK42" s="344"/>
      <c r="CL42" s="344"/>
      <c r="CM42" s="344"/>
      <c r="CN42" s="344"/>
      <c r="CO42" s="344"/>
      <c r="CP42" s="344"/>
    </row>
    <row r="43" spans="1:94" ht="27.75" hidden="1" customHeight="1" outlineLevel="1">
      <c r="A43" s="349"/>
      <c r="B43" s="350"/>
      <c r="C43" s="344"/>
      <c r="D43" s="344"/>
      <c r="E43" s="344"/>
      <c r="F43" s="344"/>
      <c r="G43" s="344"/>
      <c r="H43" s="344"/>
      <c r="I43" s="344"/>
      <c r="J43" s="344"/>
      <c r="K43" s="344"/>
      <c r="L43" s="344"/>
      <c r="M43" s="344"/>
      <c r="N43" s="344"/>
      <c r="O43" s="344"/>
      <c r="P43" s="344"/>
      <c r="Q43" s="344"/>
      <c r="R43" s="344"/>
      <c r="S43" s="344"/>
      <c r="T43" s="344"/>
      <c r="U43" s="344"/>
      <c r="V43" s="344"/>
      <c r="W43" s="344"/>
      <c r="X43" s="344"/>
      <c r="Y43" s="344"/>
      <c r="Z43" s="344"/>
      <c r="AA43" s="344"/>
      <c r="AB43" s="344"/>
      <c r="AC43" s="344"/>
      <c r="AD43" s="344"/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344"/>
      <c r="AQ43" s="344"/>
      <c r="AR43" s="344"/>
      <c r="AS43" s="344"/>
      <c r="AT43" s="344"/>
      <c r="AU43" s="344"/>
      <c r="AV43" s="344"/>
      <c r="AW43" s="344"/>
      <c r="AX43" s="344"/>
      <c r="AY43" s="344"/>
      <c r="AZ43" s="34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344"/>
      <c r="BR43" s="344"/>
      <c r="BS43" s="344"/>
      <c r="BT43" s="344"/>
      <c r="BU43" s="344"/>
      <c r="BV43" s="344"/>
      <c r="BW43" s="344"/>
      <c r="BX43" s="344"/>
      <c r="BY43" s="344"/>
      <c r="BZ43" s="344"/>
      <c r="CA43" s="344"/>
      <c r="CB43" s="344"/>
      <c r="CC43" s="344"/>
      <c r="CD43" s="344"/>
      <c r="CE43" s="344"/>
      <c r="CF43" s="344"/>
      <c r="CG43" s="344"/>
      <c r="CH43" s="344"/>
      <c r="CI43" s="344"/>
      <c r="CJ43" s="344"/>
      <c r="CK43" s="344"/>
      <c r="CL43" s="344"/>
      <c r="CM43" s="344"/>
      <c r="CN43" s="344"/>
      <c r="CO43" s="344"/>
      <c r="CP43" s="344"/>
    </row>
    <row r="44" spans="1:94" ht="27.75" hidden="1" customHeight="1" outlineLevel="1">
      <c r="A44" s="349"/>
      <c r="B44" s="350"/>
      <c r="C44" s="344"/>
      <c r="D44" s="344"/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344"/>
      <c r="BR44" s="344"/>
      <c r="BS44" s="344"/>
      <c r="BT44" s="344"/>
      <c r="BU44" s="344"/>
      <c r="BV44" s="344"/>
      <c r="BW44" s="344"/>
      <c r="BX44" s="344"/>
      <c r="BY44" s="344"/>
      <c r="BZ44" s="344"/>
      <c r="CA44" s="344"/>
      <c r="CB44" s="344"/>
      <c r="CC44" s="344"/>
      <c r="CD44" s="344"/>
      <c r="CE44" s="344"/>
      <c r="CF44" s="344"/>
      <c r="CG44" s="344"/>
      <c r="CH44" s="344"/>
      <c r="CI44" s="344"/>
      <c r="CJ44" s="344"/>
      <c r="CK44" s="344"/>
      <c r="CL44" s="344"/>
      <c r="CM44" s="344"/>
      <c r="CN44" s="344"/>
      <c r="CO44" s="344"/>
      <c r="CP44" s="344"/>
    </row>
    <row r="45" spans="1:94" ht="27.75" hidden="1" customHeight="1" outlineLevel="1">
      <c r="A45" s="349"/>
      <c r="B45" s="350"/>
      <c r="C45" s="344"/>
      <c r="D45" s="344"/>
      <c r="E45" s="344"/>
      <c r="F45" s="344"/>
      <c r="G45" s="344"/>
      <c r="H45" s="344"/>
      <c r="I45" s="344"/>
      <c r="J45" s="344"/>
      <c r="K45" s="344"/>
      <c r="L45" s="344"/>
      <c r="M45" s="344"/>
      <c r="N45" s="344"/>
      <c r="O45" s="344"/>
      <c r="P45" s="344"/>
      <c r="Q45" s="344"/>
      <c r="R45" s="344"/>
      <c r="S45" s="344"/>
      <c r="T45" s="344"/>
      <c r="U45" s="344"/>
      <c r="V45" s="344"/>
      <c r="W45" s="344"/>
      <c r="X45" s="344"/>
      <c r="Y45" s="344"/>
      <c r="Z45" s="344"/>
      <c r="AA45" s="344"/>
      <c r="AB45" s="344"/>
      <c r="AC45" s="344"/>
      <c r="AD45" s="344"/>
      <c r="AE45" s="344"/>
      <c r="AF45" s="344"/>
      <c r="AG45" s="344"/>
      <c r="AH45" s="344"/>
      <c r="AI45" s="344"/>
      <c r="AJ45" s="344"/>
      <c r="AK45" s="344"/>
      <c r="AL45" s="344"/>
      <c r="AM45" s="344"/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344"/>
      <c r="BR45" s="344"/>
      <c r="BS45" s="344"/>
      <c r="BT45" s="344"/>
      <c r="BU45" s="344"/>
      <c r="BV45" s="344"/>
      <c r="BW45" s="344"/>
      <c r="BX45" s="344"/>
      <c r="BY45" s="344"/>
      <c r="BZ45" s="344"/>
      <c r="CA45" s="344"/>
      <c r="CB45" s="344"/>
      <c r="CC45" s="344"/>
      <c r="CD45" s="344"/>
      <c r="CE45" s="344"/>
      <c r="CF45" s="344"/>
      <c r="CG45" s="344"/>
      <c r="CH45" s="344"/>
      <c r="CI45" s="344"/>
      <c r="CJ45" s="344"/>
      <c r="CK45" s="344"/>
      <c r="CL45" s="344"/>
      <c r="CM45" s="344"/>
      <c r="CN45" s="344"/>
      <c r="CO45" s="344"/>
      <c r="CP45" s="344"/>
    </row>
    <row r="46" spans="1:94" ht="27.75" hidden="1" customHeight="1" outlineLevel="1">
      <c r="A46" s="349"/>
      <c r="B46" s="350"/>
      <c r="C46" s="344"/>
      <c r="D46" s="344"/>
      <c r="E46" s="344"/>
      <c r="F46" s="344"/>
      <c r="G46" s="344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344"/>
      <c r="T46" s="344"/>
      <c r="U46" s="344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344"/>
      <c r="AI46" s="344"/>
      <c r="AJ46" s="344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344"/>
      <c r="BR46" s="344"/>
      <c r="BS46" s="344"/>
      <c r="BT46" s="344"/>
      <c r="BU46" s="344"/>
      <c r="BV46" s="344"/>
      <c r="BW46" s="344"/>
      <c r="BX46" s="344"/>
      <c r="BY46" s="344"/>
      <c r="BZ46" s="344"/>
      <c r="CA46" s="344"/>
      <c r="CB46" s="344"/>
      <c r="CC46" s="344"/>
      <c r="CD46" s="344"/>
      <c r="CE46" s="344"/>
      <c r="CF46" s="344"/>
      <c r="CG46" s="344"/>
      <c r="CH46" s="344"/>
      <c r="CI46" s="344"/>
      <c r="CJ46" s="344"/>
      <c r="CK46" s="344"/>
      <c r="CL46" s="344"/>
      <c r="CM46" s="344"/>
      <c r="CN46" s="344"/>
      <c r="CO46" s="344"/>
      <c r="CP46" s="344"/>
    </row>
    <row r="47" spans="1:94" ht="27.75" hidden="1" customHeight="1" outlineLevel="1">
      <c r="A47" s="349"/>
      <c r="B47" s="350"/>
      <c r="C47" s="344"/>
      <c r="D47" s="344"/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/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/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/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344"/>
      <c r="BR47" s="344"/>
      <c r="BS47" s="344"/>
      <c r="BT47" s="344"/>
      <c r="BU47" s="344"/>
      <c r="BV47" s="344"/>
      <c r="BW47" s="344"/>
      <c r="BX47" s="344"/>
      <c r="BY47" s="344"/>
      <c r="BZ47" s="344"/>
      <c r="CA47" s="344"/>
      <c r="CB47" s="344"/>
      <c r="CC47" s="344"/>
      <c r="CD47" s="344"/>
      <c r="CE47" s="344"/>
      <c r="CF47" s="344"/>
      <c r="CG47" s="344"/>
      <c r="CH47" s="344"/>
      <c r="CI47" s="344"/>
      <c r="CJ47" s="344"/>
      <c r="CK47" s="344"/>
      <c r="CL47" s="344"/>
      <c r="CM47" s="344"/>
      <c r="CN47" s="344"/>
      <c r="CO47" s="344"/>
      <c r="CP47" s="344"/>
    </row>
    <row r="48" spans="1:94" ht="27.75" hidden="1" customHeight="1" outlineLevel="1">
      <c r="A48" s="349"/>
      <c r="B48" s="350"/>
      <c r="C48" s="344"/>
      <c r="D48" s="344"/>
      <c r="E48" s="344"/>
      <c r="F48" s="344"/>
      <c r="G48" s="344"/>
      <c r="H48" s="344"/>
      <c r="I48" s="344"/>
      <c r="J48" s="344"/>
      <c r="K48" s="344"/>
      <c r="L48" s="344"/>
      <c r="M48" s="344"/>
      <c r="N48" s="344"/>
      <c r="O48" s="344"/>
      <c r="P48" s="344"/>
      <c r="Q48" s="344"/>
      <c r="R48" s="344"/>
      <c r="S48" s="344"/>
      <c r="T48" s="344"/>
      <c r="U48" s="344"/>
      <c r="V48" s="344"/>
      <c r="W48" s="344"/>
      <c r="X48" s="344"/>
      <c r="Y48" s="344"/>
      <c r="Z48" s="344"/>
      <c r="AA48" s="344"/>
      <c r="AB48" s="344"/>
      <c r="AC48" s="344"/>
      <c r="AD48" s="344"/>
      <c r="AE48" s="344"/>
      <c r="AF48" s="344"/>
      <c r="AG48" s="344"/>
      <c r="AH48" s="344"/>
      <c r="AI48" s="344"/>
      <c r="AJ48" s="344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344"/>
      <c r="BR48" s="344"/>
      <c r="BS48" s="344"/>
      <c r="BT48" s="344"/>
      <c r="BU48" s="344"/>
      <c r="BV48" s="344"/>
      <c r="BW48" s="344"/>
      <c r="BX48" s="344"/>
      <c r="BY48" s="344"/>
      <c r="BZ48" s="344"/>
      <c r="CA48" s="344"/>
      <c r="CB48" s="344"/>
      <c r="CC48" s="344"/>
      <c r="CD48" s="344"/>
      <c r="CE48" s="344"/>
      <c r="CF48" s="344"/>
      <c r="CG48" s="344"/>
      <c r="CH48" s="344"/>
      <c r="CI48" s="344"/>
      <c r="CJ48" s="344"/>
      <c r="CK48" s="344"/>
      <c r="CL48" s="344"/>
      <c r="CM48" s="344"/>
      <c r="CN48" s="344"/>
      <c r="CO48" s="344"/>
      <c r="CP48" s="344"/>
    </row>
    <row r="49" spans="1:94" ht="27.75" hidden="1" customHeight="1" outlineLevel="1">
      <c r="A49" s="349"/>
      <c r="B49" s="350"/>
      <c r="C49" s="344"/>
      <c r="D49" s="344"/>
      <c r="E49" s="344"/>
      <c r="F49" s="344"/>
      <c r="G49" s="344"/>
      <c r="H49" s="344"/>
      <c r="I49" s="344"/>
      <c r="J49" s="344"/>
      <c r="K49" s="344"/>
      <c r="L49" s="344"/>
      <c r="M49" s="344"/>
      <c r="N49" s="344"/>
      <c r="O49" s="344"/>
      <c r="P49" s="344"/>
      <c r="Q49" s="344"/>
      <c r="R49" s="344"/>
      <c r="S49" s="344"/>
      <c r="T49" s="344"/>
      <c r="U49" s="344"/>
      <c r="V49" s="344"/>
      <c r="W49" s="344"/>
      <c r="X49" s="344"/>
      <c r="Y49" s="344"/>
      <c r="Z49" s="344"/>
      <c r="AA49" s="344"/>
      <c r="AB49" s="344"/>
      <c r="AC49" s="344"/>
      <c r="AD49" s="344"/>
      <c r="AE49" s="344"/>
      <c r="AF49" s="344"/>
      <c r="AG49" s="344"/>
      <c r="AH49" s="344"/>
      <c r="AI49" s="344"/>
      <c r="AJ49" s="344"/>
      <c r="AK49" s="344"/>
      <c r="AL49" s="344"/>
      <c r="AM49" s="344"/>
      <c r="AN49" s="344"/>
      <c r="AO49" s="344"/>
      <c r="AP49" s="344"/>
      <c r="AQ49" s="344"/>
      <c r="AR49" s="344"/>
      <c r="AS49" s="344"/>
      <c r="AT49" s="344"/>
      <c r="AU49" s="344"/>
      <c r="AV49" s="344"/>
      <c r="AW49" s="344"/>
      <c r="AX49" s="344"/>
      <c r="AY49" s="344"/>
      <c r="AZ49" s="34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344"/>
      <c r="BR49" s="344"/>
      <c r="BS49" s="344"/>
      <c r="BT49" s="344"/>
      <c r="BU49" s="344"/>
      <c r="BV49" s="344"/>
      <c r="BW49" s="344"/>
      <c r="BX49" s="344"/>
      <c r="BY49" s="344"/>
      <c r="BZ49" s="344"/>
      <c r="CA49" s="344"/>
      <c r="CB49" s="344"/>
      <c r="CC49" s="344"/>
      <c r="CD49" s="344"/>
      <c r="CE49" s="344"/>
      <c r="CF49" s="344"/>
      <c r="CG49" s="344"/>
      <c r="CH49" s="344"/>
      <c r="CI49" s="344"/>
      <c r="CJ49" s="344"/>
      <c r="CK49" s="344"/>
      <c r="CL49" s="344"/>
      <c r="CM49" s="344"/>
      <c r="CN49" s="344"/>
      <c r="CO49" s="344"/>
      <c r="CP49" s="344"/>
    </row>
    <row r="50" spans="1:94" ht="27.75" hidden="1" customHeight="1" outlineLevel="1">
      <c r="A50" s="349"/>
      <c r="B50" s="350"/>
      <c r="C50" s="344"/>
      <c r="D50" s="344"/>
      <c r="E50" s="344"/>
      <c r="F50" s="344"/>
      <c r="G50" s="344"/>
      <c r="H50" s="344"/>
      <c r="I50" s="344"/>
      <c r="J50" s="344"/>
      <c r="K50" s="344"/>
      <c r="L50" s="344"/>
      <c r="M50" s="344"/>
      <c r="N50" s="344"/>
      <c r="O50" s="344"/>
      <c r="P50" s="344"/>
      <c r="Q50" s="344"/>
      <c r="R50" s="344"/>
      <c r="S50" s="344"/>
      <c r="T50" s="344"/>
      <c r="U50" s="344"/>
      <c r="V50" s="344"/>
      <c r="W50" s="344"/>
      <c r="X50" s="344"/>
      <c r="Y50" s="344"/>
      <c r="Z50" s="344"/>
      <c r="AA50" s="344"/>
      <c r="AB50" s="344"/>
      <c r="AC50" s="344"/>
      <c r="AD50" s="344"/>
      <c r="AE50" s="344"/>
      <c r="AF50" s="344"/>
      <c r="AG50" s="344"/>
      <c r="AH50" s="344"/>
      <c r="AI50" s="344"/>
      <c r="AJ50" s="344"/>
      <c r="AK50" s="344"/>
      <c r="AL50" s="344"/>
      <c r="AM50" s="344"/>
      <c r="AN50" s="344"/>
      <c r="AO50" s="344"/>
      <c r="AP50" s="344"/>
      <c r="AQ50" s="344"/>
      <c r="AR50" s="344"/>
      <c r="AS50" s="344"/>
      <c r="AT50" s="344"/>
      <c r="AU50" s="344"/>
      <c r="AV50" s="344"/>
      <c r="AW50" s="344"/>
      <c r="AX50" s="344"/>
      <c r="AY50" s="344"/>
      <c r="AZ50" s="34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344"/>
      <c r="BR50" s="344"/>
      <c r="BS50" s="344"/>
      <c r="BT50" s="344"/>
      <c r="BU50" s="344"/>
      <c r="BV50" s="344"/>
      <c r="BW50" s="344"/>
      <c r="BX50" s="344"/>
      <c r="BY50" s="344"/>
      <c r="BZ50" s="344"/>
      <c r="CA50" s="344"/>
      <c r="CB50" s="344"/>
      <c r="CC50" s="344"/>
      <c r="CD50" s="344"/>
      <c r="CE50" s="344"/>
      <c r="CF50" s="344"/>
      <c r="CG50" s="344"/>
      <c r="CH50" s="344"/>
      <c r="CI50" s="344"/>
      <c r="CJ50" s="344"/>
      <c r="CK50" s="344"/>
      <c r="CL50" s="344"/>
      <c r="CM50" s="344"/>
      <c r="CN50" s="344"/>
      <c r="CO50" s="344"/>
      <c r="CP50" s="344"/>
    </row>
    <row r="51" spans="1:94" ht="27.75" hidden="1" customHeight="1" outlineLevel="1">
      <c r="A51" s="349"/>
      <c r="B51" s="350"/>
      <c r="C51" s="344"/>
      <c r="D51" s="344"/>
      <c r="E51" s="344"/>
      <c r="F51" s="344"/>
      <c r="G51" s="344"/>
      <c r="H51" s="344"/>
      <c r="I51" s="344"/>
      <c r="J51" s="344"/>
      <c r="K51" s="344"/>
      <c r="L51" s="344"/>
      <c r="M51" s="344"/>
      <c r="N51" s="344"/>
      <c r="O51" s="344"/>
      <c r="P51" s="344"/>
      <c r="Q51" s="344"/>
      <c r="R51" s="344"/>
      <c r="S51" s="344"/>
      <c r="T51" s="344"/>
      <c r="U51" s="344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  <c r="AV51" s="344"/>
      <c r="AW51" s="344"/>
      <c r="AX51" s="344"/>
      <c r="AY51" s="344"/>
      <c r="AZ51" s="34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344"/>
      <c r="BR51" s="344"/>
      <c r="BS51" s="344"/>
      <c r="BT51" s="344"/>
      <c r="BU51" s="344"/>
      <c r="BV51" s="344"/>
      <c r="BW51" s="344"/>
      <c r="BX51" s="344"/>
      <c r="BY51" s="344"/>
      <c r="BZ51" s="344"/>
      <c r="CA51" s="344"/>
      <c r="CB51" s="344"/>
      <c r="CC51" s="344"/>
      <c r="CD51" s="344"/>
      <c r="CE51" s="344"/>
      <c r="CF51" s="344"/>
      <c r="CG51" s="344"/>
      <c r="CH51" s="344"/>
      <c r="CI51" s="344"/>
      <c r="CJ51" s="344"/>
      <c r="CK51" s="344"/>
      <c r="CL51" s="344"/>
      <c r="CM51" s="344"/>
      <c r="CN51" s="344"/>
      <c r="CO51" s="344"/>
      <c r="CP51" s="344"/>
    </row>
    <row r="52" spans="1:94" ht="27.75" hidden="1" customHeight="1" outlineLevel="1">
      <c r="A52" s="349"/>
      <c r="B52" s="350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44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344"/>
      <c r="AQ52" s="344"/>
      <c r="AR52" s="344"/>
      <c r="AS52" s="344"/>
      <c r="AT52" s="344"/>
      <c r="AU52" s="344"/>
      <c r="AV52" s="344"/>
      <c r="AW52" s="344"/>
      <c r="AX52" s="344"/>
      <c r="AY52" s="344"/>
      <c r="AZ52" s="344"/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344"/>
      <c r="BR52" s="344"/>
      <c r="BS52" s="344"/>
      <c r="BT52" s="344"/>
      <c r="BU52" s="344"/>
      <c r="BV52" s="344"/>
      <c r="BW52" s="344"/>
      <c r="BX52" s="344"/>
      <c r="BY52" s="344"/>
      <c r="BZ52" s="344"/>
      <c r="CA52" s="344"/>
      <c r="CB52" s="344"/>
      <c r="CC52" s="344"/>
      <c r="CD52" s="344"/>
      <c r="CE52" s="344"/>
      <c r="CF52" s="344"/>
      <c r="CG52" s="344"/>
      <c r="CH52" s="344"/>
      <c r="CI52" s="344"/>
      <c r="CJ52" s="344"/>
      <c r="CK52" s="344"/>
      <c r="CL52" s="344"/>
      <c r="CM52" s="344"/>
      <c r="CN52" s="344"/>
      <c r="CO52" s="344"/>
      <c r="CP52" s="344"/>
    </row>
    <row r="53" spans="1:94" ht="27.75" hidden="1" customHeight="1" outlineLevel="1">
      <c r="A53" s="349"/>
      <c r="B53" s="350"/>
      <c r="C53" s="344"/>
      <c r="D53" s="344"/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  <c r="BV53" s="344"/>
      <c r="BW53" s="344"/>
      <c r="BX53" s="344"/>
      <c r="BY53" s="344"/>
      <c r="BZ53" s="344"/>
      <c r="CA53" s="344"/>
      <c r="CB53" s="344"/>
      <c r="CC53" s="344"/>
      <c r="CD53" s="344"/>
      <c r="CE53" s="344"/>
      <c r="CF53" s="344"/>
      <c r="CG53" s="344"/>
      <c r="CH53" s="344"/>
      <c r="CI53" s="344"/>
      <c r="CJ53" s="344"/>
      <c r="CK53" s="344"/>
      <c r="CL53" s="344"/>
      <c r="CM53" s="344"/>
      <c r="CN53" s="344"/>
      <c r="CO53" s="344"/>
      <c r="CP53" s="344"/>
    </row>
    <row r="54" spans="1:94" ht="27.75" hidden="1" customHeight="1" outlineLevel="1">
      <c r="A54" s="349"/>
      <c r="B54" s="350"/>
      <c r="C54" s="344"/>
      <c r="D54" s="344"/>
      <c r="E54" s="344"/>
      <c r="F54" s="344"/>
      <c r="G54" s="344"/>
      <c r="H54" s="344"/>
      <c r="I54" s="344"/>
      <c r="J54" s="344"/>
      <c r="K54" s="344"/>
      <c r="L54" s="344"/>
      <c r="M54" s="344"/>
      <c r="N54" s="344"/>
      <c r="O54" s="344"/>
      <c r="P54" s="344"/>
      <c r="Q54" s="344"/>
      <c r="R54" s="344"/>
      <c r="S54" s="344"/>
      <c r="T54" s="344"/>
      <c r="U54" s="344"/>
      <c r="V54" s="344"/>
      <c r="W54" s="344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344"/>
      <c r="AQ54" s="344"/>
      <c r="AR54" s="344"/>
      <c r="AS54" s="344"/>
      <c r="AT54" s="344"/>
      <c r="AU54" s="344"/>
      <c r="AV54" s="344"/>
      <c r="AW54" s="344"/>
      <c r="AX54" s="344"/>
      <c r="AY54" s="344"/>
      <c r="AZ54" s="34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  <c r="BV54" s="344"/>
      <c r="BW54" s="344"/>
      <c r="BX54" s="344"/>
      <c r="BY54" s="344"/>
      <c r="BZ54" s="344"/>
      <c r="CA54" s="344"/>
      <c r="CB54" s="344"/>
      <c r="CC54" s="344"/>
      <c r="CD54" s="344"/>
      <c r="CE54" s="344"/>
      <c r="CF54" s="344"/>
      <c r="CG54" s="344"/>
      <c r="CH54" s="344"/>
      <c r="CI54" s="344"/>
      <c r="CJ54" s="344"/>
      <c r="CK54" s="344"/>
      <c r="CL54" s="344"/>
      <c r="CM54" s="344"/>
      <c r="CN54" s="344"/>
      <c r="CO54" s="344"/>
      <c r="CP54" s="344"/>
    </row>
    <row r="55" spans="1:94" ht="27.75" hidden="1" customHeight="1" outlineLevel="1">
      <c r="A55" s="349"/>
      <c r="B55" s="350"/>
      <c r="C55" s="344"/>
      <c r="D55" s="344"/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/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  <c r="BV55" s="344"/>
      <c r="BW55" s="344"/>
      <c r="BX55" s="344"/>
      <c r="BY55" s="344"/>
      <c r="BZ55" s="344"/>
      <c r="CA55" s="344"/>
      <c r="CB55" s="344"/>
      <c r="CC55" s="344"/>
      <c r="CD55" s="344"/>
      <c r="CE55" s="344"/>
      <c r="CF55" s="344"/>
      <c r="CG55" s="344"/>
      <c r="CH55" s="344"/>
      <c r="CI55" s="344"/>
      <c r="CJ55" s="344"/>
      <c r="CK55" s="344"/>
      <c r="CL55" s="344"/>
      <c r="CM55" s="344"/>
      <c r="CN55" s="344"/>
      <c r="CO55" s="344"/>
      <c r="CP55" s="344"/>
    </row>
    <row r="56" spans="1:94" ht="27.75" hidden="1" customHeight="1" outlineLevel="1">
      <c r="A56" s="349"/>
      <c r="B56" s="350"/>
      <c r="C56" s="344"/>
      <c r="D56" s="344"/>
      <c r="E56" s="344"/>
      <c r="F56" s="344"/>
      <c r="G56" s="344"/>
      <c r="H56" s="344"/>
      <c r="I56" s="344"/>
      <c r="J56" s="344"/>
      <c r="K56" s="344"/>
      <c r="L56" s="344"/>
      <c r="M56" s="344"/>
      <c r="N56" s="344"/>
      <c r="O56" s="344"/>
      <c r="P56" s="344"/>
      <c r="Q56" s="344"/>
      <c r="R56" s="344"/>
      <c r="S56" s="344"/>
      <c r="T56" s="344"/>
      <c r="U56" s="344"/>
      <c r="V56" s="344"/>
      <c r="W56" s="344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344"/>
      <c r="AQ56" s="344"/>
      <c r="AR56" s="344"/>
      <c r="AS56" s="344"/>
      <c r="AT56" s="344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  <c r="BV56" s="344"/>
      <c r="BW56" s="344"/>
      <c r="BX56" s="344"/>
      <c r="BY56" s="344"/>
      <c r="BZ56" s="344"/>
      <c r="CA56" s="344"/>
      <c r="CB56" s="344"/>
      <c r="CC56" s="344"/>
      <c r="CD56" s="344"/>
      <c r="CE56" s="344"/>
      <c r="CF56" s="344"/>
      <c r="CG56" s="344"/>
      <c r="CH56" s="344"/>
      <c r="CI56" s="344"/>
      <c r="CJ56" s="344"/>
      <c r="CK56" s="344"/>
      <c r="CL56" s="344"/>
      <c r="CM56" s="344"/>
      <c r="CN56" s="344"/>
      <c r="CO56" s="344"/>
      <c r="CP56" s="344"/>
    </row>
    <row r="57" spans="1:94" ht="27.75" hidden="1" customHeight="1" outlineLevel="1">
      <c r="A57" s="349"/>
      <c r="B57" s="350"/>
      <c r="C57" s="344"/>
      <c r="D57" s="344"/>
      <c r="E57" s="344"/>
      <c r="F57" s="344"/>
      <c r="G57" s="344"/>
      <c r="H57" s="344"/>
      <c r="I57" s="344"/>
      <c r="J57" s="344"/>
      <c r="K57" s="344"/>
      <c r="L57" s="344"/>
      <c r="M57" s="344"/>
      <c r="N57" s="344"/>
      <c r="O57" s="344"/>
      <c r="P57" s="344"/>
      <c r="Q57" s="344"/>
      <c r="R57" s="344"/>
      <c r="S57" s="344"/>
      <c r="T57" s="344"/>
      <c r="U57" s="344"/>
      <c r="V57" s="344"/>
      <c r="W57" s="344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344"/>
      <c r="AQ57" s="344"/>
      <c r="AR57" s="344"/>
      <c r="AS57" s="344"/>
      <c r="AT57" s="344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  <c r="BV57" s="344"/>
      <c r="BW57" s="344"/>
      <c r="BX57" s="344"/>
      <c r="BY57" s="344"/>
      <c r="BZ57" s="344"/>
      <c r="CA57" s="344"/>
      <c r="CB57" s="344"/>
      <c r="CC57" s="344"/>
      <c r="CD57" s="344"/>
      <c r="CE57" s="344"/>
      <c r="CF57" s="344"/>
      <c r="CG57" s="344"/>
      <c r="CH57" s="344"/>
      <c r="CI57" s="344"/>
      <c r="CJ57" s="344"/>
      <c r="CK57" s="344"/>
      <c r="CL57" s="344"/>
      <c r="CM57" s="344"/>
      <c r="CN57" s="344"/>
      <c r="CO57" s="344"/>
      <c r="CP57" s="344"/>
    </row>
    <row r="58" spans="1:94" ht="27.75" hidden="1" customHeight="1" outlineLevel="1">
      <c r="A58" s="349"/>
      <c r="B58" s="350"/>
      <c r="C58" s="344"/>
      <c r="D58" s="344"/>
      <c r="E58" s="344"/>
      <c r="F58" s="344"/>
      <c r="G58" s="344"/>
      <c r="H58" s="344"/>
      <c r="I58" s="344"/>
      <c r="J58" s="344"/>
      <c r="K58" s="344"/>
      <c r="L58" s="344"/>
      <c r="M58" s="344"/>
      <c r="N58" s="344"/>
      <c r="O58" s="344"/>
      <c r="P58" s="344"/>
      <c r="Q58" s="344"/>
      <c r="R58" s="344"/>
      <c r="S58" s="344"/>
      <c r="T58" s="344"/>
      <c r="U58" s="344"/>
      <c r="V58" s="344"/>
      <c r="W58" s="344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  <c r="BV58" s="344"/>
      <c r="BW58" s="344"/>
      <c r="BX58" s="344"/>
      <c r="BY58" s="344"/>
      <c r="BZ58" s="344"/>
      <c r="CA58" s="344"/>
      <c r="CB58" s="344"/>
      <c r="CC58" s="344"/>
      <c r="CD58" s="344"/>
      <c r="CE58" s="344"/>
      <c r="CF58" s="344"/>
      <c r="CG58" s="344"/>
      <c r="CH58" s="344"/>
      <c r="CI58" s="344"/>
      <c r="CJ58" s="344"/>
      <c r="CK58" s="344"/>
      <c r="CL58" s="344"/>
      <c r="CM58" s="344"/>
      <c r="CN58" s="344"/>
      <c r="CO58" s="344"/>
      <c r="CP58" s="344"/>
    </row>
    <row r="59" spans="1:94" ht="27.75" hidden="1" customHeight="1" outlineLevel="1">
      <c r="A59" s="349"/>
      <c r="B59" s="350"/>
      <c r="C59" s="344"/>
      <c r="D59" s="344"/>
      <c r="E59" s="344"/>
      <c r="F59" s="344"/>
      <c r="G59" s="344"/>
      <c r="H59" s="344"/>
      <c r="I59" s="344"/>
      <c r="J59" s="344"/>
      <c r="K59" s="344"/>
      <c r="L59" s="344"/>
      <c r="M59" s="344"/>
      <c r="N59" s="344"/>
      <c r="O59" s="344"/>
      <c r="P59" s="344"/>
      <c r="Q59" s="344"/>
      <c r="R59" s="344"/>
      <c r="S59" s="344"/>
      <c r="T59" s="344"/>
      <c r="U59" s="344"/>
      <c r="V59" s="344"/>
      <c r="W59" s="344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  <c r="BV59" s="344"/>
      <c r="BW59" s="344"/>
      <c r="BX59" s="344"/>
      <c r="BY59" s="344"/>
      <c r="BZ59" s="344"/>
      <c r="CA59" s="344"/>
      <c r="CB59" s="344"/>
      <c r="CC59" s="344"/>
      <c r="CD59" s="344"/>
      <c r="CE59" s="344"/>
      <c r="CF59" s="344"/>
      <c r="CG59" s="344"/>
      <c r="CH59" s="344"/>
      <c r="CI59" s="344"/>
      <c r="CJ59" s="344"/>
      <c r="CK59" s="344"/>
      <c r="CL59" s="344"/>
      <c r="CM59" s="344"/>
      <c r="CN59" s="344"/>
      <c r="CO59" s="344"/>
      <c r="CP59" s="344"/>
    </row>
    <row r="60" spans="1:94" ht="27.75" hidden="1" customHeight="1" outlineLevel="1">
      <c r="A60" s="349"/>
      <c r="B60" s="350"/>
      <c r="C60" s="344"/>
      <c r="D60" s="344"/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/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  <c r="BV60" s="344"/>
      <c r="BW60" s="344"/>
      <c r="BX60" s="344"/>
      <c r="BY60" s="344"/>
      <c r="BZ60" s="344"/>
      <c r="CA60" s="344"/>
      <c r="CB60" s="344"/>
      <c r="CC60" s="344"/>
      <c r="CD60" s="344"/>
      <c r="CE60" s="344"/>
      <c r="CF60" s="344"/>
      <c r="CG60" s="344"/>
      <c r="CH60" s="344"/>
      <c r="CI60" s="344"/>
      <c r="CJ60" s="344"/>
      <c r="CK60" s="344"/>
      <c r="CL60" s="344"/>
      <c r="CM60" s="344"/>
      <c r="CN60" s="344"/>
      <c r="CO60" s="344"/>
      <c r="CP60" s="344"/>
    </row>
    <row r="61" spans="1:94" ht="27.75" hidden="1" customHeight="1" outlineLevel="1">
      <c r="A61" s="349"/>
      <c r="B61" s="350"/>
      <c r="C61" s="344"/>
      <c r="D61" s="344"/>
      <c r="E61" s="344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  <c r="BV61" s="344"/>
      <c r="BW61" s="344"/>
      <c r="BX61" s="344"/>
      <c r="BY61" s="344"/>
      <c r="BZ61" s="344"/>
      <c r="CA61" s="344"/>
      <c r="CB61" s="344"/>
      <c r="CC61" s="344"/>
      <c r="CD61" s="344"/>
      <c r="CE61" s="344"/>
      <c r="CF61" s="344"/>
      <c r="CG61" s="344"/>
      <c r="CH61" s="344"/>
      <c r="CI61" s="344"/>
      <c r="CJ61" s="344"/>
      <c r="CK61" s="344"/>
      <c r="CL61" s="344"/>
      <c r="CM61" s="344"/>
      <c r="CN61" s="344"/>
      <c r="CO61" s="344"/>
      <c r="CP61" s="344"/>
    </row>
    <row r="62" spans="1:94" ht="27.75" hidden="1" customHeight="1" outlineLevel="1">
      <c r="A62" s="349"/>
      <c r="B62" s="350"/>
      <c r="C62" s="344"/>
      <c r="D62" s="344"/>
      <c r="E62" s="344"/>
      <c r="F62" s="344"/>
      <c r="G62" s="344"/>
      <c r="H62" s="344"/>
      <c r="I62" s="344"/>
      <c r="J62" s="344"/>
      <c r="K62" s="344"/>
      <c r="L62" s="344"/>
      <c r="M62" s="344"/>
      <c r="N62" s="344"/>
      <c r="O62" s="344"/>
      <c r="P62" s="344"/>
      <c r="Q62" s="344"/>
      <c r="R62" s="344"/>
      <c r="S62" s="344"/>
      <c r="T62" s="344"/>
      <c r="U62" s="344"/>
      <c r="V62" s="344"/>
      <c r="W62" s="344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  <c r="BV62" s="344"/>
      <c r="BW62" s="344"/>
      <c r="BX62" s="344"/>
      <c r="BY62" s="344"/>
      <c r="BZ62" s="344"/>
      <c r="CA62" s="344"/>
      <c r="CB62" s="344"/>
      <c r="CC62" s="344"/>
      <c r="CD62" s="344"/>
      <c r="CE62" s="344"/>
      <c r="CF62" s="344"/>
      <c r="CG62" s="344"/>
      <c r="CH62" s="344"/>
      <c r="CI62" s="344"/>
      <c r="CJ62" s="344"/>
      <c r="CK62" s="344"/>
      <c r="CL62" s="344"/>
      <c r="CM62" s="344"/>
      <c r="CN62" s="344"/>
      <c r="CO62" s="344"/>
      <c r="CP62" s="344"/>
    </row>
    <row r="63" spans="1:94" ht="27.75" hidden="1" customHeight="1" outlineLevel="1">
      <c r="A63" s="349"/>
      <c r="B63" s="350"/>
      <c r="C63" s="344"/>
      <c r="D63" s="344"/>
      <c r="E63" s="344"/>
      <c r="F63" s="344"/>
      <c r="G63" s="344"/>
      <c r="H63" s="344"/>
      <c r="I63" s="344"/>
      <c r="J63" s="344"/>
      <c r="K63" s="344"/>
      <c r="L63" s="344"/>
      <c r="M63" s="344"/>
      <c r="N63" s="344"/>
      <c r="O63" s="344"/>
      <c r="P63" s="344"/>
      <c r="Q63" s="344"/>
      <c r="R63" s="344"/>
      <c r="S63" s="344"/>
      <c r="T63" s="344"/>
      <c r="U63" s="344"/>
      <c r="V63" s="344"/>
      <c r="W63" s="344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  <c r="BV63" s="344"/>
      <c r="BW63" s="344"/>
      <c r="BX63" s="344"/>
      <c r="BY63" s="344"/>
      <c r="BZ63" s="344"/>
      <c r="CA63" s="344"/>
      <c r="CB63" s="344"/>
      <c r="CC63" s="344"/>
      <c r="CD63" s="344"/>
      <c r="CE63" s="344"/>
      <c r="CF63" s="344"/>
      <c r="CG63" s="344"/>
      <c r="CH63" s="344"/>
      <c r="CI63" s="344"/>
      <c r="CJ63" s="344"/>
      <c r="CK63" s="344"/>
      <c r="CL63" s="344"/>
      <c r="CM63" s="344"/>
      <c r="CN63" s="344"/>
      <c r="CO63" s="344"/>
      <c r="CP63" s="344"/>
    </row>
    <row r="64" spans="1:94" ht="27.75" hidden="1" customHeight="1" outlineLevel="1">
      <c r="A64" s="349"/>
      <c r="B64" s="350"/>
      <c r="C64" s="344"/>
      <c r="D64" s="344"/>
      <c r="E64" s="344"/>
      <c r="F64" s="344"/>
      <c r="G64" s="344"/>
      <c r="H64" s="344"/>
      <c r="I64" s="344"/>
      <c r="J64" s="344"/>
      <c r="K64" s="344"/>
      <c r="L64" s="344"/>
      <c r="M64" s="344"/>
      <c r="N64" s="344"/>
      <c r="O64" s="344"/>
      <c r="P64" s="344"/>
      <c r="Q64" s="344"/>
      <c r="R64" s="344"/>
      <c r="S64" s="344"/>
      <c r="T64" s="344"/>
      <c r="U64" s="344"/>
      <c r="V64" s="344"/>
      <c r="W64" s="344"/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  <c r="BV64" s="344"/>
      <c r="BW64" s="344"/>
      <c r="BX64" s="344"/>
      <c r="BY64" s="344"/>
      <c r="BZ64" s="344"/>
      <c r="CA64" s="344"/>
      <c r="CB64" s="344"/>
      <c r="CC64" s="344"/>
      <c r="CD64" s="344"/>
      <c r="CE64" s="344"/>
      <c r="CF64" s="344"/>
      <c r="CG64" s="344"/>
      <c r="CH64" s="344"/>
      <c r="CI64" s="344"/>
      <c r="CJ64" s="344"/>
      <c r="CK64" s="344"/>
      <c r="CL64" s="344"/>
      <c r="CM64" s="344"/>
      <c r="CN64" s="344"/>
      <c r="CO64" s="344"/>
      <c r="CP64" s="344"/>
    </row>
    <row r="65" spans="1:94" ht="27.75" hidden="1" customHeight="1" outlineLevel="1">
      <c r="A65" s="349"/>
      <c r="B65" s="350"/>
      <c r="C65" s="344"/>
      <c r="D65" s="344"/>
      <c r="E65" s="344"/>
      <c r="F65" s="344"/>
      <c r="G65" s="344"/>
      <c r="H65" s="344"/>
      <c r="I65" s="344"/>
      <c r="J65" s="344"/>
      <c r="K65" s="344"/>
      <c r="L65" s="344"/>
      <c r="M65" s="344"/>
      <c r="N65" s="344"/>
      <c r="O65" s="344"/>
      <c r="P65" s="344"/>
      <c r="Q65" s="344"/>
      <c r="R65" s="344"/>
      <c r="S65" s="344"/>
      <c r="T65" s="344"/>
      <c r="U65" s="344"/>
      <c r="V65" s="344"/>
      <c r="W65" s="344"/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  <c r="BV65" s="344"/>
      <c r="BW65" s="344"/>
      <c r="BX65" s="344"/>
      <c r="BY65" s="344"/>
      <c r="BZ65" s="344"/>
      <c r="CA65" s="344"/>
      <c r="CB65" s="344"/>
      <c r="CC65" s="344"/>
      <c r="CD65" s="344"/>
      <c r="CE65" s="344"/>
      <c r="CF65" s="344"/>
      <c r="CG65" s="344"/>
      <c r="CH65" s="344"/>
      <c r="CI65" s="344"/>
      <c r="CJ65" s="344"/>
      <c r="CK65" s="344"/>
      <c r="CL65" s="344"/>
      <c r="CM65" s="344"/>
      <c r="CN65" s="344"/>
      <c r="CO65" s="344"/>
      <c r="CP65" s="344"/>
    </row>
    <row r="66" spans="1:94" ht="27.75" hidden="1" customHeight="1" outlineLevel="1">
      <c r="A66" s="349"/>
      <c r="B66" s="350"/>
      <c r="C66" s="344"/>
      <c r="D66" s="344"/>
      <c r="E66" s="344"/>
      <c r="F66" s="344"/>
      <c r="G66" s="344"/>
      <c r="H66" s="344"/>
      <c r="I66" s="344"/>
      <c r="J66" s="344"/>
      <c r="K66" s="344"/>
      <c r="L66" s="344"/>
      <c r="M66" s="344"/>
      <c r="N66" s="344"/>
      <c r="O66" s="344"/>
      <c r="P66" s="344"/>
      <c r="Q66" s="344"/>
      <c r="R66" s="344"/>
      <c r="S66" s="344"/>
      <c r="T66" s="344"/>
      <c r="U66" s="344"/>
      <c r="V66" s="344"/>
      <c r="W66" s="344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  <c r="BV66" s="344"/>
      <c r="BW66" s="344"/>
      <c r="BX66" s="344"/>
      <c r="BY66" s="344"/>
      <c r="BZ66" s="344"/>
      <c r="CA66" s="344"/>
      <c r="CB66" s="344"/>
      <c r="CC66" s="344"/>
      <c r="CD66" s="344"/>
      <c r="CE66" s="344"/>
      <c r="CF66" s="344"/>
      <c r="CG66" s="344"/>
      <c r="CH66" s="344"/>
      <c r="CI66" s="344"/>
      <c r="CJ66" s="344"/>
      <c r="CK66" s="344"/>
      <c r="CL66" s="344"/>
      <c r="CM66" s="344"/>
      <c r="CN66" s="344"/>
      <c r="CO66" s="344"/>
      <c r="CP66" s="344"/>
    </row>
    <row r="67" spans="1:94" ht="27.75" hidden="1" customHeight="1" outlineLevel="1">
      <c r="A67" s="349"/>
      <c r="B67" s="350"/>
      <c r="C67" s="344"/>
      <c r="D67" s="344"/>
      <c r="E67" s="344"/>
      <c r="F67" s="344"/>
      <c r="G67" s="344"/>
      <c r="H67" s="344"/>
      <c r="I67" s="344"/>
      <c r="J67" s="344"/>
      <c r="K67" s="344"/>
      <c r="L67" s="344"/>
      <c r="M67" s="344"/>
      <c r="N67" s="344"/>
      <c r="O67" s="344"/>
      <c r="P67" s="344"/>
      <c r="Q67" s="344"/>
      <c r="R67" s="344"/>
      <c r="S67" s="344"/>
      <c r="T67" s="344"/>
      <c r="U67" s="344"/>
      <c r="V67" s="344"/>
      <c r="W67" s="344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  <c r="BV67" s="344"/>
      <c r="BW67" s="344"/>
      <c r="BX67" s="344"/>
      <c r="BY67" s="344"/>
      <c r="BZ67" s="344"/>
      <c r="CA67" s="344"/>
      <c r="CB67" s="344"/>
      <c r="CC67" s="344"/>
      <c r="CD67" s="344"/>
      <c r="CE67" s="344"/>
      <c r="CF67" s="344"/>
      <c r="CG67" s="344"/>
      <c r="CH67" s="344"/>
      <c r="CI67" s="344"/>
      <c r="CJ67" s="344"/>
      <c r="CK67" s="344"/>
      <c r="CL67" s="344"/>
      <c r="CM67" s="344"/>
      <c r="CN67" s="344"/>
      <c r="CO67" s="344"/>
      <c r="CP67" s="344"/>
    </row>
    <row r="68" spans="1:94" ht="27.75" hidden="1" customHeight="1" outlineLevel="1">
      <c r="A68" s="349"/>
      <c r="B68" s="350"/>
      <c r="C68" s="344"/>
      <c r="D68" s="344"/>
      <c r="E68" s="344"/>
      <c r="F68" s="344"/>
      <c r="G68" s="344"/>
      <c r="H68" s="344"/>
      <c r="I68" s="344"/>
      <c r="J68" s="344"/>
      <c r="K68" s="344"/>
      <c r="L68" s="344"/>
      <c r="M68" s="344"/>
      <c r="N68" s="344"/>
      <c r="O68" s="344"/>
      <c r="P68" s="344"/>
      <c r="Q68" s="344"/>
      <c r="R68" s="344"/>
      <c r="S68" s="344"/>
      <c r="T68" s="344"/>
      <c r="U68" s="344"/>
      <c r="V68" s="344"/>
      <c r="W68" s="344"/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  <c r="BV68" s="344"/>
      <c r="BW68" s="344"/>
      <c r="BX68" s="344"/>
      <c r="BY68" s="344"/>
      <c r="BZ68" s="344"/>
      <c r="CA68" s="344"/>
      <c r="CB68" s="344"/>
      <c r="CC68" s="344"/>
      <c r="CD68" s="344"/>
      <c r="CE68" s="344"/>
      <c r="CF68" s="344"/>
      <c r="CG68" s="344"/>
      <c r="CH68" s="344"/>
      <c r="CI68" s="344"/>
      <c r="CJ68" s="344"/>
      <c r="CK68" s="344"/>
      <c r="CL68" s="344"/>
      <c r="CM68" s="344"/>
      <c r="CN68" s="344"/>
      <c r="CO68" s="344"/>
      <c r="CP68" s="344"/>
    </row>
    <row r="69" spans="1:94" ht="27.75" hidden="1" customHeight="1" outlineLevel="1">
      <c r="A69" s="349"/>
      <c r="B69" s="350"/>
      <c r="C69" s="344"/>
      <c r="D69" s="344"/>
      <c r="E69" s="344"/>
      <c r="F69" s="344"/>
      <c r="G69" s="344"/>
      <c r="H69" s="344"/>
      <c r="I69" s="344"/>
      <c r="J69" s="344"/>
      <c r="K69" s="344"/>
      <c r="L69" s="344"/>
      <c r="M69" s="344"/>
      <c r="N69" s="344"/>
      <c r="O69" s="344"/>
      <c r="P69" s="344"/>
      <c r="Q69" s="344"/>
      <c r="R69" s="344"/>
      <c r="S69" s="344"/>
      <c r="T69" s="344"/>
      <c r="U69" s="344"/>
      <c r="V69" s="344"/>
      <c r="W69" s="344"/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  <c r="BV69" s="344"/>
      <c r="BW69" s="344"/>
      <c r="BX69" s="344"/>
      <c r="BY69" s="344"/>
      <c r="BZ69" s="344"/>
      <c r="CA69" s="344"/>
      <c r="CB69" s="344"/>
      <c r="CC69" s="344"/>
      <c r="CD69" s="344"/>
      <c r="CE69" s="344"/>
      <c r="CF69" s="344"/>
      <c r="CG69" s="344"/>
      <c r="CH69" s="344"/>
      <c r="CI69" s="344"/>
      <c r="CJ69" s="344"/>
      <c r="CK69" s="344"/>
      <c r="CL69" s="344"/>
      <c r="CM69" s="344"/>
      <c r="CN69" s="344"/>
      <c r="CO69" s="344"/>
      <c r="CP69" s="344"/>
    </row>
    <row r="70" spans="1:94" ht="27.75" hidden="1" customHeight="1" outlineLevel="1">
      <c r="A70" s="349"/>
      <c r="B70" s="350"/>
      <c r="C70" s="344"/>
      <c r="D70" s="344"/>
      <c r="E70" s="344"/>
      <c r="F70" s="344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44"/>
      <c r="U70" s="344"/>
      <c r="V70" s="344"/>
      <c r="W70" s="344"/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  <c r="BV70" s="344"/>
      <c r="BW70" s="344"/>
      <c r="BX70" s="344"/>
      <c r="BY70" s="344"/>
      <c r="BZ70" s="344"/>
      <c r="CA70" s="344"/>
      <c r="CB70" s="344"/>
      <c r="CC70" s="344"/>
      <c r="CD70" s="344"/>
      <c r="CE70" s="344"/>
      <c r="CF70" s="344"/>
      <c r="CG70" s="344"/>
      <c r="CH70" s="344"/>
      <c r="CI70" s="344"/>
      <c r="CJ70" s="344"/>
      <c r="CK70" s="344"/>
      <c r="CL70" s="344"/>
      <c r="CM70" s="344"/>
      <c r="CN70" s="344"/>
      <c r="CO70" s="344"/>
      <c r="CP70" s="344"/>
    </row>
    <row r="71" spans="1:94" ht="27.75" hidden="1" customHeight="1" outlineLevel="1">
      <c r="A71" s="349"/>
      <c r="B71" s="350"/>
      <c r="C71" s="344"/>
      <c r="D71" s="344"/>
      <c r="E71" s="344"/>
      <c r="F71" s="344"/>
      <c r="G71" s="344"/>
      <c r="H71" s="344"/>
      <c r="I71" s="344"/>
      <c r="J71" s="344"/>
      <c r="K71" s="344"/>
      <c r="L71" s="344"/>
      <c r="M71" s="344"/>
      <c r="N71" s="344"/>
      <c r="O71" s="344"/>
      <c r="P71" s="344"/>
      <c r="Q71" s="344"/>
      <c r="R71" s="344"/>
      <c r="S71" s="344"/>
      <c r="T71" s="344"/>
      <c r="U71" s="344"/>
      <c r="V71" s="344"/>
      <c r="W71" s="344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  <c r="BV71" s="344"/>
      <c r="BW71" s="344"/>
      <c r="BX71" s="344"/>
      <c r="BY71" s="344"/>
      <c r="BZ71" s="344"/>
      <c r="CA71" s="344"/>
      <c r="CB71" s="344"/>
      <c r="CC71" s="344"/>
      <c r="CD71" s="344"/>
      <c r="CE71" s="344"/>
      <c r="CF71" s="344"/>
      <c r="CG71" s="344"/>
      <c r="CH71" s="344"/>
      <c r="CI71" s="344"/>
      <c r="CJ71" s="344"/>
      <c r="CK71" s="344"/>
      <c r="CL71" s="344"/>
      <c r="CM71" s="344"/>
      <c r="CN71" s="344"/>
      <c r="CO71" s="344"/>
      <c r="CP71" s="344"/>
    </row>
    <row r="72" spans="1:94" ht="27.75" hidden="1" customHeight="1" outlineLevel="1">
      <c r="A72" s="349"/>
      <c r="B72" s="350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  <c r="BV72" s="344"/>
      <c r="BW72" s="344"/>
      <c r="BX72" s="344"/>
      <c r="BY72" s="344"/>
      <c r="BZ72" s="344"/>
      <c r="CA72" s="344"/>
      <c r="CB72" s="344"/>
      <c r="CC72" s="344"/>
      <c r="CD72" s="344"/>
      <c r="CE72" s="344"/>
      <c r="CF72" s="344"/>
      <c r="CG72" s="344"/>
      <c r="CH72" s="344"/>
      <c r="CI72" s="344"/>
      <c r="CJ72" s="344"/>
      <c r="CK72" s="344"/>
      <c r="CL72" s="344"/>
      <c r="CM72" s="344"/>
      <c r="CN72" s="344"/>
      <c r="CO72" s="344"/>
      <c r="CP72" s="344"/>
    </row>
    <row r="73" spans="1:94" ht="27.75" hidden="1" customHeight="1" outlineLevel="1">
      <c r="A73" s="349"/>
      <c r="B73" s="350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  <c r="BV73" s="344"/>
      <c r="BW73" s="344"/>
      <c r="BX73" s="344"/>
      <c r="BY73" s="344"/>
      <c r="BZ73" s="344"/>
      <c r="CA73" s="344"/>
      <c r="CB73" s="344"/>
      <c r="CC73" s="344"/>
      <c r="CD73" s="344"/>
      <c r="CE73" s="344"/>
      <c r="CF73" s="344"/>
      <c r="CG73" s="344"/>
      <c r="CH73" s="344"/>
      <c r="CI73" s="344"/>
      <c r="CJ73" s="344"/>
      <c r="CK73" s="344"/>
      <c r="CL73" s="344"/>
      <c r="CM73" s="344"/>
      <c r="CN73" s="344"/>
      <c r="CO73" s="344"/>
      <c r="CP73" s="344"/>
    </row>
    <row r="74" spans="1:94" ht="27.75" hidden="1" customHeight="1" outlineLevel="1">
      <c r="A74" s="349"/>
      <c r="B74" s="350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  <c r="BV74" s="344"/>
      <c r="BW74" s="344"/>
      <c r="BX74" s="344"/>
      <c r="BY74" s="344"/>
      <c r="BZ74" s="344"/>
      <c r="CA74" s="344"/>
      <c r="CB74" s="344"/>
      <c r="CC74" s="344"/>
      <c r="CD74" s="344"/>
      <c r="CE74" s="344"/>
      <c r="CF74" s="344"/>
      <c r="CG74" s="344"/>
      <c r="CH74" s="344"/>
      <c r="CI74" s="344"/>
      <c r="CJ74" s="344"/>
      <c r="CK74" s="344"/>
      <c r="CL74" s="344"/>
      <c r="CM74" s="344"/>
      <c r="CN74" s="344"/>
      <c r="CO74" s="344"/>
      <c r="CP74" s="344"/>
    </row>
    <row r="75" spans="1:94" ht="27.75" hidden="1" customHeight="1" outlineLevel="1">
      <c r="A75" s="349"/>
      <c r="B75" s="350"/>
      <c r="C75" s="344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344"/>
      <c r="AF75" s="344"/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344"/>
      <c r="AS75" s="344"/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344"/>
      <c r="BF75" s="344"/>
      <c r="BG75" s="344"/>
      <c r="BH75" s="344"/>
      <c r="BI75" s="344"/>
      <c r="BJ75" s="344"/>
      <c r="BK75" s="344"/>
      <c r="BL75" s="344"/>
      <c r="BM75" s="344"/>
      <c r="BN75" s="344"/>
      <c r="BO75" s="344"/>
      <c r="BP75" s="344"/>
      <c r="BQ75" s="344"/>
      <c r="BR75" s="344"/>
      <c r="BS75" s="344"/>
      <c r="BT75" s="344"/>
      <c r="BU75" s="344"/>
      <c r="BV75" s="344"/>
      <c r="BW75" s="344"/>
      <c r="BX75" s="344"/>
      <c r="BY75" s="344"/>
      <c r="BZ75" s="344"/>
      <c r="CA75" s="344"/>
      <c r="CB75" s="344"/>
      <c r="CC75" s="344"/>
      <c r="CD75" s="344"/>
      <c r="CE75" s="344"/>
      <c r="CF75" s="344"/>
      <c r="CG75" s="344"/>
      <c r="CH75" s="344"/>
      <c r="CI75" s="344"/>
      <c r="CJ75" s="344"/>
      <c r="CK75" s="344"/>
      <c r="CL75" s="344"/>
      <c r="CM75" s="344"/>
      <c r="CN75" s="344"/>
      <c r="CO75" s="344"/>
      <c r="CP75" s="344"/>
    </row>
    <row r="76" spans="1:94" ht="27.75" hidden="1" customHeight="1" outlineLevel="1">
      <c r="A76" s="349"/>
      <c r="B76" s="350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  <c r="AE76" s="344"/>
      <c r="AF76" s="344"/>
      <c r="AG76" s="344"/>
      <c r="AH76" s="344"/>
      <c r="AI76" s="344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44"/>
      <c r="AV76" s="344"/>
      <c r="AW76" s="344"/>
      <c r="AX76" s="344"/>
      <c r="AY76" s="344"/>
      <c r="AZ76" s="344"/>
      <c r="BA76" s="344"/>
      <c r="BB76" s="344"/>
      <c r="BC76" s="344"/>
      <c r="BD76" s="344"/>
      <c r="BE76" s="344"/>
      <c r="BF76" s="344"/>
      <c r="BG76" s="344"/>
      <c r="BH76" s="344"/>
      <c r="BI76" s="344"/>
      <c r="BJ76" s="344"/>
      <c r="BK76" s="344"/>
      <c r="BL76" s="344"/>
      <c r="BM76" s="344"/>
      <c r="BN76" s="344"/>
      <c r="BO76" s="344"/>
      <c r="BP76" s="344"/>
      <c r="BQ76" s="344"/>
      <c r="BR76" s="344"/>
      <c r="BS76" s="344"/>
      <c r="BT76" s="344"/>
      <c r="BU76" s="344"/>
      <c r="BV76" s="344"/>
      <c r="BW76" s="344"/>
      <c r="BX76" s="344"/>
      <c r="BY76" s="344"/>
      <c r="BZ76" s="344"/>
      <c r="CA76" s="344"/>
      <c r="CB76" s="344"/>
      <c r="CC76" s="344"/>
      <c r="CD76" s="344"/>
      <c r="CE76" s="344"/>
      <c r="CF76" s="344"/>
      <c r="CG76" s="344"/>
      <c r="CH76" s="344"/>
      <c r="CI76" s="344"/>
      <c r="CJ76" s="344"/>
      <c r="CK76" s="344"/>
      <c r="CL76" s="344"/>
      <c r="CM76" s="344"/>
      <c r="CN76" s="344"/>
      <c r="CO76" s="344"/>
      <c r="CP76" s="344"/>
    </row>
    <row r="77" spans="1:94" ht="27.75" hidden="1" customHeight="1" outlineLevel="1">
      <c r="A77" s="349"/>
      <c r="B77" s="350"/>
      <c r="C77" s="344"/>
      <c r="D77" s="344"/>
      <c r="E77" s="344"/>
      <c r="F77" s="344"/>
      <c r="G77" s="344"/>
      <c r="H77" s="344"/>
      <c r="I77" s="344"/>
      <c r="J77" s="344"/>
      <c r="K77" s="344"/>
      <c r="L77" s="344"/>
      <c r="M77" s="344"/>
      <c r="N77" s="344"/>
      <c r="O77" s="344"/>
      <c r="P77" s="344"/>
      <c r="Q77" s="344"/>
      <c r="R77" s="344"/>
      <c r="S77" s="344"/>
      <c r="T77" s="344"/>
      <c r="U77" s="344"/>
      <c r="V77" s="344"/>
      <c r="W77" s="344"/>
      <c r="X77" s="344"/>
      <c r="Y77" s="344"/>
      <c r="Z77" s="344"/>
      <c r="AA77" s="344"/>
      <c r="AB77" s="344"/>
      <c r="AC77" s="344"/>
      <c r="AD77" s="344"/>
      <c r="AE77" s="344"/>
      <c r="AF77" s="344"/>
      <c r="AG77" s="344"/>
      <c r="AH77" s="344"/>
      <c r="AI77" s="344"/>
      <c r="AJ77" s="344"/>
      <c r="AK77" s="344"/>
      <c r="AL77" s="344"/>
      <c r="AM77" s="344"/>
      <c r="AN77" s="344"/>
      <c r="AO77" s="344"/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/>
      <c r="BB77" s="344"/>
      <c r="BC77" s="344"/>
      <c r="BD77" s="344"/>
      <c r="BE77" s="344"/>
      <c r="BF77" s="344"/>
      <c r="BG77" s="344"/>
      <c r="BH77" s="344"/>
      <c r="BI77" s="344"/>
      <c r="BJ77" s="344"/>
      <c r="BK77" s="344"/>
      <c r="BL77" s="344"/>
      <c r="BM77" s="344"/>
      <c r="BN77" s="344"/>
      <c r="BO77" s="344"/>
      <c r="BP77" s="344"/>
      <c r="BQ77" s="344"/>
      <c r="BR77" s="344"/>
      <c r="BS77" s="344"/>
      <c r="BT77" s="344"/>
      <c r="BU77" s="344"/>
      <c r="BV77" s="344"/>
      <c r="BW77" s="344"/>
      <c r="BX77" s="344"/>
      <c r="BY77" s="344"/>
      <c r="BZ77" s="344"/>
      <c r="CA77" s="344"/>
      <c r="CB77" s="344"/>
      <c r="CC77" s="344"/>
      <c r="CD77" s="344"/>
      <c r="CE77" s="344"/>
      <c r="CF77" s="344"/>
      <c r="CG77" s="344"/>
      <c r="CH77" s="344"/>
      <c r="CI77" s="344"/>
      <c r="CJ77" s="344"/>
      <c r="CK77" s="344"/>
      <c r="CL77" s="344"/>
      <c r="CM77" s="344"/>
      <c r="CN77" s="344"/>
      <c r="CO77" s="344"/>
      <c r="CP77" s="344"/>
    </row>
    <row r="78" spans="1:94" ht="27.75" hidden="1" customHeight="1" outlineLevel="1">
      <c r="A78" s="349"/>
      <c r="B78" s="350"/>
      <c r="C78" s="344"/>
      <c r="D78" s="344"/>
      <c r="E78" s="344"/>
      <c r="F78" s="344"/>
      <c r="G78" s="344"/>
      <c r="H78" s="344"/>
      <c r="I78" s="344"/>
      <c r="J78" s="344"/>
      <c r="K78" s="344"/>
      <c r="L78" s="344"/>
      <c r="M78" s="344"/>
      <c r="N78" s="344"/>
      <c r="O78" s="344"/>
      <c r="P78" s="344"/>
      <c r="Q78" s="344"/>
      <c r="R78" s="344"/>
      <c r="S78" s="344"/>
      <c r="T78" s="344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4"/>
      <c r="AK78" s="344"/>
      <c r="AL78" s="344"/>
      <c r="AM78" s="344"/>
      <c r="AN78" s="344"/>
      <c r="AO78" s="344"/>
      <c r="AP78" s="344"/>
      <c r="AQ78" s="344"/>
      <c r="AR78" s="344"/>
      <c r="AS78" s="344"/>
      <c r="AT78" s="344"/>
      <c r="AU78" s="344"/>
      <c r="AV78" s="344"/>
      <c r="AW78" s="344"/>
      <c r="AX78" s="344"/>
      <c r="AY78" s="344"/>
      <c r="AZ78" s="344"/>
      <c r="BA78" s="344"/>
      <c r="BB78" s="344"/>
      <c r="BC78" s="344"/>
      <c r="BD78" s="344"/>
      <c r="BE78" s="344"/>
      <c r="BF78" s="344"/>
      <c r="BG78" s="344"/>
      <c r="BH78" s="344"/>
      <c r="BI78" s="344"/>
      <c r="BJ78" s="344"/>
      <c r="BK78" s="344"/>
      <c r="BL78" s="344"/>
      <c r="BM78" s="344"/>
      <c r="BN78" s="344"/>
      <c r="BO78" s="344"/>
      <c r="BP78" s="344"/>
      <c r="BQ78" s="344"/>
      <c r="BR78" s="344"/>
      <c r="BS78" s="344"/>
      <c r="BT78" s="344"/>
      <c r="BU78" s="344"/>
      <c r="BV78" s="344"/>
      <c r="BW78" s="344"/>
      <c r="BX78" s="344"/>
      <c r="BY78" s="344"/>
      <c r="BZ78" s="344"/>
      <c r="CA78" s="344"/>
      <c r="CB78" s="344"/>
      <c r="CC78" s="344"/>
      <c r="CD78" s="344"/>
      <c r="CE78" s="344"/>
      <c r="CF78" s="344"/>
      <c r="CG78" s="344"/>
      <c r="CH78" s="344"/>
      <c r="CI78" s="344"/>
      <c r="CJ78" s="344"/>
      <c r="CK78" s="344"/>
      <c r="CL78" s="344"/>
      <c r="CM78" s="344"/>
      <c r="CN78" s="344"/>
      <c r="CO78" s="344"/>
      <c r="CP78" s="344"/>
    </row>
    <row r="79" spans="1:94" ht="27.75" hidden="1" customHeight="1" outlineLevel="1">
      <c r="A79" s="349"/>
      <c r="B79" s="350"/>
      <c r="C79" s="344"/>
      <c r="D79" s="344"/>
      <c r="E79" s="344"/>
      <c r="F79" s="344"/>
      <c r="G79" s="344"/>
      <c r="H79" s="344"/>
      <c r="I79" s="344"/>
      <c r="J79" s="344"/>
      <c r="K79" s="344"/>
      <c r="L79" s="344"/>
      <c r="M79" s="344"/>
      <c r="N79" s="344"/>
      <c r="O79" s="344"/>
      <c r="P79" s="344"/>
      <c r="Q79" s="344"/>
      <c r="R79" s="344"/>
      <c r="S79" s="344"/>
      <c r="T79" s="344"/>
      <c r="U79" s="344"/>
      <c r="V79" s="344"/>
      <c r="W79" s="344"/>
      <c r="X79" s="344"/>
      <c r="Y79" s="344"/>
      <c r="Z79" s="344"/>
      <c r="AA79" s="344"/>
      <c r="AB79" s="344"/>
      <c r="AC79" s="344"/>
      <c r="AD79" s="344"/>
      <c r="AE79" s="344"/>
      <c r="AF79" s="344"/>
      <c r="AG79" s="344"/>
      <c r="AH79" s="344"/>
      <c r="AI79" s="344"/>
      <c r="AJ79" s="344"/>
      <c r="AK79" s="344"/>
      <c r="AL79" s="344"/>
      <c r="AM79" s="344"/>
      <c r="AN79" s="344"/>
      <c r="AO79" s="344"/>
      <c r="AP79" s="344"/>
      <c r="AQ79" s="344"/>
      <c r="AR79" s="344"/>
      <c r="AS79" s="344"/>
      <c r="AT79" s="344"/>
      <c r="AU79" s="344"/>
      <c r="AV79" s="344"/>
      <c r="AW79" s="344"/>
      <c r="AX79" s="344"/>
      <c r="AY79" s="344"/>
      <c r="AZ79" s="344"/>
      <c r="BA79" s="344"/>
      <c r="BB79" s="344"/>
      <c r="BC79" s="344"/>
      <c r="BD79" s="344"/>
      <c r="BE79" s="344"/>
      <c r="BF79" s="344"/>
      <c r="BG79" s="344"/>
      <c r="BH79" s="344"/>
      <c r="BI79" s="344"/>
      <c r="BJ79" s="344"/>
      <c r="BK79" s="344"/>
      <c r="BL79" s="344"/>
      <c r="BM79" s="344"/>
      <c r="BN79" s="344"/>
      <c r="BO79" s="344"/>
      <c r="BP79" s="344"/>
      <c r="BQ79" s="344"/>
      <c r="BR79" s="344"/>
      <c r="BS79" s="344"/>
      <c r="BT79" s="344"/>
      <c r="BU79" s="344"/>
      <c r="BV79" s="344"/>
      <c r="BW79" s="344"/>
      <c r="BX79" s="344"/>
      <c r="BY79" s="344"/>
      <c r="BZ79" s="344"/>
      <c r="CA79" s="344"/>
      <c r="CB79" s="344"/>
      <c r="CC79" s="344"/>
      <c r="CD79" s="344"/>
      <c r="CE79" s="344"/>
      <c r="CF79" s="344"/>
      <c r="CG79" s="344"/>
      <c r="CH79" s="344"/>
      <c r="CI79" s="344"/>
      <c r="CJ79" s="344"/>
      <c r="CK79" s="344"/>
      <c r="CL79" s="344"/>
      <c r="CM79" s="344"/>
      <c r="CN79" s="344"/>
      <c r="CO79" s="344"/>
      <c r="CP79" s="344"/>
    </row>
    <row r="80" spans="1:94" ht="27.75" hidden="1" customHeight="1" outlineLevel="1">
      <c r="A80" s="349"/>
      <c r="B80" s="350"/>
      <c r="C80" s="344"/>
      <c r="D80" s="344"/>
      <c r="E80" s="344"/>
      <c r="F80" s="344"/>
      <c r="G80" s="344"/>
      <c r="H80" s="344"/>
      <c r="I80" s="344"/>
      <c r="J80" s="344"/>
      <c r="K80" s="344"/>
      <c r="L80" s="344"/>
      <c r="M80" s="344"/>
      <c r="N80" s="344"/>
      <c r="O80" s="344"/>
      <c r="P80" s="344"/>
      <c r="Q80" s="344"/>
      <c r="R80" s="344"/>
      <c r="S80" s="344"/>
      <c r="T80" s="344"/>
      <c r="U80" s="344"/>
      <c r="V80" s="344"/>
      <c r="W80" s="344"/>
      <c r="X80" s="344"/>
      <c r="Y80" s="344"/>
      <c r="Z80" s="344"/>
      <c r="AA80" s="344"/>
      <c r="AB80" s="344"/>
      <c r="AC80" s="344"/>
      <c r="AD80" s="344"/>
      <c r="AE80" s="344"/>
      <c r="AF80" s="344"/>
      <c r="AG80" s="344"/>
      <c r="AH80" s="344"/>
      <c r="AI80" s="344"/>
      <c r="AJ80" s="344"/>
      <c r="AK80" s="344"/>
      <c r="AL80" s="344"/>
      <c r="AM80" s="344"/>
      <c r="AN80" s="344"/>
      <c r="AO80" s="344"/>
      <c r="AP80" s="344"/>
      <c r="AQ80" s="344"/>
      <c r="AR80" s="344"/>
      <c r="AS80" s="344"/>
      <c r="AT80" s="344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/>
      <c r="BH80" s="344"/>
      <c r="BI80" s="344"/>
      <c r="BJ80" s="344"/>
      <c r="BK80" s="344"/>
      <c r="BL80" s="344"/>
      <c r="BM80" s="344"/>
      <c r="BN80" s="344"/>
      <c r="BO80" s="344"/>
      <c r="BP80" s="344"/>
      <c r="BQ80" s="344"/>
      <c r="BR80" s="344"/>
      <c r="BS80" s="344"/>
      <c r="BT80" s="344"/>
      <c r="BU80" s="344"/>
      <c r="BV80" s="344"/>
      <c r="BW80" s="344"/>
      <c r="BX80" s="344"/>
      <c r="BY80" s="344"/>
      <c r="BZ80" s="344"/>
      <c r="CA80" s="344"/>
      <c r="CB80" s="344"/>
      <c r="CC80" s="344"/>
      <c r="CD80" s="344"/>
      <c r="CE80" s="344"/>
      <c r="CF80" s="344"/>
      <c r="CG80" s="344"/>
      <c r="CH80" s="344"/>
      <c r="CI80" s="344"/>
      <c r="CJ80" s="344"/>
      <c r="CK80" s="344"/>
      <c r="CL80" s="344"/>
      <c r="CM80" s="344"/>
      <c r="CN80" s="344"/>
      <c r="CO80" s="344"/>
      <c r="CP80" s="344"/>
    </row>
    <row r="81" spans="1:94" ht="27.75" hidden="1" customHeight="1" outlineLevel="1">
      <c r="A81" s="349"/>
      <c r="B81" s="350"/>
      <c r="C81" s="344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4"/>
      <c r="T81" s="344"/>
      <c r="U81" s="344"/>
      <c r="V81" s="344"/>
      <c r="W81" s="344"/>
      <c r="X81" s="344"/>
      <c r="Y81" s="344"/>
      <c r="Z81" s="344"/>
      <c r="AA81" s="344"/>
      <c r="AB81" s="344"/>
      <c r="AC81" s="344"/>
      <c r="AD81" s="344"/>
      <c r="AE81" s="344"/>
      <c r="AF81" s="344"/>
      <c r="AG81" s="344"/>
      <c r="AH81" s="344"/>
      <c r="AI81" s="344"/>
      <c r="AJ81" s="344"/>
      <c r="AK81" s="344"/>
      <c r="AL81" s="344"/>
      <c r="AM81" s="344"/>
      <c r="AN81" s="344"/>
      <c r="AO81" s="344"/>
      <c r="AP81" s="344"/>
      <c r="AQ81" s="344"/>
      <c r="AR81" s="344"/>
      <c r="AS81" s="344"/>
      <c r="AT81" s="344"/>
      <c r="AU81" s="344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/>
      <c r="BM81" s="344"/>
      <c r="BN81" s="344"/>
      <c r="BO81" s="344"/>
      <c r="BP81" s="344"/>
      <c r="BQ81" s="344"/>
      <c r="BR81" s="344"/>
      <c r="BS81" s="344"/>
      <c r="BT81" s="344"/>
      <c r="BU81" s="344"/>
      <c r="BV81" s="344"/>
      <c r="BW81" s="344"/>
      <c r="BX81" s="344"/>
      <c r="BY81" s="344"/>
      <c r="BZ81" s="344"/>
      <c r="CA81" s="344"/>
      <c r="CB81" s="344"/>
      <c r="CC81" s="344"/>
      <c r="CD81" s="344"/>
      <c r="CE81" s="344"/>
      <c r="CF81" s="344"/>
      <c r="CG81" s="344"/>
      <c r="CH81" s="344"/>
      <c r="CI81" s="344"/>
      <c r="CJ81" s="344"/>
      <c r="CK81" s="344"/>
      <c r="CL81" s="344"/>
      <c r="CM81" s="344"/>
      <c r="CN81" s="344"/>
      <c r="CO81" s="344"/>
      <c r="CP81" s="344"/>
    </row>
    <row r="82" spans="1:94" ht="27.75" hidden="1" customHeight="1" outlineLevel="1">
      <c r="A82" s="349"/>
      <c r="B82" s="350"/>
      <c r="C82" s="344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4"/>
      <c r="T82" s="344"/>
      <c r="U82" s="344"/>
      <c r="V82" s="344"/>
      <c r="W82" s="344"/>
      <c r="X82" s="344"/>
      <c r="Y82" s="344"/>
      <c r="Z82" s="344"/>
      <c r="AA82" s="344"/>
      <c r="AB82" s="344"/>
      <c r="AC82" s="344"/>
      <c r="AD82" s="344"/>
      <c r="AE82" s="344"/>
      <c r="AF82" s="344"/>
      <c r="AG82" s="344"/>
      <c r="AH82" s="344"/>
      <c r="AI82" s="344"/>
      <c r="AJ82" s="344"/>
      <c r="AK82" s="344"/>
      <c r="AL82" s="344"/>
      <c r="AM82" s="344"/>
      <c r="AN82" s="344"/>
      <c r="AO82" s="344"/>
      <c r="AP82" s="344"/>
      <c r="AQ82" s="344"/>
      <c r="AR82" s="344"/>
      <c r="AS82" s="344"/>
      <c r="AT82" s="344"/>
      <c r="AU82" s="344"/>
      <c r="AV82" s="344"/>
      <c r="AW82" s="344"/>
      <c r="AX82" s="344"/>
      <c r="AY82" s="344"/>
      <c r="AZ82" s="344"/>
      <c r="BA82" s="344"/>
      <c r="BB82" s="344"/>
      <c r="BC82" s="344"/>
      <c r="BD82" s="344"/>
      <c r="BE82" s="344"/>
      <c r="BF82" s="344"/>
      <c r="BG82" s="344"/>
      <c r="BH82" s="344"/>
      <c r="BI82" s="344"/>
      <c r="BJ82" s="344"/>
      <c r="BK82" s="344"/>
      <c r="BL82" s="344"/>
      <c r="BM82" s="344"/>
      <c r="BN82" s="344"/>
      <c r="BO82" s="344"/>
      <c r="BP82" s="344"/>
      <c r="BQ82" s="344"/>
      <c r="BR82" s="344"/>
      <c r="BS82" s="344"/>
      <c r="BT82" s="344"/>
      <c r="BU82" s="344"/>
      <c r="BV82" s="344"/>
      <c r="BW82" s="344"/>
      <c r="BX82" s="344"/>
      <c r="BY82" s="344"/>
      <c r="BZ82" s="344"/>
      <c r="CA82" s="344"/>
      <c r="CB82" s="344"/>
      <c r="CC82" s="344"/>
      <c r="CD82" s="344"/>
      <c r="CE82" s="344"/>
      <c r="CF82" s="344"/>
      <c r="CG82" s="344"/>
      <c r="CH82" s="344"/>
      <c r="CI82" s="344"/>
      <c r="CJ82" s="344"/>
      <c r="CK82" s="344"/>
      <c r="CL82" s="344"/>
      <c r="CM82" s="344"/>
      <c r="CN82" s="344"/>
      <c r="CO82" s="344"/>
      <c r="CP82" s="344"/>
    </row>
    <row r="83" spans="1:94" ht="27.75" hidden="1" customHeight="1" outlineLevel="1">
      <c r="A83" s="349"/>
      <c r="B83" s="350"/>
      <c r="C83" s="344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4"/>
      <c r="T83" s="344"/>
      <c r="U83" s="344"/>
      <c r="V83" s="344"/>
      <c r="W83" s="344"/>
      <c r="X83" s="344"/>
      <c r="Y83" s="344"/>
      <c r="Z83" s="344"/>
      <c r="AA83" s="344"/>
      <c r="AB83" s="344"/>
      <c r="AC83" s="344"/>
      <c r="AD83" s="344"/>
      <c r="AE83" s="344"/>
      <c r="AF83" s="344"/>
      <c r="AG83" s="344"/>
      <c r="AH83" s="344"/>
      <c r="AI83" s="344"/>
      <c r="AJ83" s="344"/>
      <c r="AK83" s="344"/>
      <c r="AL83" s="344"/>
      <c r="AM83" s="344"/>
      <c r="AN83" s="344"/>
      <c r="AO83" s="344"/>
      <c r="AP83" s="344"/>
      <c r="AQ83" s="344"/>
      <c r="AR83" s="344"/>
      <c r="AS83" s="344"/>
      <c r="AT83" s="344"/>
      <c r="AU83" s="344"/>
      <c r="AV83" s="344"/>
      <c r="AW83" s="344"/>
      <c r="AX83" s="344"/>
      <c r="AY83" s="344"/>
      <c r="AZ83" s="344"/>
      <c r="BA83" s="344"/>
      <c r="BB83" s="344"/>
      <c r="BC83" s="344"/>
      <c r="BD83" s="344"/>
      <c r="BE83" s="344"/>
      <c r="BF83" s="344"/>
      <c r="BG83" s="344"/>
      <c r="BH83" s="344"/>
      <c r="BI83" s="344"/>
      <c r="BJ83" s="344"/>
      <c r="BK83" s="344"/>
      <c r="BL83" s="344"/>
      <c r="BM83" s="344"/>
      <c r="BN83" s="344"/>
      <c r="BO83" s="344"/>
      <c r="BP83" s="344"/>
      <c r="BQ83" s="344"/>
      <c r="BR83" s="344"/>
      <c r="BS83" s="344"/>
      <c r="BT83" s="344"/>
      <c r="BU83" s="344"/>
      <c r="BV83" s="344"/>
      <c r="BW83" s="344"/>
      <c r="BX83" s="344"/>
      <c r="BY83" s="344"/>
      <c r="BZ83" s="344"/>
      <c r="CA83" s="344"/>
      <c r="CB83" s="344"/>
      <c r="CC83" s="344"/>
      <c r="CD83" s="344"/>
      <c r="CE83" s="344"/>
      <c r="CF83" s="344"/>
      <c r="CG83" s="344"/>
      <c r="CH83" s="344"/>
      <c r="CI83" s="344"/>
      <c r="CJ83" s="344"/>
      <c r="CK83" s="344"/>
      <c r="CL83" s="344"/>
      <c r="CM83" s="344"/>
      <c r="CN83" s="344"/>
      <c r="CO83" s="344"/>
      <c r="CP83" s="344"/>
    </row>
    <row r="84" spans="1:94" ht="27.75" hidden="1" customHeight="1" outlineLevel="1">
      <c r="A84" s="349"/>
      <c r="B84" s="350"/>
      <c r="C84" s="344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4"/>
      <c r="T84" s="344"/>
      <c r="U84" s="344"/>
      <c r="V84" s="344"/>
      <c r="W84" s="344"/>
      <c r="X84" s="344"/>
      <c r="Y84" s="344"/>
      <c r="Z84" s="344"/>
      <c r="AA84" s="344"/>
      <c r="AB84" s="344"/>
      <c r="AC84" s="344"/>
      <c r="AD84" s="344"/>
      <c r="AE84" s="344"/>
      <c r="AF84" s="344"/>
      <c r="AG84" s="344"/>
      <c r="AH84" s="344"/>
      <c r="AI84" s="344"/>
      <c r="AJ84" s="344"/>
      <c r="AK84" s="344"/>
      <c r="AL84" s="344"/>
      <c r="AM84" s="344"/>
      <c r="AN84" s="344"/>
      <c r="AO84" s="344"/>
      <c r="AP84" s="344"/>
      <c r="AQ84" s="344"/>
      <c r="AR84" s="344"/>
      <c r="AS84" s="344"/>
      <c r="AT84" s="344"/>
      <c r="AU84" s="344"/>
      <c r="AV84" s="344"/>
      <c r="AW84" s="344"/>
      <c r="AX84" s="344"/>
      <c r="AY84" s="344"/>
      <c r="AZ84" s="344"/>
      <c r="BA84" s="344"/>
      <c r="BB84" s="344"/>
      <c r="BC84" s="344"/>
      <c r="BD84" s="344"/>
      <c r="BE84" s="344"/>
      <c r="BF84" s="344"/>
      <c r="BG84" s="344"/>
      <c r="BH84" s="344"/>
      <c r="BI84" s="344"/>
      <c r="BJ84" s="344"/>
      <c r="BK84" s="344"/>
      <c r="BL84" s="344"/>
      <c r="BM84" s="344"/>
      <c r="BN84" s="344"/>
      <c r="BO84" s="344"/>
      <c r="BP84" s="344"/>
      <c r="BQ84" s="344"/>
      <c r="BR84" s="344"/>
      <c r="BS84" s="344"/>
      <c r="BT84" s="344"/>
      <c r="BU84" s="344"/>
      <c r="BV84" s="344"/>
      <c r="BW84" s="344"/>
      <c r="BX84" s="344"/>
      <c r="BY84" s="344"/>
      <c r="BZ84" s="344"/>
      <c r="CA84" s="344"/>
      <c r="CB84" s="344"/>
      <c r="CC84" s="344"/>
      <c r="CD84" s="344"/>
      <c r="CE84" s="344"/>
      <c r="CF84" s="344"/>
      <c r="CG84" s="344"/>
      <c r="CH84" s="344"/>
      <c r="CI84" s="344"/>
      <c r="CJ84" s="344"/>
      <c r="CK84" s="344"/>
      <c r="CL84" s="344"/>
      <c r="CM84" s="344"/>
      <c r="CN84" s="344"/>
      <c r="CO84" s="344"/>
      <c r="CP84" s="344"/>
    </row>
    <row r="85" spans="1:94" ht="27.75" hidden="1" customHeight="1" outlineLevel="1">
      <c r="A85" s="349"/>
      <c r="B85" s="350"/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  <c r="AD85" s="344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44"/>
      <c r="AS85" s="344"/>
      <c r="AT85" s="344"/>
      <c r="AU85" s="344"/>
      <c r="AV85" s="344"/>
      <c r="AW85" s="344"/>
      <c r="AX85" s="344"/>
      <c r="AY85" s="344"/>
      <c r="AZ85" s="344"/>
      <c r="BA85" s="344"/>
      <c r="BB85" s="344"/>
      <c r="BC85" s="344"/>
      <c r="BD85" s="344"/>
      <c r="BE85" s="344"/>
      <c r="BF85" s="344"/>
      <c r="BG85" s="344"/>
      <c r="BH85" s="344"/>
      <c r="BI85" s="344"/>
      <c r="BJ85" s="344"/>
      <c r="BK85" s="344"/>
      <c r="BL85" s="344"/>
      <c r="BM85" s="344"/>
      <c r="BN85" s="344"/>
      <c r="BO85" s="344"/>
      <c r="BP85" s="344"/>
      <c r="BQ85" s="344"/>
      <c r="BR85" s="344"/>
      <c r="BS85" s="344"/>
      <c r="BT85" s="344"/>
      <c r="BU85" s="344"/>
      <c r="BV85" s="344"/>
      <c r="BW85" s="344"/>
      <c r="BX85" s="344"/>
      <c r="BY85" s="344"/>
      <c r="BZ85" s="344"/>
      <c r="CA85" s="344"/>
      <c r="CB85" s="344"/>
      <c r="CC85" s="344"/>
      <c r="CD85" s="344"/>
      <c r="CE85" s="344"/>
      <c r="CF85" s="344"/>
      <c r="CG85" s="344"/>
      <c r="CH85" s="344"/>
      <c r="CI85" s="344"/>
      <c r="CJ85" s="344"/>
      <c r="CK85" s="344"/>
      <c r="CL85" s="344"/>
      <c r="CM85" s="344"/>
      <c r="CN85" s="344"/>
      <c r="CO85" s="344"/>
      <c r="CP85" s="344"/>
    </row>
    <row r="86" spans="1:94" ht="27.75" hidden="1" customHeight="1" outlineLevel="1">
      <c r="A86" s="349"/>
      <c r="B86" s="350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4"/>
      <c r="BB86" s="344"/>
      <c r="BC86" s="344"/>
      <c r="BD86" s="344"/>
      <c r="BE86" s="344"/>
      <c r="BF86" s="344"/>
      <c r="BG86" s="344"/>
      <c r="BH86" s="344"/>
      <c r="BI86" s="344"/>
      <c r="BJ86" s="344"/>
      <c r="BK86" s="344"/>
      <c r="BL86" s="344"/>
      <c r="BM86" s="344"/>
      <c r="BN86" s="344"/>
      <c r="BO86" s="344"/>
      <c r="BP86" s="344"/>
      <c r="BQ86" s="344"/>
      <c r="BR86" s="344"/>
      <c r="BS86" s="344"/>
      <c r="BT86" s="344"/>
      <c r="BU86" s="344"/>
      <c r="BV86" s="344"/>
      <c r="BW86" s="344"/>
      <c r="BX86" s="344"/>
      <c r="BY86" s="344"/>
      <c r="BZ86" s="344"/>
      <c r="CA86" s="344"/>
      <c r="CB86" s="344"/>
      <c r="CC86" s="344"/>
      <c r="CD86" s="344"/>
      <c r="CE86" s="344"/>
      <c r="CF86" s="344"/>
      <c r="CG86" s="344"/>
      <c r="CH86" s="344"/>
      <c r="CI86" s="344"/>
      <c r="CJ86" s="344"/>
      <c r="CK86" s="344"/>
      <c r="CL86" s="344"/>
      <c r="CM86" s="344"/>
      <c r="CN86" s="344"/>
      <c r="CO86" s="344"/>
      <c r="CP86" s="344"/>
    </row>
    <row r="87" spans="1:94" ht="27.75" hidden="1" customHeight="1" outlineLevel="1">
      <c r="A87" s="349"/>
      <c r="B87" s="350"/>
      <c r="C87" s="344"/>
      <c r="D87" s="344"/>
      <c r="E87" s="344"/>
      <c r="F87" s="344"/>
      <c r="G87" s="344"/>
      <c r="H87" s="344"/>
      <c r="I87" s="344"/>
      <c r="J87" s="344"/>
      <c r="K87" s="344"/>
      <c r="L87" s="344"/>
      <c r="M87" s="344"/>
      <c r="N87" s="344"/>
      <c r="O87" s="344"/>
      <c r="P87" s="344"/>
      <c r="Q87" s="344"/>
      <c r="R87" s="344"/>
      <c r="S87" s="344"/>
      <c r="T87" s="344"/>
      <c r="U87" s="344"/>
      <c r="V87" s="344"/>
      <c r="W87" s="344"/>
      <c r="X87" s="344"/>
      <c r="Y87" s="344"/>
      <c r="Z87" s="344"/>
      <c r="AA87" s="344"/>
      <c r="AB87" s="344"/>
      <c r="AC87" s="344"/>
      <c r="AD87" s="344"/>
      <c r="AE87" s="344"/>
      <c r="AF87" s="344"/>
      <c r="AG87" s="344"/>
      <c r="AH87" s="344"/>
      <c r="AI87" s="344"/>
      <c r="AJ87" s="344"/>
      <c r="AK87" s="344"/>
      <c r="AL87" s="344"/>
      <c r="AM87" s="344"/>
      <c r="AN87" s="344"/>
      <c r="AO87" s="344"/>
      <c r="AP87" s="344"/>
      <c r="AQ87" s="344"/>
      <c r="AR87" s="344"/>
      <c r="AS87" s="344"/>
      <c r="AT87" s="344"/>
      <c r="AU87" s="344"/>
      <c r="AV87" s="344"/>
      <c r="AW87" s="344"/>
      <c r="AX87" s="344"/>
      <c r="AY87" s="344"/>
      <c r="AZ87" s="344"/>
      <c r="BA87" s="344"/>
      <c r="BB87" s="344"/>
      <c r="BC87" s="344"/>
      <c r="BD87" s="344"/>
      <c r="BE87" s="344"/>
      <c r="BF87" s="344"/>
      <c r="BG87" s="344"/>
      <c r="BH87" s="344"/>
      <c r="BI87" s="344"/>
      <c r="BJ87" s="344"/>
      <c r="BK87" s="344"/>
      <c r="BL87" s="344"/>
      <c r="BM87" s="344"/>
      <c r="BN87" s="344"/>
      <c r="BO87" s="344"/>
      <c r="BP87" s="344"/>
      <c r="BQ87" s="344"/>
      <c r="BR87" s="344"/>
      <c r="BS87" s="344"/>
      <c r="BT87" s="344"/>
      <c r="BU87" s="344"/>
      <c r="BV87" s="344"/>
      <c r="BW87" s="344"/>
      <c r="BX87" s="344"/>
      <c r="BY87" s="344"/>
      <c r="BZ87" s="344"/>
      <c r="CA87" s="344"/>
      <c r="CB87" s="344"/>
      <c r="CC87" s="344"/>
      <c r="CD87" s="344"/>
      <c r="CE87" s="344"/>
      <c r="CF87" s="344"/>
      <c r="CG87" s="344"/>
      <c r="CH87" s="344"/>
      <c r="CI87" s="344"/>
      <c r="CJ87" s="344"/>
      <c r="CK87" s="344"/>
      <c r="CL87" s="344"/>
      <c r="CM87" s="344"/>
      <c r="CN87" s="344"/>
      <c r="CO87" s="344"/>
      <c r="CP87" s="344"/>
    </row>
    <row r="88" spans="1:94" ht="27.75" hidden="1" customHeight="1" outlineLevel="1">
      <c r="A88" s="349"/>
      <c r="B88" s="350"/>
      <c r="C88" s="344"/>
      <c r="D88" s="344"/>
      <c r="E88" s="344"/>
      <c r="F88" s="344"/>
      <c r="G88" s="344"/>
      <c r="H88" s="344"/>
      <c r="I88" s="344"/>
      <c r="J88" s="344"/>
      <c r="K88" s="344"/>
      <c r="L88" s="344"/>
      <c r="M88" s="344"/>
      <c r="N88" s="344"/>
      <c r="O88" s="344"/>
      <c r="P88" s="344"/>
      <c r="Q88" s="344"/>
      <c r="R88" s="344"/>
      <c r="S88" s="344"/>
      <c r="T88" s="344"/>
      <c r="U88" s="344"/>
      <c r="V88" s="344"/>
      <c r="W88" s="344"/>
      <c r="X88" s="344"/>
      <c r="Y88" s="344"/>
      <c r="Z88" s="344"/>
      <c r="AA88" s="344"/>
      <c r="AB88" s="344"/>
      <c r="AC88" s="344"/>
      <c r="AD88" s="344"/>
      <c r="AE88" s="344"/>
      <c r="AF88" s="344"/>
      <c r="AG88" s="344"/>
      <c r="AH88" s="344"/>
      <c r="AI88" s="344"/>
      <c r="AJ88" s="344"/>
      <c r="AK88" s="344"/>
      <c r="AL88" s="344"/>
      <c r="AM88" s="344"/>
      <c r="AN88" s="344"/>
      <c r="AO88" s="344"/>
      <c r="AP88" s="344"/>
      <c r="AQ88" s="344"/>
      <c r="AR88" s="344"/>
      <c r="AS88" s="344"/>
      <c r="AT88" s="344"/>
      <c r="AU88" s="344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/>
      <c r="BJ88" s="344"/>
      <c r="BK88" s="344"/>
      <c r="BL88" s="344"/>
      <c r="BM88" s="344"/>
      <c r="BN88" s="344"/>
      <c r="BO88" s="344"/>
      <c r="BP88" s="344"/>
      <c r="BQ88" s="344"/>
      <c r="BR88" s="344"/>
      <c r="BS88" s="344"/>
      <c r="BT88" s="344"/>
      <c r="BU88" s="344"/>
      <c r="BV88" s="344"/>
      <c r="BW88" s="344"/>
      <c r="BX88" s="344"/>
      <c r="BY88" s="344"/>
      <c r="BZ88" s="344"/>
      <c r="CA88" s="344"/>
      <c r="CB88" s="344"/>
      <c r="CC88" s="344"/>
      <c r="CD88" s="344"/>
      <c r="CE88" s="344"/>
      <c r="CF88" s="344"/>
      <c r="CG88" s="344"/>
      <c r="CH88" s="344"/>
      <c r="CI88" s="344"/>
      <c r="CJ88" s="344"/>
      <c r="CK88" s="344"/>
      <c r="CL88" s="344"/>
      <c r="CM88" s="344"/>
      <c r="CN88" s="344"/>
      <c r="CO88" s="344"/>
      <c r="CP88" s="344"/>
    </row>
    <row r="89" spans="1:94" ht="27.75" hidden="1" customHeight="1" outlineLevel="1">
      <c r="A89" s="349"/>
      <c r="B89" s="350"/>
      <c r="C89" s="344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4"/>
      <c r="T89" s="344"/>
      <c r="U89" s="344"/>
      <c r="V89" s="344"/>
      <c r="W89" s="344"/>
      <c r="X89" s="344"/>
      <c r="Y89" s="344"/>
      <c r="Z89" s="344"/>
      <c r="AA89" s="344"/>
      <c r="AB89" s="344"/>
      <c r="AC89" s="344"/>
      <c r="AD89" s="344"/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344"/>
      <c r="AS89" s="344"/>
      <c r="AT89" s="344"/>
      <c r="AU89" s="344"/>
      <c r="AV89" s="344"/>
      <c r="AW89" s="344"/>
      <c r="AX89" s="344"/>
      <c r="AY89" s="344"/>
      <c r="AZ89" s="344"/>
      <c r="BA89" s="344"/>
      <c r="BB89" s="344"/>
      <c r="BC89" s="344"/>
      <c r="BD89" s="344"/>
      <c r="BE89" s="344"/>
      <c r="BF89" s="344"/>
      <c r="BG89" s="344"/>
      <c r="BH89" s="344"/>
      <c r="BI89" s="344"/>
      <c r="BJ89" s="344"/>
      <c r="BK89" s="344"/>
      <c r="BL89" s="344"/>
      <c r="BM89" s="344"/>
      <c r="BN89" s="344"/>
      <c r="BO89" s="344"/>
      <c r="BP89" s="344"/>
      <c r="BQ89" s="344"/>
      <c r="BR89" s="344"/>
      <c r="BS89" s="344"/>
      <c r="BT89" s="344"/>
      <c r="BU89" s="344"/>
      <c r="BV89" s="344"/>
      <c r="BW89" s="344"/>
      <c r="BX89" s="344"/>
      <c r="BY89" s="344"/>
      <c r="BZ89" s="344"/>
      <c r="CA89" s="344"/>
      <c r="CB89" s="344"/>
      <c r="CC89" s="344"/>
      <c r="CD89" s="344"/>
      <c r="CE89" s="344"/>
      <c r="CF89" s="344"/>
      <c r="CG89" s="344"/>
      <c r="CH89" s="344"/>
      <c r="CI89" s="344"/>
      <c r="CJ89" s="344"/>
      <c r="CK89" s="344"/>
      <c r="CL89" s="344"/>
      <c r="CM89" s="344"/>
      <c r="CN89" s="344"/>
      <c r="CO89" s="344"/>
      <c r="CP89" s="344"/>
    </row>
    <row r="90" spans="1:94" ht="27.75" hidden="1" customHeight="1" outlineLevel="1">
      <c r="A90" s="349"/>
      <c r="B90" s="350"/>
      <c r="C90" s="344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4"/>
      <c r="T90" s="344"/>
      <c r="U90" s="344"/>
      <c r="V90" s="344"/>
      <c r="W90" s="344"/>
      <c r="X90" s="344"/>
      <c r="Y90" s="344"/>
      <c r="Z90" s="344"/>
      <c r="AA90" s="344"/>
      <c r="AB90" s="344"/>
      <c r="AC90" s="344"/>
      <c r="AD90" s="344"/>
      <c r="AE90" s="344"/>
      <c r="AF90" s="344"/>
      <c r="AG90" s="344"/>
      <c r="AH90" s="344"/>
      <c r="AI90" s="344"/>
      <c r="AJ90" s="344"/>
      <c r="AK90" s="344"/>
      <c r="AL90" s="344"/>
      <c r="AM90" s="344"/>
      <c r="AN90" s="344"/>
      <c r="AO90" s="344"/>
      <c r="AP90" s="344"/>
      <c r="AQ90" s="344"/>
      <c r="AR90" s="344"/>
      <c r="AS90" s="344"/>
      <c r="AT90" s="344"/>
      <c r="AU90" s="344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/>
      <c r="BG90" s="344"/>
      <c r="BH90" s="344"/>
      <c r="BI90" s="344"/>
      <c r="BJ90" s="344"/>
      <c r="BK90" s="344"/>
      <c r="BL90" s="344"/>
      <c r="BM90" s="344"/>
      <c r="BN90" s="344"/>
      <c r="BO90" s="344"/>
      <c r="BP90" s="344"/>
      <c r="BQ90" s="344"/>
      <c r="BR90" s="344"/>
      <c r="BS90" s="344"/>
      <c r="BT90" s="344"/>
      <c r="BU90" s="344"/>
      <c r="BV90" s="344"/>
      <c r="BW90" s="344"/>
      <c r="BX90" s="344"/>
      <c r="BY90" s="344"/>
      <c r="BZ90" s="344"/>
      <c r="CA90" s="344"/>
      <c r="CB90" s="344"/>
      <c r="CC90" s="344"/>
      <c r="CD90" s="344"/>
      <c r="CE90" s="344"/>
      <c r="CF90" s="344"/>
      <c r="CG90" s="344"/>
      <c r="CH90" s="344"/>
      <c r="CI90" s="344"/>
      <c r="CJ90" s="344"/>
      <c r="CK90" s="344"/>
      <c r="CL90" s="344"/>
      <c r="CM90" s="344"/>
      <c r="CN90" s="344"/>
      <c r="CO90" s="344"/>
      <c r="CP90" s="344"/>
    </row>
    <row r="91" spans="1:94" ht="27.75" hidden="1" customHeight="1" outlineLevel="1">
      <c r="A91" s="349"/>
      <c r="B91" s="350"/>
      <c r="C91" s="344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4"/>
      <c r="T91" s="344"/>
      <c r="U91" s="344"/>
      <c r="V91" s="344"/>
      <c r="W91" s="344"/>
      <c r="X91" s="344"/>
      <c r="Y91" s="344"/>
      <c r="Z91" s="344"/>
      <c r="AA91" s="344"/>
      <c r="AB91" s="344"/>
      <c r="AC91" s="344"/>
      <c r="AD91" s="344"/>
      <c r="AE91" s="344"/>
      <c r="AF91" s="344"/>
      <c r="AG91" s="344"/>
      <c r="AH91" s="344"/>
      <c r="AI91" s="344"/>
      <c r="AJ91" s="344"/>
      <c r="AK91" s="344"/>
      <c r="AL91" s="344"/>
      <c r="AM91" s="344"/>
      <c r="AN91" s="344"/>
      <c r="AO91" s="344"/>
      <c r="AP91" s="344"/>
      <c r="AQ91" s="344"/>
      <c r="AR91" s="344"/>
      <c r="AS91" s="344"/>
      <c r="AT91" s="344"/>
      <c r="AU91" s="344"/>
      <c r="AV91" s="344"/>
      <c r="AW91" s="344"/>
      <c r="AX91" s="344"/>
      <c r="AY91" s="344"/>
      <c r="AZ91" s="344"/>
      <c r="BA91" s="344"/>
      <c r="BB91" s="344"/>
      <c r="BC91" s="344"/>
      <c r="BD91" s="344"/>
      <c r="BE91" s="344"/>
      <c r="BF91" s="344"/>
      <c r="BG91" s="344"/>
      <c r="BH91" s="344"/>
      <c r="BI91" s="344"/>
      <c r="BJ91" s="344"/>
      <c r="BK91" s="344"/>
      <c r="BL91" s="344"/>
      <c r="BM91" s="344"/>
      <c r="BN91" s="344"/>
      <c r="BO91" s="344"/>
      <c r="BP91" s="344"/>
      <c r="BQ91" s="344"/>
      <c r="BR91" s="344"/>
      <c r="BS91" s="344"/>
      <c r="BT91" s="344"/>
      <c r="BU91" s="344"/>
      <c r="BV91" s="344"/>
      <c r="BW91" s="344"/>
      <c r="BX91" s="344"/>
      <c r="BY91" s="344"/>
      <c r="BZ91" s="344"/>
      <c r="CA91" s="344"/>
      <c r="CB91" s="344"/>
      <c r="CC91" s="344"/>
      <c r="CD91" s="344"/>
      <c r="CE91" s="344"/>
      <c r="CF91" s="344"/>
      <c r="CG91" s="344"/>
      <c r="CH91" s="344"/>
      <c r="CI91" s="344"/>
      <c r="CJ91" s="344"/>
      <c r="CK91" s="344"/>
      <c r="CL91" s="344"/>
      <c r="CM91" s="344"/>
      <c r="CN91" s="344"/>
      <c r="CO91" s="344"/>
      <c r="CP91" s="344"/>
    </row>
    <row r="92" spans="1:94" ht="27.75" customHeight="1" collapsed="1">
      <c r="A92" s="347"/>
      <c r="B92" s="348"/>
      <c r="C92" s="347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7"/>
      <c r="T92" s="347"/>
      <c r="U92" s="347"/>
      <c r="V92" s="347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Q92" s="347"/>
      <c r="AR92" s="347"/>
      <c r="AS92" s="347"/>
      <c r="AT92" s="347"/>
      <c r="AU92" s="347"/>
      <c r="AV92" s="347"/>
      <c r="AW92" s="347"/>
      <c r="AX92" s="347"/>
      <c r="AY92" s="347"/>
      <c r="AZ92" s="347"/>
      <c r="BA92" s="347"/>
      <c r="BB92" s="347"/>
      <c r="BC92" s="347"/>
      <c r="BD92" s="347"/>
      <c r="BE92" s="347"/>
      <c r="BF92" s="347"/>
      <c r="BG92" s="347"/>
      <c r="BH92" s="347"/>
      <c r="BI92" s="347"/>
      <c r="BJ92" s="347"/>
      <c r="BK92" s="347"/>
      <c r="BL92" s="347"/>
      <c r="BM92" s="347"/>
      <c r="BN92" s="347"/>
      <c r="BO92" s="347"/>
      <c r="BP92" s="347"/>
      <c r="BQ92" s="347"/>
      <c r="BR92" s="347"/>
      <c r="BS92" s="347"/>
      <c r="BT92" s="347"/>
      <c r="BU92" s="347"/>
      <c r="BV92" s="347"/>
      <c r="BW92" s="347"/>
      <c r="BX92" s="347"/>
      <c r="BY92" s="347"/>
      <c r="BZ92" s="347"/>
      <c r="CA92" s="347"/>
      <c r="CB92" s="347"/>
      <c r="CC92" s="347"/>
      <c r="CD92" s="347"/>
      <c r="CE92" s="347"/>
      <c r="CF92" s="347"/>
      <c r="CG92" s="347"/>
      <c r="CH92" s="347"/>
      <c r="CI92" s="347"/>
      <c r="CJ92" s="347"/>
      <c r="CK92" s="347"/>
      <c r="CL92" s="347"/>
      <c r="CM92" s="347"/>
      <c r="CN92" s="347"/>
      <c r="CO92" s="347"/>
      <c r="CP92" s="347"/>
    </row>
    <row r="93" spans="1:94" ht="27.75" customHeight="1">
      <c r="A93" s="347"/>
      <c r="B93" s="348"/>
      <c r="C93" s="347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7"/>
      <c r="T93" s="347"/>
      <c r="U93" s="347"/>
      <c r="V93" s="347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Q93" s="347"/>
      <c r="AR93" s="347"/>
      <c r="AS93" s="347"/>
      <c r="AT93" s="347"/>
      <c r="AU93" s="347"/>
      <c r="AV93" s="347"/>
      <c r="AW93" s="347"/>
      <c r="AX93" s="347"/>
      <c r="AY93" s="347"/>
      <c r="AZ93" s="347"/>
      <c r="BA93" s="347"/>
      <c r="BB93" s="347"/>
      <c r="BC93" s="347"/>
      <c r="BD93" s="347"/>
      <c r="BE93" s="347"/>
      <c r="BF93" s="347"/>
      <c r="BG93" s="347"/>
      <c r="BH93" s="347"/>
      <c r="BI93" s="347"/>
      <c r="BJ93" s="347"/>
      <c r="BK93" s="347"/>
      <c r="BL93" s="347"/>
      <c r="BM93" s="347"/>
      <c r="BN93" s="347"/>
      <c r="BO93" s="347"/>
      <c r="BP93" s="347"/>
      <c r="BQ93" s="347"/>
      <c r="BR93" s="347"/>
      <c r="BS93" s="347"/>
      <c r="BT93" s="347"/>
      <c r="BU93" s="347"/>
      <c r="BV93" s="347"/>
      <c r="BW93" s="347"/>
      <c r="BX93" s="347"/>
      <c r="BY93" s="347"/>
      <c r="BZ93" s="347"/>
      <c r="CA93" s="347"/>
      <c r="CB93" s="347"/>
      <c r="CC93" s="347"/>
      <c r="CD93" s="347"/>
      <c r="CE93" s="347"/>
      <c r="CF93" s="347"/>
      <c r="CG93" s="347"/>
      <c r="CH93" s="347"/>
      <c r="CI93" s="347"/>
      <c r="CJ93" s="347"/>
      <c r="CK93" s="347"/>
      <c r="CL93" s="347"/>
      <c r="CM93" s="347"/>
      <c r="CN93" s="347"/>
      <c r="CO93" s="347"/>
      <c r="CP93" s="347"/>
    </row>
    <row r="94" spans="1:94" ht="27.75" customHeight="1">
      <c r="A94" s="347"/>
      <c r="B94" s="348"/>
      <c r="C94" s="347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Q94" s="347"/>
      <c r="AR94" s="347"/>
      <c r="AS94" s="347"/>
      <c r="AT94" s="347"/>
      <c r="AU94" s="347"/>
      <c r="AV94" s="347"/>
      <c r="AW94" s="347"/>
      <c r="AX94" s="347"/>
      <c r="AY94" s="347"/>
      <c r="AZ94" s="347"/>
      <c r="BA94" s="347"/>
      <c r="BB94" s="347"/>
      <c r="BC94" s="347"/>
      <c r="BD94" s="347"/>
      <c r="BE94" s="347"/>
      <c r="BF94" s="347"/>
      <c r="BG94" s="347"/>
      <c r="BH94" s="347"/>
      <c r="BI94" s="347"/>
      <c r="BJ94" s="347"/>
      <c r="BK94" s="347"/>
      <c r="BL94" s="347"/>
      <c r="BM94" s="347"/>
      <c r="BN94" s="347"/>
      <c r="BO94" s="347"/>
      <c r="BP94" s="347"/>
      <c r="BQ94" s="347"/>
      <c r="BR94" s="347"/>
      <c r="BS94" s="347"/>
      <c r="BT94" s="347"/>
      <c r="BU94" s="347"/>
      <c r="BV94" s="347"/>
      <c r="BW94" s="347"/>
      <c r="BX94" s="347"/>
      <c r="BY94" s="347"/>
      <c r="BZ94" s="347"/>
      <c r="CA94" s="347"/>
      <c r="CB94" s="347"/>
      <c r="CC94" s="347"/>
      <c r="CD94" s="347"/>
      <c r="CE94" s="347"/>
      <c r="CF94" s="347"/>
      <c r="CG94" s="347"/>
      <c r="CH94" s="347"/>
      <c r="CI94" s="347"/>
      <c r="CJ94" s="347"/>
      <c r="CK94" s="347"/>
      <c r="CL94" s="347"/>
      <c r="CM94" s="347"/>
      <c r="CN94" s="347"/>
      <c r="CO94" s="347"/>
      <c r="CP94" s="347"/>
    </row>
    <row r="95" spans="1:94" ht="27.75" customHeight="1">
      <c r="A95" s="347"/>
      <c r="B95" s="348"/>
      <c r="C95" s="347"/>
      <c r="D95" s="347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7"/>
      <c r="P95" s="347"/>
      <c r="Q95" s="347"/>
      <c r="R95" s="347"/>
      <c r="S95" s="347"/>
      <c r="T95" s="347"/>
      <c r="U95" s="347"/>
      <c r="V95" s="347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Q95" s="347"/>
      <c r="AR95" s="347"/>
      <c r="AS95" s="347"/>
      <c r="AT95" s="347"/>
      <c r="AU95" s="347"/>
      <c r="AV95" s="347"/>
      <c r="AW95" s="347"/>
      <c r="AX95" s="347"/>
      <c r="AY95" s="347"/>
      <c r="AZ95" s="347"/>
      <c r="BA95" s="347"/>
      <c r="BB95" s="347"/>
      <c r="BC95" s="347"/>
      <c r="BD95" s="347"/>
      <c r="BE95" s="347"/>
      <c r="BF95" s="347"/>
      <c r="BG95" s="347"/>
      <c r="BH95" s="347"/>
      <c r="BI95" s="347"/>
      <c r="BJ95" s="347"/>
      <c r="BK95" s="347"/>
      <c r="BL95" s="347"/>
      <c r="BM95" s="347"/>
      <c r="BN95" s="347"/>
      <c r="BO95" s="347"/>
      <c r="BP95" s="347"/>
      <c r="BQ95" s="347"/>
      <c r="BR95" s="347"/>
      <c r="BS95" s="347"/>
      <c r="BT95" s="347"/>
      <c r="BU95" s="347"/>
      <c r="BV95" s="347"/>
      <c r="BW95" s="347"/>
      <c r="BX95" s="347"/>
      <c r="BY95" s="347"/>
      <c r="BZ95" s="347"/>
      <c r="CA95" s="347"/>
      <c r="CB95" s="347"/>
      <c r="CC95" s="347"/>
      <c r="CD95" s="347"/>
      <c r="CE95" s="347"/>
      <c r="CF95" s="347"/>
      <c r="CG95" s="347"/>
      <c r="CH95" s="347"/>
      <c r="CI95" s="347"/>
      <c r="CJ95" s="347"/>
      <c r="CK95" s="347"/>
      <c r="CL95" s="347"/>
      <c r="CM95" s="347"/>
      <c r="CN95" s="347"/>
      <c r="CO95" s="347"/>
      <c r="CP95" s="347"/>
    </row>
    <row r="96" spans="1:94" ht="27.75" customHeight="1">
      <c r="A96" s="347"/>
      <c r="B96" s="348"/>
      <c r="C96" s="347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Q96" s="347"/>
      <c r="AR96" s="347"/>
      <c r="AS96" s="347"/>
      <c r="AT96" s="347"/>
      <c r="AU96" s="347"/>
      <c r="AV96" s="347"/>
      <c r="AW96" s="347"/>
      <c r="AX96" s="347"/>
      <c r="AY96" s="347"/>
      <c r="AZ96" s="347"/>
      <c r="BA96" s="347"/>
      <c r="BB96" s="347"/>
      <c r="BC96" s="347"/>
      <c r="BD96" s="347"/>
      <c r="BE96" s="347"/>
      <c r="BF96" s="347"/>
      <c r="BG96" s="347"/>
      <c r="BH96" s="347"/>
      <c r="BI96" s="347"/>
      <c r="BJ96" s="347"/>
      <c r="BK96" s="347"/>
      <c r="BL96" s="347"/>
      <c r="BM96" s="347"/>
      <c r="BN96" s="347"/>
      <c r="BO96" s="347"/>
      <c r="BP96" s="347"/>
      <c r="BQ96" s="347"/>
      <c r="BR96" s="347"/>
      <c r="BS96" s="347"/>
      <c r="BT96" s="347"/>
      <c r="BU96" s="347"/>
      <c r="BV96" s="347"/>
      <c r="BW96" s="347"/>
      <c r="BX96" s="347"/>
      <c r="BY96" s="347"/>
      <c r="BZ96" s="347"/>
      <c r="CA96" s="347"/>
      <c r="CB96" s="347"/>
      <c r="CC96" s="347"/>
      <c r="CD96" s="347"/>
      <c r="CE96" s="347"/>
      <c r="CF96" s="347"/>
      <c r="CG96" s="347"/>
      <c r="CH96" s="347"/>
      <c r="CI96" s="347"/>
      <c r="CJ96" s="347"/>
      <c r="CK96" s="347"/>
      <c r="CL96" s="347"/>
      <c r="CM96" s="347"/>
      <c r="CN96" s="347"/>
      <c r="CO96" s="347"/>
      <c r="CP96" s="347"/>
    </row>
    <row r="97" spans="1:94" ht="27.75" customHeight="1">
      <c r="A97" s="347"/>
      <c r="B97" s="348"/>
      <c r="C97" s="347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7"/>
      <c r="T97" s="347"/>
      <c r="U97" s="347"/>
      <c r="V97" s="34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Q97" s="347"/>
      <c r="AR97" s="347"/>
      <c r="AS97" s="347"/>
      <c r="AT97" s="347"/>
      <c r="AU97" s="347"/>
      <c r="AV97" s="347"/>
      <c r="AW97" s="347"/>
      <c r="AX97" s="347"/>
      <c r="AY97" s="347"/>
      <c r="AZ97" s="347"/>
      <c r="BA97" s="347"/>
      <c r="BB97" s="347"/>
      <c r="BC97" s="347"/>
      <c r="BD97" s="347"/>
      <c r="BE97" s="347"/>
      <c r="BF97" s="347"/>
      <c r="BG97" s="347"/>
      <c r="BH97" s="347"/>
      <c r="BI97" s="347"/>
      <c r="BJ97" s="347"/>
      <c r="BK97" s="347"/>
      <c r="BL97" s="347"/>
      <c r="BM97" s="347"/>
      <c r="BN97" s="347"/>
      <c r="BO97" s="347"/>
      <c r="BP97" s="347"/>
      <c r="BQ97" s="347"/>
      <c r="BR97" s="347"/>
      <c r="BS97" s="347"/>
      <c r="BT97" s="347"/>
      <c r="BU97" s="347"/>
      <c r="BV97" s="347"/>
      <c r="BW97" s="347"/>
      <c r="BX97" s="347"/>
      <c r="BY97" s="347"/>
      <c r="BZ97" s="347"/>
      <c r="CA97" s="347"/>
      <c r="CB97" s="347"/>
      <c r="CC97" s="347"/>
      <c r="CD97" s="347"/>
      <c r="CE97" s="347"/>
      <c r="CF97" s="347"/>
      <c r="CG97" s="347"/>
      <c r="CH97" s="347"/>
      <c r="CI97" s="347"/>
      <c r="CJ97" s="347"/>
      <c r="CK97" s="347"/>
      <c r="CL97" s="347"/>
      <c r="CM97" s="347"/>
      <c r="CN97" s="347"/>
      <c r="CO97" s="347"/>
      <c r="CP97" s="347"/>
    </row>
    <row r="98" spans="1:94" ht="27.75" customHeight="1">
      <c r="A98" s="347"/>
      <c r="B98" s="348"/>
      <c r="C98" s="347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7"/>
      <c r="AB98" s="347"/>
      <c r="AC98" s="347"/>
      <c r="AD98" s="347"/>
      <c r="AE98" s="347"/>
      <c r="AF98" s="347"/>
      <c r="AG98" s="347"/>
      <c r="AH98" s="347"/>
      <c r="AI98" s="347"/>
      <c r="AJ98" s="347"/>
      <c r="AK98" s="347"/>
      <c r="AL98" s="347"/>
      <c r="AM98" s="347"/>
      <c r="AN98" s="347"/>
      <c r="AO98" s="347"/>
      <c r="AP98" s="347"/>
      <c r="AQ98" s="347"/>
      <c r="AR98" s="347"/>
      <c r="AS98" s="347"/>
      <c r="AT98" s="347"/>
      <c r="AU98" s="347"/>
      <c r="AV98" s="347"/>
      <c r="AW98" s="347"/>
      <c r="AX98" s="347"/>
      <c r="AY98" s="347"/>
      <c r="AZ98" s="347"/>
      <c r="BA98" s="347"/>
      <c r="BB98" s="347"/>
      <c r="BC98" s="347"/>
      <c r="BD98" s="347"/>
      <c r="BE98" s="347"/>
      <c r="BF98" s="347"/>
      <c r="BG98" s="347"/>
      <c r="BH98" s="347"/>
      <c r="BI98" s="347"/>
      <c r="BJ98" s="347"/>
      <c r="BK98" s="347"/>
      <c r="BL98" s="347"/>
      <c r="BM98" s="347"/>
      <c r="BN98" s="347"/>
      <c r="BO98" s="347"/>
      <c r="BP98" s="347"/>
      <c r="BQ98" s="347"/>
      <c r="BR98" s="347"/>
      <c r="BS98" s="347"/>
      <c r="BT98" s="347"/>
      <c r="BU98" s="347"/>
      <c r="BV98" s="347"/>
      <c r="BW98" s="347"/>
      <c r="BX98" s="347"/>
      <c r="BY98" s="347"/>
      <c r="BZ98" s="347"/>
      <c r="CA98" s="347"/>
      <c r="CB98" s="347"/>
      <c r="CC98" s="347"/>
      <c r="CD98" s="347"/>
      <c r="CE98" s="347"/>
      <c r="CF98" s="347"/>
      <c r="CG98" s="347"/>
      <c r="CH98" s="347"/>
      <c r="CI98" s="347"/>
      <c r="CJ98" s="347"/>
      <c r="CK98" s="347"/>
      <c r="CL98" s="347"/>
      <c r="CM98" s="347"/>
      <c r="CN98" s="347"/>
      <c r="CO98" s="347"/>
      <c r="CP98" s="347"/>
    </row>
    <row r="99" spans="1:94" ht="27.75" customHeight="1">
      <c r="A99" s="347"/>
      <c r="B99" s="348"/>
      <c r="C99" s="347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7"/>
      <c r="T99" s="347"/>
      <c r="U99" s="347"/>
      <c r="V99" s="347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Q99" s="347"/>
      <c r="AR99" s="347"/>
      <c r="AS99" s="347"/>
      <c r="AT99" s="347"/>
      <c r="AU99" s="347"/>
      <c r="AV99" s="347"/>
      <c r="AW99" s="347"/>
      <c r="AX99" s="347"/>
      <c r="AY99" s="347"/>
      <c r="AZ99" s="347"/>
      <c r="BA99" s="347"/>
      <c r="BB99" s="347"/>
      <c r="BC99" s="347"/>
      <c r="BD99" s="347"/>
      <c r="BE99" s="347"/>
      <c r="BF99" s="347"/>
      <c r="BG99" s="347"/>
      <c r="BH99" s="347"/>
      <c r="BI99" s="347"/>
      <c r="BJ99" s="347"/>
      <c r="BK99" s="347"/>
      <c r="BL99" s="347"/>
      <c r="BM99" s="347"/>
      <c r="BN99" s="347"/>
      <c r="BO99" s="347"/>
      <c r="BP99" s="347"/>
      <c r="BQ99" s="347"/>
      <c r="BR99" s="347"/>
      <c r="BS99" s="347"/>
      <c r="BT99" s="347"/>
      <c r="BU99" s="347"/>
      <c r="BV99" s="347"/>
      <c r="BW99" s="347"/>
      <c r="BX99" s="347"/>
      <c r="BY99" s="347"/>
      <c r="BZ99" s="347"/>
      <c r="CA99" s="347"/>
      <c r="CB99" s="347"/>
      <c r="CC99" s="347"/>
      <c r="CD99" s="347"/>
      <c r="CE99" s="347"/>
      <c r="CF99" s="347"/>
      <c r="CG99" s="347"/>
      <c r="CH99" s="347"/>
      <c r="CI99" s="347"/>
      <c r="CJ99" s="347"/>
      <c r="CK99" s="347"/>
      <c r="CL99" s="347"/>
      <c r="CM99" s="347"/>
      <c r="CN99" s="347"/>
      <c r="CO99" s="347"/>
      <c r="CP99" s="347"/>
    </row>
    <row r="100" spans="1:94" ht="27.75" customHeight="1">
      <c r="A100" s="347"/>
      <c r="B100" s="348"/>
      <c r="C100" s="347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7"/>
      <c r="T100" s="347"/>
      <c r="U100" s="347"/>
      <c r="V100" s="34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Q100" s="347"/>
      <c r="AR100" s="347"/>
      <c r="AS100" s="347"/>
      <c r="AT100" s="347"/>
      <c r="AU100" s="347"/>
      <c r="AV100" s="347"/>
      <c r="AW100" s="347"/>
      <c r="AX100" s="347"/>
      <c r="AY100" s="347"/>
      <c r="AZ100" s="347"/>
      <c r="BA100" s="347"/>
      <c r="BB100" s="347"/>
      <c r="BC100" s="347"/>
      <c r="BD100" s="347"/>
      <c r="BE100" s="347"/>
      <c r="BF100" s="347"/>
      <c r="BG100" s="347"/>
      <c r="BH100" s="347"/>
      <c r="BI100" s="347"/>
      <c r="BJ100" s="347"/>
      <c r="BK100" s="347"/>
      <c r="BL100" s="347"/>
      <c r="BM100" s="347"/>
      <c r="BN100" s="347"/>
      <c r="BO100" s="347"/>
      <c r="BP100" s="347"/>
      <c r="BQ100" s="347"/>
      <c r="BR100" s="347"/>
      <c r="BS100" s="347"/>
      <c r="BT100" s="347"/>
      <c r="BU100" s="347"/>
      <c r="BV100" s="347"/>
      <c r="BW100" s="347"/>
      <c r="BX100" s="347"/>
      <c r="BY100" s="347"/>
      <c r="BZ100" s="347"/>
      <c r="CA100" s="347"/>
      <c r="CB100" s="347"/>
      <c r="CC100" s="347"/>
      <c r="CD100" s="347"/>
      <c r="CE100" s="347"/>
      <c r="CF100" s="347"/>
      <c r="CG100" s="347"/>
      <c r="CH100" s="347"/>
      <c r="CI100" s="347"/>
      <c r="CJ100" s="347"/>
      <c r="CK100" s="347"/>
      <c r="CL100" s="347"/>
      <c r="CM100" s="347"/>
      <c r="CN100" s="347"/>
      <c r="CO100" s="347"/>
      <c r="CP100" s="347"/>
    </row>
    <row r="101" spans="1:94" ht="27.75" customHeight="1">
      <c r="A101" s="347"/>
      <c r="B101" s="348"/>
      <c r="C101" s="347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  <c r="Z101" s="347"/>
      <c r="AA101" s="347"/>
      <c r="AB101" s="347"/>
      <c r="AC101" s="347"/>
      <c r="AD101" s="347"/>
      <c r="AE101" s="347"/>
      <c r="AF101" s="347"/>
      <c r="AG101" s="347"/>
      <c r="AH101" s="347"/>
      <c r="AI101" s="347"/>
      <c r="AJ101" s="347"/>
      <c r="AK101" s="347"/>
      <c r="AL101" s="347"/>
      <c r="AM101" s="347"/>
      <c r="AN101" s="347"/>
      <c r="AO101" s="347"/>
      <c r="AP101" s="347"/>
      <c r="AQ101" s="347"/>
      <c r="AR101" s="347"/>
      <c r="AS101" s="347"/>
      <c r="AT101" s="347"/>
      <c r="AU101" s="347"/>
      <c r="AV101" s="347"/>
      <c r="AW101" s="347"/>
      <c r="AX101" s="347"/>
      <c r="AY101" s="347"/>
      <c r="AZ101" s="347"/>
      <c r="BA101" s="347"/>
      <c r="BB101" s="347"/>
      <c r="BC101" s="347"/>
      <c r="BD101" s="347"/>
      <c r="BE101" s="347"/>
      <c r="BF101" s="347"/>
      <c r="BG101" s="347"/>
      <c r="BH101" s="347"/>
      <c r="BI101" s="347"/>
      <c r="BJ101" s="347"/>
      <c r="BK101" s="347"/>
      <c r="BL101" s="347"/>
      <c r="BM101" s="347"/>
      <c r="BN101" s="347"/>
      <c r="BO101" s="347"/>
      <c r="BP101" s="347"/>
      <c r="BQ101" s="347"/>
      <c r="BR101" s="347"/>
      <c r="BS101" s="347"/>
      <c r="BT101" s="347"/>
      <c r="BU101" s="347"/>
      <c r="BV101" s="347"/>
      <c r="BW101" s="347"/>
      <c r="BX101" s="347"/>
      <c r="BY101" s="347"/>
      <c r="BZ101" s="347"/>
      <c r="CA101" s="347"/>
      <c r="CB101" s="347"/>
      <c r="CC101" s="347"/>
      <c r="CD101" s="347"/>
      <c r="CE101" s="347"/>
      <c r="CF101" s="347"/>
      <c r="CG101" s="347"/>
      <c r="CH101" s="347"/>
      <c r="CI101" s="347"/>
      <c r="CJ101" s="347"/>
      <c r="CK101" s="347"/>
      <c r="CL101" s="347"/>
      <c r="CM101" s="347"/>
      <c r="CN101" s="347"/>
      <c r="CO101" s="347"/>
      <c r="CP101" s="347"/>
    </row>
    <row r="102" spans="1:94" ht="27.75" customHeight="1">
      <c r="A102" s="347"/>
      <c r="B102" s="348"/>
      <c r="C102" s="347"/>
      <c r="D102" s="347"/>
      <c r="E102" s="347"/>
      <c r="F102" s="347"/>
      <c r="G102" s="347"/>
      <c r="H102" s="347"/>
      <c r="I102" s="347"/>
      <c r="J102" s="347"/>
      <c r="K102" s="347"/>
      <c r="L102" s="347"/>
      <c r="M102" s="347"/>
      <c r="N102" s="347"/>
      <c r="O102" s="347"/>
      <c r="P102" s="347"/>
      <c r="Q102" s="347"/>
      <c r="R102" s="347"/>
      <c r="S102" s="347"/>
      <c r="T102" s="347"/>
      <c r="U102" s="347"/>
      <c r="V102" s="347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347"/>
      <c r="AQ102" s="347"/>
      <c r="AR102" s="347"/>
      <c r="AS102" s="347"/>
      <c r="AT102" s="347"/>
      <c r="AU102" s="347"/>
      <c r="AV102" s="347"/>
      <c r="AW102" s="347"/>
      <c r="AX102" s="347"/>
      <c r="AY102" s="347"/>
      <c r="AZ102" s="347"/>
      <c r="BA102" s="347"/>
      <c r="BB102" s="347"/>
      <c r="BC102" s="347"/>
      <c r="BD102" s="347"/>
      <c r="BE102" s="347"/>
      <c r="BF102" s="347"/>
      <c r="BG102" s="347"/>
      <c r="BH102" s="347"/>
      <c r="BI102" s="347"/>
      <c r="BJ102" s="347"/>
      <c r="BK102" s="347"/>
      <c r="BL102" s="347"/>
      <c r="BM102" s="347"/>
      <c r="BN102" s="347"/>
      <c r="BO102" s="347"/>
      <c r="BP102" s="347"/>
      <c r="BQ102" s="347"/>
      <c r="BR102" s="347"/>
      <c r="BS102" s="347"/>
      <c r="BT102" s="347"/>
      <c r="BU102" s="347"/>
      <c r="BV102" s="347"/>
      <c r="BW102" s="347"/>
      <c r="BX102" s="347"/>
      <c r="BY102" s="347"/>
      <c r="BZ102" s="347"/>
      <c r="CA102" s="347"/>
      <c r="CB102" s="347"/>
      <c r="CC102" s="347"/>
      <c r="CD102" s="347"/>
      <c r="CE102" s="347"/>
      <c r="CF102" s="347"/>
      <c r="CG102" s="347"/>
      <c r="CH102" s="347"/>
      <c r="CI102" s="347"/>
      <c r="CJ102" s="347"/>
      <c r="CK102" s="347"/>
      <c r="CL102" s="347"/>
      <c r="CM102" s="347"/>
      <c r="CN102" s="347"/>
      <c r="CO102" s="347"/>
      <c r="CP102" s="347"/>
    </row>
    <row r="103" spans="1:94" ht="27.75" customHeight="1">
      <c r="A103" s="347"/>
      <c r="B103" s="348"/>
      <c r="C103" s="347"/>
      <c r="D103" s="347"/>
      <c r="E103" s="347"/>
      <c r="F103" s="347"/>
      <c r="G103" s="347"/>
      <c r="H103" s="347"/>
      <c r="I103" s="347"/>
      <c r="J103" s="347"/>
      <c r="K103" s="347"/>
      <c r="L103" s="347"/>
      <c r="M103" s="347"/>
      <c r="N103" s="347"/>
      <c r="O103" s="347"/>
      <c r="P103" s="347"/>
      <c r="Q103" s="347"/>
      <c r="R103" s="347"/>
      <c r="S103" s="347"/>
      <c r="T103" s="347"/>
      <c r="U103" s="347"/>
      <c r="V103" s="347"/>
      <c r="W103" s="347"/>
      <c r="X103" s="347"/>
      <c r="Y103" s="347"/>
      <c r="Z103" s="347"/>
      <c r="AA103" s="347"/>
      <c r="AB103" s="347"/>
      <c r="AC103" s="347"/>
      <c r="AD103" s="347"/>
      <c r="AE103" s="347"/>
      <c r="AF103" s="347"/>
      <c r="AG103" s="347"/>
      <c r="AH103" s="347"/>
      <c r="AI103" s="347"/>
      <c r="AJ103" s="347"/>
      <c r="AK103" s="347"/>
      <c r="AL103" s="347"/>
      <c r="AM103" s="347"/>
      <c r="AN103" s="347"/>
      <c r="AO103" s="347"/>
      <c r="AP103" s="347"/>
      <c r="AQ103" s="347"/>
      <c r="AR103" s="347"/>
      <c r="AS103" s="347"/>
      <c r="AT103" s="347"/>
      <c r="AU103" s="347"/>
      <c r="AV103" s="347"/>
      <c r="AW103" s="347"/>
      <c r="AX103" s="347"/>
      <c r="AY103" s="347"/>
      <c r="AZ103" s="347"/>
      <c r="BA103" s="347"/>
      <c r="BB103" s="347"/>
      <c r="BC103" s="347"/>
      <c r="BD103" s="347"/>
      <c r="BE103" s="347"/>
      <c r="BF103" s="347"/>
      <c r="BG103" s="347"/>
      <c r="BH103" s="347"/>
      <c r="BI103" s="347"/>
      <c r="BJ103" s="347"/>
      <c r="BK103" s="347"/>
      <c r="BL103" s="347"/>
      <c r="BM103" s="347"/>
      <c r="BN103" s="347"/>
      <c r="BO103" s="347"/>
      <c r="BP103" s="347"/>
      <c r="BQ103" s="347"/>
      <c r="BR103" s="347"/>
      <c r="BS103" s="347"/>
      <c r="BT103" s="347"/>
      <c r="BU103" s="347"/>
      <c r="BV103" s="347"/>
      <c r="BW103" s="347"/>
      <c r="BX103" s="347"/>
      <c r="BY103" s="347"/>
      <c r="BZ103" s="347"/>
      <c r="CA103" s="347"/>
      <c r="CB103" s="347"/>
      <c r="CC103" s="347"/>
      <c r="CD103" s="347"/>
      <c r="CE103" s="347"/>
      <c r="CF103" s="347"/>
      <c r="CG103" s="347"/>
      <c r="CH103" s="347"/>
      <c r="CI103" s="347"/>
      <c r="CJ103" s="347"/>
      <c r="CK103" s="347"/>
      <c r="CL103" s="347"/>
      <c r="CM103" s="347"/>
      <c r="CN103" s="347"/>
      <c r="CO103" s="347"/>
      <c r="CP103" s="347"/>
    </row>
    <row r="104" spans="1:94" ht="27.75" customHeight="1">
      <c r="A104" s="347"/>
      <c r="B104" s="348"/>
      <c r="C104" s="347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7"/>
      <c r="T104" s="347"/>
      <c r="U104" s="347"/>
      <c r="V104" s="347"/>
      <c r="W104" s="347"/>
      <c r="X104" s="347"/>
      <c r="Y104" s="347"/>
      <c r="Z104" s="347"/>
      <c r="AA104" s="347"/>
      <c r="AB104" s="347"/>
      <c r="AC104" s="347"/>
      <c r="AD104" s="347"/>
      <c r="AE104" s="347"/>
      <c r="AF104" s="347"/>
      <c r="AG104" s="347"/>
      <c r="AH104" s="347"/>
      <c r="AI104" s="347"/>
      <c r="AJ104" s="347"/>
      <c r="AK104" s="347"/>
      <c r="AL104" s="347"/>
      <c r="AM104" s="347"/>
      <c r="AN104" s="347"/>
      <c r="AO104" s="347"/>
      <c r="AP104" s="347"/>
      <c r="AQ104" s="347"/>
      <c r="AR104" s="347"/>
      <c r="AS104" s="347"/>
      <c r="AT104" s="347"/>
      <c r="AU104" s="347"/>
      <c r="AV104" s="347"/>
      <c r="AW104" s="347"/>
      <c r="AX104" s="347"/>
      <c r="AY104" s="347"/>
      <c r="AZ104" s="347"/>
      <c r="BA104" s="347"/>
      <c r="BB104" s="347"/>
      <c r="BC104" s="347"/>
      <c r="BD104" s="347"/>
      <c r="BE104" s="347"/>
      <c r="BF104" s="347"/>
      <c r="BG104" s="347"/>
      <c r="BH104" s="347"/>
      <c r="BI104" s="347"/>
      <c r="BJ104" s="347"/>
      <c r="BK104" s="347"/>
      <c r="BL104" s="347"/>
      <c r="BM104" s="347"/>
      <c r="BN104" s="347"/>
      <c r="BO104" s="347"/>
      <c r="BP104" s="347"/>
      <c r="BQ104" s="347"/>
      <c r="BR104" s="347"/>
      <c r="BS104" s="347"/>
      <c r="BT104" s="347"/>
      <c r="BU104" s="347"/>
      <c r="BV104" s="347"/>
      <c r="BW104" s="347"/>
      <c r="BX104" s="347"/>
      <c r="BY104" s="347"/>
      <c r="BZ104" s="347"/>
      <c r="CA104" s="347"/>
      <c r="CB104" s="347"/>
      <c r="CC104" s="347"/>
      <c r="CD104" s="347"/>
      <c r="CE104" s="347"/>
      <c r="CF104" s="347"/>
      <c r="CG104" s="347"/>
      <c r="CH104" s="347"/>
      <c r="CI104" s="347"/>
      <c r="CJ104" s="347"/>
      <c r="CK104" s="347"/>
      <c r="CL104" s="347"/>
      <c r="CM104" s="347"/>
      <c r="CN104" s="347"/>
      <c r="CO104" s="347"/>
      <c r="CP104" s="347"/>
    </row>
    <row r="105" spans="1:94" ht="27.75" customHeight="1">
      <c r="A105" s="347"/>
      <c r="B105" s="348"/>
      <c r="C105" s="347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7"/>
      <c r="T105" s="347"/>
      <c r="U105" s="347"/>
      <c r="V105" s="347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347"/>
      <c r="AQ105" s="347"/>
      <c r="AR105" s="347"/>
      <c r="AS105" s="347"/>
      <c r="AT105" s="347"/>
      <c r="AU105" s="347"/>
      <c r="AV105" s="347"/>
      <c r="AW105" s="347"/>
      <c r="AX105" s="347"/>
      <c r="AY105" s="347"/>
      <c r="AZ105" s="347"/>
      <c r="BA105" s="347"/>
      <c r="BB105" s="347"/>
      <c r="BC105" s="347"/>
      <c r="BD105" s="347"/>
      <c r="BE105" s="347"/>
      <c r="BF105" s="347"/>
      <c r="BG105" s="347"/>
      <c r="BH105" s="347"/>
      <c r="BI105" s="347"/>
      <c r="BJ105" s="347"/>
      <c r="BK105" s="347"/>
      <c r="BL105" s="347"/>
      <c r="BM105" s="347"/>
      <c r="BN105" s="347"/>
      <c r="BO105" s="347"/>
      <c r="BP105" s="347"/>
      <c r="BQ105" s="347"/>
      <c r="BR105" s="347"/>
      <c r="BS105" s="347"/>
      <c r="BT105" s="347"/>
      <c r="BU105" s="347"/>
      <c r="BV105" s="347"/>
      <c r="BW105" s="347"/>
      <c r="BX105" s="347"/>
      <c r="BY105" s="347"/>
      <c r="BZ105" s="347"/>
      <c r="CA105" s="347"/>
      <c r="CB105" s="347"/>
      <c r="CC105" s="347"/>
      <c r="CD105" s="347"/>
      <c r="CE105" s="347"/>
      <c r="CF105" s="347"/>
      <c r="CG105" s="347"/>
      <c r="CH105" s="347"/>
      <c r="CI105" s="347"/>
      <c r="CJ105" s="347"/>
      <c r="CK105" s="347"/>
      <c r="CL105" s="347"/>
      <c r="CM105" s="347"/>
      <c r="CN105" s="347"/>
      <c r="CO105" s="347"/>
      <c r="CP105" s="347"/>
    </row>
    <row r="106" spans="1:94" ht="27.75" customHeight="1">
      <c r="A106" s="347"/>
      <c r="B106" s="348"/>
      <c r="C106" s="347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7"/>
      <c r="T106" s="347"/>
      <c r="U106" s="347"/>
      <c r="V106" s="347"/>
      <c r="W106" s="347"/>
      <c r="X106" s="347"/>
      <c r="Y106" s="347"/>
      <c r="Z106" s="347"/>
      <c r="AA106" s="347"/>
      <c r="AB106" s="347"/>
      <c r="AC106" s="347"/>
      <c r="AD106" s="347"/>
      <c r="AE106" s="347"/>
      <c r="AF106" s="347"/>
      <c r="AG106" s="347"/>
      <c r="AH106" s="347"/>
      <c r="AI106" s="347"/>
      <c r="AJ106" s="347"/>
      <c r="AK106" s="347"/>
      <c r="AL106" s="347"/>
      <c r="AM106" s="347"/>
      <c r="AN106" s="347"/>
      <c r="AO106" s="347"/>
      <c r="AP106" s="347"/>
      <c r="AQ106" s="347"/>
      <c r="AR106" s="347"/>
      <c r="AS106" s="347"/>
      <c r="AT106" s="347"/>
      <c r="AU106" s="347"/>
      <c r="AV106" s="347"/>
      <c r="AW106" s="347"/>
      <c r="AX106" s="347"/>
      <c r="AY106" s="347"/>
      <c r="AZ106" s="347"/>
      <c r="BA106" s="347"/>
      <c r="BB106" s="347"/>
      <c r="BC106" s="347"/>
      <c r="BD106" s="347"/>
      <c r="BE106" s="347"/>
      <c r="BF106" s="347"/>
      <c r="BG106" s="347"/>
      <c r="BH106" s="347"/>
      <c r="BI106" s="347"/>
      <c r="BJ106" s="347"/>
      <c r="BK106" s="347"/>
      <c r="BL106" s="347"/>
      <c r="BM106" s="347"/>
      <c r="BN106" s="347"/>
      <c r="BO106" s="347"/>
      <c r="BP106" s="347"/>
      <c r="BQ106" s="347"/>
      <c r="BR106" s="347"/>
      <c r="BS106" s="347"/>
      <c r="BT106" s="347"/>
      <c r="BU106" s="347"/>
      <c r="BV106" s="347"/>
      <c r="BW106" s="347"/>
      <c r="BX106" s="347"/>
      <c r="BY106" s="347"/>
      <c r="BZ106" s="347"/>
      <c r="CA106" s="347"/>
      <c r="CB106" s="347"/>
      <c r="CC106" s="347"/>
      <c r="CD106" s="347"/>
      <c r="CE106" s="347"/>
      <c r="CF106" s="347"/>
      <c r="CG106" s="347"/>
      <c r="CH106" s="347"/>
      <c r="CI106" s="347"/>
      <c r="CJ106" s="347"/>
      <c r="CK106" s="347"/>
      <c r="CL106" s="347"/>
      <c r="CM106" s="347"/>
      <c r="CN106" s="347"/>
      <c r="CO106" s="347"/>
      <c r="CP106" s="347"/>
    </row>
    <row r="107" spans="1:94" ht="27.75" customHeight="1">
      <c r="A107" s="347"/>
      <c r="B107" s="348"/>
      <c r="C107" s="347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7"/>
      <c r="T107" s="347"/>
      <c r="U107" s="347"/>
      <c r="V107" s="347"/>
      <c r="W107" s="347"/>
      <c r="X107" s="347"/>
      <c r="Y107" s="347"/>
      <c r="Z107" s="347"/>
      <c r="AA107" s="347"/>
      <c r="AB107" s="347"/>
      <c r="AC107" s="347"/>
      <c r="AD107" s="347"/>
      <c r="AE107" s="347"/>
      <c r="AF107" s="347"/>
      <c r="AG107" s="347"/>
      <c r="AH107" s="347"/>
      <c r="AI107" s="347"/>
      <c r="AJ107" s="347"/>
      <c r="AK107" s="347"/>
      <c r="AL107" s="347"/>
      <c r="AM107" s="347"/>
      <c r="AN107" s="347"/>
      <c r="AO107" s="347"/>
      <c r="AP107" s="347"/>
      <c r="AQ107" s="347"/>
      <c r="AR107" s="347"/>
      <c r="AS107" s="347"/>
      <c r="AT107" s="347"/>
      <c r="AU107" s="347"/>
      <c r="AV107" s="347"/>
      <c r="AW107" s="347"/>
      <c r="AX107" s="347"/>
      <c r="AY107" s="347"/>
      <c r="AZ107" s="347"/>
      <c r="BA107" s="347"/>
      <c r="BB107" s="347"/>
      <c r="BC107" s="347"/>
      <c r="BD107" s="347"/>
      <c r="BE107" s="347"/>
      <c r="BF107" s="347"/>
      <c r="BG107" s="347"/>
      <c r="BH107" s="347"/>
      <c r="BI107" s="347"/>
      <c r="BJ107" s="347"/>
      <c r="BK107" s="347"/>
      <c r="BL107" s="347"/>
      <c r="BM107" s="347"/>
      <c r="BN107" s="347"/>
      <c r="BO107" s="347"/>
      <c r="BP107" s="347"/>
      <c r="BQ107" s="347"/>
      <c r="BR107" s="347"/>
      <c r="BS107" s="347"/>
      <c r="BT107" s="347"/>
      <c r="BU107" s="347"/>
      <c r="BV107" s="347"/>
      <c r="BW107" s="347"/>
      <c r="BX107" s="347"/>
      <c r="BY107" s="347"/>
      <c r="BZ107" s="347"/>
      <c r="CA107" s="347"/>
      <c r="CB107" s="347"/>
      <c r="CC107" s="347"/>
      <c r="CD107" s="347"/>
      <c r="CE107" s="347"/>
      <c r="CF107" s="347"/>
      <c r="CG107" s="347"/>
      <c r="CH107" s="347"/>
      <c r="CI107" s="347"/>
      <c r="CJ107" s="347"/>
      <c r="CK107" s="347"/>
      <c r="CL107" s="347"/>
      <c r="CM107" s="347"/>
      <c r="CN107" s="347"/>
      <c r="CO107" s="347"/>
      <c r="CP107" s="347"/>
    </row>
    <row r="108" spans="1:94" ht="27.75" customHeight="1">
      <c r="A108" s="347"/>
      <c r="B108" s="348"/>
      <c r="C108" s="347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347"/>
      <c r="AQ108" s="347"/>
      <c r="AR108" s="347"/>
      <c r="AS108" s="347"/>
      <c r="AT108" s="347"/>
      <c r="AU108" s="347"/>
      <c r="AV108" s="347"/>
      <c r="AW108" s="347"/>
      <c r="AX108" s="347"/>
      <c r="AY108" s="347"/>
      <c r="AZ108" s="347"/>
      <c r="BA108" s="347"/>
      <c r="BB108" s="347"/>
      <c r="BC108" s="347"/>
      <c r="BD108" s="347"/>
      <c r="BE108" s="347"/>
      <c r="BF108" s="347"/>
      <c r="BG108" s="347"/>
      <c r="BH108" s="347"/>
      <c r="BI108" s="347"/>
      <c r="BJ108" s="347"/>
      <c r="BK108" s="347"/>
      <c r="BL108" s="347"/>
      <c r="BM108" s="347"/>
      <c r="BN108" s="347"/>
      <c r="BO108" s="347"/>
      <c r="BP108" s="347"/>
      <c r="BQ108" s="347"/>
      <c r="BR108" s="347"/>
      <c r="BS108" s="347"/>
      <c r="BT108" s="347"/>
      <c r="BU108" s="347"/>
      <c r="BV108" s="347"/>
      <c r="BW108" s="347"/>
      <c r="BX108" s="347"/>
      <c r="BY108" s="347"/>
      <c r="BZ108" s="347"/>
      <c r="CA108" s="347"/>
      <c r="CB108" s="347"/>
      <c r="CC108" s="347"/>
      <c r="CD108" s="347"/>
      <c r="CE108" s="347"/>
      <c r="CF108" s="347"/>
      <c r="CG108" s="347"/>
      <c r="CH108" s="347"/>
      <c r="CI108" s="347"/>
      <c r="CJ108" s="347"/>
      <c r="CK108" s="347"/>
      <c r="CL108" s="347"/>
      <c r="CM108" s="347"/>
      <c r="CN108" s="347"/>
      <c r="CO108" s="347"/>
      <c r="CP108" s="347"/>
    </row>
    <row r="109" spans="1:94" ht="27.75" customHeight="1">
      <c r="A109" s="347"/>
      <c r="B109" s="348"/>
      <c r="C109" s="347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  <c r="AK109" s="347"/>
      <c r="AL109" s="347"/>
      <c r="AM109" s="347"/>
      <c r="AN109" s="347"/>
      <c r="AO109" s="347"/>
      <c r="AP109" s="347"/>
      <c r="AQ109" s="347"/>
      <c r="AR109" s="347"/>
      <c r="AS109" s="347"/>
      <c r="AT109" s="347"/>
      <c r="AU109" s="347"/>
      <c r="AV109" s="347"/>
      <c r="AW109" s="347"/>
      <c r="AX109" s="347"/>
      <c r="AY109" s="347"/>
      <c r="AZ109" s="347"/>
      <c r="BA109" s="347"/>
      <c r="BB109" s="347"/>
      <c r="BC109" s="347"/>
      <c r="BD109" s="347"/>
      <c r="BE109" s="347"/>
      <c r="BF109" s="347"/>
      <c r="BG109" s="347"/>
      <c r="BH109" s="347"/>
      <c r="BI109" s="347"/>
      <c r="BJ109" s="347"/>
      <c r="BK109" s="347"/>
      <c r="BL109" s="347"/>
      <c r="BM109" s="347"/>
      <c r="BN109" s="347"/>
      <c r="BO109" s="347"/>
      <c r="BP109" s="347"/>
      <c r="BQ109" s="347"/>
      <c r="BR109" s="347"/>
      <c r="BS109" s="347"/>
      <c r="BT109" s="347"/>
      <c r="BU109" s="347"/>
      <c r="BV109" s="347"/>
      <c r="BW109" s="347"/>
      <c r="BX109" s="347"/>
      <c r="BY109" s="347"/>
      <c r="BZ109" s="347"/>
      <c r="CA109" s="347"/>
      <c r="CB109" s="347"/>
      <c r="CC109" s="347"/>
      <c r="CD109" s="347"/>
      <c r="CE109" s="347"/>
      <c r="CF109" s="347"/>
      <c r="CG109" s="347"/>
      <c r="CH109" s="347"/>
      <c r="CI109" s="347"/>
      <c r="CJ109" s="347"/>
      <c r="CK109" s="347"/>
      <c r="CL109" s="347"/>
      <c r="CM109" s="347"/>
      <c r="CN109" s="347"/>
      <c r="CO109" s="347"/>
      <c r="CP109" s="347"/>
    </row>
    <row r="110" spans="1:94" ht="27.75" customHeight="1">
      <c r="A110" s="347"/>
      <c r="B110" s="348"/>
      <c r="C110" s="347"/>
      <c r="D110" s="347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7"/>
      <c r="AD110" s="347"/>
      <c r="AE110" s="347"/>
      <c r="AF110" s="347"/>
      <c r="AG110" s="347"/>
      <c r="AH110" s="347"/>
      <c r="AI110" s="347"/>
      <c r="AJ110" s="347"/>
      <c r="AK110" s="347"/>
      <c r="AL110" s="347"/>
      <c r="AM110" s="347"/>
      <c r="AN110" s="347"/>
      <c r="AO110" s="347"/>
      <c r="AP110" s="347"/>
      <c r="AQ110" s="347"/>
      <c r="AR110" s="347"/>
      <c r="AS110" s="347"/>
      <c r="AT110" s="347"/>
      <c r="AU110" s="347"/>
      <c r="AV110" s="347"/>
      <c r="AW110" s="347"/>
      <c r="AX110" s="347"/>
      <c r="AY110" s="347"/>
      <c r="AZ110" s="347"/>
      <c r="BA110" s="347"/>
      <c r="BB110" s="347"/>
      <c r="BC110" s="347"/>
      <c r="BD110" s="347"/>
      <c r="BE110" s="347"/>
      <c r="BF110" s="347"/>
      <c r="BG110" s="347"/>
      <c r="BH110" s="347"/>
      <c r="BI110" s="347"/>
      <c r="BJ110" s="347"/>
      <c r="BK110" s="347"/>
      <c r="BL110" s="347"/>
      <c r="BM110" s="347"/>
      <c r="BN110" s="347"/>
      <c r="BO110" s="347"/>
      <c r="BP110" s="347"/>
      <c r="BQ110" s="347"/>
      <c r="BR110" s="347"/>
      <c r="BS110" s="347"/>
      <c r="BT110" s="347"/>
      <c r="BU110" s="347"/>
      <c r="BV110" s="347"/>
      <c r="BW110" s="347"/>
      <c r="BX110" s="347"/>
      <c r="BY110" s="347"/>
      <c r="BZ110" s="347"/>
      <c r="CA110" s="347"/>
      <c r="CB110" s="347"/>
      <c r="CC110" s="347"/>
      <c r="CD110" s="347"/>
      <c r="CE110" s="347"/>
      <c r="CF110" s="347"/>
      <c r="CG110" s="347"/>
      <c r="CH110" s="347"/>
      <c r="CI110" s="347"/>
      <c r="CJ110" s="347"/>
      <c r="CK110" s="347"/>
      <c r="CL110" s="347"/>
      <c r="CM110" s="347"/>
      <c r="CN110" s="347"/>
      <c r="CO110" s="347"/>
      <c r="CP110" s="347"/>
    </row>
    <row r="111" spans="1:94" ht="27.75" customHeight="1">
      <c r="A111" s="347"/>
      <c r="B111" s="348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7"/>
      <c r="R111" s="347"/>
      <c r="S111" s="347"/>
      <c r="T111" s="347"/>
      <c r="U111" s="347"/>
      <c r="V111" s="347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347"/>
      <c r="AQ111" s="347"/>
      <c r="AR111" s="347"/>
      <c r="AS111" s="347"/>
      <c r="AT111" s="347"/>
      <c r="AU111" s="347"/>
      <c r="AV111" s="347"/>
      <c r="AW111" s="347"/>
      <c r="AX111" s="347"/>
      <c r="AY111" s="347"/>
      <c r="AZ111" s="347"/>
      <c r="BA111" s="347"/>
      <c r="BB111" s="347"/>
      <c r="BC111" s="347"/>
      <c r="BD111" s="347"/>
      <c r="BE111" s="347"/>
      <c r="BF111" s="347"/>
      <c r="BG111" s="347"/>
      <c r="BH111" s="347"/>
      <c r="BI111" s="347"/>
      <c r="BJ111" s="347"/>
      <c r="BK111" s="347"/>
      <c r="BL111" s="347"/>
      <c r="BM111" s="347"/>
      <c r="BN111" s="347"/>
      <c r="BO111" s="347"/>
      <c r="BP111" s="347"/>
      <c r="BQ111" s="347"/>
      <c r="BR111" s="347"/>
      <c r="BS111" s="347"/>
      <c r="BT111" s="347"/>
      <c r="BU111" s="347"/>
      <c r="BV111" s="347"/>
      <c r="BW111" s="347"/>
      <c r="BX111" s="347"/>
      <c r="BY111" s="347"/>
      <c r="BZ111" s="347"/>
      <c r="CA111" s="347"/>
      <c r="CB111" s="347"/>
      <c r="CC111" s="347"/>
      <c r="CD111" s="347"/>
      <c r="CE111" s="347"/>
      <c r="CF111" s="347"/>
      <c r="CG111" s="347"/>
      <c r="CH111" s="347"/>
      <c r="CI111" s="347"/>
      <c r="CJ111" s="347"/>
      <c r="CK111" s="347"/>
      <c r="CL111" s="347"/>
      <c r="CM111" s="347"/>
      <c r="CN111" s="347"/>
      <c r="CO111" s="347"/>
      <c r="CP111" s="347"/>
    </row>
    <row r="112" spans="1:94" ht="27.75" customHeight="1">
      <c r="A112" s="347"/>
      <c r="B112" s="348"/>
      <c r="C112" s="347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7"/>
      <c r="T112" s="347"/>
      <c r="U112" s="347"/>
      <c r="V112" s="347"/>
      <c r="W112" s="347"/>
      <c r="X112" s="347"/>
      <c r="Y112" s="347"/>
      <c r="Z112" s="347"/>
      <c r="AA112" s="347"/>
      <c r="AB112" s="347"/>
      <c r="AC112" s="347"/>
      <c r="AD112" s="347"/>
      <c r="AE112" s="347"/>
      <c r="AF112" s="347"/>
      <c r="AG112" s="347"/>
      <c r="AH112" s="347"/>
      <c r="AI112" s="347"/>
      <c r="AJ112" s="347"/>
      <c r="AK112" s="347"/>
      <c r="AL112" s="347"/>
      <c r="AM112" s="347"/>
      <c r="AN112" s="347"/>
      <c r="AO112" s="347"/>
      <c r="AP112" s="347"/>
      <c r="AQ112" s="347"/>
      <c r="AR112" s="347"/>
      <c r="AS112" s="347"/>
      <c r="AT112" s="347"/>
      <c r="AU112" s="347"/>
      <c r="AV112" s="347"/>
      <c r="AW112" s="347"/>
      <c r="AX112" s="347"/>
      <c r="AY112" s="347"/>
      <c r="AZ112" s="347"/>
      <c r="BA112" s="347"/>
      <c r="BB112" s="347"/>
      <c r="BC112" s="347"/>
      <c r="BD112" s="347"/>
      <c r="BE112" s="347"/>
      <c r="BF112" s="347"/>
      <c r="BG112" s="347"/>
      <c r="BH112" s="347"/>
      <c r="BI112" s="347"/>
      <c r="BJ112" s="347"/>
      <c r="BK112" s="347"/>
      <c r="BL112" s="347"/>
      <c r="BM112" s="347"/>
      <c r="BN112" s="347"/>
      <c r="BO112" s="347"/>
      <c r="BP112" s="347"/>
      <c r="BQ112" s="347"/>
      <c r="BR112" s="347"/>
      <c r="BS112" s="347"/>
      <c r="BT112" s="347"/>
      <c r="BU112" s="347"/>
      <c r="BV112" s="347"/>
      <c r="BW112" s="347"/>
      <c r="BX112" s="347"/>
      <c r="BY112" s="347"/>
      <c r="BZ112" s="347"/>
      <c r="CA112" s="347"/>
      <c r="CB112" s="347"/>
      <c r="CC112" s="347"/>
      <c r="CD112" s="347"/>
      <c r="CE112" s="347"/>
      <c r="CF112" s="347"/>
      <c r="CG112" s="347"/>
      <c r="CH112" s="347"/>
      <c r="CI112" s="347"/>
      <c r="CJ112" s="347"/>
      <c r="CK112" s="347"/>
      <c r="CL112" s="347"/>
      <c r="CM112" s="347"/>
      <c r="CN112" s="347"/>
      <c r="CO112" s="347"/>
      <c r="CP112" s="347"/>
    </row>
    <row r="113" spans="1:94" ht="27.75" customHeight="1">
      <c r="A113" s="347"/>
      <c r="B113" s="348"/>
      <c r="C113" s="347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7"/>
      <c r="T113" s="347"/>
      <c r="U113" s="347"/>
      <c r="V113" s="347"/>
      <c r="W113" s="347"/>
      <c r="X113" s="347"/>
      <c r="Y113" s="347"/>
      <c r="Z113" s="347"/>
      <c r="AA113" s="347"/>
      <c r="AB113" s="347"/>
      <c r="AC113" s="347"/>
      <c r="AD113" s="347"/>
      <c r="AE113" s="347"/>
      <c r="AF113" s="347"/>
      <c r="AG113" s="347"/>
      <c r="AH113" s="347"/>
      <c r="AI113" s="347"/>
      <c r="AJ113" s="347"/>
      <c r="AK113" s="347"/>
      <c r="AL113" s="347"/>
      <c r="AM113" s="347"/>
      <c r="AN113" s="347"/>
      <c r="AO113" s="347"/>
      <c r="AP113" s="347"/>
      <c r="AQ113" s="347"/>
      <c r="AR113" s="347"/>
      <c r="AS113" s="347"/>
      <c r="AT113" s="347"/>
      <c r="AU113" s="347"/>
      <c r="AV113" s="347"/>
      <c r="AW113" s="347"/>
      <c r="AX113" s="347"/>
      <c r="AY113" s="347"/>
      <c r="AZ113" s="347"/>
      <c r="BA113" s="347"/>
      <c r="BB113" s="347"/>
      <c r="BC113" s="347"/>
      <c r="BD113" s="347"/>
      <c r="BE113" s="347"/>
      <c r="BF113" s="347"/>
      <c r="BG113" s="347"/>
      <c r="BH113" s="347"/>
      <c r="BI113" s="347"/>
      <c r="BJ113" s="347"/>
      <c r="BK113" s="347"/>
      <c r="BL113" s="347"/>
      <c r="BM113" s="347"/>
      <c r="BN113" s="347"/>
      <c r="BO113" s="347"/>
      <c r="BP113" s="347"/>
      <c r="BQ113" s="347"/>
      <c r="BR113" s="347"/>
      <c r="BS113" s="347"/>
      <c r="BT113" s="347"/>
      <c r="BU113" s="347"/>
      <c r="BV113" s="347"/>
      <c r="BW113" s="347"/>
      <c r="BX113" s="347"/>
      <c r="BY113" s="347"/>
      <c r="BZ113" s="347"/>
      <c r="CA113" s="347"/>
      <c r="CB113" s="347"/>
      <c r="CC113" s="347"/>
      <c r="CD113" s="347"/>
      <c r="CE113" s="347"/>
      <c r="CF113" s="347"/>
      <c r="CG113" s="347"/>
      <c r="CH113" s="347"/>
      <c r="CI113" s="347"/>
      <c r="CJ113" s="347"/>
      <c r="CK113" s="347"/>
      <c r="CL113" s="347"/>
      <c r="CM113" s="347"/>
      <c r="CN113" s="347"/>
      <c r="CO113" s="347"/>
      <c r="CP113" s="347"/>
    </row>
    <row r="114" spans="1:94" ht="27.75" customHeight="1">
      <c r="A114" s="347"/>
      <c r="B114" s="348"/>
      <c r="C114" s="347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347"/>
      <c r="AR114" s="347"/>
      <c r="AS114" s="347"/>
      <c r="AT114" s="347"/>
      <c r="AU114" s="347"/>
      <c r="AV114" s="347"/>
      <c r="AW114" s="347"/>
      <c r="AX114" s="347"/>
      <c r="AY114" s="347"/>
      <c r="AZ114" s="347"/>
      <c r="BA114" s="347"/>
      <c r="BB114" s="347"/>
      <c r="BC114" s="347"/>
      <c r="BD114" s="347"/>
      <c r="BE114" s="347"/>
      <c r="BF114" s="347"/>
      <c r="BG114" s="347"/>
      <c r="BH114" s="347"/>
      <c r="BI114" s="347"/>
      <c r="BJ114" s="347"/>
      <c r="BK114" s="347"/>
      <c r="BL114" s="347"/>
      <c r="BM114" s="347"/>
      <c r="BN114" s="347"/>
      <c r="BO114" s="347"/>
      <c r="BP114" s="347"/>
      <c r="BQ114" s="347"/>
      <c r="BR114" s="347"/>
      <c r="BS114" s="347"/>
      <c r="BT114" s="347"/>
      <c r="BU114" s="347"/>
      <c r="BV114" s="347"/>
      <c r="BW114" s="347"/>
      <c r="BX114" s="347"/>
      <c r="BY114" s="347"/>
      <c r="BZ114" s="347"/>
      <c r="CA114" s="347"/>
      <c r="CB114" s="347"/>
      <c r="CC114" s="347"/>
      <c r="CD114" s="347"/>
      <c r="CE114" s="347"/>
      <c r="CF114" s="347"/>
      <c r="CG114" s="347"/>
      <c r="CH114" s="347"/>
      <c r="CI114" s="347"/>
      <c r="CJ114" s="347"/>
      <c r="CK114" s="347"/>
      <c r="CL114" s="347"/>
      <c r="CM114" s="347"/>
      <c r="CN114" s="347"/>
      <c r="CO114" s="347"/>
      <c r="CP114" s="347"/>
    </row>
    <row r="115" spans="1:94" ht="27.75" customHeight="1">
      <c r="A115" s="347"/>
      <c r="B115" s="348"/>
      <c r="C115" s="347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7"/>
      <c r="T115" s="347"/>
      <c r="U115" s="347"/>
      <c r="V115" s="347"/>
      <c r="W115" s="347"/>
      <c r="X115" s="347"/>
      <c r="Y115" s="347"/>
      <c r="Z115" s="347"/>
      <c r="AA115" s="347"/>
      <c r="AB115" s="347"/>
      <c r="AC115" s="347"/>
      <c r="AD115" s="347"/>
      <c r="AE115" s="347"/>
      <c r="AF115" s="347"/>
      <c r="AG115" s="347"/>
      <c r="AH115" s="347"/>
      <c r="AI115" s="347"/>
      <c r="AJ115" s="347"/>
      <c r="AK115" s="347"/>
      <c r="AL115" s="347"/>
      <c r="AM115" s="347"/>
      <c r="AN115" s="347"/>
      <c r="AO115" s="347"/>
      <c r="AP115" s="347"/>
      <c r="AQ115" s="347"/>
      <c r="AR115" s="347"/>
      <c r="AS115" s="347"/>
      <c r="AT115" s="347"/>
      <c r="AU115" s="347"/>
      <c r="AV115" s="347"/>
      <c r="AW115" s="347"/>
      <c r="AX115" s="347"/>
      <c r="AY115" s="347"/>
      <c r="AZ115" s="347"/>
      <c r="BA115" s="347"/>
      <c r="BB115" s="347"/>
      <c r="BC115" s="347"/>
      <c r="BD115" s="347"/>
      <c r="BE115" s="347"/>
      <c r="BF115" s="347"/>
      <c r="BG115" s="347"/>
      <c r="BH115" s="347"/>
      <c r="BI115" s="347"/>
      <c r="BJ115" s="347"/>
      <c r="BK115" s="347"/>
      <c r="BL115" s="347"/>
      <c r="BM115" s="347"/>
      <c r="BN115" s="347"/>
      <c r="BO115" s="347"/>
      <c r="BP115" s="347"/>
      <c r="BQ115" s="347"/>
      <c r="BR115" s="347"/>
      <c r="BS115" s="347"/>
      <c r="BT115" s="347"/>
      <c r="BU115" s="347"/>
      <c r="BV115" s="347"/>
      <c r="BW115" s="347"/>
      <c r="BX115" s="347"/>
      <c r="BY115" s="347"/>
      <c r="BZ115" s="347"/>
      <c r="CA115" s="347"/>
      <c r="CB115" s="347"/>
      <c r="CC115" s="347"/>
      <c r="CD115" s="347"/>
      <c r="CE115" s="347"/>
      <c r="CF115" s="347"/>
      <c r="CG115" s="347"/>
      <c r="CH115" s="347"/>
      <c r="CI115" s="347"/>
      <c r="CJ115" s="347"/>
      <c r="CK115" s="347"/>
      <c r="CL115" s="347"/>
      <c r="CM115" s="347"/>
      <c r="CN115" s="347"/>
      <c r="CO115" s="347"/>
      <c r="CP115" s="347"/>
    </row>
    <row r="116" spans="1:94" ht="27.75" customHeight="1">
      <c r="A116" s="347"/>
      <c r="B116" s="348"/>
      <c r="C116" s="347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7"/>
      <c r="AD116" s="347"/>
      <c r="AE116" s="347"/>
      <c r="AF116" s="347"/>
      <c r="AG116" s="347"/>
      <c r="AH116" s="347"/>
      <c r="AI116" s="347"/>
      <c r="AJ116" s="347"/>
      <c r="AK116" s="347"/>
      <c r="AL116" s="347"/>
      <c r="AM116" s="347"/>
      <c r="AN116" s="347"/>
      <c r="AO116" s="347"/>
      <c r="AP116" s="347"/>
      <c r="AQ116" s="347"/>
      <c r="AR116" s="347"/>
      <c r="AS116" s="347"/>
      <c r="AT116" s="347"/>
      <c r="AU116" s="347"/>
      <c r="AV116" s="347"/>
      <c r="AW116" s="347"/>
      <c r="AX116" s="347"/>
      <c r="AY116" s="347"/>
      <c r="AZ116" s="347"/>
      <c r="BA116" s="347"/>
      <c r="BB116" s="347"/>
      <c r="BC116" s="347"/>
      <c r="BD116" s="347"/>
      <c r="BE116" s="347"/>
      <c r="BF116" s="347"/>
      <c r="BG116" s="347"/>
      <c r="BH116" s="347"/>
      <c r="BI116" s="347"/>
      <c r="BJ116" s="347"/>
      <c r="BK116" s="347"/>
      <c r="BL116" s="347"/>
      <c r="BM116" s="347"/>
      <c r="BN116" s="347"/>
      <c r="BO116" s="347"/>
      <c r="BP116" s="347"/>
      <c r="BQ116" s="347"/>
      <c r="BR116" s="347"/>
      <c r="BS116" s="347"/>
      <c r="BT116" s="347"/>
      <c r="BU116" s="347"/>
      <c r="BV116" s="347"/>
      <c r="BW116" s="347"/>
      <c r="BX116" s="347"/>
      <c r="BY116" s="347"/>
      <c r="BZ116" s="347"/>
      <c r="CA116" s="347"/>
      <c r="CB116" s="347"/>
      <c r="CC116" s="347"/>
      <c r="CD116" s="347"/>
      <c r="CE116" s="347"/>
      <c r="CF116" s="347"/>
      <c r="CG116" s="347"/>
      <c r="CH116" s="347"/>
      <c r="CI116" s="347"/>
      <c r="CJ116" s="347"/>
      <c r="CK116" s="347"/>
      <c r="CL116" s="347"/>
      <c r="CM116" s="347"/>
      <c r="CN116" s="347"/>
      <c r="CO116" s="347"/>
      <c r="CP116" s="347"/>
    </row>
    <row r="117" spans="1:94" ht="27.75" customHeight="1">
      <c r="A117" s="347"/>
      <c r="B117" s="348"/>
      <c r="C117" s="347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  <c r="AF117" s="347"/>
      <c r="AG117" s="347"/>
      <c r="AH117" s="347"/>
      <c r="AI117" s="347"/>
      <c r="AJ117" s="347"/>
      <c r="AK117" s="347"/>
      <c r="AL117" s="347"/>
      <c r="AM117" s="347"/>
      <c r="AN117" s="347"/>
      <c r="AO117" s="347"/>
      <c r="AP117" s="347"/>
      <c r="AQ117" s="347"/>
      <c r="AR117" s="347"/>
      <c r="AS117" s="347"/>
      <c r="AT117" s="347"/>
      <c r="AU117" s="347"/>
      <c r="AV117" s="347"/>
      <c r="AW117" s="347"/>
      <c r="AX117" s="347"/>
      <c r="AY117" s="347"/>
      <c r="AZ117" s="347"/>
      <c r="BA117" s="347"/>
      <c r="BB117" s="347"/>
      <c r="BC117" s="347"/>
      <c r="BD117" s="347"/>
      <c r="BE117" s="347"/>
      <c r="BF117" s="347"/>
      <c r="BG117" s="347"/>
      <c r="BH117" s="347"/>
      <c r="BI117" s="347"/>
      <c r="BJ117" s="347"/>
      <c r="BK117" s="347"/>
      <c r="BL117" s="347"/>
      <c r="BM117" s="347"/>
      <c r="BN117" s="347"/>
      <c r="BO117" s="347"/>
      <c r="BP117" s="347"/>
      <c r="BQ117" s="347"/>
      <c r="BR117" s="347"/>
      <c r="BS117" s="347"/>
      <c r="BT117" s="347"/>
      <c r="BU117" s="347"/>
      <c r="BV117" s="347"/>
      <c r="BW117" s="347"/>
      <c r="BX117" s="347"/>
      <c r="BY117" s="347"/>
      <c r="BZ117" s="347"/>
      <c r="CA117" s="347"/>
      <c r="CB117" s="347"/>
      <c r="CC117" s="347"/>
      <c r="CD117" s="347"/>
      <c r="CE117" s="347"/>
      <c r="CF117" s="347"/>
      <c r="CG117" s="347"/>
      <c r="CH117" s="347"/>
      <c r="CI117" s="347"/>
      <c r="CJ117" s="347"/>
      <c r="CK117" s="347"/>
      <c r="CL117" s="347"/>
      <c r="CM117" s="347"/>
      <c r="CN117" s="347"/>
      <c r="CO117" s="347"/>
      <c r="CP117" s="347"/>
    </row>
    <row r="118" spans="1:94" ht="27.75" customHeight="1">
      <c r="A118" s="347"/>
      <c r="B118" s="348"/>
      <c r="C118" s="347"/>
      <c r="D118" s="347"/>
      <c r="E118" s="347"/>
      <c r="F118" s="347"/>
      <c r="G118" s="347"/>
      <c r="H118" s="347"/>
      <c r="I118" s="347"/>
      <c r="J118" s="347"/>
      <c r="K118" s="347"/>
      <c r="L118" s="347"/>
      <c r="M118" s="347"/>
      <c r="N118" s="347"/>
      <c r="O118" s="347"/>
      <c r="P118" s="347"/>
      <c r="Q118" s="347"/>
      <c r="R118" s="347"/>
      <c r="S118" s="347"/>
      <c r="T118" s="347"/>
      <c r="U118" s="347"/>
      <c r="V118" s="347"/>
      <c r="W118" s="347"/>
      <c r="X118" s="347"/>
      <c r="Y118" s="347"/>
      <c r="Z118" s="347"/>
      <c r="AA118" s="347"/>
      <c r="AB118" s="347"/>
      <c r="AC118" s="347"/>
      <c r="AD118" s="347"/>
      <c r="AE118" s="347"/>
      <c r="AF118" s="347"/>
      <c r="AG118" s="347"/>
      <c r="AH118" s="347"/>
      <c r="AI118" s="347"/>
      <c r="AJ118" s="347"/>
      <c r="AK118" s="347"/>
      <c r="AL118" s="347"/>
      <c r="AM118" s="347"/>
      <c r="AN118" s="347"/>
      <c r="AO118" s="347"/>
      <c r="AP118" s="347"/>
      <c r="AQ118" s="347"/>
      <c r="AR118" s="347"/>
      <c r="AS118" s="347"/>
      <c r="AT118" s="347"/>
      <c r="AU118" s="347"/>
      <c r="AV118" s="347"/>
      <c r="AW118" s="347"/>
      <c r="AX118" s="347"/>
      <c r="AY118" s="347"/>
      <c r="AZ118" s="347"/>
      <c r="BA118" s="347"/>
      <c r="BB118" s="347"/>
      <c r="BC118" s="347"/>
      <c r="BD118" s="347"/>
      <c r="BE118" s="347"/>
      <c r="BF118" s="347"/>
      <c r="BG118" s="347"/>
      <c r="BH118" s="347"/>
      <c r="BI118" s="347"/>
      <c r="BJ118" s="347"/>
      <c r="BK118" s="347"/>
      <c r="BL118" s="347"/>
      <c r="BM118" s="347"/>
      <c r="BN118" s="347"/>
      <c r="BO118" s="347"/>
      <c r="BP118" s="347"/>
      <c r="BQ118" s="347"/>
      <c r="BR118" s="347"/>
      <c r="BS118" s="347"/>
      <c r="BT118" s="347"/>
      <c r="BU118" s="347"/>
      <c r="BV118" s="347"/>
      <c r="BW118" s="347"/>
      <c r="BX118" s="347"/>
      <c r="BY118" s="347"/>
      <c r="BZ118" s="347"/>
      <c r="CA118" s="347"/>
      <c r="CB118" s="347"/>
      <c r="CC118" s="347"/>
      <c r="CD118" s="347"/>
      <c r="CE118" s="347"/>
      <c r="CF118" s="347"/>
      <c r="CG118" s="347"/>
      <c r="CH118" s="347"/>
      <c r="CI118" s="347"/>
      <c r="CJ118" s="347"/>
      <c r="CK118" s="347"/>
      <c r="CL118" s="347"/>
      <c r="CM118" s="347"/>
      <c r="CN118" s="347"/>
      <c r="CO118" s="347"/>
      <c r="CP118" s="347"/>
    </row>
    <row r="119" spans="1:94" ht="27.75" customHeight="1">
      <c r="A119" s="347"/>
      <c r="B119" s="348"/>
      <c r="C119" s="347"/>
      <c r="D119" s="347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7"/>
      <c r="AD119" s="347"/>
      <c r="AE119" s="347"/>
      <c r="AF119" s="347"/>
      <c r="AG119" s="347"/>
      <c r="AH119" s="347"/>
      <c r="AI119" s="347"/>
      <c r="AJ119" s="347"/>
      <c r="AK119" s="347"/>
      <c r="AL119" s="347"/>
      <c r="AM119" s="347"/>
      <c r="AN119" s="347"/>
      <c r="AO119" s="347"/>
      <c r="AP119" s="347"/>
      <c r="AQ119" s="347"/>
      <c r="AR119" s="347"/>
      <c r="AS119" s="347"/>
      <c r="AT119" s="347"/>
      <c r="AU119" s="347"/>
      <c r="AV119" s="347"/>
      <c r="AW119" s="347"/>
      <c r="AX119" s="347"/>
      <c r="AY119" s="347"/>
      <c r="AZ119" s="347"/>
      <c r="BA119" s="347"/>
      <c r="BB119" s="347"/>
      <c r="BC119" s="347"/>
      <c r="BD119" s="347"/>
      <c r="BE119" s="347"/>
      <c r="BF119" s="347"/>
      <c r="BG119" s="347"/>
      <c r="BH119" s="347"/>
      <c r="BI119" s="347"/>
      <c r="BJ119" s="347"/>
      <c r="BK119" s="347"/>
      <c r="BL119" s="347"/>
      <c r="BM119" s="347"/>
      <c r="BN119" s="347"/>
      <c r="BO119" s="347"/>
      <c r="BP119" s="347"/>
      <c r="BQ119" s="347"/>
      <c r="BR119" s="347"/>
      <c r="BS119" s="347"/>
      <c r="BT119" s="347"/>
      <c r="BU119" s="347"/>
      <c r="BV119" s="347"/>
      <c r="BW119" s="347"/>
      <c r="BX119" s="347"/>
      <c r="BY119" s="347"/>
      <c r="BZ119" s="347"/>
      <c r="CA119" s="347"/>
      <c r="CB119" s="347"/>
      <c r="CC119" s="347"/>
      <c r="CD119" s="347"/>
      <c r="CE119" s="347"/>
      <c r="CF119" s="347"/>
      <c r="CG119" s="347"/>
      <c r="CH119" s="347"/>
      <c r="CI119" s="347"/>
      <c r="CJ119" s="347"/>
      <c r="CK119" s="347"/>
      <c r="CL119" s="347"/>
      <c r="CM119" s="347"/>
      <c r="CN119" s="347"/>
      <c r="CO119" s="347"/>
      <c r="CP119" s="347"/>
    </row>
    <row r="120" spans="1:94" ht="27.75" customHeight="1">
      <c r="A120" s="347"/>
      <c r="B120" s="348"/>
      <c r="C120" s="347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7"/>
      <c r="T120" s="347"/>
      <c r="U120" s="347"/>
      <c r="V120" s="347"/>
      <c r="W120" s="347"/>
      <c r="X120" s="347"/>
      <c r="Y120" s="347"/>
      <c r="Z120" s="347"/>
      <c r="AA120" s="347"/>
      <c r="AB120" s="347"/>
      <c r="AC120" s="347"/>
      <c r="AD120" s="347"/>
      <c r="AE120" s="347"/>
      <c r="AF120" s="347"/>
      <c r="AG120" s="347"/>
      <c r="AH120" s="347"/>
      <c r="AI120" s="347"/>
      <c r="AJ120" s="347"/>
      <c r="AK120" s="347"/>
      <c r="AL120" s="347"/>
      <c r="AM120" s="347"/>
      <c r="AN120" s="347"/>
      <c r="AO120" s="347"/>
      <c r="AP120" s="347"/>
      <c r="AQ120" s="347"/>
      <c r="AR120" s="347"/>
      <c r="AS120" s="347"/>
      <c r="AT120" s="347"/>
      <c r="AU120" s="347"/>
      <c r="AV120" s="347"/>
      <c r="AW120" s="347"/>
      <c r="AX120" s="347"/>
      <c r="AY120" s="347"/>
      <c r="AZ120" s="347"/>
      <c r="BA120" s="347"/>
      <c r="BB120" s="347"/>
      <c r="BC120" s="347"/>
      <c r="BD120" s="347"/>
      <c r="BE120" s="347"/>
      <c r="BF120" s="347"/>
      <c r="BG120" s="347"/>
      <c r="BH120" s="347"/>
      <c r="BI120" s="347"/>
      <c r="BJ120" s="347"/>
      <c r="BK120" s="347"/>
      <c r="BL120" s="347"/>
      <c r="BM120" s="347"/>
      <c r="BN120" s="347"/>
      <c r="BO120" s="347"/>
      <c r="BP120" s="347"/>
      <c r="BQ120" s="347"/>
      <c r="BR120" s="347"/>
      <c r="BS120" s="347"/>
      <c r="BT120" s="347"/>
      <c r="BU120" s="347"/>
      <c r="BV120" s="347"/>
      <c r="BW120" s="347"/>
      <c r="BX120" s="347"/>
      <c r="BY120" s="347"/>
      <c r="BZ120" s="347"/>
      <c r="CA120" s="347"/>
      <c r="CB120" s="347"/>
      <c r="CC120" s="347"/>
      <c r="CD120" s="347"/>
      <c r="CE120" s="347"/>
      <c r="CF120" s="347"/>
      <c r="CG120" s="347"/>
      <c r="CH120" s="347"/>
      <c r="CI120" s="347"/>
      <c r="CJ120" s="347"/>
      <c r="CK120" s="347"/>
      <c r="CL120" s="347"/>
      <c r="CM120" s="347"/>
      <c r="CN120" s="347"/>
      <c r="CO120" s="347"/>
      <c r="CP120" s="347"/>
    </row>
    <row r="121" spans="1:94" ht="27.75" customHeight="1">
      <c r="A121" s="347"/>
      <c r="B121" s="348"/>
      <c r="C121" s="347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7"/>
      <c r="T121" s="347"/>
      <c r="U121" s="347"/>
      <c r="V121" s="347"/>
      <c r="W121" s="347"/>
      <c r="X121" s="347"/>
      <c r="Y121" s="347"/>
      <c r="Z121" s="347"/>
      <c r="AA121" s="347"/>
      <c r="AB121" s="347"/>
      <c r="AC121" s="347"/>
      <c r="AD121" s="347"/>
      <c r="AE121" s="347"/>
      <c r="AF121" s="347"/>
      <c r="AG121" s="347"/>
      <c r="AH121" s="347"/>
      <c r="AI121" s="347"/>
      <c r="AJ121" s="347"/>
      <c r="AK121" s="347"/>
      <c r="AL121" s="347"/>
      <c r="AM121" s="347"/>
      <c r="AN121" s="347"/>
      <c r="AO121" s="347"/>
      <c r="AP121" s="347"/>
      <c r="AQ121" s="347"/>
      <c r="AR121" s="347"/>
      <c r="AS121" s="347"/>
      <c r="AT121" s="347"/>
      <c r="AU121" s="347"/>
      <c r="AV121" s="347"/>
      <c r="AW121" s="347"/>
      <c r="AX121" s="347"/>
      <c r="AY121" s="347"/>
      <c r="AZ121" s="347"/>
      <c r="BA121" s="347"/>
      <c r="BB121" s="347"/>
      <c r="BC121" s="347"/>
      <c r="BD121" s="347"/>
      <c r="BE121" s="347"/>
      <c r="BF121" s="347"/>
      <c r="BG121" s="347"/>
      <c r="BH121" s="347"/>
      <c r="BI121" s="347"/>
      <c r="BJ121" s="347"/>
      <c r="BK121" s="347"/>
      <c r="BL121" s="347"/>
      <c r="BM121" s="347"/>
      <c r="BN121" s="347"/>
      <c r="BO121" s="347"/>
      <c r="BP121" s="347"/>
      <c r="BQ121" s="347"/>
      <c r="BR121" s="347"/>
      <c r="BS121" s="347"/>
      <c r="BT121" s="347"/>
      <c r="BU121" s="347"/>
      <c r="BV121" s="347"/>
      <c r="BW121" s="347"/>
      <c r="BX121" s="347"/>
      <c r="BY121" s="347"/>
      <c r="BZ121" s="347"/>
      <c r="CA121" s="347"/>
      <c r="CB121" s="347"/>
      <c r="CC121" s="347"/>
      <c r="CD121" s="347"/>
      <c r="CE121" s="347"/>
      <c r="CF121" s="347"/>
      <c r="CG121" s="347"/>
      <c r="CH121" s="347"/>
      <c r="CI121" s="347"/>
      <c r="CJ121" s="347"/>
      <c r="CK121" s="347"/>
      <c r="CL121" s="347"/>
      <c r="CM121" s="347"/>
      <c r="CN121" s="347"/>
      <c r="CO121" s="347"/>
      <c r="CP121" s="347"/>
    </row>
    <row r="122" spans="1:94" ht="27.75" customHeight="1">
      <c r="A122" s="347"/>
      <c r="B122" s="348"/>
      <c r="C122" s="347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7"/>
      <c r="T122" s="347"/>
      <c r="U122" s="347"/>
      <c r="V122" s="347"/>
      <c r="W122" s="347"/>
      <c r="X122" s="347"/>
      <c r="Y122" s="347"/>
      <c r="Z122" s="347"/>
      <c r="AA122" s="347"/>
      <c r="AB122" s="347"/>
      <c r="AC122" s="347"/>
      <c r="AD122" s="347"/>
      <c r="AE122" s="347"/>
      <c r="AF122" s="347"/>
      <c r="AG122" s="347"/>
      <c r="AH122" s="347"/>
      <c r="AI122" s="347"/>
      <c r="AJ122" s="347"/>
      <c r="AK122" s="347"/>
      <c r="AL122" s="347"/>
      <c r="AM122" s="347"/>
      <c r="AN122" s="347"/>
      <c r="AO122" s="347"/>
      <c r="AP122" s="347"/>
      <c r="AQ122" s="347"/>
      <c r="AR122" s="347"/>
      <c r="AS122" s="347"/>
      <c r="AT122" s="347"/>
      <c r="AU122" s="347"/>
      <c r="AV122" s="347"/>
      <c r="AW122" s="347"/>
      <c r="AX122" s="347"/>
      <c r="AY122" s="347"/>
      <c r="AZ122" s="347"/>
      <c r="BA122" s="347"/>
      <c r="BB122" s="347"/>
      <c r="BC122" s="347"/>
      <c r="BD122" s="347"/>
      <c r="BE122" s="347"/>
      <c r="BF122" s="347"/>
      <c r="BG122" s="347"/>
      <c r="BH122" s="347"/>
      <c r="BI122" s="347"/>
      <c r="BJ122" s="347"/>
      <c r="BK122" s="347"/>
      <c r="BL122" s="347"/>
      <c r="BM122" s="347"/>
      <c r="BN122" s="347"/>
      <c r="BO122" s="347"/>
      <c r="BP122" s="347"/>
      <c r="BQ122" s="347"/>
      <c r="BR122" s="347"/>
      <c r="BS122" s="347"/>
      <c r="BT122" s="347"/>
      <c r="BU122" s="347"/>
      <c r="BV122" s="347"/>
      <c r="BW122" s="347"/>
      <c r="BX122" s="347"/>
      <c r="BY122" s="347"/>
      <c r="BZ122" s="347"/>
      <c r="CA122" s="347"/>
      <c r="CB122" s="347"/>
      <c r="CC122" s="347"/>
      <c r="CD122" s="347"/>
      <c r="CE122" s="347"/>
      <c r="CF122" s="347"/>
      <c r="CG122" s="347"/>
      <c r="CH122" s="347"/>
      <c r="CI122" s="347"/>
      <c r="CJ122" s="347"/>
      <c r="CK122" s="347"/>
      <c r="CL122" s="347"/>
      <c r="CM122" s="347"/>
      <c r="CN122" s="347"/>
      <c r="CO122" s="347"/>
      <c r="CP122" s="347"/>
    </row>
    <row r="123" spans="1:94" ht="27.75" customHeight="1">
      <c r="A123" s="347"/>
      <c r="B123" s="348"/>
      <c r="C123" s="347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7"/>
      <c r="T123" s="347"/>
      <c r="U123" s="347"/>
      <c r="V123" s="347"/>
      <c r="W123" s="347"/>
      <c r="X123" s="347"/>
      <c r="Y123" s="347"/>
      <c r="Z123" s="347"/>
      <c r="AA123" s="347"/>
      <c r="AB123" s="347"/>
      <c r="AC123" s="347"/>
      <c r="AD123" s="347"/>
      <c r="AE123" s="347"/>
      <c r="AF123" s="347"/>
      <c r="AG123" s="347"/>
      <c r="AH123" s="347"/>
      <c r="AI123" s="347"/>
      <c r="AJ123" s="347"/>
      <c r="AK123" s="347"/>
      <c r="AL123" s="347"/>
      <c r="AM123" s="347"/>
      <c r="AN123" s="347"/>
      <c r="AO123" s="347"/>
      <c r="AP123" s="347"/>
      <c r="AQ123" s="347"/>
      <c r="AR123" s="347"/>
      <c r="AS123" s="347"/>
      <c r="AT123" s="347"/>
      <c r="AU123" s="347"/>
      <c r="AV123" s="347"/>
      <c r="AW123" s="347"/>
      <c r="AX123" s="347"/>
      <c r="AY123" s="347"/>
      <c r="AZ123" s="347"/>
      <c r="BA123" s="347"/>
      <c r="BB123" s="347"/>
      <c r="BC123" s="347"/>
      <c r="BD123" s="347"/>
      <c r="BE123" s="347"/>
      <c r="BF123" s="347"/>
      <c r="BG123" s="347"/>
      <c r="BH123" s="347"/>
      <c r="BI123" s="347"/>
      <c r="BJ123" s="347"/>
      <c r="BK123" s="347"/>
      <c r="BL123" s="347"/>
      <c r="BM123" s="347"/>
      <c r="BN123" s="347"/>
      <c r="BO123" s="347"/>
      <c r="BP123" s="347"/>
      <c r="BQ123" s="347"/>
      <c r="BR123" s="347"/>
      <c r="BS123" s="347"/>
      <c r="BT123" s="347"/>
      <c r="BU123" s="347"/>
      <c r="BV123" s="347"/>
      <c r="BW123" s="347"/>
      <c r="BX123" s="347"/>
      <c r="BY123" s="347"/>
      <c r="BZ123" s="347"/>
      <c r="CA123" s="347"/>
      <c r="CB123" s="347"/>
      <c r="CC123" s="347"/>
      <c r="CD123" s="347"/>
      <c r="CE123" s="347"/>
      <c r="CF123" s="347"/>
      <c r="CG123" s="347"/>
      <c r="CH123" s="347"/>
      <c r="CI123" s="347"/>
      <c r="CJ123" s="347"/>
      <c r="CK123" s="347"/>
      <c r="CL123" s="347"/>
      <c r="CM123" s="347"/>
      <c r="CN123" s="347"/>
      <c r="CO123" s="347"/>
      <c r="CP123" s="347"/>
    </row>
    <row r="124" spans="1:94" ht="27.75" customHeight="1">
      <c r="A124" s="347"/>
      <c r="B124" s="348"/>
      <c r="C124" s="347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7"/>
      <c r="T124" s="347"/>
      <c r="U124" s="347"/>
      <c r="V124" s="347"/>
      <c r="W124" s="347"/>
      <c r="X124" s="347"/>
      <c r="Y124" s="347"/>
      <c r="Z124" s="347"/>
      <c r="AA124" s="347"/>
      <c r="AB124" s="347"/>
      <c r="AC124" s="347"/>
      <c r="AD124" s="347"/>
      <c r="AE124" s="347"/>
      <c r="AF124" s="347"/>
      <c r="AG124" s="347"/>
      <c r="AH124" s="347"/>
      <c r="AI124" s="347"/>
      <c r="AJ124" s="347"/>
      <c r="AK124" s="347"/>
      <c r="AL124" s="347"/>
      <c r="AM124" s="347"/>
      <c r="AN124" s="347"/>
      <c r="AO124" s="347"/>
      <c r="AP124" s="347"/>
      <c r="AQ124" s="347"/>
      <c r="AR124" s="347"/>
      <c r="AS124" s="347"/>
      <c r="AT124" s="347"/>
      <c r="AU124" s="347"/>
      <c r="AV124" s="347"/>
      <c r="AW124" s="347"/>
      <c r="AX124" s="347"/>
      <c r="AY124" s="347"/>
      <c r="AZ124" s="347"/>
      <c r="BA124" s="347"/>
      <c r="BB124" s="347"/>
      <c r="BC124" s="347"/>
      <c r="BD124" s="347"/>
      <c r="BE124" s="347"/>
      <c r="BF124" s="347"/>
      <c r="BG124" s="347"/>
      <c r="BH124" s="347"/>
      <c r="BI124" s="347"/>
      <c r="BJ124" s="347"/>
      <c r="BK124" s="347"/>
      <c r="BL124" s="347"/>
      <c r="BM124" s="347"/>
      <c r="BN124" s="347"/>
      <c r="BO124" s="347"/>
      <c r="BP124" s="347"/>
      <c r="BQ124" s="347"/>
      <c r="BR124" s="347"/>
      <c r="BS124" s="347"/>
      <c r="BT124" s="347"/>
      <c r="BU124" s="347"/>
      <c r="BV124" s="347"/>
      <c r="BW124" s="347"/>
      <c r="BX124" s="347"/>
      <c r="BY124" s="347"/>
      <c r="BZ124" s="347"/>
      <c r="CA124" s="347"/>
      <c r="CB124" s="347"/>
      <c r="CC124" s="347"/>
      <c r="CD124" s="347"/>
      <c r="CE124" s="347"/>
      <c r="CF124" s="347"/>
      <c r="CG124" s="347"/>
      <c r="CH124" s="347"/>
      <c r="CI124" s="347"/>
      <c r="CJ124" s="347"/>
      <c r="CK124" s="347"/>
      <c r="CL124" s="347"/>
      <c r="CM124" s="347"/>
      <c r="CN124" s="347"/>
      <c r="CO124" s="347"/>
      <c r="CP124" s="347"/>
    </row>
    <row r="125" spans="1:94" ht="27.75" customHeight="1">
      <c r="A125" s="347"/>
      <c r="B125" s="348"/>
      <c r="C125" s="347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7"/>
      <c r="T125" s="347"/>
      <c r="U125" s="347"/>
      <c r="V125" s="347"/>
      <c r="W125" s="347"/>
      <c r="X125" s="347"/>
      <c r="Y125" s="347"/>
      <c r="Z125" s="347"/>
      <c r="AA125" s="347"/>
      <c r="AB125" s="347"/>
      <c r="AC125" s="347"/>
      <c r="AD125" s="347"/>
      <c r="AE125" s="347"/>
      <c r="AF125" s="347"/>
      <c r="AG125" s="347"/>
      <c r="AH125" s="347"/>
      <c r="AI125" s="347"/>
      <c r="AJ125" s="347"/>
      <c r="AK125" s="347"/>
      <c r="AL125" s="347"/>
      <c r="AM125" s="347"/>
      <c r="AN125" s="347"/>
      <c r="AO125" s="347"/>
      <c r="AP125" s="347"/>
      <c r="AQ125" s="347"/>
      <c r="AR125" s="347"/>
      <c r="AS125" s="347"/>
      <c r="AT125" s="347"/>
      <c r="AU125" s="347"/>
      <c r="AV125" s="347"/>
      <c r="AW125" s="347"/>
      <c r="AX125" s="347"/>
      <c r="AY125" s="347"/>
      <c r="AZ125" s="347"/>
      <c r="BA125" s="347"/>
      <c r="BB125" s="347"/>
      <c r="BC125" s="347"/>
      <c r="BD125" s="347"/>
      <c r="BE125" s="347"/>
      <c r="BF125" s="347"/>
      <c r="BG125" s="347"/>
      <c r="BH125" s="347"/>
      <c r="BI125" s="347"/>
      <c r="BJ125" s="347"/>
      <c r="BK125" s="347"/>
      <c r="BL125" s="347"/>
      <c r="BM125" s="347"/>
      <c r="BN125" s="347"/>
      <c r="BO125" s="347"/>
      <c r="BP125" s="347"/>
      <c r="BQ125" s="347"/>
      <c r="BR125" s="347"/>
      <c r="BS125" s="347"/>
      <c r="BT125" s="347"/>
      <c r="BU125" s="347"/>
      <c r="BV125" s="347"/>
      <c r="BW125" s="347"/>
      <c r="BX125" s="347"/>
      <c r="BY125" s="347"/>
      <c r="BZ125" s="347"/>
      <c r="CA125" s="347"/>
      <c r="CB125" s="347"/>
      <c r="CC125" s="347"/>
      <c r="CD125" s="347"/>
      <c r="CE125" s="347"/>
      <c r="CF125" s="347"/>
      <c r="CG125" s="347"/>
      <c r="CH125" s="347"/>
      <c r="CI125" s="347"/>
      <c r="CJ125" s="347"/>
      <c r="CK125" s="347"/>
      <c r="CL125" s="347"/>
      <c r="CM125" s="347"/>
      <c r="CN125" s="347"/>
      <c r="CO125" s="347"/>
      <c r="CP125" s="347"/>
    </row>
    <row r="126" spans="1:94" ht="27.75" customHeight="1">
      <c r="A126" s="347"/>
      <c r="B126" s="348"/>
      <c r="C126" s="347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7"/>
      <c r="T126" s="347"/>
      <c r="U126" s="347"/>
      <c r="V126" s="347"/>
      <c r="W126" s="347"/>
      <c r="X126" s="347"/>
      <c r="Y126" s="347"/>
      <c r="Z126" s="347"/>
      <c r="AA126" s="347"/>
      <c r="AB126" s="347"/>
      <c r="AC126" s="347"/>
      <c r="AD126" s="347"/>
      <c r="AE126" s="347"/>
      <c r="AF126" s="347"/>
      <c r="AG126" s="347"/>
      <c r="AH126" s="347"/>
      <c r="AI126" s="347"/>
      <c r="AJ126" s="347"/>
      <c r="AK126" s="347"/>
      <c r="AL126" s="347"/>
      <c r="AM126" s="347"/>
      <c r="AN126" s="347"/>
      <c r="AO126" s="347"/>
      <c r="AP126" s="347"/>
      <c r="AQ126" s="347"/>
      <c r="AR126" s="347"/>
      <c r="AS126" s="347"/>
      <c r="AT126" s="347"/>
      <c r="AU126" s="347"/>
      <c r="AV126" s="347"/>
      <c r="AW126" s="347"/>
      <c r="AX126" s="347"/>
      <c r="AY126" s="347"/>
      <c r="AZ126" s="347"/>
      <c r="BA126" s="347"/>
      <c r="BB126" s="347"/>
      <c r="BC126" s="347"/>
      <c r="BD126" s="347"/>
      <c r="BE126" s="347"/>
      <c r="BF126" s="347"/>
      <c r="BG126" s="347"/>
      <c r="BH126" s="347"/>
      <c r="BI126" s="347"/>
      <c r="BJ126" s="347"/>
      <c r="BK126" s="347"/>
      <c r="BL126" s="347"/>
      <c r="BM126" s="347"/>
      <c r="BN126" s="347"/>
      <c r="BO126" s="347"/>
      <c r="BP126" s="347"/>
      <c r="BQ126" s="347"/>
      <c r="BR126" s="347"/>
      <c r="BS126" s="347"/>
      <c r="BT126" s="347"/>
      <c r="BU126" s="347"/>
      <c r="BV126" s="347"/>
      <c r="BW126" s="347"/>
      <c r="BX126" s="347"/>
      <c r="BY126" s="347"/>
      <c r="BZ126" s="347"/>
      <c r="CA126" s="347"/>
      <c r="CB126" s="347"/>
      <c r="CC126" s="347"/>
      <c r="CD126" s="347"/>
      <c r="CE126" s="347"/>
      <c r="CF126" s="347"/>
      <c r="CG126" s="347"/>
      <c r="CH126" s="347"/>
      <c r="CI126" s="347"/>
      <c r="CJ126" s="347"/>
      <c r="CK126" s="347"/>
      <c r="CL126" s="347"/>
      <c r="CM126" s="347"/>
      <c r="CN126" s="347"/>
      <c r="CO126" s="347"/>
      <c r="CP126" s="347"/>
    </row>
    <row r="127" spans="1:94" ht="27.75" customHeight="1">
      <c r="A127" s="347"/>
      <c r="B127" s="348"/>
      <c r="C127" s="347"/>
      <c r="D127" s="347"/>
      <c r="E127" s="347"/>
      <c r="F127" s="347"/>
      <c r="G127" s="347"/>
      <c r="H127" s="347"/>
      <c r="I127" s="347"/>
      <c r="J127" s="347"/>
      <c r="K127" s="347"/>
      <c r="L127" s="347"/>
      <c r="M127" s="347"/>
      <c r="N127" s="347"/>
      <c r="O127" s="347"/>
      <c r="P127" s="347"/>
      <c r="Q127" s="347"/>
      <c r="R127" s="347"/>
      <c r="S127" s="347"/>
      <c r="T127" s="347"/>
      <c r="U127" s="347"/>
      <c r="V127" s="347"/>
      <c r="W127" s="347"/>
      <c r="X127" s="347"/>
      <c r="Y127" s="347"/>
      <c r="Z127" s="347"/>
      <c r="AA127" s="347"/>
      <c r="AB127" s="347"/>
      <c r="AC127" s="347"/>
      <c r="AD127" s="347"/>
      <c r="AE127" s="347"/>
      <c r="AF127" s="347"/>
      <c r="AG127" s="347"/>
      <c r="AH127" s="347"/>
      <c r="AI127" s="347"/>
      <c r="AJ127" s="347"/>
      <c r="AK127" s="347"/>
      <c r="AL127" s="347"/>
      <c r="AM127" s="347"/>
      <c r="AN127" s="347"/>
      <c r="AO127" s="347"/>
      <c r="AP127" s="347"/>
      <c r="AQ127" s="347"/>
      <c r="AR127" s="347"/>
      <c r="AS127" s="347"/>
      <c r="AT127" s="347"/>
      <c r="AU127" s="347"/>
      <c r="AV127" s="347"/>
      <c r="AW127" s="347"/>
      <c r="AX127" s="347"/>
      <c r="AY127" s="347"/>
      <c r="AZ127" s="347"/>
      <c r="BA127" s="347"/>
      <c r="BB127" s="347"/>
      <c r="BC127" s="347"/>
      <c r="BD127" s="347"/>
      <c r="BE127" s="347"/>
      <c r="BF127" s="347"/>
      <c r="BG127" s="347"/>
      <c r="BH127" s="347"/>
      <c r="BI127" s="347"/>
      <c r="BJ127" s="347"/>
      <c r="BK127" s="347"/>
      <c r="BL127" s="347"/>
      <c r="BM127" s="347"/>
      <c r="BN127" s="347"/>
      <c r="BO127" s="347"/>
      <c r="BP127" s="347"/>
      <c r="BQ127" s="347"/>
      <c r="BR127" s="347"/>
      <c r="BS127" s="347"/>
      <c r="BT127" s="347"/>
      <c r="BU127" s="347"/>
      <c r="BV127" s="347"/>
      <c r="BW127" s="347"/>
      <c r="BX127" s="347"/>
      <c r="BY127" s="347"/>
      <c r="BZ127" s="347"/>
      <c r="CA127" s="347"/>
      <c r="CB127" s="347"/>
      <c r="CC127" s="347"/>
      <c r="CD127" s="347"/>
      <c r="CE127" s="347"/>
      <c r="CF127" s="347"/>
      <c r="CG127" s="347"/>
      <c r="CH127" s="347"/>
      <c r="CI127" s="347"/>
      <c r="CJ127" s="347"/>
      <c r="CK127" s="347"/>
      <c r="CL127" s="347"/>
      <c r="CM127" s="347"/>
      <c r="CN127" s="347"/>
      <c r="CO127" s="347"/>
      <c r="CP127" s="347"/>
    </row>
    <row r="128" spans="1:94" ht="27.75" customHeight="1">
      <c r="A128" s="347"/>
      <c r="B128" s="348"/>
      <c r="C128" s="347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  <c r="X128" s="347"/>
      <c r="Y128" s="347"/>
      <c r="Z128" s="347"/>
      <c r="AA128" s="347"/>
      <c r="AB128" s="347"/>
      <c r="AC128" s="347"/>
      <c r="AD128" s="347"/>
      <c r="AE128" s="347"/>
      <c r="AF128" s="347"/>
      <c r="AG128" s="347"/>
      <c r="AH128" s="347"/>
      <c r="AI128" s="347"/>
      <c r="AJ128" s="347"/>
      <c r="AK128" s="347"/>
      <c r="AL128" s="347"/>
      <c r="AM128" s="347"/>
      <c r="AN128" s="347"/>
      <c r="AO128" s="347"/>
      <c r="AP128" s="347"/>
      <c r="AQ128" s="347"/>
      <c r="AR128" s="347"/>
      <c r="AS128" s="347"/>
      <c r="AT128" s="347"/>
      <c r="AU128" s="347"/>
      <c r="AV128" s="347"/>
      <c r="AW128" s="347"/>
      <c r="AX128" s="347"/>
      <c r="AY128" s="347"/>
      <c r="AZ128" s="347"/>
      <c r="BA128" s="347"/>
      <c r="BB128" s="347"/>
      <c r="BC128" s="347"/>
      <c r="BD128" s="347"/>
      <c r="BE128" s="347"/>
      <c r="BF128" s="347"/>
      <c r="BG128" s="347"/>
      <c r="BH128" s="347"/>
      <c r="BI128" s="347"/>
      <c r="BJ128" s="347"/>
      <c r="BK128" s="347"/>
      <c r="BL128" s="347"/>
      <c r="BM128" s="347"/>
      <c r="BN128" s="347"/>
      <c r="BO128" s="347"/>
      <c r="BP128" s="347"/>
      <c r="BQ128" s="347"/>
      <c r="BR128" s="347"/>
      <c r="BS128" s="347"/>
      <c r="BT128" s="347"/>
      <c r="BU128" s="347"/>
      <c r="BV128" s="347"/>
      <c r="BW128" s="347"/>
      <c r="BX128" s="347"/>
      <c r="BY128" s="347"/>
      <c r="BZ128" s="347"/>
      <c r="CA128" s="347"/>
      <c r="CB128" s="347"/>
      <c r="CC128" s="347"/>
      <c r="CD128" s="347"/>
      <c r="CE128" s="347"/>
      <c r="CF128" s="347"/>
      <c r="CG128" s="347"/>
      <c r="CH128" s="347"/>
      <c r="CI128" s="347"/>
      <c r="CJ128" s="347"/>
      <c r="CK128" s="347"/>
      <c r="CL128" s="347"/>
      <c r="CM128" s="347"/>
      <c r="CN128" s="347"/>
      <c r="CO128" s="347"/>
      <c r="CP128" s="347"/>
    </row>
    <row r="129" spans="1:94" ht="27.75" customHeight="1">
      <c r="A129" s="347"/>
      <c r="B129" s="348"/>
      <c r="C129" s="347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7"/>
      <c r="T129" s="347"/>
      <c r="U129" s="347"/>
      <c r="V129" s="347"/>
      <c r="W129" s="347"/>
      <c r="X129" s="347"/>
      <c r="Y129" s="347"/>
      <c r="Z129" s="347"/>
      <c r="AA129" s="347"/>
      <c r="AB129" s="347"/>
      <c r="AC129" s="347"/>
      <c r="AD129" s="347"/>
      <c r="AE129" s="347"/>
      <c r="AF129" s="347"/>
      <c r="AG129" s="347"/>
      <c r="AH129" s="347"/>
      <c r="AI129" s="347"/>
      <c r="AJ129" s="347"/>
      <c r="AK129" s="347"/>
      <c r="AL129" s="347"/>
      <c r="AM129" s="347"/>
      <c r="AN129" s="347"/>
      <c r="AO129" s="347"/>
      <c r="AP129" s="347"/>
      <c r="AQ129" s="347"/>
      <c r="AR129" s="347"/>
      <c r="AS129" s="347"/>
      <c r="AT129" s="347"/>
      <c r="AU129" s="347"/>
      <c r="AV129" s="347"/>
      <c r="AW129" s="347"/>
      <c r="AX129" s="347"/>
      <c r="AY129" s="347"/>
      <c r="AZ129" s="347"/>
      <c r="BA129" s="347"/>
      <c r="BB129" s="347"/>
      <c r="BC129" s="347"/>
      <c r="BD129" s="347"/>
      <c r="BE129" s="347"/>
      <c r="BF129" s="347"/>
      <c r="BG129" s="347"/>
      <c r="BH129" s="347"/>
      <c r="BI129" s="347"/>
      <c r="BJ129" s="347"/>
      <c r="BK129" s="347"/>
      <c r="BL129" s="347"/>
      <c r="BM129" s="347"/>
      <c r="BN129" s="347"/>
      <c r="BO129" s="347"/>
      <c r="BP129" s="347"/>
      <c r="BQ129" s="347"/>
      <c r="BR129" s="347"/>
      <c r="BS129" s="347"/>
      <c r="BT129" s="347"/>
      <c r="BU129" s="347"/>
      <c r="BV129" s="347"/>
      <c r="BW129" s="347"/>
      <c r="BX129" s="347"/>
      <c r="BY129" s="347"/>
      <c r="BZ129" s="347"/>
      <c r="CA129" s="347"/>
      <c r="CB129" s="347"/>
      <c r="CC129" s="347"/>
      <c r="CD129" s="347"/>
      <c r="CE129" s="347"/>
      <c r="CF129" s="347"/>
      <c r="CG129" s="347"/>
      <c r="CH129" s="347"/>
      <c r="CI129" s="347"/>
      <c r="CJ129" s="347"/>
      <c r="CK129" s="347"/>
      <c r="CL129" s="347"/>
      <c r="CM129" s="347"/>
      <c r="CN129" s="347"/>
      <c r="CO129" s="347"/>
      <c r="CP129" s="347"/>
    </row>
    <row r="130" spans="1:94" ht="27.75" customHeight="1">
      <c r="A130" s="347"/>
      <c r="B130" s="348"/>
      <c r="C130" s="347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7"/>
      <c r="T130" s="347"/>
      <c r="U130" s="347"/>
      <c r="V130" s="347"/>
      <c r="W130" s="347"/>
      <c r="X130" s="347"/>
      <c r="Y130" s="347"/>
      <c r="Z130" s="347"/>
      <c r="AA130" s="347"/>
      <c r="AB130" s="347"/>
      <c r="AC130" s="347"/>
      <c r="AD130" s="347"/>
      <c r="AE130" s="347"/>
      <c r="AF130" s="347"/>
      <c r="AG130" s="347"/>
      <c r="AH130" s="347"/>
      <c r="AI130" s="347"/>
      <c r="AJ130" s="347"/>
      <c r="AK130" s="347"/>
      <c r="AL130" s="347"/>
      <c r="AM130" s="347"/>
      <c r="AN130" s="347"/>
      <c r="AO130" s="347"/>
      <c r="AP130" s="347"/>
      <c r="AQ130" s="347"/>
      <c r="AR130" s="347"/>
      <c r="AS130" s="347"/>
      <c r="AT130" s="347"/>
      <c r="AU130" s="347"/>
      <c r="AV130" s="347"/>
      <c r="AW130" s="347"/>
      <c r="AX130" s="347"/>
      <c r="AY130" s="347"/>
      <c r="AZ130" s="347"/>
      <c r="BA130" s="347"/>
      <c r="BB130" s="347"/>
      <c r="BC130" s="347"/>
      <c r="BD130" s="347"/>
      <c r="BE130" s="347"/>
      <c r="BF130" s="347"/>
      <c r="BG130" s="347"/>
      <c r="BH130" s="347"/>
      <c r="BI130" s="347"/>
      <c r="BJ130" s="347"/>
      <c r="BK130" s="347"/>
      <c r="BL130" s="347"/>
      <c r="BM130" s="347"/>
      <c r="BN130" s="347"/>
      <c r="BO130" s="347"/>
      <c r="BP130" s="347"/>
      <c r="BQ130" s="347"/>
      <c r="BR130" s="347"/>
      <c r="BS130" s="347"/>
      <c r="BT130" s="347"/>
      <c r="BU130" s="347"/>
      <c r="BV130" s="347"/>
      <c r="BW130" s="347"/>
      <c r="BX130" s="347"/>
      <c r="BY130" s="347"/>
      <c r="BZ130" s="347"/>
      <c r="CA130" s="347"/>
      <c r="CB130" s="347"/>
      <c r="CC130" s="347"/>
      <c r="CD130" s="347"/>
      <c r="CE130" s="347"/>
      <c r="CF130" s="347"/>
      <c r="CG130" s="347"/>
      <c r="CH130" s="347"/>
      <c r="CI130" s="347"/>
      <c r="CJ130" s="347"/>
      <c r="CK130" s="347"/>
      <c r="CL130" s="347"/>
      <c r="CM130" s="347"/>
      <c r="CN130" s="347"/>
      <c r="CO130" s="347"/>
      <c r="CP130" s="347"/>
    </row>
    <row r="131" spans="1:94" ht="27.75" customHeight="1">
      <c r="A131" s="347"/>
      <c r="B131" s="348"/>
      <c r="C131" s="347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7"/>
      <c r="T131" s="347"/>
      <c r="U131" s="347"/>
      <c r="V131" s="347"/>
      <c r="W131" s="347"/>
      <c r="X131" s="347"/>
      <c r="Y131" s="347"/>
      <c r="Z131" s="347"/>
      <c r="AA131" s="347"/>
      <c r="AB131" s="347"/>
      <c r="AC131" s="347"/>
      <c r="AD131" s="347"/>
      <c r="AE131" s="347"/>
      <c r="AF131" s="347"/>
      <c r="AG131" s="347"/>
      <c r="AH131" s="347"/>
      <c r="AI131" s="347"/>
      <c r="AJ131" s="347"/>
      <c r="AK131" s="347"/>
      <c r="AL131" s="347"/>
      <c r="AM131" s="347"/>
      <c r="AN131" s="347"/>
      <c r="AO131" s="347"/>
      <c r="AP131" s="347"/>
      <c r="AQ131" s="347"/>
      <c r="AR131" s="347"/>
      <c r="AS131" s="347"/>
      <c r="AT131" s="347"/>
      <c r="AU131" s="347"/>
      <c r="AV131" s="347"/>
      <c r="AW131" s="347"/>
      <c r="AX131" s="347"/>
      <c r="AY131" s="347"/>
      <c r="AZ131" s="347"/>
      <c r="BA131" s="347"/>
      <c r="BB131" s="347"/>
      <c r="BC131" s="347"/>
      <c r="BD131" s="347"/>
      <c r="BE131" s="347"/>
      <c r="BF131" s="347"/>
      <c r="BG131" s="347"/>
      <c r="BH131" s="347"/>
      <c r="BI131" s="347"/>
      <c r="BJ131" s="347"/>
      <c r="BK131" s="347"/>
      <c r="BL131" s="347"/>
      <c r="BM131" s="347"/>
      <c r="BN131" s="347"/>
      <c r="BO131" s="347"/>
      <c r="BP131" s="347"/>
      <c r="BQ131" s="347"/>
      <c r="BR131" s="347"/>
      <c r="BS131" s="347"/>
      <c r="BT131" s="347"/>
      <c r="BU131" s="347"/>
      <c r="BV131" s="347"/>
      <c r="BW131" s="347"/>
      <c r="BX131" s="347"/>
      <c r="BY131" s="347"/>
      <c r="BZ131" s="347"/>
      <c r="CA131" s="347"/>
      <c r="CB131" s="347"/>
      <c r="CC131" s="347"/>
      <c r="CD131" s="347"/>
      <c r="CE131" s="347"/>
      <c r="CF131" s="347"/>
      <c r="CG131" s="347"/>
      <c r="CH131" s="347"/>
      <c r="CI131" s="347"/>
      <c r="CJ131" s="347"/>
      <c r="CK131" s="347"/>
      <c r="CL131" s="347"/>
      <c r="CM131" s="347"/>
      <c r="CN131" s="347"/>
      <c r="CO131" s="347"/>
      <c r="CP131" s="347"/>
    </row>
    <row r="132" spans="1:94" ht="27.75" customHeight="1">
      <c r="A132" s="347"/>
      <c r="B132" s="348"/>
      <c r="C132" s="347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7"/>
      <c r="T132" s="347"/>
      <c r="U132" s="347"/>
      <c r="V132" s="347"/>
      <c r="W132" s="347"/>
      <c r="X132" s="347"/>
      <c r="Y132" s="347"/>
      <c r="Z132" s="347"/>
      <c r="AA132" s="347"/>
      <c r="AB132" s="347"/>
      <c r="AC132" s="347"/>
      <c r="AD132" s="347"/>
      <c r="AE132" s="347"/>
      <c r="AF132" s="347"/>
      <c r="AG132" s="347"/>
      <c r="AH132" s="347"/>
      <c r="AI132" s="347"/>
      <c r="AJ132" s="347"/>
      <c r="AK132" s="347"/>
      <c r="AL132" s="347"/>
      <c r="AM132" s="347"/>
      <c r="AN132" s="347"/>
      <c r="AO132" s="347"/>
      <c r="AP132" s="347"/>
      <c r="AQ132" s="347"/>
      <c r="AR132" s="347"/>
      <c r="AS132" s="347"/>
      <c r="AT132" s="347"/>
      <c r="AU132" s="347"/>
      <c r="AV132" s="347"/>
      <c r="AW132" s="347"/>
      <c r="AX132" s="347"/>
      <c r="AY132" s="347"/>
      <c r="AZ132" s="347"/>
      <c r="BA132" s="347"/>
      <c r="BB132" s="347"/>
      <c r="BC132" s="347"/>
      <c r="BD132" s="347"/>
      <c r="BE132" s="347"/>
      <c r="BF132" s="347"/>
      <c r="BG132" s="347"/>
      <c r="BH132" s="347"/>
      <c r="BI132" s="347"/>
      <c r="BJ132" s="347"/>
      <c r="BK132" s="347"/>
      <c r="BL132" s="347"/>
      <c r="BM132" s="347"/>
      <c r="BN132" s="347"/>
      <c r="BO132" s="347"/>
      <c r="BP132" s="347"/>
      <c r="BQ132" s="347"/>
      <c r="BR132" s="347"/>
      <c r="BS132" s="347"/>
      <c r="BT132" s="347"/>
      <c r="BU132" s="347"/>
      <c r="BV132" s="347"/>
      <c r="BW132" s="347"/>
      <c r="BX132" s="347"/>
      <c r="BY132" s="347"/>
      <c r="BZ132" s="347"/>
      <c r="CA132" s="347"/>
      <c r="CB132" s="347"/>
      <c r="CC132" s="347"/>
      <c r="CD132" s="347"/>
      <c r="CE132" s="347"/>
      <c r="CF132" s="347"/>
      <c r="CG132" s="347"/>
      <c r="CH132" s="347"/>
      <c r="CI132" s="347"/>
      <c r="CJ132" s="347"/>
      <c r="CK132" s="347"/>
      <c r="CL132" s="347"/>
      <c r="CM132" s="347"/>
      <c r="CN132" s="347"/>
      <c r="CO132" s="347"/>
      <c r="CP132" s="347"/>
    </row>
    <row r="133" spans="1:94" ht="27.75" customHeight="1">
      <c r="A133" s="347"/>
      <c r="B133" s="348"/>
      <c r="C133" s="347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7"/>
      <c r="T133" s="347"/>
      <c r="U133" s="347"/>
      <c r="V133" s="347"/>
      <c r="W133" s="347"/>
      <c r="X133" s="347"/>
      <c r="Y133" s="347"/>
      <c r="Z133" s="347"/>
      <c r="AA133" s="347"/>
      <c r="AB133" s="347"/>
      <c r="AC133" s="347"/>
      <c r="AD133" s="347"/>
      <c r="AE133" s="347"/>
      <c r="AF133" s="347"/>
      <c r="AG133" s="347"/>
      <c r="AH133" s="347"/>
      <c r="AI133" s="347"/>
      <c r="AJ133" s="347"/>
      <c r="AK133" s="347"/>
      <c r="AL133" s="347"/>
      <c r="AM133" s="347"/>
      <c r="AN133" s="347"/>
      <c r="AO133" s="347"/>
      <c r="AP133" s="347"/>
      <c r="AQ133" s="347"/>
      <c r="AR133" s="347"/>
      <c r="AS133" s="347"/>
      <c r="AT133" s="347"/>
      <c r="AU133" s="347"/>
      <c r="AV133" s="347"/>
      <c r="AW133" s="347"/>
      <c r="AX133" s="347"/>
      <c r="AY133" s="347"/>
      <c r="AZ133" s="347"/>
      <c r="BA133" s="347"/>
      <c r="BB133" s="347"/>
      <c r="BC133" s="347"/>
      <c r="BD133" s="347"/>
      <c r="BE133" s="347"/>
      <c r="BF133" s="347"/>
      <c r="BG133" s="347"/>
      <c r="BH133" s="347"/>
      <c r="BI133" s="347"/>
      <c r="BJ133" s="347"/>
      <c r="BK133" s="347"/>
      <c r="BL133" s="347"/>
      <c r="BM133" s="347"/>
      <c r="BN133" s="347"/>
      <c r="BO133" s="347"/>
      <c r="BP133" s="347"/>
      <c r="BQ133" s="347"/>
      <c r="BR133" s="347"/>
      <c r="BS133" s="347"/>
      <c r="BT133" s="347"/>
      <c r="BU133" s="347"/>
      <c r="BV133" s="347"/>
      <c r="BW133" s="347"/>
      <c r="BX133" s="347"/>
      <c r="BY133" s="347"/>
      <c r="BZ133" s="347"/>
      <c r="CA133" s="347"/>
      <c r="CB133" s="347"/>
      <c r="CC133" s="347"/>
      <c r="CD133" s="347"/>
      <c r="CE133" s="347"/>
      <c r="CF133" s="347"/>
      <c r="CG133" s="347"/>
      <c r="CH133" s="347"/>
      <c r="CI133" s="347"/>
      <c r="CJ133" s="347"/>
      <c r="CK133" s="347"/>
      <c r="CL133" s="347"/>
      <c r="CM133" s="347"/>
      <c r="CN133" s="347"/>
      <c r="CO133" s="347"/>
      <c r="CP133" s="347"/>
    </row>
    <row r="134" spans="1:94" ht="27.75" customHeight="1">
      <c r="A134" s="347"/>
      <c r="B134" s="348"/>
      <c r="C134" s="347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7"/>
      <c r="T134" s="347"/>
      <c r="U134" s="347"/>
      <c r="V134" s="347"/>
      <c r="W134" s="347"/>
      <c r="X134" s="347"/>
      <c r="Y134" s="347"/>
      <c r="Z134" s="347"/>
      <c r="AA134" s="347"/>
      <c r="AB134" s="347"/>
      <c r="AC134" s="347"/>
      <c r="AD134" s="347"/>
      <c r="AE134" s="347"/>
      <c r="AF134" s="347"/>
      <c r="AG134" s="347"/>
      <c r="AH134" s="347"/>
      <c r="AI134" s="347"/>
      <c r="AJ134" s="347"/>
      <c r="AK134" s="347"/>
      <c r="AL134" s="347"/>
      <c r="AM134" s="347"/>
      <c r="AN134" s="347"/>
      <c r="AO134" s="347"/>
      <c r="AP134" s="347"/>
      <c r="AQ134" s="347"/>
      <c r="AR134" s="347"/>
      <c r="AS134" s="347"/>
      <c r="AT134" s="347"/>
      <c r="AU134" s="347"/>
      <c r="AV134" s="347"/>
      <c r="AW134" s="347"/>
      <c r="AX134" s="347"/>
      <c r="AY134" s="347"/>
      <c r="AZ134" s="347"/>
      <c r="BA134" s="347"/>
      <c r="BB134" s="347"/>
      <c r="BC134" s="347"/>
      <c r="BD134" s="347"/>
      <c r="BE134" s="347"/>
      <c r="BF134" s="347"/>
      <c r="BG134" s="347"/>
      <c r="BH134" s="347"/>
      <c r="BI134" s="347"/>
      <c r="BJ134" s="347"/>
      <c r="BK134" s="347"/>
      <c r="BL134" s="347"/>
      <c r="BM134" s="347"/>
      <c r="BN134" s="347"/>
      <c r="BO134" s="347"/>
      <c r="BP134" s="347"/>
      <c r="BQ134" s="347"/>
      <c r="BR134" s="347"/>
      <c r="BS134" s="347"/>
      <c r="BT134" s="347"/>
      <c r="BU134" s="347"/>
      <c r="BV134" s="347"/>
      <c r="BW134" s="347"/>
      <c r="BX134" s="347"/>
      <c r="BY134" s="347"/>
      <c r="BZ134" s="347"/>
      <c r="CA134" s="347"/>
      <c r="CB134" s="347"/>
      <c r="CC134" s="347"/>
      <c r="CD134" s="347"/>
      <c r="CE134" s="347"/>
      <c r="CF134" s="347"/>
      <c r="CG134" s="347"/>
      <c r="CH134" s="347"/>
      <c r="CI134" s="347"/>
      <c r="CJ134" s="347"/>
      <c r="CK134" s="347"/>
      <c r="CL134" s="347"/>
      <c r="CM134" s="347"/>
      <c r="CN134" s="347"/>
      <c r="CO134" s="347"/>
      <c r="CP134" s="347"/>
    </row>
    <row r="135" spans="1:94" ht="27.75" customHeight="1">
      <c r="A135" s="347"/>
      <c r="B135" s="348"/>
      <c r="C135" s="347"/>
      <c r="D135" s="347"/>
      <c r="E135" s="347"/>
      <c r="F135" s="347"/>
      <c r="G135" s="347"/>
      <c r="H135" s="347"/>
      <c r="I135" s="347"/>
      <c r="J135" s="347"/>
      <c r="K135" s="347"/>
      <c r="L135" s="347"/>
      <c r="M135" s="347"/>
      <c r="N135" s="347"/>
      <c r="O135" s="347"/>
      <c r="P135" s="347"/>
      <c r="Q135" s="347"/>
      <c r="R135" s="347"/>
      <c r="S135" s="347"/>
      <c r="T135" s="347"/>
      <c r="U135" s="347"/>
      <c r="V135" s="347"/>
      <c r="W135" s="347"/>
      <c r="X135" s="347"/>
      <c r="Y135" s="347"/>
      <c r="Z135" s="347"/>
      <c r="AA135" s="347"/>
      <c r="AB135" s="347"/>
      <c r="AC135" s="347"/>
      <c r="AD135" s="347"/>
      <c r="AE135" s="347"/>
      <c r="AF135" s="347"/>
      <c r="AG135" s="347"/>
      <c r="AH135" s="347"/>
      <c r="AI135" s="347"/>
      <c r="AJ135" s="347"/>
      <c r="AK135" s="347"/>
      <c r="AL135" s="347"/>
      <c r="AM135" s="347"/>
      <c r="AN135" s="347"/>
      <c r="AO135" s="347"/>
      <c r="AP135" s="347"/>
      <c r="AQ135" s="347"/>
      <c r="AR135" s="347"/>
      <c r="AS135" s="347"/>
      <c r="AT135" s="347"/>
      <c r="AU135" s="347"/>
      <c r="AV135" s="347"/>
      <c r="AW135" s="347"/>
      <c r="AX135" s="347"/>
      <c r="AY135" s="347"/>
      <c r="AZ135" s="347"/>
      <c r="BA135" s="347"/>
      <c r="BB135" s="347"/>
      <c r="BC135" s="347"/>
      <c r="BD135" s="347"/>
      <c r="BE135" s="347"/>
      <c r="BF135" s="347"/>
      <c r="BG135" s="347"/>
      <c r="BH135" s="347"/>
      <c r="BI135" s="347"/>
      <c r="BJ135" s="347"/>
      <c r="BK135" s="347"/>
      <c r="BL135" s="347"/>
      <c r="BM135" s="347"/>
      <c r="BN135" s="347"/>
      <c r="BO135" s="347"/>
      <c r="BP135" s="347"/>
      <c r="BQ135" s="347"/>
      <c r="BR135" s="347"/>
      <c r="BS135" s="347"/>
      <c r="BT135" s="347"/>
      <c r="BU135" s="347"/>
      <c r="BV135" s="347"/>
      <c r="BW135" s="347"/>
      <c r="BX135" s="347"/>
      <c r="BY135" s="347"/>
      <c r="BZ135" s="347"/>
      <c r="CA135" s="347"/>
      <c r="CB135" s="347"/>
      <c r="CC135" s="347"/>
      <c r="CD135" s="347"/>
      <c r="CE135" s="347"/>
      <c r="CF135" s="347"/>
      <c r="CG135" s="347"/>
      <c r="CH135" s="347"/>
      <c r="CI135" s="347"/>
      <c r="CJ135" s="347"/>
      <c r="CK135" s="347"/>
      <c r="CL135" s="347"/>
      <c r="CM135" s="347"/>
      <c r="CN135" s="347"/>
      <c r="CO135" s="347"/>
      <c r="CP135" s="347"/>
    </row>
    <row r="136" spans="1:94" ht="27.75" customHeight="1">
      <c r="A136" s="347"/>
      <c r="B136" s="348"/>
      <c r="C136" s="347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7"/>
      <c r="T136" s="347"/>
      <c r="U136" s="347"/>
      <c r="V136" s="347"/>
      <c r="W136" s="347"/>
      <c r="X136" s="347"/>
      <c r="Y136" s="347"/>
      <c r="Z136" s="347"/>
      <c r="AA136" s="347"/>
      <c r="AB136" s="347"/>
      <c r="AC136" s="347"/>
      <c r="AD136" s="347"/>
      <c r="AE136" s="347"/>
      <c r="AF136" s="347"/>
      <c r="AG136" s="347"/>
      <c r="AH136" s="347"/>
      <c r="AI136" s="347"/>
      <c r="AJ136" s="347"/>
      <c r="AK136" s="347"/>
      <c r="AL136" s="347"/>
      <c r="AM136" s="347"/>
      <c r="AN136" s="347"/>
      <c r="AO136" s="347"/>
      <c r="AP136" s="347"/>
      <c r="AQ136" s="347"/>
      <c r="AR136" s="347"/>
      <c r="AS136" s="347"/>
      <c r="AT136" s="347"/>
      <c r="AU136" s="347"/>
      <c r="AV136" s="347"/>
      <c r="AW136" s="347"/>
      <c r="AX136" s="347"/>
      <c r="AY136" s="347"/>
      <c r="AZ136" s="347"/>
      <c r="BA136" s="347"/>
      <c r="BB136" s="347"/>
      <c r="BC136" s="347"/>
      <c r="BD136" s="347"/>
      <c r="BE136" s="347"/>
      <c r="BF136" s="347"/>
      <c r="BG136" s="347"/>
      <c r="BH136" s="347"/>
      <c r="BI136" s="347"/>
      <c r="BJ136" s="347"/>
      <c r="BK136" s="347"/>
      <c r="BL136" s="347"/>
      <c r="BM136" s="347"/>
      <c r="BN136" s="347"/>
      <c r="BO136" s="347"/>
      <c r="BP136" s="347"/>
      <c r="BQ136" s="347"/>
      <c r="BR136" s="347"/>
      <c r="BS136" s="347"/>
      <c r="BT136" s="347"/>
      <c r="BU136" s="347"/>
      <c r="BV136" s="347"/>
      <c r="BW136" s="347"/>
      <c r="BX136" s="347"/>
      <c r="BY136" s="347"/>
      <c r="BZ136" s="347"/>
      <c r="CA136" s="347"/>
      <c r="CB136" s="347"/>
      <c r="CC136" s="347"/>
      <c r="CD136" s="347"/>
      <c r="CE136" s="347"/>
      <c r="CF136" s="347"/>
      <c r="CG136" s="347"/>
      <c r="CH136" s="347"/>
      <c r="CI136" s="347"/>
      <c r="CJ136" s="347"/>
      <c r="CK136" s="347"/>
      <c r="CL136" s="347"/>
      <c r="CM136" s="347"/>
      <c r="CN136" s="347"/>
      <c r="CO136" s="347"/>
      <c r="CP136" s="347"/>
    </row>
    <row r="137" spans="1:94" ht="27.75" customHeight="1">
      <c r="A137" s="347"/>
      <c r="B137" s="348"/>
      <c r="C137" s="347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7"/>
      <c r="T137" s="347"/>
      <c r="U137" s="347"/>
      <c r="V137" s="347"/>
      <c r="W137" s="347"/>
      <c r="X137" s="347"/>
      <c r="Y137" s="347"/>
      <c r="Z137" s="347"/>
      <c r="AA137" s="347"/>
      <c r="AB137" s="347"/>
      <c r="AC137" s="347"/>
      <c r="AD137" s="347"/>
      <c r="AE137" s="347"/>
      <c r="AF137" s="347"/>
      <c r="AG137" s="347"/>
      <c r="AH137" s="347"/>
      <c r="AI137" s="347"/>
      <c r="AJ137" s="347"/>
      <c r="AK137" s="347"/>
      <c r="AL137" s="347"/>
      <c r="AM137" s="347"/>
      <c r="AN137" s="347"/>
      <c r="AO137" s="347"/>
      <c r="AP137" s="347"/>
      <c r="AQ137" s="347"/>
      <c r="AR137" s="347"/>
      <c r="AS137" s="347"/>
      <c r="AT137" s="347"/>
      <c r="AU137" s="347"/>
      <c r="AV137" s="347"/>
      <c r="AW137" s="347"/>
      <c r="AX137" s="347"/>
      <c r="AY137" s="347"/>
      <c r="AZ137" s="347"/>
      <c r="BA137" s="347"/>
      <c r="BB137" s="347"/>
      <c r="BC137" s="347"/>
      <c r="BD137" s="347"/>
      <c r="BE137" s="347"/>
      <c r="BF137" s="347"/>
      <c r="BG137" s="347"/>
      <c r="BH137" s="347"/>
      <c r="BI137" s="347"/>
      <c r="BJ137" s="347"/>
      <c r="BK137" s="347"/>
      <c r="BL137" s="347"/>
      <c r="BM137" s="347"/>
      <c r="BN137" s="347"/>
      <c r="BO137" s="347"/>
      <c r="BP137" s="347"/>
      <c r="BQ137" s="347"/>
      <c r="BR137" s="347"/>
      <c r="BS137" s="347"/>
      <c r="BT137" s="347"/>
      <c r="BU137" s="347"/>
      <c r="BV137" s="347"/>
      <c r="BW137" s="347"/>
      <c r="BX137" s="347"/>
      <c r="BY137" s="347"/>
      <c r="BZ137" s="347"/>
      <c r="CA137" s="347"/>
      <c r="CB137" s="347"/>
      <c r="CC137" s="347"/>
      <c r="CD137" s="347"/>
      <c r="CE137" s="347"/>
      <c r="CF137" s="347"/>
      <c r="CG137" s="347"/>
      <c r="CH137" s="347"/>
      <c r="CI137" s="347"/>
      <c r="CJ137" s="347"/>
      <c r="CK137" s="347"/>
      <c r="CL137" s="347"/>
      <c r="CM137" s="347"/>
      <c r="CN137" s="347"/>
      <c r="CO137" s="347"/>
      <c r="CP137" s="347"/>
    </row>
    <row r="138" spans="1:94" ht="27.75" customHeight="1">
      <c r="A138" s="347"/>
      <c r="B138" s="348"/>
      <c r="C138" s="347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7"/>
      <c r="T138" s="347"/>
      <c r="U138" s="347"/>
      <c r="V138" s="347"/>
      <c r="W138" s="347"/>
      <c r="X138" s="347"/>
      <c r="Y138" s="347"/>
      <c r="Z138" s="347"/>
      <c r="AA138" s="347"/>
      <c r="AB138" s="347"/>
      <c r="AC138" s="347"/>
      <c r="AD138" s="347"/>
      <c r="AE138" s="347"/>
      <c r="AF138" s="347"/>
      <c r="AG138" s="347"/>
      <c r="AH138" s="347"/>
      <c r="AI138" s="347"/>
      <c r="AJ138" s="347"/>
      <c r="AK138" s="347"/>
      <c r="AL138" s="347"/>
      <c r="AM138" s="347"/>
      <c r="AN138" s="347"/>
      <c r="AO138" s="347"/>
      <c r="AP138" s="347"/>
      <c r="AQ138" s="347"/>
      <c r="AR138" s="347"/>
      <c r="AS138" s="347"/>
      <c r="AT138" s="347"/>
      <c r="AU138" s="347"/>
      <c r="AV138" s="347"/>
      <c r="AW138" s="347"/>
      <c r="AX138" s="347"/>
      <c r="AY138" s="347"/>
      <c r="AZ138" s="347"/>
      <c r="BA138" s="347"/>
      <c r="BB138" s="347"/>
      <c r="BC138" s="347"/>
      <c r="BD138" s="347"/>
      <c r="BE138" s="347"/>
      <c r="BF138" s="347"/>
      <c r="BG138" s="347"/>
      <c r="BH138" s="347"/>
      <c r="BI138" s="347"/>
      <c r="BJ138" s="347"/>
      <c r="BK138" s="347"/>
      <c r="BL138" s="347"/>
      <c r="BM138" s="347"/>
      <c r="BN138" s="347"/>
      <c r="BO138" s="347"/>
      <c r="BP138" s="347"/>
      <c r="BQ138" s="347"/>
      <c r="BR138" s="347"/>
      <c r="BS138" s="347"/>
      <c r="BT138" s="347"/>
      <c r="BU138" s="347"/>
      <c r="BV138" s="347"/>
      <c r="BW138" s="347"/>
      <c r="BX138" s="347"/>
      <c r="BY138" s="347"/>
      <c r="BZ138" s="347"/>
      <c r="CA138" s="347"/>
      <c r="CB138" s="347"/>
      <c r="CC138" s="347"/>
      <c r="CD138" s="347"/>
      <c r="CE138" s="347"/>
      <c r="CF138" s="347"/>
      <c r="CG138" s="347"/>
      <c r="CH138" s="347"/>
      <c r="CI138" s="347"/>
      <c r="CJ138" s="347"/>
      <c r="CK138" s="347"/>
      <c r="CL138" s="347"/>
      <c r="CM138" s="347"/>
      <c r="CN138" s="347"/>
      <c r="CO138" s="347"/>
      <c r="CP138" s="347"/>
    </row>
    <row r="139" spans="1:94" ht="27.75" customHeight="1">
      <c r="A139" s="347"/>
      <c r="B139" s="348"/>
      <c r="C139" s="347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7"/>
      <c r="T139" s="347"/>
      <c r="U139" s="347"/>
      <c r="V139" s="347"/>
      <c r="W139" s="347"/>
      <c r="X139" s="347"/>
      <c r="Y139" s="347"/>
      <c r="Z139" s="347"/>
      <c r="AA139" s="347"/>
      <c r="AB139" s="347"/>
      <c r="AC139" s="347"/>
      <c r="AD139" s="347"/>
      <c r="AE139" s="347"/>
      <c r="AF139" s="347"/>
      <c r="AG139" s="347"/>
      <c r="AH139" s="347"/>
      <c r="AI139" s="347"/>
      <c r="AJ139" s="347"/>
      <c r="AK139" s="347"/>
      <c r="AL139" s="347"/>
      <c r="AM139" s="347"/>
      <c r="AN139" s="347"/>
      <c r="AO139" s="347"/>
      <c r="AP139" s="347"/>
      <c r="AQ139" s="347"/>
      <c r="AR139" s="347"/>
      <c r="AS139" s="347"/>
      <c r="AT139" s="347"/>
      <c r="AU139" s="347"/>
      <c r="AV139" s="347"/>
      <c r="AW139" s="347"/>
      <c r="AX139" s="347"/>
      <c r="AY139" s="347"/>
      <c r="AZ139" s="347"/>
      <c r="BA139" s="347"/>
      <c r="BB139" s="347"/>
      <c r="BC139" s="347"/>
      <c r="BD139" s="347"/>
      <c r="BE139" s="347"/>
      <c r="BF139" s="347"/>
      <c r="BG139" s="347"/>
      <c r="BH139" s="347"/>
      <c r="BI139" s="347"/>
      <c r="BJ139" s="347"/>
      <c r="BK139" s="347"/>
      <c r="BL139" s="347"/>
      <c r="BM139" s="347"/>
      <c r="BN139" s="347"/>
      <c r="BO139" s="347"/>
      <c r="BP139" s="347"/>
      <c r="BQ139" s="347"/>
      <c r="BR139" s="347"/>
      <c r="BS139" s="347"/>
      <c r="BT139" s="347"/>
      <c r="BU139" s="347"/>
      <c r="BV139" s="347"/>
      <c r="BW139" s="347"/>
      <c r="BX139" s="347"/>
      <c r="BY139" s="347"/>
      <c r="BZ139" s="347"/>
      <c r="CA139" s="347"/>
      <c r="CB139" s="347"/>
      <c r="CC139" s="347"/>
      <c r="CD139" s="347"/>
      <c r="CE139" s="347"/>
      <c r="CF139" s="347"/>
      <c r="CG139" s="347"/>
      <c r="CH139" s="347"/>
      <c r="CI139" s="347"/>
      <c r="CJ139" s="347"/>
      <c r="CK139" s="347"/>
      <c r="CL139" s="347"/>
      <c r="CM139" s="347"/>
      <c r="CN139" s="347"/>
      <c r="CO139" s="347"/>
      <c r="CP139" s="347"/>
    </row>
    <row r="140" spans="1:94" ht="27.75" customHeight="1">
      <c r="A140" s="347"/>
      <c r="B140" s="348"/>
      <c r="C140" s="347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7"/>
      <c r="T140" s="347"/>
      <c r="U140" s="347"/>
      <c r="V140" s="347"/>
      <c r="W140" s="347"/>
      <c r="X140" s="347"/>
      <c r="Y140" s="347"/>
      <c r="Z140" s="347"/>
      <c r="AA140" s="347"/>
      <c r="AB140" s="347"/>
      <c r="AC140" s="347"/>
      <c r="AD140" s="347"/>
      <c r="AE140" s="347"/>
      <c r="AF140" s="347"/>
      <c r="AG140" s="347"/>
      <c r="AH140" s="347"/>
      <c r="AI140" s="347"/>
      <c r="AJ140" s="347"/>
      <c r="AK140" s="347"/>
      <c r="AL140" s="347"/>
      <c r="AM140" s="347"/>
      <c r="AN140" s="347"/>
      <c r="AO140" s="347"/>
      <c r="AP140" s="347"/>
      <c r="AQ140" s="347"/>
      <c r="AR140" s="347"/>
      <c r="AS140" s="347"/>
      <c r="AT140" s="347"/>
      <c r="AU140" s="347"/>
      <c r="AV140" s="347"/>
      <c r="AW140" s="347"/>
      <c r="AX140" s="347"/>
      <c r="AY140" s="347"/>
      <c r="AZ140" s="347"/>
      <c r="BA140" s="347"/>
      <c r="BB140" s="347"/>
      <c r="BC140" s="347"/>
      <c r="BD140" s="347"/>
      <c r="BE140" s="347"/>
      <c r="BF140" s="347"/>
      <c r="BG140" s="347"/>
      <c r="BH140" s="347"/>
      <c r="BI140" s="347"/>
      <c r="BJ140" s="347"/>
      <c r="BK140" s="347"/>
      <c r="BL140" s="347"/>
      <c r="BM140" s="347"/>
      <c r="BN140" s="347"/>
      <c r="BO140" s="347"/>
      <c r="BP140" s="347"/>
      <c r="BQ140" s="347"/>
      <c r="BR140" s="347"/>
      <c r="BS140" s="347"/>
      <c r="BT140" s="347"/>
      <c r="BU140" s="347"/>
      <c r="BV140" s="347"/>
      <c r="BW140" s="347"/>
      <c r="BX140" s="347"/>
      <c r="BY140" s="347"/>
      <c r="BZ140" s="347"/>
      <c r="CA140" s="347"/>
      <c r="CB140" s="347"/>
      <c r="CC140" s="347"/>
      <c r="CD140" s="347"/>
      <c r="CE140" s="347"/>
      <c r="CF140" s="347"/>
      <c r="CG140" s="347"/>
      <c r="CH140" s="347"/>
      <c r="CI140" s="347"/>
      <c r="CJ140" s="347"/>
      <c r="CK140" s="347"/>
      <c r="CL140" s="347"/>
      <c r="CM140" s="347"/>
      <c r="CN140" s="347"/>
      <c r="CO140" s="347"/>
      <c r="CP140" s="347"/>
    </row>
    <row r="141" spans="1:94" ht="27.75" customHeight="1">
      <c r="A141" s="347"/>
      <c r="B141" s="348"/>
      <c r="C141" s="347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7"/>
      <c r="T141" s="347"/>
      <c r="U141" s="347"/>
      <c r="V141" s="347"/>
      <c r="W141" s="347"/>
      <c r="X141" s="347"/>
      <c r="Y141" s="347"/>
      <c r="Z141" s="347"/>
      <c r="AA141" s="347"/>
      <c r="AB141" s="347"/>
      <c r="AC141" s="347"/>
      <c r="AD141" s="347"/>
      <c r="AE141" s="347"/>
      <c r="AF141" s="347"/>
      <c r="AG141" s="347"/>
      <c r="AH141" s="347"/>
      <c r="AI141" s="347"/>
      <c r="AJ141" s="347"/>
      <c r="AK141" s="347"/>
      <c r="AL141" s="347"/>
      <c r="AM141" s="347"/>
      <c r="AN141" s="347"/>
      <c r="AO141" s="347"/>
      <c r="AP141" s="347"/>
      <c r="AQ141" s="347"/>
      <c r="AR141" s="347"/>
      <c r="AS141" s="347"/>
      <c r="AT141" s="347"/>
      <c r="AU141" s="347"/>
      <c r="AV141" s="347"/>
      <c r="AW141" s="347"/>
      <c r="AX141" s="347"/>
      <c r="AY141" s="347"/>
      <c r="AZ141" s="347"/>
      <c r="BA141" s="347"/>
      <c r="BB141" s="347"/>
      <c r="BC141" s="347"/>
      <c r="BD141" s="347"/>
      <c r="BE141" s="347"/>
      <c r="BF141" s="347"/>
      <c r="BG141" s="347"/>
      <c r="BH141" s="347"/>
      <c r="BI141" s="347"/>
      <c r="BJ141" s="347"/>
      <c r="BK141" s="347"/>
      <c r="BL141" s="347"/>
      <c r="BM141" s="347"/>
      <c r="BN141" s="347"/>
      <c r="BO141" s="347"/>
      <c r="BP141" s="347"/>
      <c r="BQ141" s="347"/>
      <c r="BR141" s="347"/>
      <c r="BS141" s="347"/>
      <c r="BT141" s="347"/>
      <c r="BU141" s="347"/>
      <c r="BV141" s="347"/>
      <c r="BW141" s="347"/>
      <c r="BX141" s="347"/>
      <c r="BY141" s="347"/>
      <c r="BZ141" s="347"/>
      <c r="CA141" s="347"/>
      <c r="CB141" s="347"/>
      <c r="CC141" s="347"/>
      <c r="CD141" s="347"/>
      <c r="CE141" s="347"/>
      <c r="CF141" s="347"/>
      <c r="CG141" s="347"/>
      <c r="CH141" s="347"/>
      <c r="CI141" s="347"/>
      <c r="CJ141" s="347"/>
      <c r="CK141" s="347"/>
      <c r="CL141" s="347"/>
      <c r="CM141" s="347"/>
      <c r="CN141" s="347"/>
      <c r="CO141" s="347"/>
      <c r="CP141" s="347"/>
    </row>
    <row r="142" spans="1:94" ht="27.75" customHeight="1">
      <c r="A142" s="347"/>
      <c r="B142" s="348"/>
      <c r="C142" s="347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7"/>
      <c r="T142" s="347"/>
      <c r="U142" s="347"/>
      <c r="V142" s="347"/>
      <c r="W142" s="347"/>
      <c r="X142" s="347"/>
      <c r="Y142" s="347"/>
      <c r="Z142" s="347"/>
      <c r="AA142" s="347"/>
      <c r="AB142" s="347"/>
      <c r="AC142" s="347"/>
      <c r="AD142" s="347"/>
      <c r="AE142" s="347"/>
      <c r="AF142" s="347"/>
      <c r="AG142" s="347"/>
      <c r="AH142" s="347"/>
      <c r="AI142" s="347"/>
      <c r="AJ142" s="347"/>
      <c r="AK142" s="347"/>
      <c r="AL142" s="347"/>
      <c r="AM142" s="347"/>
      <c r="AN142" s="347"/>
      <c r="AO142" s="347"/>
      <c r="AP142" s="347"/>
      <c r="AQ142" s="347"/>
      <c r="AR142" s="347"/>
      <c r="AS142" s="347"/>
      <c r="AT142" s="347"/>
      <c r="AU142" s="347"/>
      <c r="AV142" s="347"/>
      <c r="AW142" s="347"/>
      <c r="AX142" s="347"/>
      <c r="AY142" s="347"/>
      <c r="AZ142" s="347"/>
      <c r="BA142" s="347"/>
      <c r="BB142" s="347"/>
      <c r="BC142" s="347"/>
      <c r="BD142" s="347"/>
      <c r="BE142" s="347"/>
      <c r="BF142" s="347"/>
      <c r="BG142" s="347"/>
      <c r="BH142" s="347"/>
      <c r="BI142" s="347"/>
      <c r="BJ142" s="347"/>
      <c r="BK142" s="347"/>
      <c r="BL142" s="347"/>
      <c r="BM142" s="347"/>
      <c r="BN142" s="347"/>
      <c r="BO142" s="347"/>
      <c r="BP142" s="347"/>
      <c r="BQ142" s="347"/>
      <c r="BR142" s="347"/>
      <c r="BS142" s="347"/>
      <c r="BT142" s="347"/>
      <c r="BU142" s="347"/>
      <c r="BV142" s="347"/>
      <c r="BW142" s="347"/>
      <c r="BX142" s="347"/>
      <c r="BY142" s="347"/>
      <c r="BZ142" s="347"/>
      <c r="CA142" s="347"/>
      <c r="CB142" s="347"/>
      <c r="CC142" s="347"/>
      <c r="CD142" s="347"/>
      <c r="CE142" s="347"/>
      <c r="CF142" s="347"/>
      <c r="CG142" s="347"/>
      <c r="CH142" s="347"/>
      <c r="CI142" s="347"/>
      <c r="CJ142" s="347"/>
      <c r="CK142" s="347"/>
      <c r="CL142" s="347"/>
      <c r="CM142" s="347"/>
      <c r="CN142" s="347"/>
      <c r="CO142" s="347"/>
      <c r="CP142" s="347"/>
    </row>
    <row r="143" spans="1:94" ht="27.75" customHeight="1">
      <c r="A143" s="347"/>
      <c r="B143" s="348"/>
      <c r="C143" s="347"/>
      <c r="D143" s="347"/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  <c r="T143" s="347"/>
      <c r="U143" s="347"/>
      <c r="V143" s="347"/>
      <c r="W143" s="347"/>
      <c r="X143" s="347"/>
      <c r="Y143" s="347"/>
      <c r="Z143" s="347"/>
      <c r="AA143" s="347"/>
      <c r="AB143" s="347"/>
      <c r="AC143" s="347"/>
      <c r="AD143" s="347"/>
      <c r="AE143" s="347"/>
      <c r="AF143" s="347"/>
      <c r="AG143" s="347"/>
      <c r="AH143" s="347"/>
      <c r="AI143" s="347"/>
      <c r="AJ143" s="347"/>
      <c r="AK143" s="347"/>
      <c r="AL143" s="347"/>
      <c r="AM143" s="347"/>
      <c r="AN143" s="347"/>
      <c r="AO143" s="347"/>
      <c r="AP143" s="347"/>
      <c r="AQ143" s="347"/>
      <c r="AR143" s="347"/>
      <c r="AS143" s="347"/>
      <c r="AT143" s="347"/>
      <c r="AU143" s="347"/>
      <c r="AV143" s="347"/>
      <c r="AW143" s="347"/>
      <c r="AX143" s="347"/>
      <c r="AY143" s="347"/>
      <c r="AZ143" s="347"/>
      <c r="BA143" s="347"/>
      <c r="BB143" s="347"/>
      <c r="BC143" s="347"/>
      <c r="BD143" s="347"/>
      <c r="BE143" s="347"/>
      <c r="BF143" s="347"/>
      <c r="BG143" s="347"/>
      <c r="BH143" s="347"/>
      <c r="BI143" s="347"/>
      <c r="BJ143" s="347"/>
      <c r="BK143" s="347"/>
      <c r="BL143" s="347"/>
      <c r="BM143" s="347"/>
      <c r="BN143" s="347"/>
      <c r="BO143" s="347"/>
      <c r="BP143" s="347"/>
      <c r="BQ143" s="347"/>
      <c r="BR143" s="347"/>
      <c r="BS143" s="347"/>
      <c r="BT143" s="347"/>
      <c r="BU143" s="347"/>
      <c r="BV143" s="347"/>
      <c r="BW143" s="347"/>
      <c r="BX143" s="347"/>
      <c r="BY143" s="347"/>
      <c r="BZ143" s="347"/>
      <c r="CA143" s="347"/>
      <c r="CB143" s="347"/>
      <c r="CC143" s="347"/>
      <c r="CD143" s="347"/>
      <c r="CE143" s="347"/>
      <c r="CF143" s="347"/>
      <c r="CG143" s="347"/>
      <c r="CH143" s="347"/>
      <c r="CI143" s="347"/>
      <c r="CJ143" s="347"/>
      <c r="CK143" s="347"/>
      <c r="CL143" s="347"/>
      <c r="CM143" s="347"/>
      <c r="CN143" s="347"/>
      <c r="CO143" s="347"/>
      <c r="CP143" s="347"/>
    </row>
    <row r="144" spans="1:94" ht="27.75" customHeight="1">
      <c r="A144" s="347"/>
      <c r="B144" s="348"/>
      <c r="C144" s="347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7"/>
      <c r="AD144" s="347"/>
      <c r="AE144" s="347"/>
      <c r="AF144" s="347"/>
      <c r="AG144" s="347"/>
      <c r="AH144" s="347"/>
      <c r="AI144" s="347"/>
      <c r="AJ144" s="347"/>
      <c r="AK144" s="347"/>
      <c r="AL144" s="347"/>
      <c r="AM144" s="347"/>
      <c r="AN144" s="347"/>
      <c r="AO144" s="347"/>
      <c r="AP144" s="347"/>
      <c r="AQ144" s="347"/>
      <c r="AR144" s="347"/>
      <c r="AS144" s="347"/>
      <c r="AT144" s="347"/>
      <c r="AU144" s="347"/>
      <c r="AV144" s="347"/>
      <c r="AW144" s="347"/>
      <c r="AX144" s="347"/>
      <c r="AY144" s="347"/>
      <c r="AZ144" s="347"/>
      <c r="BA144" s="347"/>
      <c r="BB144" s="347"/>
      <c r="BC144" s="347"/>
      <c r="BD144" s="347"/>
      <c r="BE144" s="347"/>
      <c r="BF144" s="347"/>
      <c r="BG144" s="347"/>
      <c r="BH144" s="347"/>
      <c r="BI144" s="347"/>
      <c r="BJ144" s="347"/>
      <c r="BK144" s="347"/>
      <c r="BL144" s="347"/>
      <c r="BM144" s="347"/>
      <c r="BN144" s="347"/>
      <c r="BO144" s="347"/>
      <c r="BP144" s="347"/>
      <c r="BQ144" s="347"/>
      <c r="BR144" s="347"/>
      <c r="BS144" s="347"/>
      <c r="BT144" s="347"/>
      <c r="BU144" s="347"/>
      <c r="BV144" s="347"/>
      <c r="BW144" s="347"/>
      <c r="BX144" s="347"/>
      <c r="BY144" s="347"/>
      <c r="BZ144" s="347"/>
      <c r="CA144" s="347"/>
      <c r="CB144" s="347"/>
      <c r="CC144" s="347"/>
      <c r="CD144" s="347"/>
      <c r="CE144" s="347"/>
      <c r="CF144" s="347"/>
      <c r="CG144" s="347"/>
      <c r="CH144" s="347"/>
      <c r="CI144" s="347"/>
      <c r="CJ144" s="347"/>
      <c r="CK144" s="347"/>
      <c r="CL144" s="347"/>
      <c r="CM144" s="347"/>
      <c r="CN144" s="347"/>
      <c r="CO144" s="347"/>
      <c r="CP144" s="347"/>
    </row>
    <row r="145" spans="1:94" ht="27.75" customHeight="1">
      <c r="A145" s="347"/>
      <c r="B145" s="348"/>
      <c r="C145" s="347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7"/>
      <c r="AD145" s="347"/>
      <c r="AE145" s="347"/>
      <c r="AF145" s="347"/>
      <c r="AG145" s="347"/>
      <c r="AH145" s="347"/>
      <c r="AI145" s="347"/>
      <c r="AJ145" s="347"/>
      <c r="AK145" s="347"/>
      <c r="AL145" s="347"/>
      <c r="AM145" s="347"/>
      <c r="AN145" s="347"/>
      <c r="AO145" s="347"/>
      <c r="AP145" s="347"/>
      <c r="AQ145" s="347"/>
      <c r="AR145" s="347"/>
      <c r="AS145" s="347"/>
      <c r="AT145" s="347"/>
      <c r="AU145" s="347"/>
      <c r="AV145" s="347"/>
      <c r="AW145" s="347"/>
      <c r="AX145" s="347"/>
      <c r="AY145" s="347"/>
      <c r="AZ145" s="347"/>
      <c r="BA145" s="347"/>
      <c r="BB145" s="347"/>
      <c r="BC145" s="347"/>
      <c r="BD145" s="347"/>
      <c r="BE145" s="347"/>
      <c r="BF145" s="347"/>
      <c r="BG145" s="347"/>
      <c r="BH145" s="347"/>
      <c r="BI145" s="347"/>
      <c r="BJ145" s="347"/>
      <c r="BK145" s="347"/>
      <c r="BL145" s="347"/>
      <c r="BM145" s="347"/>
      <c r="BN145" s="347"/>
      <c r="BO145" s="347"/>
      <c r="BP145" s="347"/>
      <c r="BQ145" s="347"/>
      <c r="BR145" s="347"/>
      <c r="BS145" s="347"/>
      <c r="BT145" s="347"/>
      <c r="BU145" s="347"/>
      <c r="BV145" s="347"/>
      <c r="BW145" s="347"/>
      <c r="BX145" s="347"/>
      <c r="BY145" s="347"/>
      <c r="BZ145" s="347"/>
      <c r="CA145" s="347"/>
      <c r="CB145" s="347"/>
      <c r="CC145" s="347"/>
      <c r="CD145" s="347"/>
      <c r="CE145" s="347"/>
      <c r="CF145" s="347"/>
      <c r="CG145" s="347"/>
      <c r="CH145" s="347"/>
      <c r="CI145" s="347"/>
      <c r="CJ145" s="347"/>
      <c r="CK145" s="347"/>
      <c r="CL145" s="347"/>
      <c r="CM145" s="347"/>
      <c r="CN145" s="347"/>
      <c r="CO145" s="347"/>
      <c r="CP145" s="347"/>
    </row>
    <row r="146" spans="1:94" ht="27.75" customHeight="1">
      <c r="A146" s="347"/>
      <c r="B146" s="348"/>
      <c r="C146" s="347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7"/>
      <c r="AD146" s="347"/>
      <c r="AE146" s="347"/>
      <c r="AF146" s="347"/>
      <c r="AG146" s="347"/>
      <c r="AH146" s="347"/>
      <c r="AI146" s="347"/>
      <c r="AJ146" s="347"/>
      <c r="AK146" s="347"/>
      <c r="AL146" s="347"/>
      <c r="AM146" s="347"/>
      <c r="AN146" s="347"/>
      <c r="AO146" s="347"/>
      <c r="AP146" s="347"/>
      <c r="AQ146" s="347"/>
      <c r="AR146" s="347"/>
      <c r="AS146" s="347"/>
      <c r="AT146" s="347"/>
      <c r="AU146" s="347"/>
      <c r="AV146" s="347"/>
      <c r="AW146" s="347"/>
      <c r="AX146" s="347"/>
      <c r="AY146" s="347"/>
      <c r="AZ146" s="347"/>
      <c r="BA146" s="347"/>
      <c r="BB146" s="347"/>
      <c r="BC146" s="347"/>
      <c r="BD146" s="347"/>
      <c r="BE146" s="347"/>
      <c r="BF146" s="347"/>
      <c r="BG146" s="347"/>
      <c r="BH146" s="347"/>
      <c r="BI146" s="347"/>
      <c r="BJ146" s="347"/>
      <c r="BK146" s="347"/>
      <c r="BL146" s="347"/>
      <c r="BM146" s="347"/>
      <c r="BN146" s="347"/>
      <c r="BO146" s="347"/>
      <c r="BP146" s="347"/>
      <c r="BQ146" s="347"/>
      <c r="BR146" s="347"/>
      <c r="BS146" s="347"/>
      <c r="BT146" s="347"/>
      <c r="BU146" s="347"/>
      <c r="BV146" s="347"/>
      <c r="BW146" s="347"/>
      <c r="BX146" s="347"/>
      <c r="BY146" s="347"/>
      <c r="BZ146" s="347"/>
      <c r="CA146" s="347"/>
      <c r="CB146" s="347"/>
      <c r="CC146" s="347"/>
      <c r="CD146" s="347"/>
      <c r="CE146" s="347"/>
      <c r="CF146" s="347"/>
      <c r="CG146" s="347"/>
      <c r="CH146" s="347"/>
      <c r="CI146" s="347"/>
      <c r="CJ146" s="347"/>
      <c r="CK146" s="347"/>
      <c r="CL146" s="347"/>
      <c r="CM146" s="347"/>
      <c r="CN146" s="347"/>
      <c r="CO146" s="347"/>
      <c r="CP146" s="347"/>
    </row>
    <row r="147" spans="1:94" ht="27.75" customHeight="1">
      <c r="A147" s="347"/>
      <c r="B147" s="348"/>
      <c r="C147" s="347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7"/>
      <c r="T147" s="347"/>
      <c r="U147" s="347"/>
      <c r="V147" s="347"/>
      <c r="W147" s="347"/>
      <c r="X147" s="347"/>
      <c r="Y147" s="347"/>
      <c r="Z147" s="347"/>
      <c r="AA147" s="347"/>
      <c r="AB147" s="347"/>
      <c r="AC147" s="347"/>
      <c r="AD147" s="347"/>
      <c r="AE147" s="347"/>
      <c r="AF147" s="347"/>
      <c r="AG147" s="347"/>
      <c r="AH147" s="347"/>
      <c r="AI147" s="347"/>
      <c r="AJ147" s="347"/>
      <c r="AK147" s="347"/>
      <c r="AL147" s="347"/>
      <c r="AM147" s="347"/>
      <c r="AN147" s="347"/>
      <c r="AO147" s="347"/>
      <c r="AP147" s="347"/>
      <c r="AQ147" s="347"/>
      <c r="AR147" s="347"/>
      <c r="AS147" s="347"/>
      <c r="AT147" s="347"/>
      <c r="AU147" s="347"/>
      <c r="AV147" s="347"/>
      <c r="AW147" s="347"/>
      <c r="AX147" s="347"/>
      <c r="AY147" s="347"/>
      <c r="AZ147" s="347"/>
      <c r="BA147" s="347"/>
      <c r="BB147" s="347"/>
      <c r="BC147" s="347"/>
      <c r="BD147" s="347"/>
      <c r="BE147" s="347"/>
      <c r="BF147" s="347"/>
      <c r="BG147" s="347"/>
      <c r="BH147" s="347"/>
      <c r="BI147" s="347"/>
      <c r="BJ147" s="347"/>
      <c r="BK147" s="347"/>
      <c r="BL147" s="347"/>
      <c r="BM147" s="347"/>
      <c r="BN147" s="347"/>
      <c r="BO147" s="347"/>
      <c r="BP147" s="347"/>
      <c r="BQ147" s="347"/>
      <c r="BR147" s="347"/>
      <c r="BS147" s="347"/>
      <c r="BT147" s="347"/>
      <c r="BU147" s="347"/>
      <c r="BV147" s="347"/>
      <c r="BW147" s="347"/>
      <c r="BX147" s="347"/>
      <c r="BY147" s="347"/>
      <c r="BZ147" s="347"/>
      <c r="CA147" s="347"/>
      <c r="CB147" s="347"/>
      <c r="CC147" s="347"/>
      <c r="CD147" s="347"/>
      <c r="CE147" s="347"/>
      <c r="CF147" s="347"/>
      <c r="CG147" s="347"/>
      <c r="CH147" s="347"/>
      <c r="CI147" s="347"/>
      <c r="CJ147" s="347"/>
      <c r="CK147" s="347"/>
      <c r="CL147" s="347"/>
      <c r="CM147" s="347"/>
      <c r="CN147" s="347"/>
      <c r="CO147" s="347"/>
      <c r="CP147" s="347"/>
    </row>
    <row r="148" spans="1:94" ht="27.75" customHeight="1">
      <c r="A148" s="347"/>
      <c r="B148" s="348"/>
      <c r="C148" s="347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7"/>
      <c r="T148" s="347"/>
      <c r="U148" s="347"/>
      <c r="V148" s="347"/>
      <c r="W148" s="347"/>
      <c r="X148" s="347"/>
      <c r="Y148" s="347"/>
      <c r="Z148" s="347"/>
      <c r="AA148" s="347"/>
      <c r="AB148" s="347"/>
      <c r="AC148" s="347"/>
      <c r="AD148" s="347"/>
      <c r="AE148" s="347"/>
      <c r="AF148" s="347"/>
      <c r="AG148" s="347"/>
      <c r="AH148" s="347"/>
      <c r="AI148" s="347"/>
      <c r="AJ148" s="347"/>
      <c r="AK148" s="347"/>
      <c r="AL148" s="347"/>
      <c r="AM148" s="347"/>
      <c r="AN148" s="347"/>
      <c r="AO148" s="347"/>
      <c r="AP148" s="347"/>
      <c r="AQ148" s="347"/>
      <c r="AR148" s="347"/>
      <c r="AS148" s="347"/>
      <c r="AT148" s="347"/>
      <c r="AU148" s="347"/>
      <c r="AV148" s="347"/>
      <c r="AW148" s="347"/>
      <c r="AX148" s="347"/>
      <c r="AY148" s="347"/>
      <c r="AZ148" s="347"/>
      <c r="BA148" s="347"/>
      <c r="BB148" s="347"/>
      <c r="BC148" s="347"/>
      <c r="BD148" s="347"/>
      <c r="BE148" s="347"/>
      <c r="BF148" s="347"/>
      <c r="BG148" s="347"/>
      <c r="BH148" s="347"/>
      <c r="BI148" s="347"/>
      <c r="BJ148" s="347"/>
      <c r="BK148" s="347"/>
      <c r="BL148" s="347"/>
      <c r="BM148" s="347"/>
      <c r="BN148" s="347"/>
      <c r="BO148" s="347"/>
      <c r="BP148" s="347"/>
      <c r="BQ148" s="347"/>
      <c r="BR148" s="347"/>
      <c r="BS148" s="347"/>
      <c r="BT148" s="347"/>
      <c r="BU148" s="347"/>
      <c r="BV148" s="347"/>
      <c r="BW148" s="347"/>
      <c r="BX148" s="347"/>
      <c r="BY148" s="347"/>
      <c r="BZ148" s="347"/>
      <c r="CA148" s="347"/>
      <c r="CB148" s="347"/>
      <c r="CC148" s="347"/>
      <c r="CD148" s="347"/>
      <c r="CE148" s="347"/>
      <c r="CF148" s="347"/>
      <c r="CG148" s="347"/>
      <c r="CH148" s="347"/>
      <c r="CI148" s="347"/>
      <c r="CJ148" s="347"/>
      <c r="CK148" s="347"/>
      <c r="CL148" s="347"/>
      <c r="CM148" s="347"/>
      <c r="CN148" s="347"/>
      <c r="CO148" s="347"/>
      <c r="CP148" s="347"/>
    </row>
    <row r="149" spans="1:94" ht="27.75" customHeight="1">
      <c r="A149" s="347"/>
      <c r="B149" s="348"/>
      <c r="C149" s="347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7"/>
      <c r="T149" s="347"/>
      <c r="U149" s="347"/>
      <c r="V149" s="347"/>
      <c r="W149" s="347"/>
      <c r="X149" s="347"/>
      <c r="Y149" s="347"/>
      <c r="Z149" s="347"/>
      <c r="AA149" s="347"/>
      <c r="AB149" s="347"/>
      <c r="AC149" s="347"/>
      <c r="AD149" s="347"/>
      <c r="AE149" s="347"/>
      <c r="AF149" s="347"/>
      <c r="AG149" s="347"/>
      <c r="AH149" s="347"/>
      <c r="AI149" s="347"/>
      <c r="AJ149" s="347"/>
      <c r="AK149" s="347"/>
      <c r="AL149" s="347"/>
      <c r="AM149" s="347"/>
      <c r="AN149" s="347"/>
      <c r="AO149" s="347"/>
      <c r="AP149" s="347"/>
      <c r="AQ149" s="347"/>
      <c r="AR149" s="347"/>
      <c r="AS149" s="347"/>
      <c r="AT149" s="347"/>
      <c r="AU149" s="347"/>
      <c r="AV149" s="347"/>
      <c r="AW149" s="347"/>
      <c r="AX149" s="347"/>
      <c r="AY149" s="347"/>
      <c r="AZ149" s="347"/>
      <c r="BA149" s="347"/>
      <c r="BB149" s="347"/>
      <c r="BC149" s="347"/>
      <c r="BD149" s="347"/>
      <c r="BE149" s="347"/>
      <c r="BF149" s="347"/>
      <c r="BG149" s="347"/>
      <c r="BH149" s="347"/>
      <c r="BI149" s="347"/>
      <c r="BJ149" s="347"/>
      <c r="BK149" s="347"/>
      <c r="BL149" s="347"/>
      <c r="BM149" s="347"/>
      <c r="BN149" s="347"/>
      <c r="BO149" s="347"/>
      <c r="BP149" s="347"/>
      <c r="BQ149" s="347"/>
      <c r="BR149" s="347"/>
      <c r="BS149" s="347"/>
      <c r="BT149" s="347"/>
      <c r="BU149" s="347"/>
      <c r="BV149" s="347"/>
      <c r="BW149" s="347"/>
      <c r="BX149" s="347"/>
      <c r="BY149" s="347"/>
      <c r="BZ149" s="347"/>
      <c r="CA149" s="347"/>
      <c r="CB149" s="347"/>
      <c r="CC149" s="347"/>
      <c r="CD149" s="347"/>
      <c r="CE149" s="347"/>
      <c r="CF149" s="347"/>
      <c r="CG149" s="347"/>
      <c r="CH149" s="347"/>
      <c r="CI149" s="347"/>
      <c r="CJ149" s="347"/>
      <c r="CK149" s="347"/>
      <c r="CL149" s="347"/>
      <c r="CM149" s="347"/>
      <c r="CN149" s="347"/>
      <c r="CO149" s="347"/>
      <c r="CP149" s="347"/>
    </row>
    <row r="150" spans="1:94" ht="27.75" customHeight="1">
      <c r="A150" s="347"/>
      <c r="B150" s="348"/>
      <c r="C150" s="347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7"/>
      <c r="AB150" s="347"/>
      <c r="AC150" s="347"/>
      <c r="AD150" s="347"/>
      <c r="AE150" s="347"/>
      <c r="AF150" s="347"/>
      <c r="AG150" s="347"/>
      <c r="AH150" s="347"/>
      <c r="AI150" s="347"/>
      <c r="AJ150" s="347"/>
      <c r="AK150" s="347"/>
      <c r="AL150" s="347"/>
      <c r="AM150" s="347"/>
      <c r="AN150" s="347"/>
      <c r="AO150" s="347"/>
      <c r="AP150" s="347"/>
      <c r="AQ150" s="347"/>
      <c r="AR150" s="347"/>
      <c r="AS150" s="347"/>
      <c r="AT150" s="347"/>
      <c r="AU150" s="347"/>
      <c r="AV150" s="347"/>
      <c r="AW150" s="347"/>
      <c r="AX150" s="347"/>
      <c r="AY150" s="347"/>
      <c r="AZ150" s="347"/>
      <c r="BA150" s="347"/>
      <c r="BB150" s="347"/>
      <c r="BC150" s="347"/>
      <c r="BD150" s="347"/>
      <c r="BE150" s="347"/>
      <c r="BF150" s="347"/>
      <c r="BG150" s="347"/>
      <c r="BH150" s="347"/>
      <c r="BI150" s="347"/>
      <c r="BJ150" s="347"/>
      <c r="BK150" s="347"/>
      <c r="BL150" s="347"/>
      <c r="BM150" s="347"/>
      <c r="BN150" s="347"/>
      <c r="BO150" s="347"/>
      <c r="BP150" s="347"/>
      <c r="BQ150" s="347"/>
      <c r="BR150" s="347"/>
      <c r="BS150" s="347"/>
      <c r="BT150" s="347"/>
      <c r="BU150" s="347"/>
      <c r="BV150" s="347"/>
      <c r="BW150" s="347"/>
      <c r="BX150" s="347"/>
      <c r="BY150" s="347"/>
      <c r="BZ150" s="347"/>
      <c r="CA150" s="347"/>
      <c r="CB150" s="347"/>
      <c r="CC150" s="347"/>
      <c r="CD150" s="347"/>
      <c r="CE150" s="347"/>
      <c r="CF150" s="347"/>
      <c r="CG150" s="347"/>
      <c r="CH150" s="347"/>
      <c r="CI150" s="347"/>
      <c r="CJ150" s="347"/>
      <c r="CK150" s="347"/>
      <c r="CL150" s="347"/>
      <c r="CM150" s="347"/>
      <c r="CN150" s="347"/>
      <c r="CO150" s="347"/>
      <c r="CP150" s="347"/>
    </row>
    <row r="151" spans="1:94" ht="27.75" customHeight="1">
      <c r="A151" s="347"/>
      <c r="B151" s="348"/>
      <c r="C151" s="347"/>
      <c r="D151" s="347"/>
      <c r="E151" s="347"/>
      <c r="F151" s="347"/>
      <c r="G151" s="347"/>
      <c r="H151" s="347"/>
      <c r="I151" s="347"/>
      <c r="J151" s="347"/>
      <c r="K151" s="347"/>
      <c r="L151" s="347"/>
      <c r="M151" s="347"/>
      <c r="N151" s="347"/>
      <c r="O151" s="347"/>
      <c r="P151" s="347"/>
      <c r="Q151" s="347"/>
      <c r="R151" s="347"/>
      <c r="S151" s="347"/>
      <c r="T151" s="347"/>
      <c r="U151" s="347"/>
      <c r="V151" s="347"/>
      <c r="W151" s="347"/>
      <c r="X151" s="347"/>
      <c r="Y151" s="347"/>
      <c r="Z151" s="347"/>
      <c r="AA151" s="347"/>
      <c r="AB151" s="347"/>
      <c r="AC151" s="347"/>
      <c r="AD151" s="347"/>
      <c r="AE151" s="347"/>
      <c r="AF151" s="347"/>
      <c r="AG151" s="347"/>
      <c r="AH151" s="347"/>
      <c r="AI151" s="347"/>
      <c r="AJ151" s="347"/>
      <c r="AK151" s="347"/>
      <c r="AL151" s="347"/>
      <c r="AM151" s="347"/>
      <c r="AN151" s="347"/>
      <c r="AO151" s="347"/>
      <c r="AP151" s="347"/>
      <c r="AQ151" s="347"/>
      <c r="AR151" s="347"/>
      <c r="AS151" s="347"/>
      <c r="AT151" s="347"/>
      <c r="AU151" s="347"/>
      <c r="AV151" s="347"/>
      <c r="AW151" s="347"/>
      <c r="AX151" s="347"/>
      <c r="AY151" s="347"/>
      <c r="AZ151" s="347"/>
      <c r="BA151" s="347"/>
      <c r="BB151" s="347"/>
      <c r="BC151" s="347"/>
      <c r="BD151" s="347"/>
      <c r="BE151" s="347"/>
      <c r="BF151" s="347"/>
      <c r="BG151" s="347"/>
      <c r="BH151" s="347"/>
      <c r="BI151" s="347"/>
      <c r="BJ151" s="347"/>
      <c r="BK151" s="347"/>
      <c r="BL151" s="347"/>
      <c r="BM151" s="347"/>
      <c r="BN151" s="347"/>
      <c r="BO151" s="347"/>
      <c r="BP151" s="347"/>
      <c r="BQ151" s="347"/>
      <c r="BR151" s="347"/>
      <c r="BS151" s="347"/>
      <c r="BT151" s="347"/>
      <c r="BU151" s="347"/>
      <c r="BV151" s="347"/>
      <c r="BW151" s="347"/>
      <c r="BX151" s="347"/>
      <c r="BY151" s="347"/>
      <c r="BZ151" s="347"/>
      <c r="CA151" s="347"/>
      <c r="CB151" s="347"/>
      <c r="CC151" s="347"/>
      <c r="CD151" s="347"/>
      <c r="CE151" s="347"/>
      <c r="CF151" s="347"/>
      <c r="CG151" s="347"/>
      <c r="CH151" s="347"/>
      <c r="CI151" s="347"/>
      <c r="CJ151" s="347"/>
      <c r="CK151" s="347"/>
      <c r="CL151" s="347"/>
      <c r="CM151" s="347"/>
      <c r="CN151" s="347"/>
      <c r="CO151" s="347"/>
      <c r="CP151" s="347"/>
    </row>
    <row r="152" spans="1:94" ht="27.75" customHeight="1">
      <c r="A152" s="347"/>
      <c r="B152" s="348"/>
      <c r="C152" s="347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7"/>
      <c r="T152" s="347"/>
      <c r="U152" s="347"/>
      <c r="V152" s="347"/>
      <c r="W152" s="347"/>
      <c r="X152" s="347"/>
      <c r="Y152" s="347"/>
      <c r="Z152" s="347"/>
      <c r="AA152" s="347"/>
      <c r="AB152" s="347"/>
      <c r="AC152" s="347"/>
      <c r="AD152" s="347"/>
      <c r="AE152" s="347"/>
      <c r="AF152" s="347"/>
      <c r="AG152" s="347"/>
      <c r="AH152" s="347"/>
      <c r="AI152" s="347"/>
      <c r="AJ152" s="347"/>
      <c r="AK152" s="347"/>
      <c r="AL152" s="347"/>
      <c r="AM152" s="347"/>
      <c r="AN152" s="347"/>
      <c r="AO152" s="347"/>
      <c r="AP152" s="347"/>
      <c r="AQ152" s="347"/>
      <c r="AR152" s="347"/>
      <c r="AS152" s="347"/>
      <c r="AT152" s="347"/>
      <c r="AU152" s="347"/>
      <c r="AV152" s="347"/>
      <c r="AW152" s="347"/>
      <c r="AX152" s="347"/>
      <c r="AY152" s="347"/>
      <c r="AZ152" s="347"/>
      <c r="BA152" s="347"/>
      <c r="BB152" s="347"/>
      <c r="BC152" s="347"/>
      <c r="BD152" s="347"/>
      <c r="BE152" s="347"/>
      <c r="BF152" s="347"/>
      <c r="BG152" s="347"/>
      <c r="BH152" s="347"/>
      <c r="BI152" s="347"/>
      <c r="BJ152" s="347"/>
      <c r="BK152" s="347"/>
      <c r="BL152" s="347"/>
      <c r="BM152" s="347"/>
      <c r="BN152" s="347"/>
      <c r="BO152" s="347"/>
      <c r="BP152" s="347"/>
      <c r="BQ152" s="347"/>
      <c r="BR152" s="347"/>
      <c r="BS152" s="347"/>
      <c r="BT152" s="347"/>
      <c r="BU152" s="347"/>
      <c r="BV152" s="347"/>
      <c r="BW152" s="347"/>
      <c r="BX152" s="347"/>
      <c r="BY152" s="347"/>
      <c r="BZ152" s="347"/>
      <c r="CA152" s="347"/>
      <c r="CB152" s="347"/>
      <c r="CC152" s="347"/>
      <c r="CD152" s="347"/>
      <c r="CE152" s="347"/>
      <c r="CF152" s="347"/>
      <c r="CG152" s="347"/>
      <c r="CH152" s="347"/>
      <c r="CI152" s="347"/>
      <c r="CJ152" s="347"/>
      <c r="CK152" s="347"/>
      <c r="CL152" s="347"/>
      <c r="CM152" s="347"/>
      <c r="CN152" s="347"/>
      <c r="CO152" s="347"/>
      <c r="CP152" s="347"/>
    </row>
    <row r="153" spans="1:94" ht="27.75" customHeight="1">
      <c r="A153" s="347"/>
      <c r="B153" s="348"/>
      <c r="C153" s="347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7"/>
      <c r="AD153" s="347"/>
      <c r="AE153" s="347"/>
      <c r="AF153" s="347"/>
      <c r="AG153" s="347"/>
      <c r="AH153" s="347"/>
      <c r="AI153" s="347"/>
      <c r="AJ153" s="347"/>
      <c r="AK153" s="347"/>
      <c r="AL153" s="347"/>
      <c r="AM153" s="347"/>
      <c r="AN153" s="347"/>
      <c r="AO153" s="347"/>
      <c r="AP153" s="347"/>
      <c r="AQ153" s="347"/>
      <c r="AR153" s="347"/>
      <c r="AS153" s="347"/>
      <c r="AT153" s="347"/>
      <c r="AU153" s="347"/>
      <c r="AV153" s="347"/>
      <c r="AW153" s="347"/>
      <c r="AX153" s="347"/>
      <c r="AY153" s="347"/>
      <c r="AZ153" s="347"/>
      <c r="BA153" s="347"/>
      <c r="BB153" s="347"/>
      <c r="BC153" s="347"/>
      <c r="BD153" s="347"/>
      <c r="BE153" s="347"/>
      <c r="BF153" s="347"/>
      <c r="BG153" s="347"/>
      <c r="BH153" s="347"/>
      <c r="BI153" s="347"/>
      <c r="BJ153" s="347"/>
      <c r="BK153" s="347"/>
      <c r="BL153" s="347"/>
      <c r="BM153" s="347"/>
      <c r="BN153" s="347"/>
      <c r="BO153" s="347"/>
      <c r="BP153" s="347"/>
      <c r="BQ153" s="347"/>
      <c r="BR153" s="347"/>
      <c r="BS153" s="347"/>
      <c r="BT153" s="347"/>
      <c r="BU153" s="347"/>
      <c r="BV153" s="347"/>
      <c r="BW153" s="347"/>
      <c r="BX153" s="347"/>
      <c r="BY153" s="347"/>
      <c r="BZ153" s="347"/>
      <c r="CA153" s="347"/>
      <c r="CB153" s="347"/>
      <c r="CC153" s="347"/>
      <c r="CD153" s="347"/>
      <c r="CE153" s="347"/>
      <c r="CF153" s="347"/>
      <c r="CG153" s="347"/>
      <c r="CH153" s="347"/>
      <c r="CI153" s="347"/>
      <c r="CJ153" s="347"/>
      <c r="CK153" s="347"/>
      <c r="CL153" s="347"/>
      <c r="CM153" s="347"/>
      <c r="CN153" s="347"/>
      <c r="CO153" s="347"/>
      <c r="CP153" s="347"/>
    </row>
    <row r="154" spans="1:94" ht="27.75" customHeight="1">
      <c r="A154" s="347"/>
      <c r="B154" s="348"/>
      <c r="C154" s="347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7"/>
      <c r="T154" s="347"/>
      <c r="U154" s="347"/>
      <c r="V154" s="347"/>
      <c r="W154" s="347"/>
      <c r="X154" s="347"/>
      <c r="Y154" s="347"/>
      <c r="Z154" s="347"/>
      <c r="AA154" s="347"/>
      <c r="AB154" s="347"/>
      <c r="AC154" s="347"/>
      <c r="AD154" s="347"/>
      <c r="AE154" s="347"/>
      <c r="AF154" s="347"/>
      <c r="AG154" s="347"/>
      <c r="AH154" s="347"/>
      <c r="AI154" s="347"/>
      <c r="AJ154" s="347"/>
      <c r="AK154" s="347"/>
      <c r="AL154" s="347"/>
      <c r="AM154" s="347"/>
      <c r="AN154" s="347"/>
      <c r="AO154" s="347"/>
      <c r="AP154" s="347"/>
      <c r="AQ154" s="347"/>
      <c r="AR154" s="347"/>
      <c r="AS154" s="347"/>
      <c r="AT154" s="347"/>
      <c r="AU154" s="347"/>
      <c r="AV154" s="347"/>
      <c r="AW154" s="347"/>
      <c r="AX154" s="347"/>
      <c r="AY154" s="347"/>
      <c r="AZ154" s="347"/>
      <c r="BA154" s="347"/>
      <c r="BB154" s="347"/>
      <c r="BC154" s="347"/>
      <c r="BD154" s="347"/>
      <c r="BE154" s="347"/>
      <c r="BF154" s="347"/>
      <c r="BG154" s="347"/>
      <c r="BH154" s="347"/>
      <c r="BI154" s="347"/>
      <c r="BJ154" s="347"/>
      <c r="BK154" s="347"/>
      <c r="BL154" s="347"/>
      <c r="BM154" s="347"/>
      <c r="BN154" s="347"/>
      <c r="BO154" s="347"/>
      <c r="BP154" s="347"/>
      <c r="BQ154" s="347"/>
      <c r="BR154" s="347"/>
      <c r="BS154" s="347"/>
      <c r="BT154" s="347"/>
      <c r="BU154" s="347"/>
      <c r="BV154" s="347"/>
      <c r="BW154" s="347"/>
      <c r="BX154" s="347"/>
      <c r="BY154" s="347"/>
      <c r="BZ154" s="347"/>
      <c r="CA154" s="347"/>
      <c r="CB154" s="347"/>
      <c r="CC154" s="347"/>
      <c r="CD154" s="347"/>
      <c r="CE154" s="347"/>
      <c r="CF154" s="347"/>
      <c r="CG154" s="347"/>
      <c r="CH154" s="347"/>
      <c r="CI154" s="347"/>
      <c r="CJ154" s="347"/>
      <c r="CK154" s="347"/>
      <c r="CL154" s="347"/>
      <c r="CM154" s="347"/>
      <c r="CN154" s="347"/>
      <c r="CO154" s="347"/>
      <c r="CP154" s="347"/>
    </row>
    <row r="155" spans="1:94" ht="27.75" customHeight="1">
      <c r="A155" s="347"/>
      <c r="B155" s="348"/>
      <c r="C155" s="347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7"/>
      <c r="T155" s="347"/>
      <c r="U155" s="347"/>
      <c r="V155" s="347"/>
      <c r="W155" s="347"/>
      <c r="X155" s="347"/>
      <c r="Y155" s="347"/>
      <c r="Z155" s="347"/>
      <c r="AA155" s="347"/>
      <c r="AB155" s="347"/>
      <c r="AC155" s="347"/>
      <c r="AD155" s="347"/>
      <c r="AE155" s="347"/>
      <c r="AF155" s="347"/>
      <c r="AG155" s="347"/>
      <c r="AH155" s="347"/>
      <c r="AI155" s="347"/>
      <c r="AJ155" s="347"/>
      <c r="AK155" s="347"/>
      <c r="AL155" s="347"/>
      <c r="AM155" s="347"/>
      <c r="AN155" s="347"/>
      <c r="AO155" s="347"/>
      <c r="AP155" s="347"/>
      <c r="AQ155" s="347"/>
      <c r="AR155" s="347"/>
      <c r="AS155" s="347"/>
      <c r="AT155" s="347"/>
      <c r="AU155" s="347"/>
      <c r="AV155" s="347"/>
      <c r="AW155" s="347"/>
      <c r="AX155" s="347"/>
      <c r="AY155" s="347"/>
      <c r="AZ155" s="347"/>
      <c r="BA155" s="347"/>
      <c r="BB155" s="347"/>
      <c r="BC155" s="347"/>
      <c r="BD155" s="347"/>
      <c r="BE155" s="347"/>
      <c r="BF155" s="347"/>
      <c r="BG155" s="347"/>
      <c r="BH155" s="347"/>
      <c r="BI155" s="347"/>
      <c r="BJ155" s="347"/>
      <c r="BK155" s="347"/>
      <c r="BL155" s="347"/>
      <c r="BM155" s="347"/>
      <c r="BN155" s="347"/>
      <c r="BO155" s="347"/>
      <c r="BP155" s="347"/>
      <c r="BQ155" s="347"/>
      <c r="BR155" s="347"/>
      <c r="BS155" s="347"/>
      <c r="BT155" s="347"/>
      <c r="BU155" s="347"/>
      <c r="BV155" s="347"/>
      <c r="BW155" s="347"/>
      <c r="BX155" s="347"/>
      <c r="BY155" s="347"/>
      <c r="BZ155" s="347"/>
      <c r="CA155" s="347"/>
      <c r="CB155" s="347"/>
      <c r="CC155" s="347"/>
      <c r="CD155" s="347"/>
      <c r="CE155" s="347"/>
      <c r="CF155" s="347"/>
      <c r="CG155" s="347"/>
      <c r="CH155" s="347"/>
      <c r="CI155" s="347"/>
      <c r="CJ155" s="347"/>
      <c r="CK155" s="347"/>
      <c r="CL155" s="347"/>
      <c r="CM155" s="347"/>
      <c r="CN155" s="347"/>
      <c r="CO155" s="347"/>
      <c r="CP155" s="347"/>
    </row>
    <row r="156" spans="1:94" ht="27.75" customHeight="1">
      <c r="A156" s="347"/>
      <c r="B156" s="348"/>
      <c r="C156" s="347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7"/>
      <c r="T156" s="347"/>
      <c r="U156" s="347"/>
      <c r="V156" s="347"/>
      <c r="W156" s="347"/>
      <c r="X156" s="347"/>
      <c r="Y156" s="347"/>
      <c r="Z156" s="347"/>
      <c r="AA156" s="347"/>
      <c r="AB156" s="347"/>
      <c r="AC156" s="347"/>
      <c r="AD156" s="347"/>
      <c r="AE156" s="347"/>
      <c r="AF156" s="347"/>
      <c r="AG156" s="347"/>
      <c r="AH156" s="347"/>
      <c r="AI156" s="347"/>
      <c r="AJ156" s="347"/>
      <c r="AK156" s="347"/>
      <c r="AL156" s="347"/>
      <c r="AM156" s="347"/>
      <c r="AN156" s="347"/>
      <c r="AO156" s="347"/>
      <c r="AP156" s="347"/>
      <c r="AQ156" s="347"/>
      <c r="AR156" s="347"/>
      <c r="AS156" s="347"/>
      <c r="AT156" s="347"/>
      <c r="AU156" s="347"/>
      <c r="AV156" s="347"/>
      <c r="AW156" s="347"/>
      <c r="AX156" s="347"/>
      <c r="AY156" s="347"/>
      <c r="AZ156" s="347"/>
      <c r="BA156" s="347"/>
      <c r="BB156" s="347"/>
      <c r="BC156" s="347"/>
      <c r="BD156" s="347"/>
      <c r="BE156" s="347"/>
      <c r="BF156" s="347"/>
      <c r="BG156" s="347"/>
      <c r="BH156" s="347"/>
      <c r="BI156" s="347"/>
      <c r="BJ156" s="347"/>
      <c r="BK156" s="347"/>
      <c r="BL156" s="347"/>
      <c r="BM156" s="347"/>
      <c r="BN156" s="347"/>
      <c r="BO156" s="347"/>
      <c r="BP156" s="347"/>
      <c r="BQ156" s="347"/>
      <c r="BR156" s="347"/>
      <c r="BS156" s="347"/>
      <c r="BT156" s="347"/>
      <c r="BU156" s="347"/>
      <c r="BV156" s="347"/>
      <c r="BW156" s="347"/>
      <c r="BX156" s="347"/>
      <c r="BY156" s="347"/>
      <c r="BZ156" s="347"/>
      <c r="CA156" s="347"/>
      <c r="CB156" s="347"/>
      <c r="CC156" s="347"/>
      <c r="CD156" s="347"/>
      <c r="CE156" s="347"/>
      <c r="CF156" s="347"/>
      <c r="CG156" s="347"/>
      <c r="CH156" s="347"/>
      <c r="CI156" s="347"/>
      <c r="CJ156" s="347"/>
      <c r="CK156" s="347"/>
      <c r="CL156" s="347"/>
      <c r="CM156" s="347"/>
      <c r="CN156" s="347"/>
      <c r="CO156" s="347"/>
      <c r="CP156" s="347"/>
    </row>
    <row r="157" spans="1:94" ht="27.75" customHeight="1">
      <c r="A157" s="347"/>
      <c r="B157" s="348"/>
      <c r="C157" s="347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7"/>
      <c r="T157" s="347"/>
      <c r="U157" s="347"/>
      <c r="V157" s="347"/>
      <c r="W157" s="347"/>
      <c r="X157" s="347"/>
      <c r="Y157" s="347"/>
      <c r="Z157" s="347"/>
      <c r="AA157" s="347"/>
      <c r="AB157" s="347"/>
      <c r="AC157" s="347"/>
      <c r="AD157" s="347"/>
      <c r="AE157" s="347"/>
      <c r="AF157" s="347"/>
      <c r="AG157" s="347"/>
      <c r="AH157" s="347"/>
      <c r="AI157" s="347"/>
      <c r="AJ157" s="347"/>
      <c r="AK157" s="347"/>
      <c r="AL157" s="347"/>
      <c r="AM157" s="347"/>
      <c r="AN157" s="347"/>
      <c r="AO157" s="347"/>
      <c r="AP157" s="347"/>
      <c r="AQ157" s="347"/>
      <c r="AR157" s="347"/>
      <c r="AS157" s="347"/>
      <c r="AT157" s="347"/>
      <c r="AU157" s="347"/>
      <c r="AV157" s="347"/>
      <c r="AW157" s="347"/>
      <c r="AX157" s="347"/>
      <c r="AY157" s="347"/>
      <c r="AZ157" s="347"/>
      <c r="BA157" s="347"/>
      <c r="BB157" s="347"/>
      <c r="BC157" s="347"/>
      <c r="BD157" s="347"/>
      <c r="BE157" s="347"/>
      <c r="BF157" s="347"/>
      <c r="BG157" s="347"/>
      <c r="BH157" s="347"/>
      <c r="BI157" s="347"/>
      <c r="BJ157" s="347"/>
      <c r="BK157" s="347"/>
      <c r="BL157" s="347"/>
      <c r="BM157" s="347"/>
      <c r="BN157" s="347"/>
      <c r="BO157" s="347"/>
      <c r="BP157" s="347"/>
      <c r="BQ157" s="347"/>
      <c r="BR157" s="347"/>
      <c r="BS157" s="347"/>
      <c r="BT157" s="347"/>
      <c r="BU157" s="347"/>
      <c r="BV157" s="347"/>
      <c r="BW157" s="347"/>
      <c r="BX157" s="347"/>
      <c r="BY157" s="347"/>
      <c r="BZ157" s="347"/>
      <c r="CA157" s="347"/>
      <c r="CB157" s="347"/>
      <c r="CC157" s="347"/>
      <c r="CD157" s="347"/>
      <c r="CE157" s="347"/>
      <c r="CF157" s="347"/>
      <c r="CG157" s="347"/>
      <c r="CH157" s="347"/>
      <c r="CI157" s="347"/>
      <c r="CJ157" s="347"/>
      <c r="CK157" s="347"/>
      <c r="CL157" s="347"/>
      <c r="CM157" s="347"/>
      <c r="CN157" s="347"/>
      <c r="CO157" s="347"/>
      <c r="CP157" s="347"/>
    </row>
    <row r="158" spans="1:94" ht="27.75" customHeight="1">
      <c r="A158" s="347"/>
      <c r="B158" s="348"/>
      <c r="C158" s="347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7"/>
      <c r="T158" s="347"/>
      <c r="U158" s="347"/>
      <c r="V158" s="347"/>
      <c r="W158" s="347"/>
      <c r="X158" s="347"/>
      <c r="Y158" s="347"/>
      <c r="Z158" s="347"/>
      <c r="AA158" s="347"/>
      <c r="AB158" s="347"/>
      <c r="AC158" s="347"/>
      <c r="AD158" s="347"/>
      <c r="AE158" s="347"/>
      <c r="AF158" s="347"/>
      <c r="AG158" s="347"/>
      <c r="AH158" s="347"/>
      <c r="AI158" s="347"/>
      <c r="AJ158" s="347"/>
      <c r="AK158" s="347"/>
      <c r="AL158" s="347"/>
      <c r="AM158" s="347"/>
      <c r="AN158" s="347"/>
      <c r="AO158" s="347"/>
      <c r="AP158" s="347"/>
      <c r="AQ158" s="347"/>
      <c r="AR158" s="347"/>
      <c r="AS158" s="347"/>
      <c r="AT158" s="347"/>
      <c r="AU158" s="347"/>
      <c r="AV158" s="347"/>
      <c r="AW158" s="347"/>
      <c r="AX158" s="347"/>
      <c r="AY158" s="347"/>
      <c r="AZ158" s="347"/>
      <c r="BA158" s="347"/>
      <c r="BB158" s="347"/>
      <c r="BC158" s="347"/>
      <c r="BD158" s="347"/>
      <c r="BE158" s="347"/>
      <c r="BF158" s="347"/>
      <c r="BG158" s="347"/>
      <c r="BH158" s="347"/>
      <c r="BI158" s="347"/>
      <c r="BJ158" s="347"/>
      <c r="BK158" s="347"/>
      <c r="BL158" s="347"/>
      <c r="BM158" s="347"/>
      <c r="BN158" s="347"/>
      <c r="BO158" s="347"/>
      <c r="BP158" s="347"/>
      <c r="BQ158" s="347"/>
      <c r="BR158" s="347"/>
      <c r="BS158" s="347"/>
      <c r="BT158" s="347"/>
      <c r="BU158" s="347"/>
      <c r="BV158" s="347"/>
      <c r="BW158" s="347"/>
      <c r="BX158" s="347"/>
      <c r="BY158" s="347"/>
      <c r="BZ158" s="347"/>
      <c r="CA158" s="347"/>
      <c r="CB158" s="347"/>
      <c r="CC158" s="347"/>
      <c r="CD158" s="347"/>
      <c r="CE158" s="347"/>
      <c r="CF158" s="347"/>
      <c r="CG158" s="347"/>
      <c r="CH158" s="347"/>
      <c r="CI158" s="347"/>
      <c r="CJ158" s="347"/>
      <c r="CK158" s="347"/>
      <c r="CL158" s="347"/>
      <c r="CM158" s="347"/>
      <c r="CN158" s="347"/>
      <c r="CO158" s="347"/>
      <c r="CP158" s="347"/>
    </row>
    <row r="159" spans="1:94" ht="27.75" customHeight="1">
      <c r="A159" s="347"/>
      <c r="B159" s="348"/>
      <c r="C159" s="347"/>
      <c r="D159" s="347"/>
      <c r="E159" s="347"/>
      <c r="F159" s="347"/>
      <c r="G159" s="347"/>
      <c r="H159" s="347"/>
      <c r="I159" s="347"/>
      <c r="J159" s="347"/>
      <c r="K159" s="347"/>
      <c r="L159" s="347"/>
      <c r="M159" s="347"/>
      <c r="N159" s="347"/>
      <c r="O159" s="347"/>
      <c r="P159" s="347"/>
      <c r="Q159" s="347"/>
      <c r="R159" s="347"/>
      <c r="S159" s="347"/>
      <c r="T159" s="347"/>
      <c r="U159" s="347"/>
      <c r="V159" s="347"/>
      <c r="W159" s="347"/>
      <c r="X159" s="347"/>
      <c r="Y159" s="347"/>
      <c r="Z159" s="347"/>
      <c r="AA159" s="347"/>
      <c r="AB159" s="347"/>
      <c r="AC159" s="347"/>
      <c r="AD159" s="347"/>
      <c r="AE159" s="347"/>
      <c r="AF159" s="347"/>
      <c r="AG159" s="347"/>
      <c r="AH159" s="347"/>
      <c r="AI159" s="347"/>
      <c r="AJ159" s="347"/>
      <c r="AK159" s="347"/>
      <c r="AL159" s="347"/>
      <c r="AM159" s="347"/>
      <c r="AN159" s="347"/>
      <c r="AO159" s="347"/>
      <c r="AP159" s="347"/>
      <c r="AQ159" s="347"/>
      <c r="AR159" s="347"/>
      <c r="AS159" s="347"/>
      <c r="AT159" s="347"/>
      <c r="AU159" s="347"/>
      <c r="AV159" s="347"/>
      <c r="AW159" s="347"/>
      <c r="AX159" s="347"/>
      <c r="AY159" s="347"/>
      <c r="AZ159" s="347"/>
      <c r="BA159" s="347"/>
      <c r="BB159" s="347"/>
      <c r="BC159" s="347"/>
      <c r="BD159" s="347"/>
      <c r="BE159" s="347"/>
      <c r="BF159" s="347"/>
      <c r="BG159" s="347"/>
      <c r="BH159" s="347"/>
      <c r="BI159" s="347"/>
      <c r="BJ159" s="347"/>
      <c r="BK159" s="347"/>
      <c r="BL159" s="347"/>
      <c r="BM159" s="347"/>
      <c r="BN159" s="347"/>
      <c r="BO159" s="347"/>
      <c r="BP159" s="347"/>
      <c r="BQ159" s="347"/>
      <c r="BR159" s="347"/>
      <c r="BS159" s="347"/>
      <c r="BT159" s="347"/>
      <c r="BU159" s="347"/>
      <c r="BV159" s="347"/>
      <c r="BW159" s="347"/>
      <c r="BX159" s="347"/>
      <c r="BY159" s="347"/>
      <c r="BZ159" s="347"/>
      <c r="CA159" s="347"/>
      <c r="CB159" s="347"/>
      <c r="CC159" s="347"/>
      <c r="CD159" s="347"/>
      <c r="CE159" s="347"/>
      <c r="CF159" s="347"/>
      <c r="CG159" s="347"/>
      <c r="CH159" s="347"/>
      <c r="CI159" s="347"/>
      <c r="CJ159" s="347"/>
      <c r="CK159" s="347"/>
      <c r="CL159" s="347"/>
      <c r="CM159" s="347"/>
      <c r="CN159" s="347"/>
      <c r="CO159" s="347"/>
      <c r="CP159" s="347"/>
    </row>
    <row r="160" spans="1:94" ht="27.75" customHeight="1">
      <c r="A160" s="347"/>
      <c r="B160" s="348"/>
      <c r="C160" s="347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7"/>
      <c r="T160" s="347"/>
      <c r="U160" s="347"/>
      <c r="V160" s="347"/>
      <c r="W160" s="347"/>
      <c r="X160" s="347"/>
      <c r="Y160" s="347"/>
      <c r="Z160" s="347"/>
      <c r="AA160" s="347"/>
      <c r="AB160" s="347"/>
      <c r="AC160" s="347"/>
      <c r="AD160" s="347"/>
      <c r="AE160" s="347"/>
      <c r="AF160" s="347"/>
      <c r="AG160" s="347"/>
      <c r="AH160" s="347"/>
      <c r="AI160" s="347"/>
      <c r="AJ160" s="347"/>
      <c r="AK160" s="347"/>
      <c r="AL160" s="347"/>
      <c r="AM160" s="347"/>
      <c r="AN160" s="347"/>
      <c r="AO160" s="347"/>
      <c r="AP160" s="347"/>
      <c r="AQ160" s="347"/>
      <c r="AR160" s="347"/>
      <c r="AS160" s="347"/>
      <c r="AT160" s="347"/>
      <c r="AU160" s="347"/>
      <c r="AV160" s="347"/>
      <c r="AW160" s="347"/>
      <c r="AX160" s="347"/>
      <c r="AY160" s="347"/>
      <c r="AZ160" s="347"/>
      <c r="BA160" s="347"/>
      <c r="BB160" s="347"/>
      <c r="BC160" s="347"/>
      <c r="BD160" s="347"/>
      <c r="BE160" s="347"/>
      <c r="BF160" s="347"/>
      <c r="BG160" s="347"/>
      <c r="BH160" s="347"/>
      <c r="BI160" s="347"/>
      <c r="BJ160" s="347"/>
      <c r="BK160" s="347"/>
      <c r="BL160" s="347"/>
      <c r="BM160" s="347"/>
      <c r="BN160" s="347"/>
      <c r="BO160" s="347"/>
      <c r="BP160" s="347"/>
      <c r="BQ160" s="347"/>
      <c r="BR160" s="347"/>
      <c r="BS160" s="347"/>
      <c r="BT160" s="347"/>
      <c r="BU160" s="347"/>
      <c r="BV160" s="347"/>
      <c r="BW160" s="347"/>
      <c r="BX160" s="347"/>
      <c r="BY160" s="347"/>
      <c r="BZ160" s="347"/>
      <c r="CA160" s="347"/>
      <c r="CB160" s="347"/>
      <c r="CC160" s="347"/>
      <c r="CD160" s="347"/>
      <c r="CE160" s="347"/>
      <c r="CF160" s="347"/>
      <c r="CG160" s="347"/>
      <c r="CH160" s="347"/>
      <c r="CI160" s="347"/>
      <c r="CJ160" s="347"/>
      <c r="CK160" s="347"/>
      <c r="CL160" s="347"/>
      <c r="CM160" s="347"/>
      <c r="CN160" s="347"/>
      <c r="CO160" s="347"/>
      <c r="CP160" s="347"/>
    </row>
    <row r="161" spans="1:94" ht="27.75" customHeight="1">
      <c r="A161" s="347"/>
      <c r="B161" s="348"/>
      <c r="C161" s="347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7"/>
      <c r="T161" s="347"/>
      <c r="U161" s="347"/>
      <c r="V161" s="347"/>
      <c r="W161" s="347"/>
      <c r="X161" s="347"/>
      <c r="Y161" s="347"/>
      <c r="Z161" s="347"/>
      <c r="AA161" s="347"/>
      <c r="AB161" s="347"/>
      <c r="AC161" s="347"/>
      <c r="AD161" s="347"/>
      <c r="AE161" s="347"/>
      <c r="AF161" s="347"/>
      <c r="AG161" s="347"/>
      <c r="AH161" s="347"/>
      <c r="AI161" s="347"/>
      <c r="AJ161" s="347"/>
      <c r="AK161" s="347"/>
      <c r="AL161" s="347"/>
      <c r="AM161" s="347"/>
      <c r="AN161" s="347"/>
      <c r="AO161" s="347"/>
      <c r="AP161" s="347"/>
      <c r="AQ161" s="347"/>
      <c r="AR161" s="347"/>
      <c r="AS161" s="347"/>
      <c r="AT161" s="347"/>
      <c r="AU161" s="347"/>
      <c r="AV161" s="347"/>
      <c r="AW161" s="347"/>
      <c r="AX161" s="347"/>
      <c r="AY161" s="347"/>
      <c r="AZ161" s="347"/>
      <c r="BA161" s="347"/>
      <c r="BB161" s="347"/>
      <c r="BC161" s="347"/>
      <c r="BD161" s="347"/>
      <c r="BE161" s="347"/>
      <c r="BF161" s="347"/>
      <c r="BG161" s="347"/>
      <c r="BH161" s="347"/>
      <c r="BI161" s="347"/>
      <c r="BJ161" s="347"/>
      <c r="BK161" s="347"/>
      <c r="BL161" s="347"/>
      <c r="BM161" s="347"/>
      <c r="BN161" s="347"/>
      <c r="BO161" s="347"/>
      <c r="BP161" s="347"/>
      <c r="BQ161" s="347"/>
      <c r="BR161" s="347"/>
      <c r="BS161" s="347"/>
      <c r="BT161" s="347"/>
      <c r="BU161" s="347"/>
      <c r="BV161" s="347"/>
      <c r="BW161" s="347"/>
      <c r="BX161" s="347"/>
      <c r="BY161" s="347"/>
      <c r="BZ161" s="347"/>
      <c r="CA161" s="347"/>
      <c r="CB161" s="347"/>
      <c r="CC161" s="347"/>
      <c r="CD161" s="347"/>
      <c r="CE161" s="347"/>
      <c r="CF161" s="347"/>
      <c r="CG161" s="347"/>
      <c r="CH161" s="347"/>
      <c r="CI161" s="347"/>
      <c r="CJ161" s="347"/>
      <c r="CK161" s="347"/>
      <c r="CL161" s="347"/>
      <c r="CM161" s="347"/>
      <c r="CN161" s="347"/>
      <c r="CO161" s="347"/>
      <c r="CP161" s="347"/>
    </row>
    <row r="162" spans="1:94" ht="27.75" customHeight="1">
      <c r="A162" s="347"/>
      <c r="B162" s="348"/>
      <c r="C162" s="347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7"/>
      <c r="T162" s="347"/>
      <c r="U162" s="347"/>
      <c r="V162" s="347"/>
      <c r="W162" s="347"/>
      <c r="X162" s="347"/>
      <c r="Y162" s="347"/>
      <c r="Z162" s="347"/>
      <c r="AA162" s="347"/>
      <c r="AB162" s="347"/>
      <c r="AC162" s="347"/>
      <c r="AD162" s="347"/>
      <c r="AE162" s="347"/>
      <c r="AF162" s="347"/>
      <c r="AG162" s="347"/>
      <c r="AH162" s="347"/>
      <c r="AI162" s="347"/>
      <c r="AJ162" s="347"/>
      <c r="AK162" s="347"/>
      <c r="AL162" s="347"/>
      <c r="AM162" s="347"/>
      <c r="AN162" s="347"/>
      <c r="AO162" s="347"/>
      <c r="AP162" s="347"/>
      <c r="AQ162" s="347"/>
      <c r="AR162" s="347"/>
      <c r="AS162" s="347"/>
      <c r="AT162" s="347"/>
      <c r="AU162" s="347"/>
      <c r="AV162" s="347"/>
      <c r="AW162" s="347"/>
      <c r="AX162" s="347"/>
      <c r="AY162" s="347"/>
      <c r="AZ162" s="347"/>
      <c r="BA162" s="347"/>
      <c r="BB162" s="347"/>
      <c r="BC162" s="347"/>
      <c r="BD162" s="347"/>
      <c r="BE162" s="347"/>
      <c r="BF162" s="347"/>
      <c r="BG162" s="347"/>
      <c r="BH162" s="347"/>
      <c r="BI162" s="347"/>
      <c r="BJ162" s="347"/>
      <c r="BK162" s="347"/>
      <c r="BL162" s="347"/>
      <c r="BM162" s="347"/>
      <c r="BN162" s="347"/>
      <c r="BO162" s="347"/>
      <c r="BP162" s="347"/>
      <c r="BQ162" s="347"/>
      <c r="BR162" s="347"/>
      <c r="BS162" s="347"/>
      <c r="BT162" s="347"/>
      <c r="BU162" s="347"/>
      <c r="BV162" s="347"/>
      <c r="BW162" s="347"/>
      <c r="BX162" s="347"/>
      <c r="BY162" s="347"/>
      <c r="BZ162" s="347"/>
      <c r="CA162" s="347"/>
      <c r="CB162" s="347"/>
      <c r="CC162" s="347"/>
      <c r="CD162" s="347"/>
      <c r="CE162" s="347"/>
      <c r="CF162" s="347"/>
      <c r="CG162" s="347"/>
      <c r="CH162" s="347"/>
      <c r="CI162" s="347"/>
      <c r="CJ162" s="347"/>
      <c r="CK162" s="347"/>
      <c r="CL162" s="347"/>
      <c r="CM162" s="347"/>
      <c r="CN162" s="347"/>
      <c r="CO162" s="347"/>
      <c r="CP162" s="347"/>
    </row>
    <row r="163" spans="1:94" ht="27.75" customHeight="1">
      <c r="A163" s="347"/>
      <c r="B163" s="348"/>
      <c r="C163" s="347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7"/>
      <c r="T163" s="347"/>
      <c r="U163" s="347"/>
      <c r="V163" s="347"/>
      <c r="W163" s="347"/>
      <c r="X163" s="347"/>
      <c r="Y163" s="347"/>
      <c r="Z163" s="347"/>
      <c r="AA163" s="347"/>
      <c r="AB163" s="347"/>
      <c r="AC163" s="347"/>
      <c r="AD163" s="347"/>
      <c r="AE163" s="347"/>
      <c r="AF163" s="347"/>
      <c r="AG163" s="347"/>
      <c r="AH163" s="347"/>
      <c r="AI163" s="347"/>
      <c r="AJ163" s="347"/>
      <c r="AK163" s="347"/>
      <c r="AL163" s="347"/>
      <c r="AM163" s="347"/>
      <c r="AN163" s="347"/>
      <c r="AO163" s="347"/>
      <c r="AP163" s="347"/>
      <c r="AQ163" s="347"/>
      <c r="AR163" s="347"/>
      <c r="AS163" s="347"/>
      <c r="AT163" s="347"/>
      <c r="AU163" s="347"/>
      <c r="AV163" s="347"/>
      <c r="AW163" s="347"/>
      <c r="AX163" s="347"/>
      <c r="AY163" s="347"/>
      <c r="AZ163" s="347"/>
      <c r="BA163" s="347"/>
      <c r="BB163" s="347"/>
      <c r="BC163" s="347"/>
      <c r="BD163" s="347"/>
      <c r="BE163" s="347"/>
      <c r="BF163" s="347"/>
      <c r="BG163" s="347"/>
      <c r="BH163" s="347"/>
      <c r="BI163" s="347"/>
      <c r="BJ163" s="347"/>
      <c r="BK163" s="347"/>
      <c r="BL163" s="347"/>
      <c r="BM163" s="347"/>
      <c r="BN163" s="347"/>
      <c r="BO163" s="347"/>
      <c r="BP163" s="347"/>
      <c r="BQ163" s="347"/>
      <c r="BR163" s="347"/>
      <c r="BS163" s="347"/>
      <c r="BT163" s="347"/>
      <c r="BU163" s="347"/>
      <c r="BV163" s="347"/>
      <c r="BW163" s="347"/>
      <c r="BX163" s="347"/>
      <c r="BY163" s="347"/>
      <c r="BZ163" s="347"/>
      <c r="CA163" s="347"/>
      <c r="CB163" s="347"/>
      <c r="CC163" s="347"/>
      <c r="CD163" s="347"/>
      <c r="CE163" s="347"/>
      <c r="CF163" s="347"/>
      <c r="CG163" s="347"/>
      <c r="CH163" s="347"/>
      <c r="CI163" s="347"/>
      <c r="CJ163" s="347"/>
      <c r="CK163" s="347"/>
      <c r="CL163" s="347"/>
      <c r="CM163" s="347"/>
      <c r="CN163" s="347"/>
      <c r="CO163" s="347"/>
      <c r="CP163" s="347"/>
    </row>
    <row r="164" spans="1:94" ht="27.75" customHeight="1">
      <c r="A164" s="347"/>
      <c r="B164" s="348"/>
      <c r="C164" s="347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7"/>
      <c r="T164" s="347"/>
      <c r="U164" s="347"/>
      <c r="V164" s="347"/>
      <c r="W164" s="347"/>
      <c r="X164" s="347"/>
      <c r="Y164" s="347"/>
      <c r="Z164" s="347"/>
      <c r="AA164" s="347"/>
      <c r="AB164" s="347"/>
      <c r="AC164" s="347"/>
      <c r="AD164" s="347"/>
      <c r="AE164" s="347"/>
      <c r="AF164" s="347"/>
      <c r="AG164" s="347"/>
      <c r="AH164" s="347"/>
      <c r="AI164" s="347"/>
      <c r="AJ164" s="347"/>
      <c r="AK164" s="347"/>
      <c r="AL164" s="347"/>
      <c r="AM164" s="347"/>
      <c r="AN164" s="347"/>
      <c r="AO164" s="347"/>
      <c r="AP164" s="347"/>
      <c r="AQ164" s="347"/>
      <c r="AR164" s="347"/>
      <c r="AS164" s="347"/>
      <c r="AT164" s="347"/>
      <c r="AU164" s="347"/>
      <c r="AV164" s="347"/>
      <c r="AW164" s="347"/>
      <c r="AX164" s="347"/>
      <c r="AY164" s="347"/>
      <c r="AZ164" s="347"/>
      <c r="BA164" s="347"/>
      <c r="BB164" s="347"/>
      <c r="BC164" s="347"/>
      <c r="BD164" s="347"/>
      <c r="BE164" s="347"/>
      <c r="BF164" s="347"/>
      <c r="BG164" s="347"/>
      <c r="BH164" s="347"/>
      <c r="BI164" s="347"/>
      <c r="BJ164" s="347"/>
      <c r="BK164" s="347"/>
      <c r="BL164" s="347"/>
      <c r="BM164" s="347"/>
      <c r="BN164" s="347"/>
      <c r="BO164" s="347"/>
      <c r="BP164" s="347"/>
      <c r="BQ164" s="347"/>
      <c r="BR164" s="347"/>
      <c r="BS164" s="347"/>
      <c r="BT164" s="347"/>
      <c r="BU164" s="347"/>
      <c r="BV164" s="347"/>
      <c r="BW164" s="347"/>
      <c r="BX164" s="347"/>
      <c r="BY164" s="347"/>
      <c r="BZ164" s="347"/>
      <c r="CA164" s="347"/>
      <c r="CB164" s="347"/>
      <c r="CC164" s="347"/>
      <c r="CD164" s="347"/>
      <c r="CE164" s="347"/>
      <c r="CF164" s="347"/>
      <c r="CG164" s="347"/>
      <c r="CH164" s="347"/>
      <c r="CI164" s="347"/>
      <c r="CJ164" s="347"/>
      <c r="CK164" s="347"/>
      <c r="CL164" s="347"/>
      <c r="CM164" s="347"/>
      <c r="CN164" s="347"/>
      <c r="CO164" s="347"/>
      <c r="CP164" s="347"/>
    </row>
    <row r="165" spans="1:94" ht="27.75" customHeight="1">
      <c r="A165" s="347"/>
      <c r="B165" s="348"/>
      <c r="C165" s="347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7"/>
      <c r="AD165" s="347"/>
      <c r="AE165" s="347"/>
      <c r="AF165" s="347"/>
      <c r="AG165" s="347"/>
      <c r="AH165" s="347"/>
      <c r="AI165" s="347"/>
      <c r="AJ165" s="347"/>
      <c r="AK165" s="347"/>
      <c r="AL165" s="347"/>
      <c r="AM165" s="347"/>
      <c r="AN165" s="347"/>
      <c r="AO165" s="347"/>
      <c r="AP165" s="347"/>
      <c r="AQ165" s="347"/>
      <c r="AR165" s="347"/>
      <c r="AS165" s="347"/>
      <c r="AT165" s="347"/>
      <c r="AU165" s="347"/>
      <c r="AV165" s="347"/>
      <c r="AW165" s="347"/>
      <c r="AX165" s="347"/>
      <c r="AY165" s="347"/>
      <c r="AZ165" s="347"/>
      <c r="BA165" s="347"/>
      <c r="BB165" s="347"/>
      <c r="BC165" s="347"/>
      <c r="BD165" s="347"/>
      <c r="BE165" s="347"/>
      <c r="BF165" s="347"/>
      <c r="BG165" s="347"/>
      <c r="BH165" s="347"/>
      <c r="BI165" s="347"/>
      <c r="BJ165" s="347"/>
      <c r="BK165" s="347"/>
      <c r="BL165" s="347"/>
      <c r="BM165" s="347"/>
      <c r="BN165" s="347"/>
      <c r="BO165" s="347"/>
      <c r="BP165" s="347"/>
      <c r="BQ165" s="347"/>
      <c r="BR165" s="347"/>
      <c r="BS165" s="347"/>
      <c r="BT165" s="347"/>
      <c r="BU165" s="347"/>
      <c r="BV165" s="347"/>
      <c r="BW165" s="347"/>
      <c r="BX165" s="347"/>
      <c r="BY165" s="347"/>
      <c r="BZ165" s="347"/>
      <c r="CA165" s="347"/>
      <c r="CB165" s="347"/>
      <c r="CC165" s="347"/>
      <c r="CD165" s="347"/>
      <c r="CE165" s="347"/>
      <c r="CF165" s="347"/>
      <c r="CG165" s="347"/>
      <c r="CH165" s="347"/>
      <c r="CI165" s="347"/>
      <c r="CJ165" s="347"/>
      <c r="CK165" s="347"/>
      <c r="CL165" s="347"/>
      <c r="CM165" s="347"/>
      <c r="CN165" s="347"/>
      <c r="CO165" s="347"/>
      <c r="CP165" s="347"/>
    </row>
    <row r="166" spans="1:94" ht="27.75" customHeight="1">
      <c r="A166" s="347"/>
      <c r="B166" s="348"/>
      <c r="C166" s="347"/>
      <c r="D166" s="347"/>
      <c r="E166" s="347"/>
      <c r="F166" s="347"/>
      <c r="G166" s="347"/>
      <c r="H166" s="347"/>
      <c r="I166" s="347"/>
      <c r="J166" s="347"/>
      <c r="K166" s="347"/>
      <c r="L166" s="347"/>
      <c r="M166" s="347"/>
      <c r="N166" s="347"/>
      <c r="O166" s="347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347"/>
      <c r="AC166" s="347"/>
      <c r="AD166" s="347"/>
      <c r="AE166" s="347"/>
      <c r="AF166" s="347"/>
      <c r="AG166" s="347"/>
      <c r="AH166" s="347"/>
      <c r="AI166" s="347"/>
      <c r="AJ166" s="347"/>
      <c r="AK166" s="347"/>
      <c r="AL166" s="347"/>
      <c r="AM166" s="347"/>
      <c r="AN166" s="347"/>
      <c r="AO166" s="347"/>
      <c r="AP166" s="347"/>
      <c r="AQ166" s="347"/>
      <c r="AR166" s="347"/>
      <c r="AS166" s="347"/>
      <c r="AT166" s="347"/>
      <c r="AU166" s="347"/>
      <c r="AV166" s="347"/>
      <c r="AW166" s="347"/>
      <c r="AX166" s="347"/>
      <c r="AY166" s="347"/>
      <c r="AZ166" s="347"/>
      <c r="BA166" s="347"/>
      <c r="BB166" s="347"/>
      <c r="BC166" s="347"/>
      <c r="BD166" s="347"/>
      <c r="BE166" s="347"/>
      <c r="BF166" s="347"/>
      <c r="BG166" s="347"/>
      <c r="BH166" s="347"/>
      <c r="BI166" s="347"/>
      <c r="BJ166" s="347"/>
      <c r="BK166" s="347"/>
      <c r="BL166" s="347"/>
      <c r="BM166" s="347"/>
      <c r="BN166" s="347"/>
      <c r="BO166" s="347"/>
      <c r="BP166" s="347"/>
      <c r="BQ166" s="347"/>
      <c r="BR166" s="347"/>
      <c r="BS166" s="347"/>
      <c r="BT166" s="347"/>
      <c r="BU166" s="347"/>
      <c r="BV166" s="347"/>
      <c r="BW166" s="347"/>
      <c r="BX166" s="347"/>
      <c r="BY166" s="347"/>
      <c r="BZ166" s="347"/>
      <c r="CA166" s="347"/>
      <c r="CB166" s="347"/>
      <c r="CC166" s="347"/>
      <c r="CD166" s="347"/>
      <c r="CE166" s="347"/>
      <c r="CF166" s="347"/>
      <c r="CG166" s="347"/>
      <c r="CH166" s="347"/>
      <c r="CI166" s="347"/>
      <c r="CJ166" s="347"/>
      <c r="CK166" s="347"/>
      <c r="CL166" s="347"/>
      <c r="CM166" s="347"/>
      <c r="CN166" s="347"/>
      <c r="CO166" s="347"/>
      <c r="CP166" s="347"/>
    </row>
    <row r="167" spans="1:94" ht="27.75" customHeight="1">
      <c r="A167" s="347"/>
      <c r="B167" s="348"/>
      <c r="C167" s="347"/>
      <c r="D167" s="347"/>
      <c r="E167" s="347"/>
      <c r="F167" s="347"/>
      <c r="G167" s="347"/>
      <c r="H167" s="347"/>
      <c r="I167" s="347"/>
      <c r="J167" s="347"/>
      <c r="K167" s="347"/>
      <c r="L167" s="347"/>
      <c r="M167" s="347"/>
      <c r="N167" s="347"/>
      <c r="O167" s="347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47"/>
      <c r="AC167" s="347"/>
      <c r="AD167" s="347"/>
      <c r="AE167" s="347"/>
      <c r="AF167" s="347"/>
      <c r="AG167" s="347"/>
      <c r="AH167" s="347"/>
      <c r="AI167" s="347"/>
      <c r="AJ167" s="347"/>
      <c r="AK167" s="347"/>
      <c r="AL167" s="347"/>
      <c r="AM167" s="347"/>
      <c r="AN167" s="347"/>
      <c r="AO167" s="347"/>
      <c r="AP167" s="347"/>
      <c r="AQ167" s="347"/>
      <c r="AR167" s="347"/>
      <c r="AS167" s="347"/>
      <c r="AT167" s="347"/>
      <c r="AU167" s="347"/>
      <c r="AV167" s="347"/>
      <c r="AW167" s="347"/>
      <c r="AX167" s="347"/>
      <c r="AY167" s="347"/>
      <c r="AZ167" s="347"/>
      <c r="BA167" s="347"/>
      <c r="BB167" s="347"/>
      <c r="BC167" s="347"/>
      <c r="BD167" s="347"/>
      <c r="BE167" s="347"/>
      <c r="BF167" s="347"/>
      <c r="BG167" s="347"/>
      <c r="BH167" s="347"/>
      <c r="BI167" s="347"/>
      <c r="BJ167" s="347"/>
      <c r="BK167" s="347"/>
      <c r="BL167" s="347"/>
      <c r="BM167" s="347"/>
      <c r="BN167" s="347"/>
      <c r="BO167" s="347"/>
      <c r="BP167" s="347"/>
      <c r="BQ167" s="347"/>
      <c r="BR167" s="347"/>
      <c r="BS167" s="347"/>
      <c r="BT167" s="347"/>
      <c r="BU167" s="347"/>
      <c r="BV167" s="347"/>
      <c r="BW167" s="347"/>
      <c r="BX167" s="347"/>
      <c r="BY167" s="347"/>
      <c r="BZ167" s="347"/>
      <c r="CA167" s="347"/>
      <c r="CB167" s="347"/>
      <c r="CC167" s="347"/>
      <c r="CD167" s="347"/>
      <c r="CE167" s="347"/>
      <c r="CF167" s="347"/>
      <c r="CG167" s="347"/>
      <c r="CH167" s="347"/>
      <c r="CI167" s="347"/>
      <c r="CJ167" s="347"/>
      <c r="CK167" s="347"/>
      <c r="CL167" s="347"/>
      <c r="CM167" s="347"/>
      <c r="CN167" s="347"/>
      <c r="CO167" s="347"/>
      <c r="CP167" s="347"/>
    </row>
    <row r="168" spans="1:94" ht="27.75" customHeight="1">
      <c r="A168" s="347"/>
      <c r="B168" s="348"/>
      <c r="C168" s="347"/>
      <c r="D168" s="347"/>
      <c r="E168" s="347"/>
      <c r="F168" s="347"/>
      <c r="G168" s="347"/>
      <c r="H168" s="347"/>
      <c r="I168" s="347"/>
      <c r="J168" s="347"/>
      <c r="K168" s="347"/>
      <c r="L168" s="347"/>
      <c r="M168" s="347"/>
      <c r="N168" s="347"/>
      <c r="O168" s="347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47"/>
      <c r="AC168" s="347"/>
      <c r="AD168" s="347"/>
      <c r="AE168" s="347"/>
      <c r="AF168" s="347"/>
      <c r="AG168" s="347"/>
      <c r="AH168" s="347"/>
      <c r="AI168" s="347"/>
      <c r="AJ168" s="347"/>
      <c r="AK168" s="347"/>
      <c r="AL168" s="347"/>
      <c r="AM168" s="347"/>
      <c r="AN168" s="347"/>
      <c r="AO168" s="347"/>
      <c r="AP168" s="347"/>
      <c r="AQ168" s="347"/>
      <c r="AR168" s="347"/>
      <c r="AS168" s="347"/>
      <c r="AT168" s="347"/>
      <c r="AU168" s="347"/>
      <c r="AV168" s="347"/>
      <c r="AW168" s="347"/>
      <c r="AX168" s="347"/>
      <c r="AY168" s="347"/>
      <c r="AZ168" s="347"/>
      <c r="BA168" s="347"/>
      <c r="BB168" s="347"/>
      <c r="BC168" s="347"/>
      <c r="BD168" s="347"/>
      <c r="BE168" s="347"/>
      <c r="BF168" s="347"/>
      <c r="BG168" s="347"/>
      <c r="BH168" s="347"/>
      <c r="BI168" s="347"/>
      <c r="BJ168" s="347"/>
      <c r="BK168" s="347"/>
      <c r="BL168" s="347"/>
      <c r="BM168" s="347"/>
      <c r="BN168" s="347"/>
      <c r="BO168" s="347"/>
      <c r="BP168" s="347"/>
      <c r="BQ168" s="347"/>
      <c r="BR168" s="347"/>
      <c r="BS168" s="347"/>
      <c r="BT168" s="347"/>
      <c r="BU168" s="347"/>
      <c r="BV168" s="347"/>
      <c r="BW168" s="347"/>
      <c r="BX168" s="347"/>
      <c r="BY168" s="347"/>
      <c r="BZ168" s="347"/>
      <c r="CA168" s="347"/>
      <c r="CB168" s="347"/>
      <c r="CC168" s="347"/>
      <c r="CD168" s="347"/>
      <c r="CE168" s="347"/>
      <c r="CF168" s="347"/>
      <c r="CG168" s="347"/>
      <c r="CH168" s="347"/>
      <c r="CI168" s="347"/>
      <c r="CJ168" s="347"/>
      <c r="CK168" s="347"/>
      <c r="CL168" s="347"/>
      <c r="CM168" s="347"/>
      <c r="CN168" s="347"/>
      <c r="CO168" s="347"/>
      <c r="CP168" s="347"/>
    </row>
    <row r="169" spans="1:94" ht="27.75" customHeight="1">
      <c r="A169" s="347"/>
      <c r="B169" s="348"/>
      <c r="C169" s="347"/>
      <c r="D169" s="347"/>
      <c r="E169" s="347"/>
      <c r="F169" s="347"/>
      <c r="G169" s="347"/>
      <c r="H169" s="347"/>
      <c r="I169" s="347"/>
      <c r="J169" s="347"/>
      <c r="K169" s="347"/>
      <c r="L169" s="347"/>
      <c r="M169" s="347"/>
      <c r="N169" s="347"/>
      <c r="O169" s="347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47"/>
      <c r="AC169" s="347"/>
      <c r="AD169" s="347"/>
      <c r="AE169" s="347"/>
      <c r="AF169" s="347"/>
      <c r="AG169" s="347"/>
      <c r="AH169" s="347"/>
      <c r="AI169" s="347"/>
      <c r="AJ169" s="347"/>
      <c r="AK169" s="347"/>
      <c r="AL169" s="347"/>
      <c r="AM169" s="347"/>
      <c r="AN169" s="347"/>
      <c r="AO169" s="347"/>
      <c r="AP169" s="347"/>
      <c r="AQ169" s="347"/>
      <c r="AR169" s="347"/>
      <c r="AS169" s="347"/>
      <c r="AT169" s="347"/>
      <c r="AU169" s="347"/>
      <c r="AV169" s="347"/>
      <c r="AW169" s="347"/>
      <c r="AX169" s="347"/>
      <c r="AY169" s="347"/>
      <c r="AZ169" s="347"/>
      <c r="BA169" s="347"/>
      <c r="BB169" s="347"/>
      <c r="BC169" s="347"/>
      <c r="BD169" s="347"/>
      <c r="BE169" s="347"/>
      <c r="BF169" s="347"/>
      <c r="BG169" s="347"/>
      <c r="BH169" s="347"/>
      <c r="BI169" s="347"/>
      <c r="BJ169" s="347"/>
      <c r="BK169" s="347"/>
      <c r="BL169" s="347"/>
      <c r="BM169" s="347"/>
      <c r="BN169" s="347"/>
      <c r="BO169" s="347"/>
      <c r="BP169" s="347"/>
      <c r="BQ169" s="347"/>
      <c r="BR169" s="347"/>
      <c r="BS169" s="347"/>
      <c r="BT169" s="347"/>
      <c r="BU169" s="347"/>
      <c r="BV169" s="347"/>
      <c r="BW169" s="347"/>
      <c r="BX169" s="347"/>
      <c r="BY169" s="347"/>
      <c r="BZ169" s="347"/>
      <c r="CA169" s="347"/>
      <c r="CB169" s="347"/>
      <c r="CC169" s="347"/>
      <c r="CD169" s="347"/>
      <c r="CE169" s="347"/>
      <c r="CF169" s="347"/>
      <c r="CG169" s="347"/>
      <c r="CH169" s="347"/>
      <c r="CI169" s="347"/>
      <c r="CJ169" s="347"/>
      <c r="CK169" s="347"/>
      <c r="CL169" s="347"/>
      <c r="CM169" s="347"/>
      <c r="CN169" s="347"/>
      <c r="CO169" s="347"/>
      <c r="CP169" s="347"/>
    </row>
    <row r="170" spans="1:94" ht="27.75" customHeight="1">
      <c r="A170" s="347"/>
      <c r="B170" s="348"/>
      <c r="C170" s="347"/>
      <c r="D170" s="347"/>
      <c r="E170" s="347"/>
      <c r="F170" s="347"/>
      <c r="G170" s="347"/>
      <c r="H170" s="347"/>
      <c r="I170" s="347"/>
      <c r="J170" s="347"/>
      <c r="K170" s="347"/>
      <c r="L170" s="347"/>
      <c r="M170" s="347"/>
      <c r="N170" s="347"/>
      <c r="O170" s="347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347"/>
      <c r="AC170" s="347"/>
      <c r="AD170" s="347"/>
      <c r="AE170" s="347"/>
      <c r="AF170" s="347"/>
      <c r="AG170" s="347"/>
      <c r="AH170" s="347"/>
      <c r="AI170" s="347"/>
      <c r="AJ170" s="347"/>
      <c r="AK170" s="347"/>
      <c r="AL170" s="347"/>
      <c r="AM170" s="347"/>
      <c r="AN170" s="347"/>
      <c r="AO170" s="347"/>
      <c r="AP170" s="347"/>
      <c r="AQ170" s="347"/>
      <c r="AR170" s="347"/>
      <c r="AS170" s="347"/>
      <c r="AT170" s="347"/>
      <c r="AU170" s="347"/>
      <c r="AV170" s="347"/>
      <c r="AW170" s="347"/>
      <c r="AX170" s="347"/>
      <c r="AY170" s="347"/>
      <c r="AZ170" s="347"/>
      <c r="BA170" s="347"/>
      <c r="BB170" s="347"/>
      <c r="BC170" s="347"/>
      <c r="BD170" s="347"/>
      <c r="BE170" s="347"/>
      <c r="BF170" s="347"/>
      <c r="BG170" s="347"/>
      <c r="BH170" s="347"/>
      <c r="BI170" s="347"/>
      <c r="BJ170" s="347"/>
      <c r="BK170" s="347"/>
      <c r="BL170" s="347"/>
      <c r="BM170" s="347"/>
      <c r="BN170" s="347"/>
      <c r="BO170" s="347"/>
      <c r="BP170" s="347"/>
      <c r="BQ170" s="347"/>
      <c r="BR170" s="347"/>
      <c r="BS170" s="347"/>
      <c r="BT170" s="347"/>
      <c r="BU170" s="347"/>
      <c r="BV170" s="347"/>
      <c r="BW170" s="347"/>
      <c r="BX170" s="347"/>
      <c r="BY170" s="347"/>
      <c r="BZ170" s="347"/>
      <c r="CA170" s="347"/>
      <c r="CB170" s="347"/>
      <c r="CC170" s="347"/>
      <c r="CD170" s="347"/>
      <c r="CE170" s="347"/>
      <c r="CF170" s="347"/>
      <c r="CG170" s="347"/>
      <c r="CH170" s="347"/>
      <c r="CI170" s="347"/>
      <c r="CJ170" s="347"/>
      <c r="CK170" s="347"/>
      <c r="CL170" s="347"/>
      <c r="CM170" s="347"/>
      <c r="CN170" s="347"/>
      <c r="CO170" s="347"/>
      <c r="CP170" s="347"/>
    </row>
    <row r="171" spans="1:94" ht="27.75" customHeight="1">
      <c r="A171" s="347"/>
      <c r="B171" s="348"/>
      <c r="C171" s="347"/>
      <c r="D171" s="347"/>
      <c r="E171" s="347"/>
      <c r="F171" s="347"/>
      <c r="G171" s="347"/>
      <c r="H171" s="347"/>
      <c r="I171" s="347"/>
      <c r="J171" s="347"/>
      <c r="K171" s="347"/>
      <c r="L171" s="347"/>
      <c r="M171" s="347"/>
      <c r="N171" s="347"/>
      <c r="O171" s="347"/>
      <c r="P171" s="347"/>
      <c r="Q171" s="347"/>
      <c r="R171" s="347"/>
      <c r="S171" s="347"/>
      <c r="T171" s="347"/>
      <c r="U171" s="347"/>
      <c r="V171" s="347"/>
      <c r="W171" s="347"/>
      <c r="X171" s="347"/>
      <c r="Y171" s="347"/>
      <c r="Z171" s="347"/>
      <c r="AA171" s="347"/>
      <c r="AB171" s="347"/>
      <c r="AC171" s="347"/>
      <c r="AD171" s="347"/>
      <c r="AE171" s="347"/>
      <c r="AF171" s="347"/>
      <c r="AG171" s="347"/>
      <c r="AH171" s="347"/>
      <c r="AI171" s="347"/>
      <c r="AJ171" s="347"/>
      <c r="AK171" s="347"/>
      <c r="AL171" s="347"/>
      <c r="AM171" s="347"/>
      <c r="AN171" s="347"/>
      <c r="AO171" s="347"/>
      <c r="AP171" s="347"/>
      <c r="AQ171" s="347"/>
      <c r="AR171" s="347"/>
      <c r="AS171" s="347"/>
      <c r="AT171" s="347"/>
      <c r="AU171" s="347"/>
      <c r="AV171" s="347"/>
      <c r="AW171" s="347"/>
      <c r="AX171" s="347"/>
      <c r="AY171" s="347"/>
      <c r="AZ171" s="347"/>
      <c r="BA171" s="347"/>
      <c r="BB171" s="347"/>
      <c r="BC171" s="347"/>
      <c r="BD171" s="347"/>
      <c r="BE171" s="347"/>
      <c r="BF171" s="347"/>
      <c r="BG171" s="347"/>
      <c r="BH171" s="347"/>
      <c r="BI171" s="347"/>
      <c r="BJ171" s="347"/>
      <c r="BK171" s="347"/>
      <c r="BL171" s="347"/>
      <c r="BM171" s="347"/>
      <c r="BN171" s="347"/>
      <c r="BO171" s="347"/>
      <c r="BP171" s="347"/>
      <c r="BQ171" s="347"/>
      <c r="BR171" s="347"/>
      <c r="BS171" s="347"/>
      <c r="BT171" s="347"/>
      <c r="BU171" s="347"/>
      <c r="BV171" s="347"/>
      <c r="BW171" s="347"/>
      <c r="BX171" s="347"/>
      <c r="BY171" s="347"/>
      <c r="BZ171" s="347"/>
      <c r="CA171" s="347"/>
      <c r="CB171" s="347"/>
      <c r="CC171" s="347"/>
      <c r="CD171" s="347"/>
      <c r="CE171" s="347"/>
      <c r="CF171" s="347"/>
      <c r="CG171" s="347"/>
      <c r="CH171" s="347"/>
      <c r="CI171" s="347"/>
      <c r="CJ171" s="347"/>
      <c r="CK171" s="347"/>
      <c r="CL171" s="347"/>
      <c r="CM171" s="347"/>
      <c r="CN171" s="347"/>
      <c r="CO171" s="347"/>
      <c r="CP171" s="347"/>
    </row>
    <row r="172" spans="1:94" ht="27.75" customHeight="1">
      <c r="A172" s="347"/>
      <c r="B172" s="348"/>
      <c r="C172" s="347"/>
      <c r="D172" s="347"/>
      <c r="E172" s="347"/>
      <c r="F172" s="347"/>
      <c r="G172" s="347"/>
      <c r="H172" s="347"/>
      <c r="I172" s="347"/>
      <c r="J172" s="347"/>
      <c r="K172" s="347"/>
      <c r="L172" s="347"/>
      <c r="M172" s="347"/>
      <c r="N172" s="347"/>
      <c r="O172" s="347"/>
      <c r="P172" s="347"/>
      <c r="Q172" s="347"/>
      <c r="R172" s="347"/>
      <c r="S172" s="347"/>
      <c r="T172" s="347"/>
      <c r="U172" s="347"/>
      <c r="V172" s="347"/>
      <c r="W172" s="347"/>
      <c r="X172" s="347"/>
      <c r="Y172" s="347"/>
      <c r="Z172" s="347"/>
      <c r="AA172" s="347"/>
      <c r="AB172" s="347"/>
      <c r="AC172" s="347"/>
      <c r="AD172" s="347"/>
      <c r="AE172" s="347"/>
      <c r="AF172" s="347"/>
      <c r="AG172" s="347"/>
      <c r="AH172" s="347"/>
      <c r="AI172" s="347"/>
      <c r="AJ172" s="347"/>
      <c r="AK172" s="347"/>
      <c r="AL172" s="347"/>
      <c r="AM172" s="347"/>
      <c r="AN172" s="347"/>
      <c r="AO172" s="347"/>
      <c r="AP172" s="347"/>
      <c r="AQ172" s="347"/>
      <c r="AR172" s="347"/>
      <c r="AS172" s="347"/>
      <c r="AT172" s="347"/>
      <c r="AU172" s="347"/>
      <c r="AV172" s="347"/>
      <c r="AW172" s="347"/>
      <c r="AX172" s="347"/>
      <c r="AY172" s="347"/>
      <c r="AZ172" s="347"/>
      <c r="BA172" s="347"/>
      <c r="BB172" s="347"/>
      <c r="BC172" s="347"/>
      <c r="BD172" s="347"/>
      <c r="BE172" s="347"/>
      <c r="BF172" s="347"/>
      <c r="BG172" s="347"/>
      <c r="BH172" s="347"/>
      <c r="BI172" s="347"/>
      <c r="BJ172" s="347"/>
      <c r="BK172" s="347"/>
      <c r="BL172" s="347"/>
      <c r="BM172" s="347"/>
      <c r="BN172" s="347"/>
      <c r="BO172" s="347"/>
      <c r="BP172" s="347"/>
      <c r="BQ172" s="347"/>
      <c r="BR172" s="347"/>
      <c r="BS172" s="347"/>
      <c r="BT172" s="347"/>
      <c r="BU172" s="347"/>
      <c r="BV172" s="347"/>
      <c r="BW172" s="347"/>
      <c r="BX172" s="347"/>
      <c r="BY172" s="347"/>
      <c r="BZ172" s="347"/>
      <c r="CA172" s="347"/>
      <c r="CB172" s="347"/>
      <c r="CC172" s="347"/>
      <c r="CD172" s="347"/>
      <c r="CE172" s="347"/>
      <c r="CF172" s="347"/>
      <c r="CG172" s="347"/>
      <c r="CH172" s="347"/>
      <c r="CI172" s="347"/>
      <c r="CJ172" s="347"/>
      <c r="CK172" s="347"/>
      <c r="CL172" s="347"/>
      <c r="CM172" s="347"/>
      <c r="CN172" s="347"/>
      <c r="CO172" s="347"/>
      <c r="CP172" s="347"/>
    </row>
    <row r="173" spans="1:94" ht="27.75" customHeight="1">
      <c r="A173" s="347"/>
      <c r="B173" s="348"/>
      <c r="C173" s="347"/>
      <c r="D173" s="347"/>
      <c r="E173" s="347"/>
      <c r="F173" s="347"/>
      <c r="G173" s="347"/>
      <c r="H173" s="347"/>
      <c r="I173" s="347"/>
      <c r="J173" s="347"/>
      <c r="K173" s="347"/>
      <c r="L173" s="347"/>
      <c r="M173" s="347"/>
      <c r="N173" s="347"/>
      <c r="O173" s="347"/>
      <c r="P173" s="347"/>
      <c r="Q173" s="347"/>
      <c r="R173" s="347"/>
      <c r="S173" s="347"/>
      <c r="T173" s="347"/>
      <c r="U173" s="347"/>
      <c r="V173" s="347"/>
      <c r="W173" s="347"/>
      <c r="X173" s="347"/>
      <c r="Y173" s="347"/>
      <c r="Z173" s="347"/>
      <c r="AA173" s="347"/>
      <c r="AB173" s="347"/>
      <c r="AC173" s="347"/>
      <c r="AD173" s="347"/>
      <c r="AE173" s="347"/>
      <c r="AF173" s="347"/>
      <c r="AG173" s="347"/>
      <c r="AH173" s="347"/>
      <c r="AI173" s="347"/>
      <c r="AJ173" s="347"/>
      <c r="AK173" s="347"/>
      <c r="AL173" s="347"/>
      <c r="AM173" s="347"/>
      <c r="AN173" s="347"/>
      <c r="AO173" s="347"/>
      <c r="AP173" s="347"/>
      <c r="AQ173" s="347"/>
      <c r="AR173" s="347"/>
      <c r="AS173" s="347"/>
      <c r="AT173" s="347"/>
      <c r="AU173" s="347"/>
      <c r="AV173" s="347"/>
      <c r="AW173" s="347"/>
      <c r="AX173" s="347"/>
      <c r="AY173" s="347"/>
      <c r="AZ173" s="347"/>
      <c r="BA173" s="347"/>
      <c r="BB173" s="347"/>
      <c r="BC173" s="347"/>
      <c r="BD173" s="347"/>
      <c r="BE173" s="347"/>
      <c r="BF173" s="347"/>
      <c r="BG173" s="347"/>
      <c r="BH173" s="347"/>
      <c r="BI173" s="347"/>
      <c r="BJ173" s="347"/>
      <c r="BK173" s="347"/>
      <c r="BL173" s="347"/>
      <c r="BM173" s="347"/>
      <c r="BN173" s="347"/>
      <c r="BO173" s="347"/>
      <c r="BP173" s="347"/>
      <c r="BQ173" s="347"/>
      <c r="BR173" s="347"/>
      <c r="BS173" s="347"/>
      <c r="BT173" s="347"/>
      <c r="BU173" s="347"/>
      <c r="BV173" s="347"/>
      <c r="BW173" s="347"/>
      <c r="BX173" s="347"/>
      <c r="BY173" s="347"/>
      <c r="BZ173" s="347"/>
      <c r="CA173" s="347"/>
      <c r="CB173" s="347"/>
      <c r="CC173" s="347"/>
      <c r="CD173" s="347"/>
      <c r="CE173" s="347"/>
      <c r="CF173" s="347"/>
      <c r="CG173" s="347"/>
      <c r="CH173" s="347"/>
      <c r="CI173" s="347"/>
      <c r="CJ173" s="347"/>
      <c r="CK173" s="347"/>
      <c r="CL173" s="347"/>
      <c r="CM173" s="347"/>
      <c r="CN173" s="347"/>
      <c r="CO173" s="347"/>
      <c r="CP173" s="347"/>
    </row>
    <row r="174" spans="1:94" ht="27.75" customHeight="1">
      <c r="A174" s="347"/>
      <c r="B174" s="348"/>
      <c r="C174" s="347"/>
      <c r="D174" s="347"/>
      <c r="E174" s="347"/>
      <c r="F174" s="347"/>
      <c r="G174" s="347"/>
      <c r="H174" s="347"/>
      <c r="I174" s="347"/>
      <c r="J174" s="347"/>
      <c r="K174" s="347"/>
      <c r="L174" s="347"/>
      <c r="M174" s="347"/>
      <c r="N174" s="347"/>
      <c r="O174" s="347"/>
      <c r="P174" s="347"/>
      <c r="Q174" s="347"/>
      <c r="R174" s="347"/>
      <c r="S174" s="347"/>
      <c r="T174" s="347"/>
      <c r="U174" s="347"/>
      <c r="V174" s="347"/>
      <c r="W174" s="347"/>
      <c r="X174" s="347"/>
      <c r="Y174" s="347"/>
      <c r="Z174" s="347"/>
      <c r="AA174" s="347"/>
      <c r="AB174" s="347"/>
      <c r="AC174" s="347"/>
      <c r="AD174" s="347"/>
      <c r="AE174" s="347"/>
      <c r="AF174" s="347"/>
      <c r="AG174" s="347"/>
      <c r="AH174" s="347"/>
      <c r="AI174" s="347"/>
      <c r="AJ174" s="347"/>
      <c r="AK174" s="347"/>
      <c r="AL174" s="347"/>
      <c r="AM174" s="347"/>
      <c r="AN174" s="347"/>
      <c r="AO174" s="347"/>
      <c r="AP174" s="347"/>
      <c r="AQ174" s="347"/>
      <c r="AR174" s="347"/>
      <c r="AS174" s="347"/>
      <c r="AT174" s="347"/>
      <c r="AU174" s="347"/>
      <c r="AV174" s="347"/>
      <c r="AW174" s="347"/>
      <c r="AX174" s="347"/>
      <c r="AY174" s="347"/>
      <c r="AZ174" s="347"/>
      <c r="BA174" s="347"/>
      <c r="BB174" s="347"/>
      <c r="BC174" s="347"/>
      <c r="BD174" s="347"/>
      <c r="BE174" s="347"/>
      <c r="BF174" s="347"/>
      <c r="BG174" s="347"/>
      <c r="BH174" s="347"/>
      <c r="BI174" s="347"/>
      <c r="BJ174" s="347"/>
      <c r="BK174" s="347"/>
      <c r="BL174" s="347"/>
      <c r="BM174" s="347"/>
      <c r="BN174" s="347"/>
      <c r="BO174" s="347"/>
      <c r="BP174" s="347"/>
      <c r="BQ174" s="347"/>
      <c r="BR174" s="347"/>
      <c r="BS174" s="347"/>
      <c r="BT174" s="347"/>
      <c r="BU174" s="347"/>
      <c r="BV174" s="347"/>
      <c r="BW174" s="347"/>
      <c r="BX174" s="347"/>
      <c r="BY174" s="347"/>
      <c r="BZ174" s="347"/>
      <c r="CA174" s="347"/>
      <c r="CB174" s="347"/>
      <c r="CC174" s="347"/>
      <c r="CD174" s="347"/>
      <c r="CE174" s="347"/>
      <c r="CF174" s="347"/>
      <c r="CG174" s="347"/>
      <c r="CH174" s="347"/>
      <c r="CI174" s="347"/>
      <c r="CJ174" s="347"/>
      <c r="CK174" s="347"/>
      <c r="CL174" s="347"/>
      <c r="CM174" s="347"/>
      <c r="CN174" s="347"/>
      <c r="CO174" s="347"/>
      <c r="CP174" s="347"/>
    </row>
    <row r="175" spans="1:94" ht="27.75" customHeight="1">
      <c r="A175" s="347"/>
      <c r="B175" s="348"/>
      <c r="C175" s="347"/>
      <c r="D175" s="347"/>
      <c r="E175" s="347"/>
      <c r="F175" s="347"/>
      <c r="G175" s="347"/>
      <c r="H175" s="347"/>
      <c r="I175" s="347"/>
      <c r="J175" s="347"/>
      <c r="K175" s="347"/>
      <c r="L175" s="347"/>
      <c r="M175" s="347"/>
      <c r="N175" s="347"/>
      <c r="O175" s="347"/>
      <c r="P175" s="347"/>
      <c r="Q175" s="347"/>
      <c r="R175" s="347"/>
      <c r="S175" s="347"/>
      <c r="T175" s="347"/>
      <c r="U175" s="347"/>
      <c r="V175" s="347"/>
      <c r="W175" s="347"/>
      <c r="X175" s="347"/>
      <c r="Y175" s="347"/>
      <c r="Z175" s="347"/>
      <c r="AA175" s="347"/>
      <c r="AB175" s="347"/>
      <c r="AC175" s="347"/>
      <c r="AD175" s="347"/>
      <c r="AE175" s="347"/>
      <c r="AF175" s="347"/>
      <c r="AG175" s="347"/>
      <c r="AH175" s="347"/>
      <c r="AI175" s="347"/>
      <c r="AJ175" s="347"/>
      <c r="AK175" s="347"/>
      <c r="AL175" s="347"/>
      <c r="AM175" s="347"/>
      <c r="AN175" s="347"/>
      <c r="AO175" s="347"/>
      <c r="AP175" s="347"/>
      <c r="AQ175" s="347"/>
      <c r="AR175" s="347"/>
      <c r="AS175" s="347"/>
      <c r="AT175" s="347"/>
      <c r="AU175" s="347"/>
      <c r="AV175" s="347"/>
      <c r="AW175" s="347"/>
      <c r="AX175" s="347"/>
      <c r="AY175" s="347"/>
      <c r="AZ175" s="347"/>
      <c r="BA175" s="347"/>
      <c r="BB175" s="347"/>
      <c r="BC175" s="347"/>
      <c r="BD175" s="347"/>
      <c r="BE175" s="347"/>
      <c r="BF175" s="347"/>
      <c r="BG175" s="347"/>
      <c r="BH175" s="347"/>
      <c r="BI175" s="347"/>
      <c r="BJ175" s="347"/>
      <c r="BK175" s="347"/>
      <c r="BL175" s="347"/>
      <c r="BM175" s="347"/>
      <c r="BN175" s="347"/>
      <c r="BO175" s="347"/>
      <c r="BP175" s="347"/>
      <c r="BQ175" s="347"/>
      <c r="BR175" s="347"/>
      <c r="BS175" s="347"/>
      <c r="BT175" s="347"/>
      <c r="BU175" s="347"/>
      <c r="BV175" s="347"/>
      <c r="BW175" s="347"/>
      <c r="BX175" s="347"/>
      <c r="BY175" s="347"/>
      <c r="BZ175" s="347"/>
      <c r="CA175" s="347"/>
      <c r="CB175" s="347"/>
      <c r="CC175" s="347"/>
      <c r="CD175" s="347"/>
      <c r="CE175" s="347"/>
      <c r="CF175" s="347"/>
      <c r="CG175" s="347"/>
      <c r="CH175" s="347"/>
      <c r="CI175" s="347"/>
      <c r="CJ175" s="347"/>
      <c r="CK175" s="347"/>
      <c r="CL175" s="347"/>
      <c r="CM175" s="347"/>
      <c r="CN175" s="347"/>
      <c r="CO175" s="347"/>
      <c r="CP175" s="347"/>
    </row>
    <row r="176" spans="1:94" ht="27.75" customHeight="1">
      <c r="A176" s="347"/>
      <c r="B176" s="348"/>
      <c r="C176" s="347"/>
      <c r="D176" s="347"/>
      <c r="E176" s="347"/>
      <c r="F176" s="347"/>
      <c r="G176" s="347"/>
      <c r="H176" s="347"/>
      <c r="I176" s="347"/>
      <c r="J176" s="347"/>
      <c r="K176" s="347"/>
      <c r="L176" s="347"/>
      <c r="M176" s="347"/>
      <c r="N176" s="347"/>
      <c r="O176" s="347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47"/>
      <c r="AC176" s="347"/>
      <c r="AD176" s="347"/>
      <c r="AE176" s="347"/>
      <c r="AF176" s="347"/>
      <c r="AG176" s="347"/>
      <c r="AH176" s="347"/>
      <c r="AI176" s="347"/>
      <c r="AJ176" s="347"/>
      <c r="AK176" s="347"/>
      <c r="AL176" s="347"/>
      <c r="AM176" s="347"/>
      <c r="AN176" s="347"/>
      <c r="AO176" s="347"/>
      <c r="AP176" s="347"/>
      <c r="AQ176" s="347"/>
      <c r="AR176" s="347"/>
      <c r="AS176" s="347"/>
      <c r="AT176" s="347"/>
      <c r="AU176" s="347"/>
      <c r="AV176" s="347"/>
      <c r="AW176" s="347"/>
      <c r="AX176" s="347"/>
      <c r="AY176" s="347"/>
      <c r="AZ176" s="347"/>
      <c r="BA176" s="347"/>
      <c r="BB176" s="347"/>
      <c r="BC176" s="347"/>
      <c r="BD176" s="347"/>
      <c r="BE176" s="347"/>
      <c r="BF176" s="347"/>
      <c r="BG176" s="347"/>
      <c r="BH176" s="347"/>
      <c r="BI176" s="347"/>
      <c r="BJ176" s="347"/>
      <c r="BK176" s="347"/>
      <c r="BL176" s="347"/>
      <c r="BM176" s="347"/>
      <c r="BN176" s="347"/>
      <c r="BO176" s="347"/>
      <c r="BP176" s="347"/>
      <c r="BQ176" s="347"/>
      <c r="BR176" s="347"/>
      <c r="BS176" s="347"/>
      <c r="BT176" s="347"/>
      <c r="BU176" s="347"/>
      <c r="BV176" s="347"/>
      <c r="BW176" s="347"/>
      <c r="BX176" s="347"/>
      <c r="BY176" s="347"/>
      <c r="BZ176" s="347"/>
      <c r="CA176" s="347"/>
      <c r="CB176" s="347"/>
      <c r="CC176" s="347"/>
      <c r="CD176" s="347"/>
      <c r="CE176" s="347"/>
      <c r="CF176" s="347"/>
      <c r="CG176" s="347"/>
      <c r="CH176" s="347"/>
      <c r="CI176" s="347"/>
      <c r="CJ176" s="347"/>
      <c r="CK176" s="347"/>
      <c r="CL176" s="347"/>
      <c r="CM176" s="347"/>
      <c r="CN176" s="347"/>
      <c r="CO176" s="347"/>
      <c r="CP176" s="347"/>
    </row>
    <row r="177" spans="1:94" ht="27.75" customHeight="1">
      <c r="A177" s="347"/>
      <c r="B177" s="348"/>
      <c r="C177" s="347"/>
      <c r="D177" s="347"/>
      <c r="E177" s="347"/>
      <c r="F177" s="347"/>
      <c r="G177" s="347"/>
      <c r="H177" s="347"/>
      <c r="I177" s="347"/>
      <c r="J177" s="347"/>
      <c r="K177" s="347"/>
      <c r="L177" s="347"/>
      <c r="M177" s="347"/>
      <c r="N177" s="347"/>
      <c r="O177" s="347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47"/>
      <c r="AC177" s="347"/>
      <c r="AD177" s="347"/>
      <c r="AE177" s="347"/>
      <c r="AF177" s="347"/>
      <c r="AG177" s="347"/>
      <c r="AH177" s="347"/>
      <c r="AI177" s="347"/>
      <c r="AJ177" s="347"/>
      <c r="AK177" s="347"/>
      <c r="AL177" s="347"/>
      <c r="AM177" s="347"/>
      <c r="AN177" s="347"/>
      <c r="AO177" s="347"/>
      <c r="AP177" s="347"/>
      <c r="AQ177" s="347"/>
      <c r="AR177" s="347"/>
      <c r="AS177" s="347"/>
      <c r="AT177" s="347"/>
      <c r="AU177" s="347"/>
      <c r="AV177" s="347"/>
      <c r="AW177" s="347"/>
      <c r="AX177" s="347"/>
      <c r="AY177" s="347"/>
      <c r="AZ177" s="347"/>
      <c r="BA177" s="347"/>
      <c r="BB177" s="347"/>
      <c r="BC177" s="347"/>
      <c r="BD177" s="347"/>
      <c r="BE177" s="347"/>
      <c r="BF177" s="347"/>
      <c r="BG177" s="347"/>
      <c r="BH177" s="347"/>
      <c r="BI177" s="347"/>
      <c r="BJ177" s="347"/>
      <c r="BK177" s="347"/>
      <c r="BL177" s="347"/>
      <c r="BM177" s="347"/>
      <c r="BN177" s="347"/>
      <c r="BO177" s="347"/>
      <c r="BP177" s="347"/>
      <c r="BQ177" s="347"/>
      <c r="BR177" s="347"/>
      <c r="BS177" s="347"/>
      <c r="BT177" s="347"/>
      <c r="BU177" s="347"/>
      <c r="BV177" s="347"/>
      <c r="BW177" s="347"/>
      <c r="BX177" s="347"/>
      <c r="BY177" s="347"/>
      <c r="BZ177" s="347"/>
      <c r="CA177" s="347"/>
      <c r="CB177" s="347"/>
      <c r="CC177" s="347"/>
      <c r="CD177" s="347"/>
      <c r="CE177" s="347"/>
      <c r="CF177" s="347"/>
      <c r="CG177" s="347"/>
      <c r="CH177" s="347"/>
      <c r="CI177" s="347"/>
      <c r="CJ177" s="347"/>
      <c r="CK177" s="347"/>
      <c r="CL177" s="347"/>
      <c r="CM177" s="347"/>
      <c r="CN177" s="347"/>
      <c r="CO177" s="347"/>
      <c r="CP177" s="347"/>
    </row>
    <row r="178" spans="1:94" ht="27.75" customHeight="1">
      <c r="A178" s="347"/>
      <c r="B178" s="348"/>
      <c r="C178" s="347"/>
      <c r="D178" s="347"/>
      <c r="E178" s="347"/>
      <c r="F178" s="347"/>
      <c r="G178" s="347"/>
      <c r="H178" s="347"/>
      <c r="I178" s="347"/>
      <c r="J178" s="347"/>
      <c r="K178" s="347"/>
      <c r="L178" s="347"/>
      <c r="M178" s="347"/>
      <c r="N178" s="347"/>
      <c r="O178" s="347"/>
      <c r="P178" s="347"/>
      <c r="Q178" s="347"/>
      <c r="R178" s="347"/>
      <c r="S178" s="347"/>
      <c r="T178" s="347"/>
      <c r="U178" s="347"/>
      <c r="V178" s="347"/>
      <c r="W178" s="347"/>
      <c r="X178" s="347"/>
      <c r="Y178" s="347"/>
      <c r="Z178" s="347"/>
      <c r="AA178" s="347"/>
      <c r="AB178" s="347"/>
      <c r="AC178" s="347"/>
      <c r="AD178" s="347"/>
      <c r="AE178" s="347"/>
      <c r="AF178" s="347"/>
      <c r="AG178" s="347"/>
      <c r="AH178" s="347"/>
      <c r="AI178" s="347"/>
      <c r="AJ178" s="347"/>
      <c r="AK178" s="347"/>
      <c r="AL178" s="347"/>
      <c r="AM178" s="347"/>
      <c r="AN178" s="347"/>
      <c r="AO178" s="347"/>
      <c r="AP178" s="347"/>
      <c r="AQ178" s="347"/>
      <c r="AR178" s="347"/>
      <c r="AS178" s="347"/>
      <c r="AT178" s="347"/>
      <c r="AU178" s="347"/>
      <c r="AV178" s="347"/>
      <c r="AW178" s="347"/>
      <c r="AX178" s="347"/>
      <c r="AY178" s="347"/>
      <c r="AZ178" s="347"/>
      <c r="BA178" s="347"/>
      <c r="BB178" s="347"/>
      <c r="BC178" s="347"/>
      <c r="BD178" s="347"/>
      <c r="BE178" s="347"/>
      <c r="BF178" s="347"/>
      <c r="BG178" s="347"/>
      <c r="BH178" s="347"/>
      <c r="BI178" s="347"/>
      <c r="BJ178" s="347"/>
      <c r="BK178" s="347"/>
      <c r="BL178" s="347"/>
      <c r="BM178" s="347"/>
      <c r="BN178" s="347"/>
      <c r="BO178" s="347"/>
      <c r="BP178" s="347"/>
      <c r="BQ178" s="347"/>
      <c r="BR178" s="347"/>
      <c r="BS178" s="347"/>
      <c r="BT178" s="347"/>
      <c r="BU178" s="347"/>
      <c r="BV178" s="347"/>
      <c r="BW178" s="347"/>
      <c r="BX178" s="347"/>
      <c r="BY178" s="347"/>
      <c r="BZ178" s="347"/>
      <c r="CA178" s="347"/>
      <c r="CB178" s="347"/>
      <c r="CC178" s="347"/>
      <c r="CD178" s="347"/>
      <c r="CE178" s="347"/>
      <c r="CF178" s="347"/>
      <c r="CG178" s="347"/>
      <c r="CH178" s="347"/>
      <c r="CI178" s="347"/>
      <c r="CJ178" s="347"/>
      <c r="CK178" s="347"/>
      <c r="CL178" s="347"/>
      <c r="CM178" s="347"/>
      <c r="CN178" s="347"/>
      <c r="CO178" s="347"/>
      <c r="CP178" s="347"/>
    </row>
    <row r="179" spans="1:94" ht="27.75" customHeight="1">
      <c r="A179" s="347"/>
      <c r="B179" s="348"/>
      <c r="C179" s="347"/>
      <c r="D179" s="347"/>
      <c r="E179" s="347"/>
      <c r="F179" s="347"/>
      <c r="G179" s="347"/>
      <c r="H179" s="347"/>
      <c r="I179" s="347"/>
      <c r="J179" s="347"/>
      <c r="K179" s="347"/>
      <c r="L179" s="347"/>
      <c r="M179" s="347"/>
      <c r="N179" s="347"/>
      <c r="O179" s="347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47"/>
      <c r="AC179" s="347"/>
      <c r="AD179" s="347"/>
      <c r="AE179" s="347"/>
      <c r="AF179" s="347"/>
      <c r="AG179" s="347"/>
      <c r="AH179" s="347"/>
      <c r="AI179" s="347"/>
      <c r="AJ179" s="347"/>
      <c r="AK179" s="347"/>
      <c r="AL179" s="347"/>
      <c r="AM179" s="347"/>
      <c r="AN179" s="347"/>
      <c r="AO179" s="347"/>
      <c r="AP179" s="347"/>
      <c r="AQ179" s="347"/>
      <c r="AR179" s="347"/>
      <c r="AS179" s="347"/>
      <c r="AT179" s="347"/>
      <c r="AU179" s="347"/>
      <c r="AV179" s="347"/>
      <c r="AW179" s="347"/>
      <c r="AX179" s="347"/>
      <c r="AY179" s="347"/>
      <c r="AZ179" s="347"/>
      <c r="BA179" s="347"/>
      <c r="BB179" s="347"/>
      <c r="BC179" s="347"/>
      <c r="BD179" s="347"/>
      <c r="BE179" s="347"/>
      <c r="BF179" s="347"/>
      <c r="BG179" s="347"/>
      <c r="BH179" s="347"/>
      <c r="BI179" s="347"/>
      <c r="BJ179" s="347"/>
      <c r="BK179" s="347"/>
      <c r="BL179" s="347"/>
      <c r="BM179" s="347"/>
      <c r="BN179" s="347"/>
      <c r="BO179" s="347"/>
      <c r="BP179" s="347"/>
      <c r="BQ179" s="347"/>
      <c r="BR179" s="347"/>
      <c r="BS179" s="347"/>
      <c r="BT179" s="347"/>
      <c r="BU179" s="347"/>
      <c r="BV179" s="347"/>
      <c r="BW179" s="347"/>
      <c r="BX179" s="347"/>
      <c r="BY179" s="347"/>
      <c r="BZ179" s="347"/>
      <c r="CA179" s="347"/>
      <c r="CB179" s="347"/>
      <c r="CC179" s="347"/>
      <c r="CD179" s="347"/>
      <c r="CE179" s="347"/>
      <c r="CF179" s="347"/>
      <c r="CG179" s="347"/>
      <c r="CH179" s="347"/>
      <c r="CI179" s="347"/>
      <c r="CJ179" s="347"/>
      <c r="CK179" s="347"/>
      <c r="CL179" s="347"/>
      <c r="CM179" s="347"/>
      <c r="CN179" s="347"/>
      <c r="CO179" s="347"/>
      <c r="CP179" s="347"/>
    </row>
    <row r="180" spans="1:94" ht="27.75" customHeight="1">
      <c r="A180" s="347"/>
      <c r="B180" s="348"/>
      <c r="C180" s="347"/>
      <c r="D180" s="347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7"/>
      <c r="AD180" s="347"/>
      <c r="AE180" s="347"/>
      <c r="AF180" s="347"/>
      <c r="AG180" s="347"/>
      <c r="AH180" s="347"/>
      <c r="AI180" s="347"/>
      <c r="AJ180" s="347"/>
      <c r="AK180" s="347"/>
      <c r="AL180" s="347"/>
      <c r="AM180" s="347"/>
      <c r="AN180" s="347"/>
      <c r="AO180" s="347"/>
      <c r="AP180" s="347"/>
      <c r="AQ180" s="347"/>
      <c r="AR180" s="347"/>
      <c r="AS180" s="347"/>
      <c r="AT180" s="347"/>
      <c r="AU180" s="347"/>
      <c r="AV180" s="347"/>
      <c r="AW180" s="347"/>
      <c r="AX180" s="347"/>
      <c r="AY180" s="347"/>
      <c r="AZ180" s="347"/>
      <c r="BA180" s="347"/>
      <c r="BB180" s="347"/>
      <c r="BC180" s="347"/>
      <c r="BD180" s="347"/>
      <c r="BE180" s="347"/>
      <c r="BF180" s="347"/>
      <c r="BG180" s="347"/>
      <c r="BH180" s="347"/>
      <c r="BI180" s="347"/>
      <c r="BJ180" s="347"/>
      <c r="BK180" s="347"/>
      <c r="BL180" s="347"/>
      <c r="BM180" s="347"/>
      <c r="BN180" s="347"/>
      <c r="BO180" s="347"/>
      <c r="BP180" s="347"/>
      <c r="BQ180" s="347"/>
      <c r="BR180" s="347"/>
      <c r="BS180" s="347"/>
      <c r="BT180" s="347"/>
      <c r="BU180" s="347"/>
      <c r="BV180" s="347"/>
      <c r="BW180" s="347"/>
      <c r="BX180" s="347"/>
      <c r="BY180" s="347"/>
      <c r="BZ180" s="347"/>
      <c r="CA180" s="347"/>
      <c r="CB180" s="347"/>
      <c r="CC180" s="347"/>
      <c r="CD180" s="347"/>
      <c r="CE180" s="347"/>
      <c r="CF180" s="347"/>
      <c r="CG180" s="347"/>
      <c r="CH180" s="347"/>
      <c r="CI180" s="347"/>
      <c r="CJ180" s="347"/>
      <c r="CK180" s="347"/>
      <c r="CL180" s="347"/>
      <c r="CM180" s="347"/>
      <c r="CN180" s="347"/>
      <c r="CO180" s="347"/>
      <c r="CP180" s="347"/>
    </row>
    <row r="181" spans="1:94" ht="27.75" customHeight="1">
      <c r="A181" s="347"/>
      <c r="B181" s="348"/>
      <c r="C181" s="347"/>
      <c r="D181" s="347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7"/>
      <c r="AD181" s="347"/>
      <c r="AE181" s="347"/>
      <c r="AF181" s="347"/>
      <c r="AG181" s="347"/>
      <c r="AH181" s="347"/>
      <c r="AI181" s="347"/>
      <c r="AJ181" s="347"/>
      <c r="AK181" s="347"/>
      <c r="AL181" s="347"/>
      <c r="AM181" s="347"/>
      <c r="AN181" s="347"/>
      <c r="AO181" s="347"/>
      <c r="AP181" s="347"/>
      <c r="AQ181" s="347"/>
      <c r="AR181" s="347"/>
      <c r="AS181" s="347"/>
      <c r="AT181" s="347"/>
      <c r="AU181" s="347"/>
      <c r="AV181" s="347"/>
      <c r="AW181" s="347"/>
      <c r="AX181" s="347"/>
      <c r="AY181" s="347"/>
      <c r="AZ181" s="347"/>
      <c r="BA181" s="347"/>
      <c r="BB181" s="347"/>
      <c r="BC181" s="347"/>
      <c r="BD181" s="347"/>
      <c r="BE181" s="347"/>
      <c r="BF181" s="347"/>
      <c r="BG181" s="347"/>
      <c r="BH181" s="347"/>
      <c r="BI181" s="347"/>
      <c r="BJ181" s="347"/>
      <c r="BK181" s="347"/>
      <c r="BL181" s="347"/>
      <c r="BM181" s="347"/>
      <c r="BN181" s="347"/>
      <c r="BO181" s="347"/>
      <c r="BP181" s="347"/>
      <c r="BQ181" s="347"/>
      <c r="BR181" s="347"/>
      <c r="BS181" s="347"/>
      <c r="BT181" s="347"/>
      <c r="BU181" s="347"/>
      <c r="BV181" s="347"/>
      <c r="BW181" s="347"/>
      <c r="BX181" s="347"/>
      <c r="BY181" s="347"/>
      <c r="BZ181" s="347"/>
      <c r="CA181" s="347"/>
      <c r="CB181" s="347"/>
      <c r="CC181" s="347"/>
      <c r="CD181" s="347"/>
      <c r="CE181" s="347"/>
      <c r="CF181" s="347"/>
      <c r="CG181" s="347"/>
      <c r="CH181" s="347"/>
      <c r="CI181" s="347"/>
      <c r="CJ181" s="347"/>
      <c r="CK181" s="347"/>
      <c r="CL181" s="347"/>
      <c r="CM181" s="347"/>
      <c r="CN181" s="347"/>
      <c r="CO181" s="347"/>
      <c r="CP181" s="347"/>
    </row>
    <row r="182" spans="1:94" ht="27.75" customHeight="1">
      <c r="A182" s="347"/>
      <c r="B182" s="348"/>
      <c r="C182" s="347"/>
      <c r="D182" s="347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7"/>
      <c r="AD182" s="347"/>
      <c r="AE182" s="347"/>
      <c r="AF182" s="347"/>
      <c r="AG182" s="347"/>
      <c r="AH182" s="347"/>
      <c r="AI182" s="347"/>
      <c r="AJ182" s="347"/>
      <c r="AK182" s="347"/>
      <c r="AL182" s="347"/>
      <c r="AM182" s="347"/>
      <c r="AN182" s="347"/>
      <c r="AO182" s="347"/>
      <c r="AP182" s="347"/>
      <c r="AQ182" s="347"/>
      <c r="AR182" s="347"/>
      <c r="AS182" s="347"/>
      <c r="AT182" s="347"/>
      <c r="AU182" s="347"/>
      <c r="AV182" s="347"/>
      <c r="AW182" s="347"/>
      <c r="AX182" s="347"/>
      <c r="AY182" s="347"/>
      <c r="AZ182" s="347"/>
      <c r="BA182" s="347"/>
      <c r="BB182" s="347"/>
      <c r="BC182" s="347"/>
      <c r="BD182" s="347"/>
      <c r="BE182" s="347"/>
      <c r="BF182" s="347"/>
      <c r="BG182" s="347"/>
      <c r="BH182" s="347"/>
      <c r="BI182" s="347"/>
      <c r="BJ182" s="347"/>
      <c r="BK182" s="347"/>
      <c r="BL182" s="347"/>
      <c r="BM182" s="347"/>
      <c r="BN182" s="347"/>
      <c r="BO182" s="347"/>
      <c r="BP182" s="347"/>
      <c r="BQ182" s="347"/>
      <c r="BR182" s="347"/>
      <c r="BS182" s="347"/>
      <c r="BT182" s="347"/>
      <c r="BU182" s="347"/>
      <c r="BV182" s="347"/>
      <c r="BW182" s="347"/>
      <c r="BX182" s="347"/>
      <c r="BY182" s="347"/>
      <c r="BZ182" s="347"/>
      <c r="CA182" s="347"/>
      <c r="CB182" s="347"/>
      <c r="CC182" s="347"/>
      <c r="CD182" s="347"/>
      <c r="CE182" s="347"/>
      <c r="CF182" s="347"/>
      <c r="CG182" s="347"/>
      <c r="CH182" s="347"/>
      <c r="CI182" s="347"/>
      <c r="CJ182" s="347"/>
      <c r="CK182" s="347"/>
      <c r="CL182" s="347"/>
      <c r="CM182" s="347"/>
      <c r="CN182" s="347"/>
      <c r="CO182" s="347"/>
      <c r="CP182" s="347"/>
    </row>
    <row r="183" spans="1:94" ht="27.75" customHeight="1">
      <c r="A183" s="347"/>
      <c r="B183" s="348"/>
      <c r="C183" s="347"/>
      <c r="D183" s="347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347"/>
      <c r="AC183" s="347"/>
      <c r="AD183" s="347"/>
      <c r="AE183" s="347"/>
      <c r="AF183" s="347"/>
      <c r="AG183" s="347"/>
      <c r="AH183" s="347"/>
      <c r="AI183" s="347"/>
      <c r="AJ183" s="347"/>
      <c r="AK183" s="347"/>
      <c r="AL183" s="347"/>
      <c r="AM183" s="347"/>
      <c r="AN183" s="347"/>
      <c r="AO183" s="347"/>
      <c r="AP183" s="347"/>
      <c r="AQ183" s="347"/>
      <c r="AR183" s="347"/>
      <c r="AS183" s="347"/>
      <c r="AT183" s="347"/>
      <c r="AU183" s="347"/>
      <c r="AV183" s="347"/>
      <c r="AW183" s="347"/>
      <c r="AX183" s="347"/>
      <c r="AY183" s="347"/>
      <c r="AZ183" s="347"/>
      <c r="BA183" s="347"/>
      <c r="BB183" s="347"/>
      <c r="BC183" s="347"/>
      <c r="BD183" s="347"/>
      <c r="BE183" s="347"/>
      <c r="BF183" s="347"/>
      <c r="BG183" s="347"/>
      <c r="BH183" s="347"/>
      <c r="BI183" s="347"/>
      <c r="BJ183" s="347"/>
      <c r="BK183" s="347"/>
      <c r="BL183" s="347"/>
      <c r="BM183" s="347"/>
      <c r="BN183" s="347"/>
      <c r="BO183" s="347"/>
      <c r="BP183" s="347"/>
      <c r="BQ183" s="347"/>
      <c r="BR183" s="347"/>
      <c r="BS183" s="347"/>
      <c r="BT183" s="347"/>
      <c r="BU183" s="347"/>
      <c r="BV183" s="347"/>
      <c r="BW183" s="347"/>
      <c r="BX183" s="347"/>
      <c r="BY183" s="347"/>
      <c r="BZ183" s="347"/>
      <c r="CA183" s="347"/>
      <c r="CB183" s="347"/>
      <c r="CC183" s="347"/>
      <c r="CD183" s="347"/>
      <c r="CE183" s="347"/>
      <c r="CF183" s="347"/>
      <c r="CG183" s="347"/>
      <c r="CH183" s="347"/>
      <c r="CI183" s="347"/>
      <c r="CJ183" s="347"/>
      <c r="CK183" s="347"/>
      <c r="CL183" s="347"/>
      <c r="CM183" s="347"/>
      <c r="CN183" s="347"/>
      <c r="CO183" s="347"/>
      <c r="CP183" s="347"/>
    </row>
    <row r="184" spans="1:94" ht="27.75" customHeight="1">
      <c r="A184" s="347"/>
      <c r="B184" s="348"/>
      <c r="C184" s="347"/>
      <c r="D184" s="347"/>
      <c r="E184" s="347"/>
      <c r="F184" s="347"/>
      <c r="G184" s="347"/>
      <c r="H184" s="347"/>
      <c r="I184" s="347"/>
      <c r="J184" s="347"/>
      <c r="K184" s="347"/>
      <c r="L184" s="347"/>
      <c r="M184" s="347"/>
      <c r="N184" s="347"/>
      <c r="O184" s="347"/>
      <c r="P184" s="347"/>
      <c r="Q184" s="347"/>
      <c r="R184" s="347"/>
      <c r="S184" s="347"/>
      <c r="T184" s="347"/>
      <c r="U184" s="347"/>
      <c r="V184" s="347"/>
      <c r="W184" s="347"/>
      <c r="X184" s="347"/>
      <c r="Y184" s="347"/>
      <c r="Z184" s="347"/>
      <c r="AA184" s="347"/>
      <c r="AB184" s="347"/>
      <c r="AC184" s="347"/>
      <c r="AD184" s="347"/>
      <c r="AE184" s="347"/>
      <c r="AF184" s="347"/>
      <c r="AG184" s="347"/>
      <c r="AH184" s="347"/>
      <c r="AI184" s="347"/>
      <c r="AJ184" s="347"/>
      <c r="AK184" s="347"/>
      <c r="AL184" s="347"/>
      <c r="AM184" s="347"/>
      <c r="AN184" s="347"/>
      <c r="AO184" s="347"/>
      <c r="AP184" s="347"/>
      <c r="AQ184" s="347"/>
      <c r="AR184" s="347"/>
      <c r="AS184" s="347"/>
      <c r="AT184" s="347"/>
      <c r="AU184" s="347"/>
      <c r="AV184" s="347"/>
      <c r="AW184" s="347"/>
      <c r="AX184" s="347"/>
      <c r="AY184" s="347"/>
      <c r="AZ184" s="347"/>
      <c r="BA184" s="347"/>
      <c r="BB184" s="347"/>
      <c r="BC184" s="347"/>
      <c r="BD184" s="347"/>
      <c r="BE184" s="347"/>
      <c r="BF184" s="347"/>
      <c r="BG184" s="347"/>
      <c r="BH184" s="347"/>
      <c r="BI184" s="347"/>
      <c r="BJ184" s="347"/>
      <c r="BK184" s="347"/>
      <c r="BL184" s="347"/>
      <c r="BM184" s="347"/>
      <c r="BN184" s="347"/>
      <c r="BO184" s="347"/>
      <c r="BP184" s="347"/>
      <c r="BQ184" s="347"/>
      <c r="BR184" s="347"/>
      <c r="BS184" s="347"/>
      <c r="BT184" s="347"/>
      <c r="BU184" s="347"/>
      <c r="BV184" s="347"/>
      <c r="BW184" s="347"/>
      <c r="BX184" s="347"/>
      <c r="BY184" s="347"/>
      <c r="BZ184" s="347"/>
      <c r="CA184" s="347"/>
      <c r="CB184" s="347"/>
      <c r="CC184" s="347"/>
      <c r="CD184" s="347"/>
      <c r="CE184" s="347"/>
      <c r="CF184" s="347"/>
      <c r="CG184" s="347"/>
      <c r="CH184" s="347"/>
      <c r="CI184" s="347"/>
      <c r="CJ184" s="347"/>
      <c r="CK184" s="347"/>
      <c r="CL184" s="347"/>
      <c r="CM184" s="347"/>
      <c r="CN184" s="347"/>
      <c r="CO184" s="347"/>
      <c r="CP184" s="347"/>
    </row>
    <row r="185" spans="1:94" ht="27.75" customHeight="1">
      <c r="A185" s="347"/>
      <c r="B185" s="348"/>
      <c r="C185" s="347"/>
      <c r="D185" s="347"/>
      <c r="E185" s="347"/>
      <c r="F185" s="347"/>
      <c r="G185" s="347"/>
      <c r="H185" s="347"/>
      <c r="I185" s="347"/>
      <c r="J185" s="347"/>
      <c r="K185" s="347"/>
      <c r="L185" s="347"/>
      <c r="M185" s="347"/>
      <c r="N185" s="347"/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347"/>
      <c r="AC185" s="347"/>
      <c r="AD185" s="347"/>
      <c r="AE185" s="347"/>
      <c r="AF185" s="347"/>
      <c r="AG185" s="347"/>
      <c r="AH185" s="347"/>
      <c r="AI185" s="347"/>
      <c r="AJ185" s="347"/>
      <c r="AK185" s="347"/>
      <c r="AL185" s="347"/>
      <c r="AM185" s="347"/>
      <c r="AN185" s="347"/>
      <c r="AO185" s="347"/>
      <c r="AP185" s="347"/>
      <c r="AQ185" s="347"/>
      <c r="AR185" s="347"/>
      <c r="AS185" s="347"/>
      <c r="AT185" s="347"/>
      <c r="AU185" s="347"/>
      <c r="AV185" s="347"/>
      <c r="AW185" s="347"/>
      <c r="AX185" s="347"/>
      <c r="AY185" s="347"/>
      <c r="AZ185" s="347"/>
      <c r="BA185" s="347"/>
      <c r="BB185" s="347"/>
      <c r="BC185" s="347"/>
      <c r="BD185" s="347"/>
      <c r="BE185" s="347"/>
      <c r="BF185" s="347"/>
      <c r="BG185" s="347"/>
      <c r="BH185" s="347"/>
      <c r="BI185" s="347"/>
      <c r="BJ185" s="347"/>
      <c r="BK185" s="347"/>
      <c r="BL185" s="347"/>
      <c r="BM185" s="347"/>
      <c r="BN185" s="347"/>
      <c r="BO185" s="347"/>
      <c r="BP185" s="347"/>
      <c r="BQ185" s="347"/>
      <c r="BR185" s="347"/>
      <c r="BS185" s="347"/>
      <c r="BT185" s="347"/>
      <c r="BU185" s="347"/>
      <c r="BV185" s="347"/>
      <c r="BW185" s="347"/>
      <c r="BX185" s="347"/>
      <c r="BY185" s="347"/>
      <c r="BZ185" s="347"/>
      <c r="CA185" s="347"/>
      <c r="CB185" s="347"/>
      <c r="CC185" s="347"/>
      <c r="CD185" s="347"/>
      <c r="CE185" s="347"/>
      <c r="CF185" s="347"/>
      <c r="CG185" s="347"/>
      <c r="CH185" s="347"/>
      <c r="CI185" s="347"/>
      <c r="CJ185" s="347"/>
      <c r="CK185" s="347"/>
      <c r="CL185" s="347"/>
      <c r="CM185" s="347"/>
      <c r="CN185" s="347"/>
      <c r="CO185" s="347"/>
      <c r="CP185" s="347"/>
    </row>
    <row r="186" spans="1:94" ht="27.75" customHeight="1">
      <c r="A186" s="347"/>
      <c r="B186" s="348"/>
      <c r="C186" s="347"/>
      <c r="D186" s="347"/>
      <c r="E186" s="347"/>
      <c r="F186" s="347"/>
      <c r="G186" s="347"/>
      <c r="H186" s="347"/>
      <c r="I186" s="347"/>
      <c r="J186" s="347"/>
      <c r="K186" s="347"/>
      <c r="L186" s="347"/>
      <c r="M186" s="347"/>
      <c r="N186" s="347"/>
      <c r="O186" s="347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347"/>
      <c r="AC186" s="347"/>
      <c r="AD186" s="347"/>
      <c r="AE186" s="347"/>
      <c r="AF186" s="347"/>
      <c r="AG186" s="347"/>
      <c r="AH186" s="347"/>
      <c r="AI186" s="347"/>
      <c r="AJ186" s="347"/>
      <c r="AK186" s="347"/>
      <c r="AL186" s="347"/>
      <c r="AM186" s="347"/>
      <c r="AN186" s="347"/>
      <c r="AO186" s="347"/>
      <c r="AP186" s="347"/>
      <c r="AQ186" s="347"/>
      <c r="AR186" s="347"/>
      <c r="AS186" s="347"/>
      <c r="AT186" s="347"/>
      <c r="AU186" s="347"/>
      <c r="AV186" s="347"/>
      <c r="AW186" s="347"/>
      <c r="AX186" s="347"/>
      <c r="AY186" s="347"/>
      <c r="AZ186" s="347"/>
      <c r="BA186" s="347"/>
      <c r="BB186" s="347"/>
      <c r="BC186" s="347"/>
      <c r="BD186" s="347"/>
      <c r="BE186" s="347"/>
      <c r="BF186" s="347"/>
      <c r="BG186" s="347"/>
      <c r="BH186" s="347"/>
      <c r="BI186" s="347"/>
      <c r="BJ186" s="347"/>
      <c r="BK186" s="347"/>
      <c r="BL186" s="347"/>
      <c r="BM186" s="347"/>
      <c r="BN186" s="347"/>
      <c r="BO186" s="347"/>
      <c r="BP186" s="347"/>
      <c r="BQ186" s="347"/>
      <c r="BR186" s="347"/>
      <c r="BS186" s="347"/>
      <c r="BT186" s="347"/>
      <c r="BU186" s="347"/>
      <c r="BV186" s="347"/>
      <c r="BW186" s="347"/>
      <c r="BX186" s="347"/>
      <c r="BY186" s="347"/>
      <c r="BZ186" s="347"/>
      <c r="CA186" s="347"/>
      <c r="CB186" s="347"/>
      <c r="CC186" s="347"/>
      <c r="CD186" s="347"/>
      <c r="CE186" s="347"/>
      <c r="CF186" s="347"/>
      <c r="CG186" s="347"/>
      <c r="CH186" s="347"/>
      <c r="CI186" s="347"/>
      <c r="CJ186" s="347"/>
      <c r="CK186" s="347"/>
      <c r="CL186" s="347"/>
      <c r="CM186" s="347"/>
      <c r="CN186" s="347"/>
      <c r="CO186" s="347"/>
      <c r="CP186" s="347"/>
    </row>
    <row r="187" spans="1:94" ht="27.75" customHeight="1">
      <c r="A187" s="347"/>
      <c r="B187" s="348"/>
      <c r="C187" s="347"/>
      <c r="D187" s="347"/>
      <c r="E187" s="347"/>
      <c r="F187" s="347"/>
      <c r="G187" s="347"/>
      <c r="H187" s="347"/>
      <c r="I187" s="347"/>
      <c r="J187" s="347"/>
      <c r="K187" s="347"/>
      <c r="L187" s="347"/>
      <c r="M187" s="347"/>
      <c r="N187" s="347"/>
      <c r="O187" s="347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47"/>
      <c r="AC187" s="347"/>
      <c r="AD187" s="347"/>
      <c r="AE187" s="347"/>
      <c r="AF187" s="347"/>
      <c r="AG187" s="347"/>
      <c r="AH187" s="347"/>
      <c r="AI187" s="347"/>
      <c r="AJ187" s="347"/>
      <c r="AK187" s="347"/>
      <c r="AL187" s="347"/>
      <c r="AM187" s="347"/>
      <c r="AN187" s="347"/>
      <c r="AO187" s="347"/>
      <c r="AP187" s="347"/>
      <c r="AQ187" s="347"/>
      <c r="AR187" s="347"/>
      <c r="AS187" s="347"/>
      <c r="AT187" s="347"/>
      <c r="AU187" s="347"/>
      <c r="AV187" s="347"/>
      <c r="AW187" s="347"/>
      <c r="AX187" s="347"/>
      <c r="AY187" s="347"/>
      <c r="AZ187" s="347"/>
      <c r="BA187" s="347"/>
      <c r="BB187" s="347"/>
      <c r="BC187" s="347"/>
      <c r="BD187" s="347"/>
      <c r="BE187" s="347"/>
      <c r="BF187" s="347"/>
      <c r="BG187" s="347"/>
      <c r="BH187" s="347"/>
      <c r="BI187" s="347"/>
      <c r="BJ187" s="347"/>
      <c r="BK187" s="347"/>
      <c r="BL187" s="347"/>
      <c r="BM187" s="347"/>
      <c r="BN187" s="347"/>
      <c r="BO187" s="347"/>
      <c r="BP187" s="347"/>
      <c r="BQ187" s="347"/>
      <c r="BR187" s="347"/>
      <c r="BS187" s="347"/>
      <c r="BT187" s="347"/>
      <c r="BU187" s="347"/>
      <c r="BV187" s="347"/>
      <c r="BW187" s="347"/>
      <c r="BX187" s="347"/>
      <c r="BY187" s="347"/>
      <c r="BZ187" s="347"/>
      <c r="CA187" s="347"/>
      <c r="CB187" s="347"/>
      <c r="CC187" s="347"/>
      <c r="CD187" s="347"/>
      <c r="CE187" s="347"/>
      <c r="CF187" s="347"/>
      <c r="CG187" s="347"/>
      <c r="CH187" s="347"/>
      <c r="CI187" s="347"/>
      <c r="CJ187" s="347"/>
      <c r="CK187" s="347"/>
      <c r="CL187" s="347"/>
      <c r="CM187" s="347"/>
      <c r="CN187" s="347"/>
      <c r="CO187" s="347"/>
      <c r="CP187" s="347"/>
    </row>
    <row r="188" spans="1:94" ht="27.75" customHeight="1">
      <c r="A188" s="347"/>
      <c r="B188" s="348"/>
      <c r="C188" s="347"/>
      <c r="D188" s="347"/>
      <c r="E188" s="347"/>
      <c r="F188" s="347"/>
      <c r="G188" s="347"/>
      <c r="H188" s="347"/>
      <c r="I188" s="347"/>
      <c r="J188" s="347"/>
      <c r="K188" s="347"/>
      <c r="L188" s="347"/>
      <c r="M188" s="347"/>
      <c r="N188" s="347"/>
      <c r="O188" s="347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47"/>
      <c r="AC188" s="347"/>
      <c r="AD188" s="347"/>
      <c r="AE188" s="347"/>
      <c r="AF188" s="347"/>
      <c r="AG188" s="347"/>
      <c r="AH188" s="347"/>
      <c r="AI188" s="347"/>
      <c r="AJ188" s="347"/>
      <c r="AK188" s="347"/>
      <c r="AL188" s="347"/>
      <c r="AM188" s="347"/>
      <c r="AN188" s="347"/>
      <c r="AO188" s="347"/>
      <c r="AP188" s="347"/>
      <c r="AQ188" s="347"/>
      <c r="AR188" s="347"/>
      <c r="AS188" s="347"/>
      <c r="AT188" s="347"/>
      <c r="AU188" s="347"/>
      <c r="AV188" s="347"/>
      <c r="AW188" s="347"/>
      <c r="AX188" s="347"/>
      <c r="AY188" s="347"/>
      <c r="AZ188" s="347"/>
      <c r="BA188" s="347"/>
      <c r="BB188" s="347"/>
      <c r="BC188" s="347"/>
      <c r="BD188" s="347"/>
      <c r="BE188" s="347"/>
      <c r="BF188" s="347"/>
      <c r="BG188" s="347"/>
      <c r="BH188" s="347"/>
      <c r="BI188" s="347"/>
      <c r="BJ188" s="347"/>
      <c r="BK188" s="347"/>
      <c r="BL188" s="347"/>
      <c r="BM188" s="347"/>
      <c r="BN188" s="347"/>
      <c r="BO188" s="347"/>
      <c r="BP188" s="347"/>
      <c r="BQ188" s="347"/>
      <c r="BR188" s="347"/>
      <c r="BS188" s="347"/>
      <c r="BT188" s="347"/>
      <c r="BU188" s="347"/>
      <c r="BV188" s="347"/>
      <c r="BW188" s="347"/>
      <c r="BX188" s="347"/>
      <c r="BY188" s="347"/>
      <c r="BZ188" s="347"/>
      <c r="CA188" s="347"/>
      <c r="CB188" s="347"/>
      <c r="CC188" s="347"/>
      <c r="CD188" s="347"/>
      <c r="CE188" s="347"/>
      <c r="CF188" s="347"/>
      <c r="CG188" s="347"/>
      <c r="CH188" s="347"/>
      <c r="CI188" s="347"/>
      <c r="CJ188" s="347"/>
      <c r="CK188" s="347"/>
      <c r="CL188" s="347"/>
      <c r="CM188" s="347"/>
      <c r="CN188" s="347"/>
      <c r="CO188" s="347"/>
      <c r="CP188" s="347"/>
    </row>
    <row r="189" spans="1:94" ht="27.75" customHeight="1">
      <c r="A189" s="347"/>
      <c r="B189" s="348"/>
      <c r="C189" s="347"/>
      <c r="D189" s="347"/>
      <c r="E189" s="347"/>
      <c r="F189" s="347"/>
      <c r="G189" s="347"/>
      <c r="H189" s="347"/>
      <c r="I189" s="347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7"/>
      <c r="AD189" s="347"/>
      <c r="AE189" s="347"/>
      <c r="AF189" s="347"/>
      <c r="AG189" s="347"/>
      <c r="AH189" s="347"/>
      <c r="AI189" s="347"/>
      <c r="AJ189" s="347"/>
      <c r="AK189" s="347"/>
      <c r="AL189" s="347"/>
      <c r="AM189" s="347"/>
      <c r="AN189" s="347"/>
      <c r="AO189" s="347"/>
      <c r="AP189" s="347"/>
      <c r="AQ189" s="347"/>
      <c r="AR189" s="347"/>
      <c r="AS189" s="347"/>
      <c r="AT189" s="347"/>
      <c r="AU189" s="347"/>
      <c r="AV189" s="347"/>
      <c r="AW189" s="347"/>
      <c r="AX189" s="347"/>
      <c r="AY189" s="347"/>
      <c r="AZ189" s="347"/>
      <c r="BA189" s="347"/>
      <c r="BB189" s="347"/>
      <c r="BC189" s="347"/>
      <c r="BD189" s="347"/>
      <c r="BE189" s="347"/>
      <c r="BF189" s="347"/>
      <c r="BG189" s="347"/>
      <c r="BH189" s="347"/>
      <c r="BI189" s="347"/>
      <c r="BJ189" s="347"/>
      <c r="BK189" s="347"/>
      <c r="BL189" s="347"/>
      <c r="BM189" s="347"/>
      <c r="BN189" s="347"/>
      <c r="BO189" s="347"/>
      <c r="BP189" s="347"/>
      <c r="BQ189" s="347"/>
      <c r="BR189" s="347"/>
      <c r="BS189" s="347"/>
      <c r="BT189" s="347"/>
      <c r="BU189" s="347"/>
      <c r="BV189" s="347"/>
      <c r="BW189" s="347"/>
      <c r="BX189" s="347"/>
      <c r="BY189" s="347"/>
      <c r="BZ189" s="347"/>
      <c r="CA189" s="347"/>
      <c r="CB189" s="347"/>
      <c r="CC189" s="347"/>
      <c r="CD189" s="347"/>
      <c r="CE189" s="347"/>
      <c r="CF189" s="347"/>
      <c r="CG189" s="347"/>
      <c r="CH189" s="347"/>
      <c r="CI189" s="347"/>
      <c r="CJ189" s="347"/>
      <c r="CK189" s="347"/>
      <c r="CL189" s="347"/>
      <c r="CM189" s="347"/>
      <c r="CN189" s="347"/>
      <c r="CO189" s="347"/>
      <c r="CP189" s="347"/>
    </row>
    <row r="190" spans="1:94" ht="27.75" customHeight="1">
      <c r="A190" s="347"/>
      <c r="B190" s="348"/>
      <c r="C190" s="347"/>
      <c r="D190" s="347"/>
      <c r="E190" s="347"/>
      <c r="F190" s="347"/>
      <c r="G190" s="347"/>
      <c r="H190" s="347"/>
      <c r="I190" s="347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7"/>
      <c r="AD190" s="347"/>
      <c r="AE190" s="347"/>
      <c r="AF190" s="347"/>
      <c r="AG190" s="347"/>
      <c r="AH190" s="347"/>
      <c r="AI190" s="347"/>
      <c r="AJ190" s="347"/>
      <c r="AK190" s="347"/>
      <c r="AL190" s="347"/>
      <c r="AM190" s="347"/>
      <c r="AN190" s="347"/>
      <c r="AO190" s="347"/>
      <c r="AP190" s="347"/>
      <c r="AQ190" s="347"/>
      <c r="AR190" s="347"/>
      <c r="AS190" s="347"/>
      <c r="AT190" s="347"/>
      <c r="AU190" s="347"/>
      <c r="AV190" s="347"/>
      <c r="AW190" s="347"/>
      <c r="AX190" s="347"/>
      <c r="AY190" s="347"/>
      <c r="AZ190" s="347"/>
      <c r="BA190" s="347"/>
      <c r="BB190" s="347"/>
      <c r="BC190" s="347"/>
      <c r="BD190" s="347"/>
      <c r="BE190" s="347"/>
      <c r="BF190" s="347"/>
      <c r="BG190" s="347"/>
      <c r="BH190" s="347"/>
      <c r="BI190" s="347"/>
      <c r="BJ190" s="347"/>
      <c r="BK190" s="347"/>
      <c r="BL190" s="347"/>
      <c r="BM190" s="347"/>
      <c r="BN190" s="347"/>
      <c r="BO190" s="347"/>
      <c r="BP190" s="347"/>
      <c r="BQ190" s="347"/>
      <c r="BR190" s="347"/>
      <c r="BS190" s="347"/>
      <c r="BT190" s="347"/>
      <c r="BU190" s="347"/>
      <c r="BV190" s="347"/>
      <c r="BW190" s="347"/>
      <c r="BX190" s="347"/>
      <c r="BY190" s="347"/>
      <c r="BZ190" s="347"/>
      <c r="CA190" s="347"/>
      <c r="CB190" s="347"/>
      <c r="CC190" s="347"/>
      <c r="CD190" s="347"/>
      <c r="CE190" s="347"/>
      <c r="CF190" s="347"/>
      <c r="CG190" s="347"/>
      <c r="CH190" s="347"/>
      <c r="CI190" s="347"/>
      <c r="CJ190" s="347"/>
      <c r="CK190" s="347"/>
      <c r="CL190" s="347"/>
      <c r="CM190" s="347"/>
      <c r="CN190" s="347"/>
      <c r="CO190" s="347"/>
      <c r="CP190" s="347"/>
    </row>
    <row r="191" spans="1:94" ht="27.75" customHeight="1">
      <c r="A191" s="347"/>
      <c r="B191" s="348"/>
      <c r="C191" s="347"/>
      <c r="D191" s="347"/>
      <c r="E191" s="347"/>
      <c r="F191" s="347"/>
      <c r="G191" s="347"/>
      <c r="H191" s="347"/>
      <c r="I191" s="347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7"/>
      <c r="AD191" s="347"/>
      <c r="AE191" s="347"/>
      <c r="AF191" s="347"/>
      <c r="AG191" s="347"/>
      <c r="AH191" s="347"/>
      <c r="AI191" s="347"/>
      <c r="AJ191" s="347"/>
      <c r="AK191" s="347"/>
      <c r="AL191" s="347"/>
      <c r="AM191" s="347"/>
      <c r="AN191" s="347"/>
      <c r="AO191" s="347"/>
      <c r="AP191" s="347"/>
      <c r="AQ191" s="347"/>
      <c r="AR191" s="347"/>
      <c r="AS191" s="347"/>
      <c r="AT191" s="347"/>
      <c r="AU191" s="347"/>
      <c r="AV191" s="347"/>
      <c r="AW191" s="347"/>
      <c r="AX191" s="347"/>
      <c r="AY191" s="347"/>
      <c r="AZ191" s="347"/>
      <c r="BA191" s="347"/>
      <c r="BB191" s="347"/>
      <c r="BC191" s="347"/>
      <c r="BD191" s="347"/>
      <c r="BE191" s="347"/>
      <c r="BF191" s="347"/>
      <c r="BG191" s="347"/>
      <c r="BH191" s="347"/>
      <c r="BI191" s="347"/>
      <c r="BJ191" s="347"/>
      <c r="BK191" s="347"/>
      <c r="BL191" s="347"/>
      <c r="BM191" s="347"/>
      <c r="BN191" s="347"/>
      <c r="BO191" s="347"/>
      <c r="BP191" s="347"/>
      <c r="BQ191" s="347"/>
      <c r="BR191" s="347"/>
      <c r="BS191" s="347"/>
      <c r="BT191" s="347"/>
      <c r="BU191" s="347"/>
      <c r="BV191" s="347"/>
      <c r="BW191" s="347"/>
      <c r="BX191" s="347"/>
      <c r="BY191" s="347"/>
      <c r="BZ191" s="347"/>
      <c r="CA191" s="347"/>
      <c r="CB191" s="347"/>
      <c r="CC191" s="347"/>
      <c r="CD191" s="347"/>
      <c r="CE191" s="347"/>
      <c r="CF191" s="347"/>
      <c r="CG191" s="347"/>
      <c r="CH191" s="347"/>
      <c r="CI191" s="347"/>
      <c r="CJ191" s="347"/>
      <c r="CK191" s="347"/>
      <c r="CL191" s="347"/>
      <c r="CM191" s="347"/>
      <c r="CN191" s="347"/>
      <c r="CO191" s="347"/>
      <c r="CP191" s="347"/>
    </row>
    <row r="192" spans="1:94" ht="27.75" customHeight="1">
      <c r="A192" s="347"/>
      <c r="B192" s="348"/>
      <c r="C192" s="347"/>
      <c r="D192" s="347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7"/>
      <c r="AD192" s="347"/>
      <c r="AE192" s="347"/>
      <c r="AF192" s="347"/>
      <c r="AG192" s="347"/>
      <c r="AH192" s="347"/>
      <c r="AI192" s="347"/>
      <c r="AJ192" s="347"/>
      <c r="AK192" s="347"/>
      <c r="AL192" s="347"/>
      <c r="AM192" s="347"/>
      <c r="AN192" s="347"/>
      <c r="AO192" s="347"/>
      <c r="AP192" s="347"/>
      <c r="AQ192" s="347"/>
      <c r="AR192" s="347"/>
      <c r="AS192" s="347"/>
      <c r="AT192" s="347"/>
      <c r="AU192" s="347"/>
      <c r="AV192" s="347"/>
      <c r="AW192" s="347"/>
      <c r="AX192" s="347"/>
      <c r="AY192" s="347"/>
      <c r="AZ192" s="347"/>
      <c r="BA192" s="347"/>
      <c r="BB192" s="347"/>
      <c r="BC192" s="347"/>
      <c r="BD192" s="347"/>
      <c r="BE192" s="347"/>
      <c r="BF192" s="347"/>
      <c r="BG192" s="347"/>
      <c r="BH192" s="347"/>
      <c r="BI192" s="347"/>
      <c r="BJ192" s="347"/>
      <c r="BK192" s="347"/>
      <c r="BL192" s="347"/>
      <c r="BM192" s="347"/>
      <c r="BN192" s="347"/>
      <c r="BO192" s="347"/>
      <c r="BP192" s="347"/>
      <c r="BQ192" s="347"/>
      <c r="BR192" s="347"/>
      <c r="BS192" s="347"/>
      <c r="BT192" s="347"/>
      <c r="BU192" s="347"/>
      <c r="BV192" s="347"/>
      <c r="BW192" s="347"/>
      <c r="BX192" s="347"/>
      <c r="BY192" s="347"/>
      <c r="BZ192" s="347"/>
      <c r="CA192" s="347"/>
      <c r="CB192" s="347"/>
      <c r="CC192" s="347"/>
      <c r="CD192" s="347"/>
      <c r="CE192" s="347"/>
      <c r="CF192" s="347"/>
      <c r="CG192" s="347"/>
      <c r="CH192" s="347"/>
      <c r="CI192" s="347"/>
      <c r="CJ192" s="347"/>
      <c r="CK192" s="347"/>
      <c r="CL192" s="347"/>
      <c r="CM192" s="347"/>
      <c r="CN192" s="347"/>
      <c r="CO192" s="347"/>
      <c r="CP192" s="347"/>
    </row>
    <row r="193" spans="1:94" ht="27.75" customHeight="1">
      <c r="A193" s="347"/>
      <c r="B193" s="348"/>
      <c r="C193" s="347"/>
      <c r="D193" s="347"/>
      <c r="E193" s="347"/>
      <c r="F193" s="347"/>
      <c r="G193" s="347"/>
      <c r="H193" s="347"/>
      <c r="I193" s="347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7"/>
      <c r="AD193" s="347"/>
      <c r="AE193" s="347"/>
      <c r="AF193" s="347"/>
      <c r="AG193" s="347"/>
      <c r="AH193" s="347"/>
      <c r="AI193" s="347"/>
      <c r="AJ193" s="347"/>
      <c r="AK193" s="347"/>
      <c r="AL193" s="347"/>
      <c r="AM193" s="347"/>
      <c r="AN193" s="347"/>
      <c r="AO193" s="347"/>
      <c r="AP193" s="347"/>
      <c r="AQ193" s="347"/>
      <c r="AR193" s="347"/>
      <c r="AS193" s="347"/>
      <c r="AT193" s="347"/>
      <c r="AU193" s="347"/>
      <c r="AV193" s="347"/>
      <c r="AW193" s="347"/>
      <c r="AX193" s="347"/>
      <c r="AY193" s="347"/>
      <c r="AZ193" s="347"/>
      <c r="BA193" s="347"/>
      <c r="BB193" s="347"/>
      <c r="BC193" s="347"/>
      <c r="BD193" s="347"/>
      <c r="BE193" s="347"/>
      <c r="BF193" s="347"/>
      <c r="BG193" s="347"/>
      <c r="BH193" s="347"/>
      <c r="BI193" s="347"/>
      <c r="BJ193" s="347"/>
      <c r="BK193" s="347"/>
      <c r="BL193" s="347"/>
      <c r="BM193" s="347"/>
      <c r="BN193" s="347"/>
      <c r="BO193" s="347"/>
      <c r="BP193" s="347"/>
      <c r="BQ193" s="347"/>
      <c r="BR193" s="347"/>
      <c r="BS193" s="347"/>
      <c r="BT193" s="347"/>
      <c r="BU193" s="347"/>
      <c r="BV193" s="347"/>
      <c r="BW193" s="347"/>
      <c r="BX193" s="347"/>
      <c r="BY193" s="347"/>
      <c r="BZ193" s="347"/>
      <c r="CA193" s="347"/>
      <c r="CB193" s="347"/>
      <c r="CC193" s="347"/>
      <c r="CD193" s="347"/>
      <c r="CE193" s="347"/>
      <c r="CF193" s="347"/>
      <c r="CG193" s="347"/>
      <c r="CH193" s="347"/>
      <c r="CI193" s="347"/>
      <c r="CJ193" s="347"/>
      <c r="CK193" s="347"/>
      <c r="CL193" s="347"/>
      <c r="CM193" s="347"/>
      <c r="CN193" s="347"/>
      <c r="CO193" s="347"/>
      <c r="CP193" s="347"/>
    </row>
    <row r="194" spans="1:94" ht="27.75" customHeight="1">
      <c r="A194" s="347"/>
      <c r="B194" s="348"/>
      <c r="C194" s="347"/>
      <c r="D194" s="347"/>
      <c r="E194" s="347"/>
      <c r="F194" s="347"/>
      <c r="G194" s="347"/>
      <c r="H194" s="347"/>
      <c r="I194" s="347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7"/>
      <c r="AD194" s="347"/>
      <c r="AE194" s="347"/>
      <c r="AF194" s="347"/>
      <c r="AG194" s="347"/>
      <c r="AH194" s="347"/>
      <c r="AI194" s="347"/>
      <c r="AJ194" s="347"/>
      <c r="AK194" s="347"/>
      <c r="AL194" s="347"/>
      <c r="AM194" s="347"/>
      <c r="AN194" s="347"/>
      <c r="AO194" s="347"/>
      <c r="AP194" s="347"/>
      <c r="AQ194" s="347"/>
      <c r="AR194" s="347"/>
      <c r="AS194" s="347"/>
      <c r="AT194" s="347"/>
      <c r="AU194" s="347"/>
      <c r="AV194" s="347"/>
      <c r="AW194" s="347"/>
      <c r="AX194" s="347"/>
      <c r="AY194" s="347"/>
      <c r="AZ194" s="347"/>
      <c r="BA194" s="347"/>
      <c r="BB194" s="347"/>
      <c r="BC194" s="347"/>
      <c r="BD194" s="347"/>
      <c r="BE194" s="347"/>
      <c r="BF194" s="347"/>
      <c r="BG194" s="347"/>
      <c r="BH194" s="347"/>
      <c r="BI194" s="347"/>
      <c r="BJ194" s="347"/>
      <c r="BK194" s="347"/>
      <c r="BL194" s="347"/>
      <c r="BM194" s="347"/>
      <c r="BN194" s="347"/>
      <c r="BO194" s="347"/>
      <c r="BP194" s="347"/>
      <c r="BQ194" s="347"/>
      <c r="BR194" s="347"/>
      <c r="BS194" s="347"/>
      <c r="BT194" s="347"/>
      <c r="BU194" s="347"/>
      <c r="BV194" s="347"/>
      <c r="BW194" s="347"/>
      <c r="BX194" s="347"/>
      <c r="BY194" s="347"/>
      <c r="BZ194" s="347"/>
      <c r="CA194" s="347"/>
      <c r="CB194" s="347"/>
      <c r="CC194" s="347"/>
      <c r="CD194" s="347"/>
      <c r="CE194" s="347"/>
      <c r="CF194" s="347"/>
      <c r="CG194" s="347"/>
      <c r="CH194" s="347"/>
      <c r="CI194" s="347"/>
      <c r="CJ194" s="347"/>
      <c r="CK194" s="347"/>
      <c r="CL194" s="347"/>
      <c r="CM194" s="347"/>
      <c r="CN194" s="347"/>
      <c r="CO194" s="347"/>
      <c r="CP194" s="347"/>
    </row>
    <row r="195" spans="1:94" ht="27.75" customHeight="1">
      <c r="A195" s="347"/>
      <c r="B195" s="348"/>
      <c r="C195" s="347"/>
      <c r="D195" s="347"/>
      <c r="E195" s="347"/>
      <c r="F195" s="347"/>
      <c r="G195" s="347"/>
      <c r="H195" s="347"/>
      <c r="I195" s="347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7"/>
      <c r="AD195" s="347"/>
      <c r="AE195" s="347"/>
      <c r="AF195" s="347"/>
      <c r="AG195" s="347"/>
      <c r="AH195" s="347"/>
      <c r="AI195" s="347"/>
      <c r="AJ195" s="347"/>
      <c r="AK195" s="347"/>
      <c r="AL195" s="347"/>
      <c r="AM195" s="347"/>
      <c r="AN195" s="347"/>
      <c r="AO195" s="347"/>
      <c r="AP195" s="347"/>
      <c r="AQ195" s="347"/>
      <c r="AR195" s="347"/>
      <c r="AS195" s="347"/>
      <c r="AT195" s="347"/>
      <c r="AU195" s="347"/>
      <c r="AV195" s="347"/>
      <c r="AW195" s="347"/>
      <c r="AX195" s="347"/>
      <c r="AY195" s="347"/>
      <c r="AZ195" s="347"/>
      <c r="BA195" s="347"/>
      <c r="BB195" s="347"/>
      <c r="BC195" s="347"/>
      <c r="BD195" s="347"/>
      <c r="BE195" s="347"/>
      <c r="BF195" s="347"/>
      <c r="BG195" s="347"/>
      <c r="BH195" s="347"/>
      <c r="BI195" s="347"/>
      <c r="BJ195" s="347"/>
      <c r="BK195" s="347"/>
      <c r="BL195" s="347"/>
      <c r="BM195" s="347"/>
      <c r="BN195" s="347"/>
      <c r="BO195" s="347"/>
      <c r="BP195" s="347"/>
      <c r="BQ195" s="347"/>
      <c r="BR195" s="347"/>
      <c r="BS195" s="347"/>
      <c r="BT195" s="347"/>
      <c r="BU195" s="347"/>
      <c r="BV195" s="347"/>
      <c r="BW195" s="347"/>
      <c r="BX195" s="347"/>
      <c r="BY195" s="347"/>
      <c r="BZ195" s="347"/>
      <c r="CA195" s="347"/>
      <c r="CB195" s="347"/>
      <c r="CC195" s="347"/>
      <c r="CD195" s="347"/>
      <c r="CE195" s="347"/>
      <c r="CF195" s="347"/>
      <c r="CG195" s="347"/>
      <c r="CH195" s="347"/>
      <c r="CI195" s="347"/>
      <c r="CJ195" s="347"/>
      <c r="CK195" s="347"/>
      <c r="CL195" s="347"/>
      <c r="CM195" s="347"/>
      <c r="CN195" s="347"/>
      <c r="CO195" s="347"/>
      <c r="CP195" s="347"/>
    </row>
    <row r="196" spans="1:94" ht="27.75" customHeight="1">
      <c r="A196" s="347"/>
      <c r="B196" s="348"/>
      <c r="C196" s="347"/>
      <c r="D196" s="347"/>
      <c r="E196" s="347"/>
      <c r="F196" s="347"/>
      <c r="G196" s="347"/>
      <c r="H196" s="347"/>
      <c r="I196" s="347"/>
      <c r="J196" s="347"/>
      <c r="K196" s="347"/>
      <c r="L196" s="347"/>
      <c r="M196" s="347"/>
      <c r="N196" s="347"/>
      <c r="O196" s="347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347"/>
      <c r="AC196" s="347"/>
      <c r="AD196" s="347"/>
      <c r="AE196" s="347"/>
      <c r="AF196" s="347"/>
      <c r="AG196" s="347"/>
      <c r="AH196" s="347"/>
      <c r="AI196" s="347"/>
      <c r="AJ196" s="347"/>
      <c r="AK196" s="347"/>
      <c r="AL196" s="347"/>
      <c r="AM196" s="347"/>
      <c r="AN196" s="347"/>
      <c r="AO196" s="347"/>
      <c r="AP196" s="347"/>
      <c r="AQ196" s="347"/>
      <c r="AR196" s="347"/>
      <c r="AS196" s="347"/>
      <c r="AT196" s="347"/>
      <c r="AU196" s="347"/>
      <c r="AV196" s="347"/>
      <c r="AW196" s="347"/>
      <c r="AX196" s="347"/>
      <c r="AY196" s="347"/>
      <c r="AZ196" s="347"/>
      <c r="BA196" s="347"/>
      <c r="BB196" s="347"/>
      <c r="BC196" s="347"/>
      <c r="BD196" s="347"/>
      <c r="BE196" s="347"/>
      <c r="BF196" s="347"/>
      <c r="BG196" s="347"/>
      <c r="BH196" s="347"/>
      <c r="BI196" s="347"/>
      <c r="BJ196" s="347"/>
      <c r="BK196" s="347"/>
      <c r="BL196" s="347"/>
      <c r="BM196" s="347"/>
      <c r="BN196" s="347"/>
      <c r="BO196" s="347"/>
      <c r="BP196" s="347"/>
      <c r="BQ196" s="347"/>
      <c r="BR196" s="347"/>
      <c r="BS196" s="347"/>
      <c r="BT196" s="347"/>
      <c r="BU196" s="347"/>
      <c r="BV196" s="347"/>
      <c r="BW196" s="347"/>
      <c r="BX196" s="347"/>
      <c r="BY196" s="347"/>
      <c r="BZ196" s="347"/>
      <c r="CA196" s="347"/>
      <c r="CB196" s="347"/>
      <c r="CC196" s="347"/>
      <c r="CD196" s="347"/>
      <c r="CE196" s="347"/>
      <c r="CF196" s="347"/>
      <c r="CG196" s="347"/>
      <c r="CH196" s="347"/>
      <c r="CI196" s="347"/>
      <c r="CJ196" s="347"/>
      <c r="CK196" s="347"/>
      <c r="CL196" s="347"/>
      <c r="CM196" s="347"/>
      <c r="CN196" s="347"/>
      <c r="CO196" s="347"/>
      <c r="CP196" s="347"/>
    </row>
    <row r="197" spans="1:94" ht="27.75" customHeight="1">
      <c r="A197" s="347"/>
      <c r="B197" s="348"/>
      <c r="C197" s="347"/>
      <c r="D197" s="347"/>
      <c r="E197" s="347"/>
      <c r="F197" s="347"/>
      <c r="G197" s="347"/>
      <c r="H197" s="347"/>
      <c r="I197" s="347"/>
      <c r="J197" s="347"/>
      <c r="K197" s="347"/>
      <c r="L197" s="347"/>
      <c r="M197" s="347"/>
      <c r="N197" s="347"/>
      <c r="O197" s="347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347"/>
      <c r="AC197" s="347"/>
      <c r="AD197" s="347"/>
      <c r="AE197" s="347"/>
      <c r="AF197" s="347"/>
      <c r="AG197" s="347"/>
      <c r="AH197" s="347"/>
      <c r="AI197" s="347"/>
      <c r="AJ197" s="347"/>
      <c r="AK197" s="347"/>
      <c r="AL197" s="347"/>
      <c r="AM197" s="347"/>
      <c r="AN197" s="347"/>
      <c r="AO197" s="347"/>
      <c r="AP197" s="347"/>
      <c r="AQ197" s="347"/>
      <c r="AR197" s="347"/>
      <c r="AS197" s="347"/>
      <c r="AT197" s="347"/>
      <c r="AU197" s="347"/>
      <c r="AV197" s="347"/>
      <c r="AW197" s="347"/>
      <c r="AX197" s="347"/>
      <c r="AY197" s="347"/>
      <c r="AZ197" s="347"/>
      <c r="BA197" s="347"/>
      <c r="BB197" s="347"/>
      <c r="BC197" s="347"/>
      <c r="BD197" s="347"/>
      <c r="BE197" s="347"/>
      <c r="BF197" s="347"/>
      <c r="BG197" s="347"/>
      <c r="BH197" s="347"/>
      <c r="BI197" s="347"/>
      <c r="BJ197" s="347"/>
      <c r="BK197" s="347"/>
      <c r="BL197" s="347"/>
      <c r="BM197" s="347"/>
      <c r="BN197" s="347"/>
      <c r="BO197" s="347"/>
      <c r="BP197" s="347"/>
      <c r="BQ197" s="347"/>
      <c r="BR197" s="347"/>
      <c r="BS197" s="347"/>
      <c r="BT197" s="347"/>
      <c r="BU197" s="347"/>
      <c r="BV197" s="347"/>
      <c r="BW197" s="347"/>
      <c r="BX197" s="347"/>
      <c r="BY197" s="347"/>
      <c r="BZ197" s="347"/>
      <c r="CA197" s="347"/>
      <c r="CB197" s="347"/>
      <c r="CC197" s="347"/>
      <c r="CD197" s="347"/>
      <c r="CE197" s="347"/>
      <c r="CF197" s="347"/>
      <c r="CG197" s="347"/>
      <c r="CH197" s="347"/>
      <c r="CI197" s="347"/>
      <c r="CJ197" s="347"/>
      <c r="CK197" s="347"/>
      <c r="CL197" s="347"/>
      <c r="CM197" s="347"/>
      <c r="CN197" s="347"/>
      <c r="CO197" s="347"/>
      <c r="CP197" s="347"/>
    </row>
    <row r="198" spans="1:94" ht="27.75" customHeight="1">
      <c r="A198" s="347"/>
      <c r="B198" s="348"/>
      <c r="C198" s="347"/>
      <c r="D198" s="347"/>
      <c r="E198" s="347"/>
      <c r="F198" s="347"/>
      <c r="G198" s="347"/>
      <c r="H198" s="347"/>
      <c r="I198" s="347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7"/>
      <c r="AD198" s="347"/>
      <c r="AE198" s="347"/>
      <c r="AF198" s="347"/>
      <c r="AG198" s="347"/>
      <c r="AH198" s="347"/>
      <c r="AI198" s="347"/>
      <c r="AJ198" s="347"/>
      <c r="AK198" s="347"/>
      <c r="AL198" s="347"/>
      <c r="AM198" s="347"/>
      <c r="AN198" s="347"/>
      <c r="AO198" s="347"/>
      <c r="AP198" s="347"/>
      <c r="AQ198" s="347"/>
      <c r="AR198" s="347"/>
      <c r="AS198" s="347"/>
      <c r="AT198" s="347"/>
      <c r="AU198" s="347"/>
      <c r="AV198" s="347"/>
      <c r="AW198" s="347"/>
      <c r="AX198" s="347"/>
      <c r="AY198" s="347"/>
      <c r="AZ198" s="347"/>
      <c r="BA198" s="347"/>
      <c r="BB198" s="347"/>
      <c r="BC198" s="347"/>
      <c r="BD198" s="347"/>
      <c r="BE198" s="347"/>
      <c r="BF198" s="347"/>
      <c r="BG198" s="347"/>
      <c r="BH198" s="347"/>
      <c r="BI198" s="347"/>
      <c r="BJ198" s="347"/>
      <c r="BK198" s="347"/>
      <c r="BL198" s="347"/>
      <c r="BM198" s="347"/>
      <c r="BN198" s="347"/>
      <c r="BO198" s="347"/>
      <c r="BP198" s="347"/>
      <c r="BQ198" s="347"/>
      <c r="BR198" s="347"/>
      <c r="BS198" s="347"/>
      <c r="BT198" s="347"/>
      <c r="BU198" s="347"/>
      <c r="BV198" s="347"/>
      <c r="BW198" s="347"/>
      <c r="BX198" s="347"/>
      <c r="BY198" s="347"/>
      <c r="BZ198" s="347"/>
      <c r="CA198" s="347"/>
      <c r="CB198" s="347"/>
      <c r="CC198" s="347"/>
      <c r="CD198" s="347"/>
      <c r="CE198" s="347"/>
      <c r="CF198" s="347"/>
      <c r="CG198" s="347"/>
      <c r="CH198" s="347"/>
      <c r="CI198" s="347"/>
      <c r="CJ198" s="347"/>
      <c r="CK198" s="347"/>
      <c r="CL198" s="347"/>
      <c r="CM198" s="347"/>
      <c r="CN198" s="347"/>
      <c r="CO198" s="347"/>
      <c r="CP198" s="347"/>
    </row>
    <row r="199" spans="1:94" ht="27.75" customHeight="1">
      <c r="A199" s="347"/>
      <c r="B199" s="348"/>
      <c r="C199" s="347"/>
      <c r="D199" s="347"/>
      <c r="E199" s="347"/>
      <c r="F199" s="347"/>
      <c r="G199" s="347"/>
      <c r="H199" s="347"/>
      <c r="I199" s="347"/>
      <c r="J199" s="347"/>
      <c r="K199" s="347"/>
      <c r="L199" s="347"/>
      <c r="M199" s="347"/>
      <c r="N199" s="347"/>
      <c r="O199" s="347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47"/>
      <c r="AC199" s="347"/>
      <c r="AD199" s="347"/>
      <c r="AE199" s="347"/>
      <c r="AF199" s="347"/>
      <c r="AG199" s="347"/>
      <c r="AH199" s="347"/>
      <c r="AI199" s="347"/>
      <c r="AJ199" s="347"/>
      <c r="AK199" s="347"/>
      <c r="AL199" s="347"/>
      <c r="AM199" s="347"/>
      <c r="AN199" s="347"/>
      <c r="AO199" s="347"/>
      <c r="AP199" s="347"/>
      <c r="AQ199" s="347"/>
      <c r="AR199" s="347"/>
      <c r="AS199" s="347"/>
      <c r="AT199" s="347"/>
      <c r="AU199" s="347"/>
      <c r="AV199" s="347"/>
      <c r="AW199" s="347"/>
      <c r="AX199" s="347"/>
      <c r="AY199" s="347"/>
      <c r="AZ199" s="347"/>
      <c r="BA199" s="347"/>
      <c r="BB199" s="347"/>
      <c r="BC199" s="347"/>
      <c r="BD199" s="347"/>
      <c r="BE199" s="347"/>
      <c r="BF199" s="347"/>
      <c r="BG199" s="347"/>
      <c r="BH199" s="347"/>
      <c r="BI199" s="347"/>
      <c r="BJ199" s="347"/>
      <c r="BK199" s="347"/>
      <c r="BL199" s="347"/>
      <c r="BM199" s="347"/>
      <c r="BN199" s="347"/>
      <c r="BO199" s="347"/>
      <c r="BP199" s="347"/>
      <c r="BQ199" s="347"/>
      <c r="BR199" s="347"/>
      <c r="BS199" s="347"/>
      <c r="BT199" s="347"/>
      <c r="BU199" s="347"/>
      <c r="BV199" s="347"/>
      <c r="BW199" s="347"/>
      <c r="BX199" s="347"/>
      <c r="BY199" s="347"/>
      <c r="BZ199" s="347"/>
      <c r="CA199" s="347"/>
      <c r="CB199" s="347"/>
      <c r="CC199" s="347"/>
      <c r="CD199" s="347"/>
      <c r="CE199" s="347"/>
      <c r="CF199" s="347"/>
      <c r="CG199" s="347"/>
      <c r="CH199" s="347"/>
      <c r="CI199" s="347"/>
      <c r="CJ199" s="347"/>
      <c r="CK199" s="347"/>
      <c r="CL199" s="347"/>
      <c r="CM199" s="347"/>
      <c r="CN199" s="347"/>
      <c r="CO199" s="347"/>
      <c r="CP199" s="347"/>
    </row>
    <row r="200" spans="1:94" ht="27.75" customHeight="1">
      <c r="A200" s="347"/>
      <c r="B200" s="348"/>
      <c r="C200" s="347"/>
      <c r="D200" s="347"/>
      <c r="E200" s="347"/>
      <c r="F200" s="347"/>
      <c r="G200" s="347"/>
      <c r="H200" s="347"/>
      <c r="I200" s="347"/>
      <c r="J200" s="347"/>
      <c r="K200" s="347"/>
      <c r="L200" s="347"/>
      <c r="M200" s="347"/>
      <c r="N200" s="347"/>
      <c r="O200" s="347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47"/>
      <c r="AC200" s="347"/>
      <c r="AD200" s="347"/>
      <c r="AE200" s="347"/>
      <c r="AF200" s="347"/>
      <c r="AG200" s="347"/>
      <c r="AH200" s="347"/>
      <c r="AI200" s="347"/>
      <c r="AJ200" s="347"/>
      <c r="AK200" s="347"/>
      <c r="AL200" s="347"/>
      <c r="AM200" s="347"/>
      <c r="AN200" s="347"/>
      <c r="AO200" s="347"/>
      <c r="AP200" s="347"/>
      <c r="AQ200" s="347"/>
      <c r="AR200" s="347"/>
      <c r="AS200" s="347"/>
      <c r="AT200" s="347"/>
      <c r="AU200" s="347"/>
      <c r="AV200" s="347"/>
      <c r="AW200" s="347"/>
      <c r="AX200" s="347"/>
      <c r="AY200" s="347"/>
      <c r="AZ200" s="347"/>
      <c r="BA200" s="347"/>
      <c r="BB200" s="347"/>
      <c r="BC200" s="347"/>
      <c r="BD200" s="347"/>
      <c r="BE200" s="347"/>
      <c r="BF200" s="347"/>
      <c r="BG200" s="347"/>
      <c r="BH200" s="347"/>
      <c r="BI200" s="347"/>
      <c r="BJ200" s="347"/>
      <c r="BK200" s="347"/>
      <c r="BL200" s="347"/>
      <c r="BM200" s="347"/>
      <c r="BN200" s="347"/>
      <c r="BO200" s="347"/>
      <c r="BP200" s="347"/>
      <c r="BQ200" s="347"/>
      <c r="BR200" s="347"/>
      <c r="BS200" s="347"/>
      <c r="BT200" s="347"/>
      <c r="BU200" s="347"/>
      <c r="BV200" s="347"/>
      <c r="BW200" s="347"/>
      <c r="BX200" s="347"/>
      <c r="BY200" s="347"/>
      <c r="BZ200" s="347"/>
      <c r="CA200" s="347"/>
      <c r="CB200" s="347"/>
      <c r="CC200" s="347"/>
      <c r="CD200" s="347"/>
      <c r="CE200" s="347"/>
      <c r="CF200" s="347"/>
      <c r="CG200" s="347"/>
      <c r="CH200" s="347"/>
      <c r="CI200" s="347"/>
      <c r="CJ200" s="347"/>
      <c r="CK200" s="347"/>
      <c r="CL200" s="347"/>
      <c r="CM200" s="347"/>
      <c r="CN200" s="347"/>
      <c r="CO200" s="347"/>
      <c r="CP200" s="347"/>
    </row>
    <row r="201" spans="1:94" ht="27.75" customHeight="1">
      <c r="A201" s="347"/>
      <c r="B201" s="348"/>
      <c r="C201" s="347"/>
      <c r="D201" s="347"/>
      <c r="E201" s="347"/>
      <c r="F201" s="347"/>
      <c r="G201" s="347"/>
      <c r="H201" s="347"/>
      <c r="I201" s="347"/>
      <c r="J201" s="347"/>
      <c r="K201" s="347"/>
      <c r="L201" s="347"/>
      <c r="M201" s="347"/>
      <c r="N201" s="347"/>
      <c r="O201" s="347"/>
      <c r="P201" s="347"/>
      <c r="Q201" s="347"/>
      <c r="R201" s="347"/>
      <c r="S201" s="347"/>
      <c r="T201" s="347"/>
      <c r="U201" s="347"/>
      <c r="V201" s="347"/>
      <c r="W201" s="347"/>
      <c r="X201" s="347"/>
      <c r="Y201" s="347"/>
      <c r="Z201" s="347"/>
      <c r="AA201" s="347"/>
      <c r="AB201" s="347"/>
      <c r="AC201" s="347"/>
      <c r="AD201" s="347"/>
      <c r="AE201" s="347"/>
      <c r="AF201" s="347"/>
      <c r="AG201" s="347"/>
      <c r="AH201" s="347"/>
      <c r="AI201" s="347"/>
      <c r="AJ201" s="347"/>
      <c r="AK201" s="347"/>
      <c r="AL201" s="347"/>
      <c r="AM201" s="347"/>
      <c r="AN201" s="347"/>
      <c r="AO201" s="347"/>
      <c r="AP201" s="347"/>
      <c r="AQ201" s="347"/>
      <c r="AR201" s="347"/>
      <c r="AS201" s="347"/>
      <c r="AT201" s="347"/>
      <c r="AU201" s="347"/>
      <c r="AV201" s="347"/>
      <c r="AW201" s="347"/>
      <c r="AX201" s="347"/>
      <c r="AY201" s="347"/>
      <c r="AZ201" s="347"/>
      <c r="BA201" s="347"/>
      <c r="BB201" s="347"/>
      <c r="BC201" s="347"/>
      <c r="BD201" s="347"/>
      <c r="BE201" s="347"/>
      <c r="BF201" s="347"/>
      <c r="BG201" s="347"/>
      <c r="BH201" s="347"/>
      <c r="BI201" s="347"/>
      <c r="BJ201" s="347"/>
      <c r="BK201" s="347"/>
      <c r="BL201" s="347"/>
      <c r="BM201" s="347"/>
      <c r="BN201" s="347"/>
      <c r="BO201" s="347"/>
      <c r="BP201" s="347"/>
      <c r="BQ201" s="347"/>
      <c r="BR201" s="347"/>
      <c r="BS201" s="347"/>
      <c r="BT201" s="347"/>
      <c r="BU201" s="347"/>
      <c r="BV201" s="347"/>
      <c r="BW201" s="347"/>
      <c r="BX201" s="347"/>
      <c r="BY201" s="347"/>
      <c r="BZ201" s="347"/>
      <c r="CA201" s="347"/>
      <c r="CB201" s="347"/>
      <c r="CC201" s="347"/>
      <c r="CD201" s="347"/>
      <c r="CE201" s="347"/>
      <c r="CF201" s="347"/>
      <c r="CG201" s="347"/>
      <c r="CH201" s="347"/>
      <c r="CI201" s="347"/>
      <c r="CJ201" s="347"/>
      <c r="CK201" s="347"/>
      <c r="CL201" s="347"/>
      <c r="CM201" s="347"/>
      <c r="CN201" s="347"/>
      <c r="CO201" s="347"/>
      <c r="CP201" s="347"/>
    </row>
    <row r="202" spans="1:94" ht="27.75" customHeight="1">
      <c r="A202" s="347"/>
      <c r="B202" s="348"/>
      <c r="C202" s="347"/>
      <c r="D202" s="347"/>
      <c r="E202" s="347"/>
      <c r="F202" s="347"/>
      <c r="G202" s="347"/>
      <c r="H202" s="347"/>
      <c r="I202" s="347"/>
      <c r="J202" s="347"/>
      <c r="K202" s="347"/>
      <c r="L202" s="347"/>
      <c r="M202" s="347"/>
      <c r="N202" s="347"/>
      <c r="O202" s="347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347"/>
      <c r="AC202" s="347"/>
      <c r="AD202" s="347"/>
      <c r="AE202" s="347"/>
      <c r="AF202" s="347"/>
      <c r="AG202" s="347"/>
      <c r="AH202" s="347"/>
      <c r="AI202" s="347"/>
      <c r="AJ202" s="347"/>
      <c r="AK202" s="347"/>
      <c r="AL202" s="347"/>
      <c r="AM202" s="347"/>
      <c r="AN202" s="347"/>
      <c r="AO202" s="347"/>
      <c r="AP202" s="347"/>
      <c r="AQ202" s="347"/>
      <c r="AR202" s="347"/>
      <c r="AS202" s="347"/>
      <c r="AT202" s="347"/>
      <c r="AU202" s="347"/>
      <c r="AV202" s="347"/>
      <c r="AW202" s="347"/>
      <c r="AX202" s="347"/>
      <c r="AY202" s="347"/>
      <c r="AZ202" s="347"/>
      <c r="BA202" s="347"/>
      <c r="BB202" s="347"/>
      <c r="BC202" s="347"/>
      <c r="BD202" s="347"/>
      <c r="BE202" s="347"/>
      <c r="BF202" s="347"/>
      <c r="BG202" s="347"/>
      <c r="BH202" s="347"/>
      <c r="BI202" s="347"/>
      <c r="BJ202" s="347"/>
      <c r="BK202" s="347"/>
      <c r="BL202" s="347"/>
      <c r="BM202" s="347"/>
      <c r="BN202" s="347"/>
      <c r="BO202" s="347"/>
      <c r="BP202" s="347"/>
      <c r="BQ202" s="347"/>
      <c r="BR202" s="347"/>
      <c r="BS202" s="347"/>
      <c r="BT202" s="347"/>
      <c r="BU202" s="347"/>
      <c r="BV202" s="347"/>
      <c r="BW202" s="347"/>
      <c r="BX202" s="347"/>
      <c r="BY202" s="347"/>
      <c r="BZ202" s="347"/>
      <c r="CA202" s="347"/>
      <c r="CB202" s="347"/>
      <c r="CC202" s="347"/>
      <c r="CD202" s="347"/>
      <c r="CE202" s="347"/>
      <c r="CF202" s="347"/>
      <c r="CG202" s="347"/>
      <c r="CH202" s="347"/>
      <c r="CI202" s="347"/>
      <c r="CJ202" s="347"/>
      <c r="CK202" s="347"/>
      <c r="CL202" s="347"/>
      <c r="CM202" s="347"/>
      <c r="CN202" s="347"/>
      <c r="CO202" s="347"/>
      <c r="CP202" s="347"/>
    </row>
    <row r="203" spans="1:94" ht="27.75" customHeight="1">
      <c r="A203" s="347"/>
      <c r="B203" s="348"/>
      <c r="C203" s="347"/>
      <c r="D203" s="347"/>
      <c r="E203" s="347"/>
      <c r="F203" s="347"/>
      <c r="G203" s="347"/>
      <c r="H203" s="347"/>
      <c r="I203" s="347"/>
      <c r="J203" s="347"/>
      <c r="K203" s="347"/>
      <c r="L203" s="347"/>
      <c r="M203" s="347"/>
      <c r="N203" s="347"/>
      <c r="O203" s="347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47"/>
      <c r="AC203" s="347"/>
      <c r="AD203" s="347"/>
      <c r="AE203" s="347"/>
      <c r="AF203" s="347"/>
      <c r="AG203" s="347"/>
      <c r="AH203" s="347"/>
      <c r="AI203" s="347"/>
      <c r="AJ203" s="347"/>
      <c r="AK203" s="347"/>
      <c r="AL203" s="347"/>
      <c r="AM203" s="347"/>
      <c r="AN203" s="347"/>
      <c r="AO203" s="347"/>
      <c r="AP203" s="347"/>
      <c r="AQ203" s="347"/>
      <c r="AR203" s="347"/>
      <c r="AS203" s="347"/>
      <c r="AT203" s="347"/>
      <c r="AU203" s="347"/>
      <c r="AV203" s="347"/>
      <c r="AW203" s="347"/>
      <c r="AX203" s="347"/>
      <c r="AY203" s="347"/>
      <c r="AZ203" s="347"/>
      <c r="BA203" s="347"/>
      <c r="BB203" s="347"/>
      <c r="BC203" s="347"/>
      <c r="BD203" s="347"/>
      <c r="BE203" s="347"/>
      <c r="BF203" s="347"/>
      <c r="BG203" s="347"/>
      <c r="BH203" s="347"/>
      <c r="BI203" s="347"/>
      <c r="BJ203" s="347"/>
      <c r="BK203" s="347"/>
      <c r="BL203" s="347"/>
      <c r="BM203" s="347"/>
      <c r="BN203" s="347"/>
      <c r="BO203" s="347"/>
      <c r="BP203" s="347"/>
      <c r="BQ203" s="347"/>
      <c r="BR203" s="347"/>
      <c r="BS203" s="347"/>
      <c r="BT203" s="347"/>
      <c r="BU203" s="347"/>
      <c r="BV203" s="347"/>
      <c r="BW203" s="347"/>
      <c r="BX203" s="347"/>
      <c r="BY203" s="347"/>
      <c r="BZ203" s="347"/>
      <c r="CA203" s="347"/>
      <c r="CB203" s="347"/>
      <c r="CC203" s="347"/>
      <c r="CD203" s="347"/>
      <c r="CE203" s="347"/>
      <c r="CF203" s="347"/>
      <c r="CG203" s="347"/>
      <c r="CH203" s="347"/>
      <c r="CI203" s="347"/>
      <c r="CJ203" s="347"/>
      <c r="CK203" s="347"/>
      <c r="CL203" s="347"/>
      <c r="CM203" s="347"/>
      <c r="CN203" s="347"/>
      <c r="CO203" s="347"/>
      <c r="CP203" s="347"/>
    </row>
    <row r="204" spans="1:94" ht="27.75" customHeight="1">
      <c r="A204" s="347"/>
      <c r="B204" s="348"/>
      <c r="C204" s="347"/>
      <c r="D204" s="347"/>
      <c r="E204" s="347"/>
      <c r="F204" s="347"/>
      <c r="G204" s="347"/>
      <c r="H204" s="347"/>
      <c r="I204" s="347"/>
      <c r="J204" s="347"/>
      <c r="K204" s="347"/>
      <c r="L204" s="347"/>
      <c r="M204" s="347"/>
      <c r="N204" s="347"/>
      <c r="O204" s="347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47"/>
      <c r="AC204" s="347"/>
      <c r="AD204" s="347"/>
      <c r="AE204" s="347"/>
      <c r="AF204" s="347"/>
      <c r="AG204" s="347"/>
      <c r="AH204" s="347"/>
      <c r="AI204" s="347"/>
      <c r="AJ204" s="347"/>
      <c r="AK204" s="347"/>
      <c r="AL204" s="347"/>
      <c r="AM204" s="347"/>
      <c r="AN204" s="347"/>
      <c r="AO204" s="347"/>
      <c r="AP204" s="347"/>
      <c r="AQ204" s="347"/>
      <c r="AR204" s="347"/>
      <c r="AS204" s="347"/>
      <c r="AT204" s="347"/>
      <c r="AU204" s="347"/>
      <c r="AV204" s="347"/>
      <c r="AW204" s="347"/>
      <c r="AX204" s="347"/>
      <c r="AY204" s="347"/>
      <c r="AZ204" s="347"/>
      <c r="BA204" s="347"/>
      <c r="BB204" s="347"/>
      <c r="BC204" s="347"/>
      <c r="BD204" s="347"/>
      <c r="BE204" s="347"/>
      <c r="BF204" s="347"/>
      <c r="BG204" s="347"/>
      <c r="BH204" s="347"/>
      <c r="BI204" s="347"/>
      <c r="BJ204" s="347"/>
      <c r="BK204" s="347"/>
      <c r="BL204" s="347"/>
      <c r="BM204" s="347"/>
      <c r="BN204" s="347"/>
      <c r="BO204" s="347"/>
      <c r="BP204" s="347"/>
      <c r="BQ204" s="347"/>
      <c r="BR204" s="347"/>
      <c r="BS204" s="347"/>
      <c r="BT204" s="347"/>
      <c r="BU204" s="347"/>
      <c r="BV204" s="347"/>
      <c r="BW204" s="347"/>
      <c r="BX204" s="347"/>
      <c r="BY204" s="347"/>
      <c r="BZ204" s="347"/>
      <c r="CA204" s="347"/>
      <c r="CB204" s="347"/>
      <c r="CC204" s="347"/>
      <c r="CD204" s="347"/>
      <c r="CE204" s="347"/>
      <c r="CF204" s="347"/>
      <c r="CG204" s="347"/>
      <c r="CH204" s="347"/>
      <c r="CI204" s="347"/>
      <c r="CJ204" s="347"/>
      <c r="CK204" s="347"/>
      <c r="CL204" s="347"/>
      <c r="CM204" s="347"/>
      <c r="CN204" s="347"/>
      <c r="CO204" s="347"/>
      <c r="CP204" s="347"/>
    </row>
    <row r="205" spans="1:94" ht="27.75" customHeight="1">
      <c r="A205" s="347"/>
      <c r="B205" s="348"/>
      <c r="C205" s="347"/>
      <c r="D205" s="347"/>
      <c r="E205" s="347"/>
      <c r="F205" s="347"/>
      <c r="G205" s="347"/>
      <c r="H205" s="347"/>
      <c r="I205" s="347"/>
      <c r="J205" s="347"/>
      <c r="K205" s="347"/>
      <c r="L205" s="347"/>
      <c r="M205" s="347"/>
      <c r="N205" s="347"/>
      <c r="O205" s="347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47"/>
      <c r="AC205" s="347"/>
      <c r="AD205" s="347"/>
      <c r="AE205" s="347"/>
      <c r="AF205" s="347"/>
      <c r="AG205" s="347"/>
      <c r="AH205" s="347"/>
      <c r="AI205" s="347"/>
      <c r="AJ205" s="347"/>
      <c r="AK205" s="347"/>
      <c r="AL205" s="347"/>
      <c r="AM205" s="347"/>
      <c r="AN205" s="347"/>
      <c r="AO205" s="347"/>
      <c r="AP205" s="347"/>
      <c r="AQ205" s="347"/>
      <c r="AR205" s="347"/>
      <c r="AS205" s="347"/>
      <c r="AT205" s="347"/>
      <c r="AU205" s="347"/>
      <c r="AV205" s="347"/>
      <c r="AW205" s="347"/>
      <c r="AX205" s="347"/>
      <c r="AY205" s="347"/>
      <c r="AZ205" s="347"/>
      <c r="BA205" s="347"/>
      <c r="BB205" s="347"/>
      <c r="BC205" s="347"/>
      <c r="BD205" s="347"/>
      <c r="BE205" s="347"/>
      <c r="BF205" s="347"/>
      <c r="BG205" s="347"/>
      <c r="BH205" s="347"/>
      <c r="BI205" s="347"/>
      <c r="BJ205" s="347"/>
      <c r="BK205" s="347"/>
      <c r="BL205" s="347"/>
      <c r="BM205" s="347"/>
      <c r="BN205" s="347"/>
      <c r="BO205" s="347"/>
      <c r="BP205" s="347"/>
      <c r="BQ205" s="347"/>
      <c r="BR205" s="347"/>
      <c r="BS205" s="347"/>
      <c r="BT205" s="347"/>
      <c r="BU205" s="347"/>
      <c r="BV205" s="347"/>
      <c r="BW205" s="347"/>
      <c r="BX205" s="347"/>
      <c r="BY205" s="347"/>
      <c r="BZ205" s="347"/>
      <c r="CA205" s="347"/>
      <c r="CB205" s="347"/>
      <c r="CC205" s="347"/>
      <c r="CD205" s="347"/>
      <c r="CE205" s="347"/>
      <c r="CF205" s="347"/>
      <c r="CG205" s="347"/>
      <c r="CH205" s="347"/>
      <c r="CI205" s="347"/>
      <c r="CJ205" s="347"/>
      <c r="CK205" s="347"/>
      <c r="CL205" s="347"/>
      <c r="CM205" s="347"/>
      <c r="CN205" s="347"/>
      <c r="CO205" s="347"/>
      <c r="CP205" s="347"/>
    </row>
    <row r="206" spans="1:94" ht="27.75" customHeight="1">
      <c r="A206" s="347"/>
      <c r="B206" s="348"/>
      <c r="C206" s="347"/>
      <c r="D206" s="347"/>
      <c r="E206" s="347"/>
      <c r="F206" s="347"/>
      <c r="G206" s="347"/>
      <c r="H206" s="347"/>
      <c r="I206" s="347"/>
      <c r="J206" s="347"/>
      <c r="K206" s="347"/>
      <c r="L206" s="347"/>
      <c r="M206" s="347"/>
      <c r="N206" s="347"/>
      <c r="O206" s="347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347"/>
      <c r="AC206" s="347"/>
      <c r="AD206" s="347"/>
      <c r="AE206" s="347"/>
      <c r="AF206" s="347"/>
      <c r="AG206" s="347"/>
      <c r="AH206" s="347"/>
      <c r="AI206" s="347"/>
      <c r="AJ206" s="347"/>
      <c r="AK206" s="347"/>
      <c r="AL206" s="347"/>
      <c r="AM206" s="347"/>
      <c r="AN206" s="347"/>
      <c r="AO206" s="347"/>
      <c r="AP206" s="347"/>
      <c r="AQ206" s="347"/>
      <c r="AR206" s="347"/>
      <c r="AS206" s="347"/>
      <c r="AT206" s="347"/>
      <c r="AU206" s="347"/>
      <c r="AV206" s="347"/>
      <c r="AW206" s="347"/>
      <c r="AX206" s="347"/>
      <c r="AY206" s="347"/>
      <c r="AZ206" s="347"/>
      <c r="BA206" s="347"/>
      <c r="BB206" s="347"/>
      <c r="BC206" s="347"/>
      <c r="BD206" s="347"/>
      <c r="BE206" s="347"/>
      <c r="BF206" s="347"/>
      <c r="BG206" s="347"/>
      <c r="BH206" s="347"/>
      <c r="BI206" s="347"/>
      <c r="BJ206" s="347"/>
      <c r="BK206" s="347"/>
      <c r="BL206" s="347"/>
      <c r="BM206" s="347"/>
      <c r="BN206" s="347"/>
      <c r="BO206" s="347"/>
      <c r="BP206" s="347"/>
      <c r="BQ206" s="347"/>
      <c r="BR206" s="347"/>
      <c r="BS206" s="347"/>
      <c r="BT206" s="347"/>
      <c r="BU206" s="347"/>
      <c r="BV206" s="347"/>
      <c r="BW206" s="347"/>
      <c r="BX206" s="347"/>
      <c r="BY206" s="347"/>
      <c r="BZ206" s="347"/>
      <c r="CA206" s="347"/>
      <c r="CB206" s="347"/>
      <c r="CC206" s="347"/>
      <c r="CD206" s="347"/>
      <c r="CE206" s="347"/>
      <c r="CF206" s="347"/>
      <c r="CG206" s="347"/>
      <c r="CH206" s="347"/>
      <c r="CI206" s="347"/>
      <c r="CJ206" s="347"/>
      <c r="CK206" s="347"/>
      <c r="CL206" s="347"/>
      <c r="CM206" s="347"/>
      <c r="CN206" s="347"/>
      <c r="CO206" s="347"/>
      <c r="CP206" s="347"/>
    </row>
    <row r="207" spans="1:94" ht="27.75" customHeight="1">
      <c r="A207" s="347"/>
      <c r="B207" s="348"/>
      <c r="C207" s="347"/>
      <c r="D207" s="347"/>
      <c r="E207" s="347"/>
      <c r="F207" s="347"/>
      <c r="G207" s="347"/>
      <c r="H207" s="347"/>
      <c r="I207" s="347"/>
      <c r="J207" s="347"/>
      <c r="K207" s="347"/>
      <c r="L207" s="347"/>
      <c r="M207" s="347"/>
      <c r="N207" s="347"/>
      <c r="O207" s="347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347"/>
      <c r="AC207" s="347"/>
      <c r="AD207" s="347"/>
      <c r="AE207" s="347"/>
      <c r="AF207" s="347"/>
      <c r="AG207" s="347"/>
      <c r="AH207" s="347"/>
      <c r="AI207" s="347"/>
      <c r="AJ207" s="347"/>
      <c r="AK207" s="347"/>
      <c r="AL207" s="347"/>
      <c r="AM207" s="347"/>
      <c r="AN207" s="347"/>
      <c r="AO207" s="347"/>
      <c r="AP207" s="347"/>
      <c r="AQ207" s="347"/>
      <c r="AR207" s="347"/>
      <c r="AS207" s="347"/>
      <c r="AT207" s="347"/>
      <c r="AU207" s="347"/>
      <c r="AV207" s="347"/>
      <c r="AW207" s="347"/>
      <c r="AX207" s="347"/>
      <c r="AY207" s="347"/>
      <c r="AZ207" s="347"/>
      <c r="BA207" s="347"/>
      <c r="BB207" s="347"/>
      <c r="BC207" s="347"/>
      <c r="BD207" s="347"/>
      <c r="BE207" s="347"/>
      <c r="BF207" s="347"/>
      <c r="BG207" s="347"/>
      <c r="BH207" s="347"/>
      <c r="BI207" s="347"/>
      <c r="BJ207" s="347"/>
      <c r="BK207" s="347"/>
      <c r="BL207" s="347"/>
      <c r="BM207" s="347"/>
      <c r="BN207" s="347"/>
      <c r="BO207" s="347"/>
      <c r="BP207" s="347"/>
      <c r="BQ207" s="347"/>
      <c r="BR207" s="347"/>
      <c r="BS207" s="347"/>
      <c r="BT207" s="347"/>
      <c r="BU207" s="347"/>
      <c r="BV207" s="347"/>
      <c r="BW207" s="347"/>
      <c r="BX207" s="347"/>
      <c r="BY207" s="347"/>
      <c r="BZ207" s="347"/>
      <c r="CA207" s="347"/>
      <c r="CB207" s="347"/>
      <c r="CC207" s="347"/>
      <c r="CD207" s="347"/>
      <c r="CE207" s="347"/>
      <c r="CF207" s="347"/>
      <c r="CG207" s="347"/>
      <c r="CH207" s="347"/>
      <c r="CI207" s="347"/>
      <c r="CJ207" s="347"/>
      <c r="CK207" s="347"/>
      <c r="CL207" s="347"/>
      <c r="CM207" s="347"/>
      <c r="CN207" s="347"/>
      <c r="CO207" s="347"/>
      <c r="CP207" s="347"/>
    </row>
    <row r="208" spans="1:94" ht="27.75" customHeight="1">
      <c r="A208" s="347"/>
      <c r="B208" s="348"/>
      <c r="C208" s="347"/>
      <c r="D208" s="347"/>
      <c r="E208" s="347"/>
      <c r="F208" s="347"/>
      <c r="G208" s="347"/>
      <c r="H208" s="347"/>
      <c r="I208" s="347"/>
      <c r="J208" s="347"/>
      <c r="K208" s="347"/>
      <c r="L208" s="347"/>
      <c r="M208" s="347"/>
      <c r="N208" s="347"/>
      <c r="O208" s="347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347"/>
      <c r="AC208" s="347"/>
      <c r="AD208" s="347"/>
      <c r="AE208" s="347"/>
      <c r="AF208" s="347"/>
      <c r="AG208" s="347"/>
      <c r="AH208" s="347"/>
      <c r="AI208" s="347"/>
      <c r="AJ208" s="347"/>
      <c r="AK208" s="347"/>
      <c r="AL208" s="347"/>
      <c r="AM208" s="347"/>
      <c r="AN208" s="347"/>
      <c r="AO208" s="347"/>
      <c r="AP208" s="347"/>
      <c r="AQ208" s="347"/>
      <c r="AR208" s="347"/>
      <c r="AS208" s="347"/>
      <c r="AT208" s="347"/>
      <c r="AU208" s="347"/>
      <c r="AV208" s="347"/>
      <c r="AW208" s="347"/>
      <c r="AX208" s="347"/>
      <c r="AY208" s="347"/>
      <c r="AZ208" s="347"/>
      <c r="BA208" s="347"/>
      <c r="BB208" s="347"/>
      <c r="BC208" s="347"/>
      <c r="BD208" s="347"/>
      <c r="BE208" s="347"/>
      <c r="BF208" s="347"/>
      <c r="BG208" s="347"/>
      <c r="BH208" s="347"/>
      <c r="BI208" s="347"/>
      <c r="BJ208" s="347"/>
      <c r="BK208" s="347"/>
      <c r="BL208" s="347"/>
      <c r="BM208" s="347"/>
      <c r="BN208" s="347"/>
      <c r="BO208" s="347"/>
      <c r="BP208" s="347"/>
      <c r="BQ208" s="347"/>
      <c r="BR208" s="347"/>
      <c r="BS208" s="347"/>
      <c r="BT208" s="347"/>
      <c r="BU208" s="347"/>
      <c r="BV208" s="347"/>
      <c r="BW208" s="347"/>
      <c r="BX208" s="347"/>
      <c r="BY208" s="347"/>
      <c r="BZ208" s="347"/>
      <c r="CA208" s="347"/>
      <c r="CB208" s="347"/>
      <c r="CC208" s="347"/>
      <c r="CD208" s="347"/>
      <c r="CE208" s="347"/>
      <c r="CF208" s="347"/>
      <c r="CG208" s="347"/>
      <c r="CH208" s="347"/>
      <c r="CI208" s="347"/>
      <c r="CJ208" s="347"/>
      <c r="CK208" s="347"/>
      <c r="CL208" s="347"/>
      <c r="CM208" s="347"/>
      <c r="CN208" s="347"/>
      <c r="CO208" s="347"/>
      <c r="CP208" s="347"/>
    </row>
    <row r="209" spans="1:94" ht="27.75" customHeight="1">
      <c r="A209" s="347"/>
      <c r="B209" s="348"/>
      <c r="C209" s="347"/>
      <c r="D209" s="347"/>
      <c r="E209" s="347"/>
      <c r="F209" s="347"/>
      <c r="G209" s="347"/>
      <c r="H209" s="347"/>
      <c r="I209" s="347"/>
      <c r="J209" s="347"/>
      <c r="K209" s="347"/>
      <c r="L209" s="347"/>
      <c r="M209" s="347"/>
      <c r="N209" s="347"/>
      <c r="O209" s="347"/>
      <c r="P209" s="347"/>
      <c r="Q209" s="347"/>
      <c r="R209" s="347"/>
      <c r="S209" s="347"/>
      <c r="T209" s="347"/>
      <c r="U209" s="347"/>
      <c r="V209" s="347"/>
      <c r="W209" s="347"/>
      <c r="X209" s="347"/>
      <c r="Y209" s="347"/>
      <c r="Z209" s="347"/>
      <c r="AA209" s="347"/>
      <c r="AB209" s="347"/>
      <c r="AC209" s="347"/>
      <c r="AD209" s="347"/>
      <c r="AE209" s="347"/>
      <c r="AF209" s="347"/>
      <c r="AG209" s="347"/>
      <c r="AH209" s="347"/>
      <c r="AI209" s="347"/>
      <c r="AJ209" s="347"/>
      <c r="AK209" s="347"/>
      <c r="AL209" s="347"/>
      <c r="AM209" s="347"/>
      <c r="AN209" s="347"/>
      <c r="AO209" s="347"/>
      <c r="AP209" s="347"/>
      <c r="AQ209" s="347"/>
      <c r="AR209" s="347"/>
      <c r="AS209" s="347"/>
      <c r="AT209" s="347"/>
      <c r="AU209" s="347"/>
      <c r="AV209" s="347"/>
      <c r="AW209" s="347"/>
      <c r="AX209" s="347"/>
      <c r="AY209" s="347"/>
      <c r="AZ209" s="347"/>
      <c r="BA209" s="347"/>
      <c r="BB209" s="347"/>
      <c r="BC209" s="347"/>
      <c r="BD209" s="347"/>
      <c r="BE209" s="347"/>
      <c r="BF209" s="347"/>
      <c r="BG209" s="347"/>
      <c r="BH209" s="347"/>
      <c r="BI209" s="347"/>
      <c r="BJ209" s="347"/>
      <c r="BK209" s="347"/>
      <c r="BL209" s="347"/>
      <c r="BM209" s="347"/>
      <c r="BN209" s="347"/>
      <c r="BO209" s="347"/>
      <c r="BP209" s="347"/>
      <c r="BQ209" s="347"/>
      <c r="BR209" s="347"/>
      <c r="BS209" s="347"/>
      <c r="BT209" s="347"/>
      <c r="BU209" s="347"/>
      <c r="BV209" s="347"/>
      <c r="BW209" s="347"/>
      <c r="BX209" s="347"/>
      <c r="BY209" s="347"/>
      <c r="BZ209" s="347"/>
      <c r="CA209" s="347"/>
      <c r="CB209" s="347"/>
      <c r="CC209" s="347"/>
      <c r="CD209" s="347"/>
      <c r="CE209" s="347"/>
      <c r="CF209" s="347"/>
      <c r="CG209" s="347"/>
      <c r="CH209" s="347"/>
      <c r="CI209" s="347"/>
      <c r="CJ209" s="347"/>
      <c r="CK209" s="347"/>
      <c r="CL209" s="347"/>
      <c r="CM209" s="347"/>
      <c r="CN209" s="347"/>
      <c r="CO209" s="347"/>
      <c r="CP209" s="347"/>
    </row>
    <row r="210" spans="1:94" ht="27.75" customHeight="1">
      <c r="A210" s="347"/>
      <c r="B210" s="348"/>
      <c r="C210" s="347"/>
      <c r="D210" s="347"/>
      <c r="E210" s="347"/>
      <c r="F210" s="347"/>
      <c r="G210" s="347"/>
      <c r="H210" s="347"/>
      <c r="I210" s="347"/>
      <c r="J210" s="347"/>
      <c r="K210" s="347"/>
      <c r="L210" s="347"/>
      <c r="M210" s="347"/>
      <c r="N210" s="347"/>
      <c r="O210" s="347"/>
      <c r="P210" s="347"/>
      <c r="Q210" s="347"/>
      <c r="R210" s="347"/>
      <c r="S210" s="347"/>
      <c r="T210" s="347"/>
      <c r="U210" s="347"/>
      <c r="V210" s="347"/>
      <c r="W210" s="347"/>
      <c r="X210" s="347"/>
      <c r="Y210" s="347"/>
      <c r="Z210" s="347"/>
      <c r="AA210" s="347"/>
      <c r="AB210" s="347"/>
      <c r="AC210" s="347"/>
      <c r="AD210" s="347"/>
      <c r="AE210" s="347"/>
      <c r="AF210" s="347"/>
      <c r="AG210" s="347"/>
      <c r="AH210" s="347"/>
      <c r="AI210" s="347"/>
      <c r="AJ210" s="347"/>
      <c r="AK210" s="347"/>
      <c r="AL210" s="347"/>
      <c r="AM210" s="347"/>
      <c r="AN210" s="347"/>
      <c r="AO210" s="347"/>
      <c r="AP210" s="347"/>
      <c r="AQ210" s="347"/>
      <c r="AR210" s="347"/>
      <c r="AS210" s="347"/>
      <c r="AT210" s="347"/>
      <c r="AU210" s="347"/>
      <c r="AV210" s="347"/>
      <c r="AW210" s="347"/>
      <c r="AX210" s="347"/>
      <c r="AY210" s="347"/>
      <c r="AZ210" s="347"/>
      <c r="BA210" s="347"/>
      <c r="BB210" s="347"/>
      <c r="BC210" s="347"/>
      <c r="BD210" s="347"/>
      <c r="BE210" s="347"/>
      <c r="BF210" s="347"/>
      <c r="BG210" s="347"/>
      <c r="BH210" s="347"/>
      <c r="BI210" s="347"/>
      <c r="BJ210" s="347"/>
      <c r="BK210" s="347"/>
      <c r="BL210" s="347"/>
      <c r="BM210" s="347"/>
      <c r="BN210" s="347"/>
      <c r="BO210" s="347"/>
      <c r="BP210" s="347"/>
      <c r="BQ210" s="347"/>
      <c r="BR210" s="347"/>
      <c r="BS210" s="347"/>
      <c r="BT210" s="347"/>
      <c r="BU210" s="347"/>
      <c r="BV210" s="347"/>
      <c r="BW210" s="347"/>
      <c r="BX210" s="347"/>
      <c r="BY210" s="347"/>
      <c r="BZ210" s="347"/>
      <c r="CA210" s="347"/>
      <c r="CB210" s="347"/>
      <c r="CC210" s="347"/>
      <c r="CD210" s="347"/>
      <c r="CE210" s="347"/>
      <c r="CF210" s="347"/>
      <c r="CG210" s="347"/>
      <c r="CH210" s="347"/>
      <c r="CI210" s="347"/>
      <c r="CJ210" s="347"/>
      <c r="CK210" s="347"/>
      <c r="CL210" s="347"/>
      <c r="CM210" s="347"/>
      <c r="CN210" s="347"/>
      <c r="CO210" s="347"/>
      <c r="CP210" s="347"/>
    </row>
    <row r="211" spans="1:94" ht="27.75" customHeight="1">
      <c r="A211" s="347"/>
      <c r="B211" s="348"/>
      <c r="C211" s="347"/>
      <c r="D211" s="347"/>
      <c r="E211" s="347"/>
      <c r="F211" s="347"/>
      <c r="G211" s="347"/>
      <c r="H211" s="347"/>
      <c r="I211" s="347"/>
      <c r="J211" s="347"/>
      <c r="K211" s="347"/>
      <c r="L211" s="347"/>
      <c r="M211" s="347"/>
      <c r="N211" s="347"/>
      <c r="O211" s="347"/>
      <c r="P211" s="347"/>
      <c r="Q211" s="347"/>
      <c r="R211" s="347"/>
      <c r="S211" s="347"/>
      <c r="T211" s="347"/>
      <c r="U211" s="347"/>
      <c r="V211" s="347"/>
      <c r="W211" s="347"/>
      <c r="X211" s="347"/>
      <c r="Y211" s="347"/>
      <c r="Z211" s="347"/>
      <c r="AA211" s="347"/>
      <c r="AB211" s="347"/>
      <c r="AC211" s="347"/>
      <c r="AD211" s="347"/>
      <c r="AE211" s="347"/>
      <c r="AF211" s="347"/>
      <c r="AG211" s="347"/>
      <c r="AH211" s="347"/>
      <c r="AI211" s="347"/>
      <c r="AJ211" s="347"/>
      <c r="AK211" s="347"/>
      <c r="AL211" s="347"/>
      <c r="AM211" s="347"/>
      <c r="AN211" s="347"/>
      <c r="AO211" s="347"/>
      <c r="AP211" s="347"/>
      <c r="AQ211" s="347"/>
      <c r="AR211" s="347"/>
      <c r="AS211" s="347"/>
      <c r="AT211" s="347"/>
      <c r="AU211" s="347"/>
      <c r="AV211" s="347"/>
      <c r="AW211" s="347"/>
      <c r="AX211" s="347"/>
      <c r="AY211" s="347"/>
      <c r="AZ211" s="347"/>
      <c r="BA211" s="347"/>
      <c r="BB211" s="347"/>
      <c r="BC211" s="347"/>
      <c r="BD211" s="347"/>
      <c r="BE211" s="347"/>
      <c r="BF211" s="347"/>
      <c r="BG211" s="347"/>
      <c r="BH211" s="347"/>
      <c r="BI211" s="347"/>
      <c r="BJ211" s="347"/>
      <c r="BK211" s="347"/>
      <c r="BL211" s="347"/>
      <c r="BM211" s="347"/>
      <c r="BN211" s="347"/>
      <c r="BO211" s="347"/>
      <c r="BP211" s="347"/>
      <c r="BQ211" s="347"/>
      <c r="BR211" s="347"/>
      <c r="BS211" s="347"/>
      <c r="BT211" s="347"/>
      <c r="BU211" s="347"/>
      <c r="BV211" s="347"/>
      <c r="BW211" s="347"/>
      <c r="BX211" s="347"/>
      <c r="BY211" s="347"/>
      <c r="BZ211" s="347"/>
      <c r="CA211" s="347"/>
      <c r="CB211" s="347"/>
      <c r="CC211" s="347"/>
      <c r="CD211" s="347"/>
      <c r="CE211" s="347"/>
      <c r="CF211" s="347"/>
      <c r="CG211" s="347"/>
      <c r="CH211" s="347"/>
      <c r="CI211" s="347"/>
      <c r="CJ211" s="347"/>
      <c r="CK211" s="347"/>
      <c r="CL211" s="347"/>
      <c r="CM211" s="347"/>
      <c r="CN211" s="347"/>
      <c r="CO211" s="347"/>
      <c r="CP211" s="347"/>
    </row>
    <row r="212" spans="1:94" ht="27.75" customHeight="1">
      <c r="A212" s="347"/>
      <c r="B212" s="348"/>
      <c r="C212" s="347"/>
      <c r="D212" s="347"/>
      <c r="E212" s="347"/>
      <c r="F212" s="347"/>
      <c r="G212" s="347"/>
      <c r="H212" s="347"/>
      <c r="I212" s="347"/>
      <c r="J212" s="347"/>
      <c r="K212" s="347"/>
      <c r="L212" s="347"/>
      <c r="M212" s="347"/>
      <c r="N212" s="347"/>
      <c r="O212" s="347"/>
      <c r="P212" s="347"/>
      <c r="Q212" s="347"/>
      <c r="R212" s="347"/>
      <c r="S212" s="347"/>
      <c r="T212" s="347"/>
      <c r="U212" s="347"/>
      <c r="V212" s="347"/>
      <c r="W212" s="347"/>
      <c r="X212" s="347"/>
      <c r="Y212" s="347"/>
      <c r="Z212" s="347"/>
      <c r="AA212" s="347"/>
      <c r="AB212" s="347"/>
      <c r="AC212" s="347"/>
      <c r="AD212" s="347"/>
      <c r="AE212" s="347"/>
      <c r="AF212" s="347"/>
      <c r="AG212" s="347"/>
      <c r="AH212" s="347"/>
      <c r="AI212" s="347"/>
      <c r="AJ212" s="347"/>
      <c r="AK212" s="347"/>
      <c r="AL212" s="347"/>
      <c r="AM212" s="347"/>
      <c r="AN212" s="347"/>
      <c r="AO212" s="347"/>
      <c r="AP212" s="347"/>
      <c r="AQ212" s="347"/>
      <c r="AR212" s="347"/>
      <c r="AS212" s="347"/>
      <c r="AT212" s="347"/>
      <c r="AU212" s="347"/>
      <c r="AV212" s="347"/>
      <c r="AW212" s="347"/>
      <c r="AX212" s="347"/>
      <c r="AY212" s="347"/>
      <c r="AZ212" s="347"/>
      <c r="BA212" s="347"/>
      <c r="BB212" s="347"/>
      <c r="BC212" s="347"/>
      <c r="BD212" s="347"/>
      <c r="BE212" s="347"/>
      <c r="BF212" s="347"/>
      <c r="BG212" s="347"/>
      <c r="BH212" s="347"/>
      <c r="BI212" s="347"/>
      <c r="BJ212" s="347"/>
      <c r="BK212" s="347"/>
      <c r="BL212" s="347"/>
      <c r="BM212" s="347"/>
      <c r="BN212" s="347"/>
      <c r="BO212" s="347"/>
      <c r="BP212" s="347"/>
      <c r="BQ212" s="347"/>
      <c r="BR212" s="347"/>
      <c r="BS212" s="347"/>
      <c r="BT212" s="347"/>
      <c r="BU212" s="347"/>
      <c r="BV212" s="347"/>
      <c r="BW212" s="347"/>
      <c r="BX212" s="347"/>
      <c r="BY212" s="347"/>
      <c r="BZ212" s="347"/>
      <c r="CA212" s="347"/>
      <c r="CB212" s="347"/>
      <c r="CC212" s="347"/>
      <c r="CD212" s="347"/>
      <c r="CE212" s="347"/>
      <c r="CF212" s="347"/>
      <c r="CG212" s="347"/>
      <c r="CH212" s="347"/>
      <c r="CI212" s="347"/>
      <c r="CJ212" s="347"/>
      <c r="CK212" s="347"/>
      <c r="CL212" s="347"/>
      <c r="CM212" s="347"/>
      <c r="CN212" s="347"/>
      <c r="CO212" s="347"/>
      <c r="CP212" s="347"/>
    </row>
    <row r="213" spans="1:94" ht="27.75" customHeight="1">
      <c r="A213" s="347"/>
      <c r="B213" s="348"/>
      <c r="C213" s="347"/>
      <c r="D213" s="347"/>
      <c r="E213" s="347"/>
      <c r="F213" s="347"/>
      <c r="G213" s="347"/>
      <c r="H213" s="347"/>
      <c r="I213" s="347"/>
      <c r="J213" s="347"/>
      <c r="K213" s="347"/>
      <c r="L213" s="347"/>
      <c r="M213" s="347"/>
      <c r="N213" s="347"/>
      <c r="O213" s="347"/>
      <c r="P213" s="347"/>
      <c r="Q213" s="347"/>
      <c r="R213" s="347"/>
      <c r="S213" s="347"/>
      <c r="T213" s="347"/>
      <c r="U213" s="347"/>
      <c r="V213" s="347"/>
      <c r="W213" s="347"/>
      <c r="X213" s="347"/>
      <c r="Y213" s="347"/>
      <c r="Z213" s="347"/>
      <c r="AA213" s="347"/>
      <c r="AB213" s="347"/>
      <c r="AC213" s="347"/>
      <c r="AD213" s="347"/>
      <c r="AE213" s="347"/>
      <c r="AF213" s="347"/>
      <c r="AG213" s="347"/>
      <c r="AH213" s="347"/>
      <c r="AI213" s="347"/>
      <c r="AJ213" s="347"/>
      <c r="AK213" s="347"/>
      <c r="AL213" s="347"/>
      <c r="AM213" s="347"/>
      <c r="AN213" s="347"/>
      <c r="AO213" s="347"/>
      <c r="AP213" s="347"/>
      <c r="AQ213" s="347"/>
      <c r="AR213" s="347"/>
      <c r="AS213" s="347"/>
      <c r="AT213" s="347"/>
      <c r="AU213" s="347"/>
      <c r="AV213" s="347"/>
      <c r="AW213" s="347"/>
      <c r="AX213" s="347"/>
      <c r="AY213" s="347"/>
      <c r="AZ213" s="347"/>
      <c r="BA213" s="347"/>
      <c r="BB213" s="347"/>
      <c r="BC213" s="347"/>
      <c r="BD213" s="347"/>
      <c r="BE213" s="347"/>
      <c r="BF213" s="347"/>
      <c r="BG213" s="347"/>
      <c r="BH213" s="347"/>
      <c r="BI213" s="347"/>
      <c r="BJ213" s="347"/>
      <c r="BK213" s="347"/>
      <c r="BL213" s="347"/>
      <c r="BM213" s="347"/>
      <c r="BN213" s="347"/>
      <c r="BO213" s="347"/>
      <c r="BP213" s="347"/>
      <c r="BQ213" s="347"/>
      <c r="BR213" s="347"/>
      <c r="BS213" s="347"/>
      <c r="BT213" s="347"/>
      <c r="BU213" s="347"/>
      <c r="BV213" s="347"/>
      <c r="BW213" s="347"/>
      <c r="BX213" s="347"/>
      <c r="BY213" s="347"/>
      <c r="BZ213" s="347"/>
      <c r="CA213" s="347"/>
      <c r="CB213" s="347"/>
      <c r="CC213" s="347"/>
      <c r="CD213" s="347"/>
      <c r="CE213" s="347"/>
      <c r="CF213" s="347"/>
      <c r="CG213" s="347"/>
      <c r="CH213" s="347"/>
      <c r="CI213" s="347"/>
      <c r="CJ213" s="347"/>
      <c r="CK213" s="347"/>
      <c r="CL213" s="347"/>
      <c r="CM213" s="347"/>
      <c r="CN213" s="347"/>
      <c r="CO213" s="347"/>
      <c r="CP213" s="347"/>
    </row>
    <row r="214" spans="1:94" ht="27.75" customHeight="1">
      <c r="A214" s="347"/>
      <c r="B214" s="348"/>
      <c r="C214" s="347"/>
      <c r="D214" s="347"/>
      <c r="E214" s="347"/>
      <c r="F214" s="347"/>
      <c r="G214" s="347"/>
      <c r="H214" s="347"/>
      <c r="I214" s="347"/>
      <c r="J214" s="347"/>
      <c r="K214" s="347"/>
      <c r="L214" s="347"/>
      <c r="M214" s="347"/>
      <c r="N214" s="347"/>
      <c r="O214" s="347"/>
      <c r="P214" s="347"/>
      <c r="Q214" s="347"/>
      <c r="R214" s="347"/>
      <c r="S214" s="347"/>
      <c r="T214" s="347"/>
      <c r="U214" s="347"/>
      <c r="V214" s="347"/>
      <c r="W214" s="347"/>
      <c r="X214" s="347"/>
      <c r="Y214" s="347"/>
      <c r="Z214" s="347"/>
      <c r="AA214" s="347"/>
      <c r="AB214" s="347"/>
      <c r="AC214" s="347"/>
      <c r="AD214" s="347"/>
      <c r="AE214" s="347"/>
      <c r="AF214" s="347"/>
      <c r="AG214" s="347"/>
      <c r="AH214" s="347"/>
      <c r="AI214" s="347"/>
      <c r="AJ214" s="347"/>
      <c r="AK214" s="347"/>
      <c r="AL214" s="347"/>
      <c r="AM214" s="347"/>
      <c r="AN214" s="347"/>
      <c r="AO214" s="347"/>
      <c r="AP214" s="347"/>
      <c r="AQ214" s="347"/>
      <c r="AR214" s="347"/>
      <c r="AS214" s="347"/>
      <c r="AT214" s="347"/>
      <c r="AU214" s="347"/>
      <c r="AV214" s="347"/>
      <c r="AW214" s="347"/>
      <c r="AX214" s="347"/>
      <c r="AY214" s="347"/>
      <c r="AZ214" s="347"/>
      <c r="BA214" s="347"/>
      <c r="BB214" s="347"/>
      <c r="BC214" s="347"/>
      <c r="BD214" s="347"/>
      <c r="BE214" s="347"/>
      <c r="BF214" s="347"/>
      <c r="BG214" s="347"/>
      <c r="BH214" s="347"/>
      <c r="BI214" s="347"/>
      <c r="BJ214" s="347"/>
      <c r="BK214" s="347"/>
      <c r="BL214" s="347"/>
      <c r="BM214" s="347"/>
      <c r="BN214" s="347"/>
      <c r="BO214" s="347"/>
      <c r="BP214" s="347"/>
      <c r="BQ214" s="347"/>
      <c r="BR214" s="347"/>
      <c r="BS214" s="347"/>
      <c r="BT214" s="347"/>
      <c r="BU214" s="347"/>
      <c r="BV214" s="347"/>
      <c r="BW214" s="347"/>
      <c r="BX214" s="347"/>
      <c r="BY214" s="347"/>
      <c r="BZ214" s="347"/>
      <c r="CA214" s="347"/>
      <c r="CB214" s="347"/>
      <c r="CC214" s="347"/>
      <c r="CD214" s="347"/>
      <c r="CE214" s="347"/>
      <c r="CF214" s="347"/>
      <c r="CG214" s="347"/>
      <c r="CH214" s="347"/>
      <c r="CI214" s="347"/>
      <c r="CJ214" s="347"/>
      <c r="CK214" s="347"/>
      <c r="CL214" s="347"/>
      <c r="CM214" s="347"/>
      <c r="CN214" s="347"/>
      <c r="CO214" s="347"/>
      <c r="CP214" s="347"/>
    </row>
    <row r="215" spans="1:94" ht="27.75" customHeight="1">
      <c r="A215" s="347"/>
      <c r="B215" s="348"/>
      <c r="C215" s="347"/>
      <c r="D215" s="347"/>
      <c r="E215" s="347"/>
      <c r="F215" s="347"/>
      <c r="G215" s="347"/>
      <c r="H215" s="347"/>
      <c r="I215" s="347"/>
      <c r="J215" s="347"/>
      <c r="K215" s="347"/>
      <c r="L215" s="347"/>
      <c r="M215" s="347"/>
      <c r="N215" s="347"/>
      <c r="O215" s="347"/>
      <c r="P215" s="347"/>
      <c r="Q215" s="347"/>
      <c r="R215" s="347"/>
      <c r="S215" s="347"/>
      <c r="T215" s="347"/>
      <c r="U215" s="347"/>
      <c r="V215" s="347"/>
      <c r="W215" s="347"/>
      <c r="X215" s="347"/>
      <c r="Y215" s="347"/>
      <c r="Z215" s="347"/>
      <c r="AA215" s="347"/>
      <c r="AB215" s="347"/>
      <c r="AC215" s="347"/>
      <c r="AD215" s="347"/>
      <c r="AE215" s="347"/>
      <c r="AF215" s="347"/>
      <c r="AG215" s="347"/>
      <c r="AH215" s="347"/>
      <c r="AI215" s="347"/>
      <c r="AJ215" s="347"/>
      <c r="AK215" s="347"/>
      <c r="AL215" s="347"/>
      <c r="AM215" s="347"/>
      <c r="AN215" s="347"/>
      <c r="AO215" s="347"/>
      <c r="AP215" s="347"/>
      <c r="AQ215" s="347"/>
      <c r="AR215" s="347"/>
      <c r="AS215" s="347"/>
      <c r="AT215" s="347"/>
      <c r="AU215" s="347"/>
      <c r="AV215" s="347"/>
      <c r="AW215" s="347"/>
      <c r="AX215" s="347"/>
      <c r="AY215" s="347"/>
      <c r="AZ215" s="347"/>
      <c r="BA215" s="347"/>
      <c r="BB215" s="347"/>
      <c r="BC215" s="347"/>
      <c r="BD215" s="347"/>
      <c r="BE215" s="347"/>
      <c r="BF215" s="347"/>
      <c r="BG215" s="347"/>
      <c r="BH215" s="347"/>
      <c r="BI215" s="347"/>
      <c r="BJ215" s="347"/>
      <c r="BK215" s="347"/>
      <c r="BL215" s="347"/>
      <c r="BM215" s="347"/>
      <c r="BN215" s="347"/>
      <c r="BO215" s="347"/>
      <c r="BP215" s="347"/>
      <c r="BQ215" s="347"/>
      <c r="BR215" s="347"/>
      <c r="BS215" s="347"/>
      <c r="BT215" s="347"/>
      <c r="BU215" s="347"/>
      <c r="BV215" s="347"/>
      <c r="BW215" s="347"/>
      <c r="BX215" s="347"/>
      <c r="BY215" s="347"/>
      <c r="BZ215" s="347"/>
      <c r="CA215" s="347"/>
      <c r="CB215" s="347"/>
      <c r="CC215" s="347"/>
      <c r="CD215" s="347"/>
      <c r="CE215" s="347"/>
      <c r="CF215" s="347"/>
      <c r="CG215" s="347"/>
      <c r="CH215" s="347"/>
      <c r="CI215" s="347"/>
      <c r="CJ215" s="347"/>
      <c r="CK215" s="347"/>
      <c r="CL215" s="347"/>
      <c r="CM215" s="347"/>
      <c r="CN215" s="347"/>
      <c r="CO215" s="347"/>
      <c r="CP215" s="347"/>
    </row>
    <row r="216" spans="1:94" ht="27.75" customHeight="1">
      <c r="A216" s="347"/>
      <c r="B216" s="348"/>
      <c r="C216" s="347"/>
      <c r="D216" s="347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7"/>
      <c r="AD216" s="347"/>
      <c r="AE216" s="347"/>
      <c r="AF216" s="347"/>
      <c r="AG216" s="347"/>
      <c r="AH216" s="347"/>
      <c r="AI216" s="347"/>
      <c r="AJ216" s="347"/>
      <c r="AK216" s="347"/>
      <c r="AL216" s="347"/>
      <c r="AM216" s="347"/>
      <c r="AN216" s="347"/>
      <c r="AO216" s="347"/>
      <c r="AP216" s="347"/>
      <c r="AQ216" s="347"/>
      <c r="AR216" s="347"/>
      <c r="AS216" s="347"/>
      <c r="AT216" s="347"/>
      <c r="AU216" s="347"/>
      <c r="AV216" s="347"/>
      <c r="AW216" s="347"/>
      <c r="AX216" s="347"/>
      <c r="AY216" s="347"/>
      <c r="AZ216" s="347"/>
      <c r="BA216" s="347"/>
      <c r="BB216" s="347"/>
      <c r="BC216" s="347"/>
      <c r="BD216" s="347"/>
      <c r="BE216" s="347"/>
      <c r="BF216" s="347"/>
      <c r="BG216" s="347"/>
      <c r="BH216" s="347"/>
      <c r="BI216" s="347"/>
      <c r="BJ216" s="347"/>
      <c r="BK216" s="347"/>
      <c r="BL216" s="347"/>
      <c r="BM216" s="347"/>
      <c r="BN216" s="347"/>
      <c r="BO216" s="347"/>
      <c r="BP216" s="347"/>
      <c r="BQ216" s="347"/>
      <c r="BR216" s="347"/>
      <c r="BS216" s="347"/>
      <c r="BT216" s="347"/>
      <c r="BU216" s="347"/>
      <c r="BV216" s="347"/>
      <c r="BW216" s="347"/>
      <c r="BX216" s="347"/>
      <c r="BY216" s="347"/>
      <c r="BZ216" s="347"/>
      <c r="CA216" s="347"/>
      <c r="CB216" s="347"/>
      <c r="CC216" s="347"/>
      <c r="CD216" s="347"/>
      <c r="CE216" s="347"/>
      <c r="CF216" s="347"/>
      <c r="CG216" s="347"/>
      <c r="CH216" s="347"/>
      <c r="CI216" s="347"/>
      <c r="CJ216" s="347"/>
      <c r="CK216" s="347"/>
      <c r="CL216" s="347"/>
      <c r="CM216" s="347"/>
      <c r="CN216" s="347"/>
      <c r="CO216" s="347"/>
      <c r="CP216" s="347"/>
    </row>
    <row r="217" spans="1:94" ht="27.75" customHeight="1">
      <c r="A217" s="347"/>
      <c r="B217" s="348"/>
      <c r="C217" s="347"/>
      <c r="D217" s="347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7"/>
      <c r="AD217" s="347"/>
      <c r="AE217" s="347"/>
      <c r="AF217" s="347"/>
      <c r="AG217" s="347"/>
      <c r="AH217" s="347"/>
      <c r="AI217" s="347"/>
      <c r="AJ217" s="347"/>
      <c r="AK217" s="347"/>
      <c r="AL217" s="347"/>
      <c r="AM217" s="347"/>
      <c r="AN217" s="347"/>
      <c r="AO217" s="347"/>
      <c r="AP217" s="347"/>
      <c r="AQ217" s="347"/>
      <c r="AR217" s="347"/>
      <c r="AS217" s="347"/>
      <c r="AT217" s="347"/>
      <c r="AU217" s="347"/>
      <c r="AV217" s="347"/>
      <c r="AW217" s="347"/>
      <c r="AX217" s="347"/>
      <c r="AY217" s="347"/>
      <c r="AZ217" s="347"/>
      <c r="BA217" s="347"/>
      <c r="BB217" s="347"/>
      <c r="BC217" s="347"/>
      <c r="BD217" s="347"/>
      <c r="BE217" s="347"/>
      <c r="BF217" s="347"/>
      <c r="BG217" s="347"/>
      <c r="BH217" s="347"/>
      <c r="BI217" s="347"/>
      <c r="BJ217" s="347"/>
      <c r="BK217" s="347"/>
      <c r="BL217" s="347"/>
      <c r="BM217" s="347"/>
      <c r="BN217" s="347"/>
      <c r="BO217" s="347"/>
      <c r="BP217" s="347"/>
      <c r="BQ217" s="347"/>
      <c r="BR217" s="347"/>
      <c r="BS217" s="347"/>
      <c r="BT217" s="347"/>
      <c r="BU217" s="347"/>
      <c r="BV217" s="347"/>
      <c r="BW217" s="347"/>
      <c r="BX217" s="347"/>
      <c r="BY217" s="347"/>
      <c r="BZ217" s="347"/>
      <c r="CA217" s="347"/>
      <c r="CB217" s="347"/>
      <c r="CC217" s="347"/>
      <c r="CD217" s="347"/>
      <c r="CE217" s="347"/>
      <c r="CF217" s="347"/>
      <c r="CG217" s="347"/>
      <c r="CH217" s="347"/>
      <c r="CI217" s="347"/>
      <c r="CJ217" s="347"/>
      <c r="CK217" s="347"/>
      <c r="CL217" s="347"/>
      <c r="CM217" s="347"/>
      <c r="CN217" s="347"/>
      <c r="CO217" s="347"/>
      <c r="CP217" s="347"/>
    </row>
    <row r="218" spans="1:94" ht="27.75" customHeight="1">
      <c r="A218" s="347"/>
      <c r="B218" s="348"/>
      <c r="C218" s="347"/>
      <c r="D218" s="347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7"/>
      <c r="AD218" s="347"/>
      <c r="AE218" s="347"/>
      <c r="AF218" s="347"/>
      <c r="AG218" s="347"/>
      <c r="AH218" s="347"/>
      <c r="AI218" s="347"/>
      <c r="AJ218" s="347"/>
      <c r="AK218" s="347"/>
      <c r="AL218" s="347"/>
      <c r="AM218" s="347"/>
      <c r="AN218" s="347"/>
      <c r="AO218" s="347"/>
      <c r="AP218" s="347"/>
      <c r="AQ218" s="347"/>
      <c r="AR218" s="347"/>
      <c r="AS218" s="347"/>
      <c r="AT218" s="347"/>
      <c r="AU218" s="347"/>
      <c r="AV218" s="347"/>
      <c r="AW218" s="347"/>
      <c r="AX218" s="347"/>
      <c r="AY218" s="347"/>
      <c r="AZ218" s="347"/>
      <c r="BA218" s="347"/>
      <c r="BB218" s="347"/>
      <c r="BC218" s="347"/>
      <c r="BD218" s="347"/>
      <c r="BE218" s="347"/>
      <c r="BF218" s="347"/>
      <c r="BG218" s="347"/>
      <c r="BH218" s="347"/>
      <c r="BI218" s="347"/>
      <c r="BJ218" s="347"/>
      <c r="BK218" s="347"/>
      <c r="BL218" s="347"/>
      <c r="BM218" s="347"/>
      <c r="BN218" s="347"/>
      <c r="BO218" s="347"/>
      <c r="BP218" s="347"/>
      <c r="BQ218" s="347"/>
      <c r="BR218" s="347"/>
      <c r="BS218" s="347"/>
      <c r="BT218" s="347"/>
      <c r="BU218" s="347"/>
      <c r="BV218" s="347"/>
      <c r="BW218" s="347"/>
      <c r="BX218" s="347"/>
      <c r="BY218" s="347"/>
      <c r="BZ218" s="347"/>
      <c r="CA218" s="347"/>
      <c r="CB218" s="347"/>
      <c r="CC218" s="347"/>
      <c r="CD218" s="347"/>
      <c r="CE218" s="347"/>
      <c r="CF218" s="347"/>
      <c r="CG218" s="347"/>
      <c r="CH218" s="347"/>
      <c r="CI218" s="347"/>
      <c r="CJ218" s="347"/>
      <c r="CK218" s="347"/>
      <c r="CL218" s="347"/>
      <c r="CM218" s="347"/>
      <c r="CN218" s="347"/>
      <c r="CO218" s="347"/>
      <c r="CP218" s="347"/>
    </row>
    <row r="219" spans="1:94" ht="27.75" customHeight="1">
      <c r="A219" s="347"/>
      <c r="B219" s="348"/>
      <c r="C219" s="347"/>
      <c r="D219" s="347"/>
      <c r="E219" s="347"/>
      <c r="F219" s="347"/>
      <c r="G219" s="347"/>
      <c r="H219" s="347"/>
      <c r="I219" s="347"/>
      <c r="J219" s="347"/>
      <c r="K219" s="347"/>
      <c r="L219" s="347"/>
      <c r="M219" s="347"/>
      <c r="N219" s="347"/>
      <c r="O219" s="347"/>
      <c r="P219" s="347"/>
      <c r="Q219" s="347"/>
      <c r="R219" s="347"/>
      <c r="S219" s="347"/>
      <c r="T219" s="347"/>
      <c r="U219" s="347"/>
      <c r="V219" s="347"/>
      <c r="W219" s="347"/>
      <c r="X219" s="347"/>
      <c r="Y219" s="347"/>
      <c r="Z219" s="347"/>
      <c r="AA219" s="347"/>
      <c r="AB219" s="347"/>
      <c r="AC219" s="347"/>
      <c r="AD219" s="347"/>
      <c r="AE219" s="347"/>
      <c r="AF219" s="347"/>
      <c r="AG219" s="347"/>
      <c r="AH219" s="347"/>
      <c r="AI219" s="347"/>
      <c r="AJ219" s="347"/>
      <c r="AK219" s="347"/>
      <c r="AL219" s="347"/>
      <c r="AM219" s="347"/>
      <c r="AN219" s="347"/>
      <c r="AO219" s="347"/>
      <c r="AP219" s="347"/>
      <c r="AQ219" s="347"/>
      <c r="AR219" s="347"/>
      <c r="AS219" s="347"/>
      <c r="AT219" s="347"/>
      <c r="AU219" s="347"/>
      <c r="AV219" s="347"/>
      <c r="AW219" s="347"/>
      <c r="AX219" s="347"/>
      <c r="AY219" s="347"/>
      <c r="AZ219" s="347"/>
      <c r="BA219" s="347"/>
      <c r="BB219" s="347"/>
      <c r="BC219" s="347"/>
      <c r="BD219" s="347"/>
      <c r="BE219" s="347"/>
      <c r="BF219" s="347"/>
      <c r="BG219" s="347"/>
      <c r="BH219" s="347"/>
      <c r="BI219" s="347"/>
      <c r="BJ219" s="347"/>
      <c r="BK219" s="347"/>
      <c r="BL219" s="347"/>
      <c r="BM219" s="347"/>
      <c r="BN219" s="347"/>
      <c r="BO219" s="347"/>
      <c r="BP219" s="347"/>
      <c r="BQ219" s="347"/>
      <c r="BR219" s="347"/>
      <c r="BS219" s="347"/>
      <c r="BT219" s="347"/>
      <c r="BU219" s="347"/>
      <c r="BV219" s="347"/>
      <c r="BW219" s="347"/>
      <c r="BX219" s="347"/>
      <c r="BY219" s="347"/>
      <c r="BZ219" s="347"/>
      <c r="CA219" s="347"/>
      <c r="CB219" s="347"/>
      <c r="CC219" s="347"/>
      <c r="CD219" s="347"/>
      <c r="CE219" s="347"/>
      <c r="CF219" s="347"/>
      <c r="CG219" s="347"/>
      <c r="CH219" s="347"/>
      <c r="CI219" s="347"/>
      <c r="CJ219" s="347"/>
      <c r="CK219" s="347"/>
      <c r="CL219" s="347"/>
      <c r="CM219" s="347"/>
      <c r="CN219" s="347"/>
      <c r="CO219" s="347"/>
      <c r="CP219" s="347"/>
    </row>
    <row r="220" spans="1:94" ht="27.75" customHeight="1">
      <c r="A220" s="347"/>
      <c r="B220" s="348"/>
      <c r="C220" s="347"/>
      <c r="D220" s="347"/>
      <c r="E220" s="347"/>
      <c r="F220" s="347"/>
      <c r="G220" s="347"/>
      <c r="H220" s="347"/>
      <c r="I220" s="347"/>
      <c r="J220" s="347"/>
      <c r="K220" s="347"/>
      <c r="L220" s="347"/>
      <c r="M220" s="347"/>
      <c r="N220" s="347"/>
      <c r="O220" s="347"/>
      <c r="P220" s="347"/>
      <c r="Q220" s="347"/>
      <c r="R220" s="347"/>
      <c r="S220" s="347"/>
      <c r="T220" s="347"/>
      <c r="U220" s="347"/>
      <c r="V220" s="347"/>
      <c r="W220" s="347"/>
      <c r="X220" s="347"/>
      <c r="Y220" s="347"/>
      <c r="Z220" s="347"/>
      <c r="AA220" s="347"/>
      <c r="AB220" s="347"/>
      <c r="AC220" s="347"/>
      <c r="AD220" s="347"/>
      <c r="AE220" s="347"/>
      <c r="AF220" s="347"/>
      <c r="AG220" s="347"/>
      <c r="AH220" s="347"/>
      <c r="AI220" s="347"/>
      <c r="AJ220" s="347"/>
      <c r="AK220" s="347"/>
      <c r="AL220" s="347"/>
      <c r="AM220" s="347"/>
      <c r="AN220" s="347"/>
      <c r="AO220" s="347"/>
      <c r="AP220" s="347"/>
      <c r="AQ220" s="347"/>
      <c r="AR220" s="347"/>
      <c r="AS220" s="347"/>
      <c r="AT220" s="347"/>
      <c r="AU220" s="347"/>
      <c r="AV220" s="347"/>
      <c r="AW220" s="347"/>
      <c r="AX220" s="347"/>
      <c r="AY220" s="347"/>
      <c r="AZ220" s="347"/>
      <c r="BA220" s="347"/>
      <c r="BB220" s="347"/>
      <c r="BC220" s="347"/>
      <c r="BD220" s="347"/>
      <c r="BE220" s="347"/>
      <c r="BF220" s="347"/>
      <c r="BG220" s="347"/>
      <c r="BH220" s="347"/>
      <c r="BI220" s="347"/>
      <c r="BJ220" s="347"/>
      <c r="BK220" s="347"/>
      <c r="BL220" s="347"/>
      <c r="BM220" s="347"/>
      <c r="BN220" s="347"/>
      <c r="BO220" s="347"/>
      <c r="BP220" s="347"/>
      <c r="BQ220" s="347"/>
      <c r="BR220" s="347"/>
      <c r="BS220" s="347"/>
      <c r="BT220" s="347"/>
      <c r="BU220" s="347"/>
      <c r="BV220" s="347"/>
      <c r="BW220" s="347"/>
      <c r="BX220" s="347"/>
      <c r="BY220" s="347"/>
      <c r="BZ220" s="347"/>
      <c r="CA220" s="347"/>
      <c r="CB220" s="347"/>
      <c r="CC220" s="347"/>
      <c r="CD220" s="347"/>
      <c r="CE220" s="347"/>
      <c r="CF220" s="347"/>
      <c r="CG220" s="347"/>
      <c r="CH220" s="347"/>
      <c r="CI220" s="347"/>
      <c r="CJ220" s="347"/>
      <c r="CK220" s="347"/>
      <c r="CL220" s="347"/>
      <c r="CM220" s="347"/>
      <c r="CN220" s="347"/>
      <c r="CO220" s="347"/>
      <c r="CP220" s="347"/>
    </row>
    <row r="221" spans="1:94" ht="27.75" customHeight="1">
      <c r="A221" s="347"/>
      <c r="B221" s="348"/>
      <c r="C221" s="347"/>
      <c r="D221" s="347"/>
      <c r="E221" s="347"/>
      <c r="F221" s="347"/>
      <c r="G221" s="347"/>
      <c r="H221" s="347"/>
      <c r="I221" s="347"/>
      <c r="J221" s="347"/>
      <c r="K221" s="347"/>
      <c r="L221" s="347"/>
      <c r="M221" s="347"/>
      <c r="N221" s="347"/>
      <c r="O221" s="347"/>
      <c r="P221" s="347"/>
      <c r="Q221" s="347"/>
      <c r="R221" s="347"/>
      <c r="S221" s="347"/>
      <c r="T221" s="347"/>
      <c r="U221" s="347"/>
      <c r="V221" s="347"/>
      <c r="W221" s="347"/>
      <c r="X221" s="347"/>
      <c r="Y221" s="347"/>
      <c r="Z221" s="347"/>
      <c r="AA221" s="347"/>
      <c r="AB221" s="347"/>
      <c r="AC221" s="347"/>
      <c r="AD221" s="347"/>
      <c r="AE221" s="347"/>
      <c r="AF221" s="347"/>
      <c r="AG221" s="347"/>
      <c r="AH221" s="347"/>
      <c r="AI221" s="347"/>
      <c r="AJ221" s="347"/>
      <c r="AK221" s="347"/>
      <c r="AL221" s="347"/>
      <c r="AM221" s="347"/>
      <c r="AN221" s="347"/>
      <c r="AO221" s="347"/>
      <c r="AP221" s="347"/>
      <c r="AQ221" s="347"/>
      <c r="AR221" s="347"/>
      <c r="AS221" s="347"/>
      <c r="AT221" s="347"/>
      <c r="AU221" s="347"/>
      <c r="AV221" s="347"/>
      <c r="AW221" s="347"/>
      <c r="AX221" s="347"/>
      <c r="AY221" s="347"/>
      <c r="AZ221" s="347"/>
      <c r="BA221" s="347"/>
      <c r="BB221" s="347"/>
      <c r="BC221" s="347"/>
      <c r="BD221" s="347"/>
      <c r="BE221" s="347"/>
      <c r="BF221" s="347"/>
      <c r="BG221" s="347"/>
      <c r="BH221" s="347"/>
      <c r="BI221" s="347"/>
      <c r="BJ221" s="347"/>
      <c r="BK221" s="347"/>
      <c r="BL221" s="347"/>
      <c r="BM221" s="347"/>
      <c r="BN221" s="347"/>
      <c r="BO221" s="347"/>
      <c r="BP221" s="347"/>
      <c r="BQ221" s="347"/>
      <c r="BR221" s="347"/>
      <c r="BS221" s="347"/>
      <c r="BT221" s="347"/>
      <c r="BU221" s="347"/>
      <c r="BV221" s="347"/>
      <c r="BW221" s="347"/>
      <c r="BX221" s="347"/>
      <c r="BY221" s="347"/>
      <c r="BZ221" s="347"/>
      <c r="CA221" s="347"/>
      <c r="CB221" s="347"/>
      <c r="CC221" s="347"/>
      <c r="CD221" s="347"/>
      <c r="CE221" s="347"/>
      <c r="CF221" s="347"/>
      <c r="CG221" s="347"/>
      <c r="CH221" s="347"/>
      <c r="CI221" s="347"/>
      <c r="CJ221" s="347"/>
      <c r="CK221" s="347"/>
      <c r="CL221" s="347"/>
      <c r="CM221" s="347"/>
      <c r="CN221" s="347"/>
      <c r="CO221" s="347"/>
      <c r="CP221" s="347"/>
    </row>
    <row r="222" spans="1:94" ht="27.75" customHeight="1">
      <c r="A222" s="347"/>
      <c r="B222" s="348"/>
      <c r="C222" s="347"/>
      <c r="D222" s="347"/>
      <c r="E222" s="347"/>
      <c r="F222" s="347"/>
      <c r="G222" s="347"/>
      <c r="H222" s="347"/>
      <c r="I222" s="347"/>
      <c r="J222" s="347"/>
      <c r="K222" s="347"/>
      <c r="L222" s="347"/>
      <c r="M222" s="347"/>
      <c r="N222" s="347"/>
      <c r="O222" s="347"/>
      <c r="P222" s="347"/>
      <c r="Q222" s="347"/>
      <c r="R222" s="347"/>
      <c r="S222" s="347"/>
      <c r="T222" s="347"/>
      <c r="U222" s="347"/>
      <c r="V222" s="347"/>
      <c r="W222" s="347"/>
      <c r="X222" s="347"/>
      <c r="Y222" s="347"/>
      <c r="Z222" s="347"/>
      <c r="AA222" s="347"/>
      <c r="AB222" s="347"/>
      <c r="AC222" s="347"/>
      <c r="AD222" s="347"/>
      <c r="AE222" s="347"/>
      <c r="AF222" s="347"/>
      <c r="AG222" s="347"/>
      <c r="AH222" s="347"/>
      <c r="AI222" s="347"/>
      <c r="AJ222" s="347"/>
      <c r="AK222" s="347"/>
      <c r="AL222" s="347"/>
      <c r="AM222" s="347"/>
      <c r="AN222" s="347"/>
      <c r="AO222" s="347"/>
      <c r="AP222" s="347"/>
      <c r="AQ222" s="347"/>
      <c r="AR222" s="347"/>
      <c r="AS222" s="347"/>
      <c r="AT222" s="347"/>
      <c r="AU222" s="347"/>
      <c r="AV222" s="347"/>
      <c r="AW222" s="347"/>
      <c r="AX222" s="347"/>
      <c r="AY222" s="347"/>
      <c r="AZ222" s="347"/>
      <c r="BA222" s="347"/>
      <c r="BB222" s="347"/>
      <c r="BC222" s="347"/>
      <c r="BD222" s="347"/>
      <c r="BE222" s="347"/>
      <c r="BF222" s="347"/>
      <c r="BG222" s="347"/>
      <c r="BH222" s="347"/>
      <c r="BI222" s="347"/>
      <c r="BJ222" s="347"/>
      <c r="BK222" s="347"/>
      <c r="BL222" s="347"/>
      <c r="BM222" s="347"/>
      <c r="BN222" s="347"/>
      <c r="BO222" s="347"/>
      <c r="BP222" s="347"/>
      <c r="BQ222" s="347"/>
      <c r="BR222" s="347"/>
      <c r="BS222" s="347"/>
      <c r="BT222" s="347"/>
      <c r="BU222" s="347"/>
      <c r="BV222" s="347"/>
      <c r="BW222" s="347"/>
      <c r="BX222" s="347"/>
      <c r="BY222" s="347"/>
      <c r="BZ222" s="347"/>
      <c r="CA222" s="347"/>
      <c r="CB222" s="347"/>
      <c r="CC222" s="347"/>
      <c r="CD222" s="347"/>
      <c r="CE222" s="347"/>
      <c r="CF222" s="347"/>
      <c r="CG222" s="347"/>
      <c r="CH222" s="347"/>
      <c r="CI222" s="347"/>
      <c r="CJ222" s="347"/>
      <c r="CK222" s="347"/>
      <c r="CL222" s="347"/>
      <c r="CM222" s="347"/>
      <c r="CN222" s="347"/>
      <c r="CO222" s="347"/>
      <c r="CP222" s="347"/>
    </row>
    <row r="223" spans="1:94" ht="27.75" customHeight="1">
      <c r="A223" s="347"/>
      <c r="B223" s="348"/>
      <c r="C223" s="347"/>
      <c r="D223" s="347"/>
      <c r="E223" s="347"/>
      <c r="F223" s="347"/>
      <c r="G223" s="347"/>
      <c r="H223" s="347"/>
      <c r="I223" s="347"/>
      <c r="J223" s="347"/>
      <c r="K223" s="347"/>
      <c r="L223" s="347"/>
      <c r="M223" s="347"/>
      <c r="N223" s="347"/>
      <c r="O223" s="347"/>
      <c r="P223" s="347"/>
      <c r="Q223" s="347"/>
      <c r="R223" s="347"/>
      <c r="S223" s="347"/>
      <c r="T223" s="347"/>
      <c r="U223" s="347"/>
      <c r="V223" s="347"/>
      <c r="W223" s="347"/>
      <c r="X223" s="347"/>
      <c r="Y223" s="347"/>
      <c r="Z223" s="347"/>
      <c r="AA223" s="347"/>
      <c r="AB223" s="347"/>
      <c r="AC223" s="347"/>
      <c r="AD223" s="347"/>
      <c r="AE223" s="347"/>
      <c r="AF223" s="347"/>
      <c r="AG223" s="347"/>
      <c r="AH223" s="347"/>
      <c r="AI223" s="347"/>
      <c r="AJ223" s="347"/>
      <c r="AK223" s="347"/>
      <c r="AL223" s="347"/>
      <c r="AM223" s="347"/>
      <c r="AN223" s="347"/>
      <c r="AO223" s="347"/>
      <c r="AP223" s="347"/>
      <c r="AQ223" s="347"/>
      <c r="AR223" s="347"/>
      <c r="AS223" s="347"/>
      <c r="AT223" s="347"/>
      <c r="AU223" s="347"/>
      <c r="AV223" s="347"/>
      <c r="AW223" s="347"/>
      <c r="AX223" s="347"/>
      <c r="AY223" s="347"/>
      <c r="AZ223" s="347"/>
      <c r="BA223" s="347"/>
      <c r="BB223" s="347"/>
      <c r="BC223" s="347"/>
      <c r="BD223" s="347"/>
      <c r="BE223" s="347"/>
      <c r="BF223" s="347"/>
      <c r="BG223" s="347"/>
      <c r="BH223" s="347"/>
      <c r="BI223" s="347"/>
      <c r="BJ223" s="347"/>
      <c r="BK223" s="347"/>
      <c r="BL223" s="347"/>
      <c r="BM223" s="347"/>
      <c r="BN223" s="347"/>
      <c r="BO223" s="347"/>
      <c r="BP223" s="347"/>
      <c r="BQ223" s="347"/>
      <c r="BR223" s="347"/>
      <c r="BS223" s="347"/>
      <c r="BT223" s="347"/>
      <c r="BU223" s="347"/>
      <c r="BV223" s="347"/>
      <c r="BW223" s="347"/>
      <c r="BX223" s="347"/>
      <c r="BY223" s="347"/>
      <c r="BZ223" s="347"/>
      <c r="CA223" s="347"/>
      <c r="CB223" s="347"/>
      <c r="CC223" s="347"/>
      <c r="CD223" s="347"/>
      <c r="CE223" s="347"/>
      <c r="CF223" s="347"/>
      <c r="CG223" s="347"/>
      <c r="CH223" s="347"/>
      <c r="CI223" s="347"/>
      <c r="CJ223" s="347"/>
      <c r="CK223" s="347"/>
      <c r="CL223" s="347"/>
      <c r="CM223" s="347"/>
      <c r="CN223" s="347"/>
      <c r="CO223" s="347"/>
      <c r="CP223" s="347"/>
    </row>
    <row r="224" spans="1:94" ht="27.75" customHeight="1">
      <c r="A224" s="347"/>
      <c r="B224" s="348"/>
      <c r="C224" s="347"/>
      <c r="D224" s="347"/>
      <c r="E224" s="347"/>
      <c r="F224" s="347"/>
      <c r="G224" s="347"/>
      <c r="H224" s="347"/>
      <c r="I224" s="347"/>
      <c r="J224" s="347"/>
      <c r="K224" s="347"/>
      <c r="L224" s="347"/>
      <c r="M224" s="347"/>
      <c r="N224" s="347"/>
      <c r="O224" s="347"/>
      <c r="P224" s="347"/>
      <c r="Q224" s="347"/>
      <c r="R224" s="347"/>
      <c r="S224" s="347"/>
      <c r="T224" s="347"/>
      <c r="U224" s="347"/>
      <c r="V224" s="347"/>
      <c r="W224" s="347"/>
      <c r="X224" s="347"/>
      <c r="Y224" s="347"/>
      <c r="Z224" s="347"/>
      <c r="AA224" s="347"/>
      <c r="AB224" s="347"/>
      <c r="AC224" s="347"/>
      <c r="AD224" s="347"/>
      <c r="AE224" s="347"/>
      <c r="AF224" s="347"/>
      <c r="AG224" s="347"/>
      <c r="AH224" s="347"/>
      <c r="AI224" s="347"/>
      <c r="AJ224" s="347"/>
      <c r="AK224" s="347"/>
      <c r="AL224" s="347"/>
      <c r="AM224" s="347"/>
      <c r="AN224" s="347"/>
      <c r="AO224" s="347"/>
      <c r="AP224" s="347"/>
      <c r="AQ224" s="347"/>
      <c r="AR224" s="347"/>
      <c r="AS224" s="347"/>
      <c r="AT224" s="347"/>
      <c r="AU224" s="347"/>
      <c r="AV224" s="347"/>
      <c r="AW224" s="347"/>
      <c r="AX224" s="347"/>
      <c r="AY224" s="347"/>
      <c r="AZ224" s="347"/>
      <c r="BA224" s="347"/>
      <c r="BB224" s="347"/>
      <c r="BC224" s="347"/>
      <c r="BD224" s="347"/>
      <c r="BE224" s="347"/>
      <c r="BF224" s="347"/>
      <c r="BG224" s="347"/>
      <c r="BH224" s="347"/>
      <c r="BI224" s="347"/>
      <c r="BJ224" s="347"/>
      <c r="BK224" s="347"/>
      <c r="BL224" s="347"/>
      <c r="BM224" s="347"/>
      <c r="BN224" s="347"/>
      <c r="BO224" s="347"/>
      <c r="BP224" s="347"/>
      <c r="BQ224" s="347"/>
      <c r="BR224" s="347"/>
      <c r="BS224" s="347"/>
      <c r="BT224" s="347"/>
      <c r="BU224" s="347"/>
      <c r="BV224" s="347"/>
      <c r="BW224" s="347"/>
      <c r="BX224" s="347"/>
      <c r="BY224" s="347"/>
      <c r="BZ224" s="347"/>
      <c r="CA224" s="347"/>
      <c r="CB224" s="347"/>
      <c r="CC224" s="347"/>
      <c r="CD224" s="347"/>
      <c r="CE224" s="347"/>
      <c r="CF224" s="347"/>
      <c r="CG224" s="347"/>
      <c r="CH224" s="347"/>
      <c r="CI224" s="347"/>
      <c r="CJ224" s="347"/>
      <c r="CK224" s="347"/>
      <c r="CL224" s="347"/>
      <c r="CM224" s="347"/>
      <c r="CN224" s="347"/>
      <c r="CO224" s="347"/>
      <c r="CP224" s="347"/>
    </row>
    <row r="225" spans="1:94" ht="27.75" customHeight="1">
      <c r="A225" s="347"/>
      <c r="B225" s="348"/>
      <c r="C225" s="347"/>
      <c r="D225" s="347"/>
      <c r="E225" s="347"/>
      <c r="F225" s="347"/>
      <c r="G225" s="347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7"/>
      <c r="AD225" s="347"/>
      <c r="AE225" s="347"/>
      <c r="AF225" s="347"/>
      <c r="AG225" s="347"/>
      <c r="AH225" s="347"/>
      <c r="AI225" s="347"/>
      <c r="AJ225" s="347"/>
      <c r="AK225" s="347"/>
      <c r="AL225" s="347"/>
      <c r="AM225" s="347"/>
      <c r="AN225" s="347"/>
      <c r="AO225" s="347"/>
      <c r="AP225" s="347"/>
      <c r="AQ225" s="347"/>
      <c r="AR225" s="347"/>
      <c r="AS225" s="347"/>
      <c r="AT225" s="347"/>
      <c r="AU225" s="347"/>
      <c r="AV225" s="347"/>
      <c r="AW225" s="347"/>
      <c r="AX225" s="347"/>
      <c r="AY225" s="347"/>
      <c r="AZ225" s="347"/>
      <c r="BA225" s="347"/>
      <c r="BB225" s="347"/>
      <c r="BC225" s="347"/>
      <c r="BD225" s="347"/>
      <c r="BE225" s="347"/>
      <c r="BF225" s="347"/>
      <c r="BG225" s="347"/>
      <c r="BH225" s="347"/>
      <c r="BI225" s="347"/>
      <c r="BJ225" s="347"/>
      <c r="BK225" s="347"/>
      <c r="BL225" s="347"/>
      <c r="BM225" s="347"/>
      <c r="BN225" s="347"/>
      <c r="BO225" s="347"/>
      <c r="BP225" s="347"/>
      <c r="BQ225" s="347"/>
      <c r="BR225" s="347"/>
      <c r="BS225" s="347"/>
      <c r="BT225" s="347"/>
      <c r="BU225" s="347"/>
      <c r="BV225" s="347"/>
      <c r="BW225" s="347"/>
      <c r="BX225" s="347"/>
      <c r="BY225" s="347"/>
      <c r="BZ225" s="347"/>
      <c r="CA225" s="347"/>
      <c r="CB225" s="347"/>
      <c r="CC225" s="347"/>
      <c r="CD225" s="347"/>
      <c r="CE225" s="347"/>
      <c r="CF225" s="347"/>
      <c r="CG225" s="347"/>
      <c r="CH225" s="347"/>
      <c r="CI225" s="347"/>
      <c r="CJ225" s="347"/>
      <c r="CK225" s="347"/>
      <c r="CL225" s="347"/>
      <c r="CM225" s="347"/>
      <c r="CN225" s="347"/>
      <c r="CO225" s="347"/>
      <c r="CP225" s="347"/>
    </row>
    <row r="226" spans="1:94" ht="27.75" customHeight="1">
      <c r="A226" s="347"/>
      <c r="B226" s="348"/>
      <c r="C226" s="347"/>
      <c r="D226" s="347"/>
      <c r="E226" s="347"/>
      <c r="F226" s="347"/>
      <c r="G226" s="347"/>
      <c r="H226" s="347"/>
      <c r="I226" s="347"/>
      <c r="J226" s="347"/>
      <c r="K226" s="347"/>
      <c r="L226" s="347"/>
      <c r="M226" s="347"/>
      <c r="N226" s="347"/>
      <c r="O226" s="347"/>
      <c r="P226" s="347"/>
      <c r="Q226" s="347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7"/>
      <c r="AD226" s="347"/>
      <c r="AE226" s="347"/>
      <c r="AF226" s="347"/>
      <c r="AG226" s="347"/>
      <c r="AH226" s="347"/>
      <c r="AI226" s="347"/>
      <c r="AJ226" s="347"/>
      <c r="AK226" s="347"/>
      <c r="AL226" s="347"/>
      <c r="AM226" s="347"/>
      <c r="AN226" s="347"/>
      <c r="AO226" s="347"/>
      <c r="AP226" s="347"/>
      <c r="AQ226" s="347"/>
      <c r="AR226" s="347"/>
      <c r="AS226" s="347"/>
      <c r="AT226" s="347"/>
      <c r="AU226" s="347"/>
      <c r="AV226" s="347"/>
      <c r="AW226" s="347"/>
      <c r="AX226" s="347"/>
      <c r="AY226" s="347"/>
      <c r="AZ226" s="347"/>
      <c r="BA226" s="347"/>
      <c r="BB226" s="347"/>
      <c r="BC226" s="347"/>
      <c r="BD226" s="347"/>
      <c r="BE226" s="347"/>
      <c r="BF226" s="347"/>
      <c r="BG226" s="347"/>
      <c r="BH226" s="347"/>
      <c r="BI226" s="347"/>
      <c r="BJ226" s="347"/>
      <c r="BK226" s="347"/>
      <c r="BL226" s="347"/>
      <c r="BM226" s="347"/>
      <c r="BN226" s="347"/>
      <c r="BO226" s="347"/>
      <c r="BP226" s="347"/>
      <c r="BQ226" s="347"/>
      <c r="BR226" s="347"/>
      <c r="BS226" s="347"/>
      <c r="BT226" s="347"/>
      <c r="BU226" s="347"/>
      <c r="BV226" s="347"/>
      <c r="BW226" s="347"/>
      <c r="BX226" s="347"/>
      <c r="BY226" s="347"/>
      <c r="BZ226" s="347"/>
      <c r="CA226" s="347"/>
      <c r="CB226" s="347"/>
      <c r="CC226" s="347"/>
      <c r="CD226" s="347"/>
      <c r="CE226" s="347"/>
      <c r="CF226" s="347"/>
      <c r="CG226" s="347"/>
      <c r="CH226" s="347"/>
      <c r="CI226" s="347"/>
      <c r="CJ226" s="347"/>
      <c r="CK226" s="347"/>
      <c r="CL226" s="347"/>
      <c r="CM226" s="347"/>
      <c r="CN226" s="347"/>
      <c r="CO226" s="347"/>
      <c r="CP226" s="347"/>
    </row>
    <row r="227" spans="1:94" ht="27.75" customHeight="1">
      <c r="A227" s="347"/>
      <c r="B227" s="348"/>
      <c r="C227" s="347"/>
      <c r="D227" s="347"/>
      <c r="E227" s="347"/>
      <c r="F227" s="347"/>
      <c r="G227" s="347"/>
      <c r="H227" s="347"/>
      <c r="I227" s="347"/>
      <c r="J227" s="347"/>
      <c r="K227" s="347"/>
      <c r="L227" s="347"/>
      <c r="M227" s="347"/>
      <c r="N227" s="347"/>
      <c r="O227" s="347"/>
      <c r="P227" s="347"/>
      <c r="Q227" s="347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7"/>
      <c r="AD227" s="347"/>
      <c r="AE227" s="347"/>
      <c r="AF227" s="347"/>
      <c r="AG227" s="347"/>
      <c r="AH227" s="347"/>
      <c r="AI227" s="347"/>
      <c r="AJ227" s="347"/>
      <c r="AK227" s="347"/>
      <c r="AL227" s="347"/>
      <c r="AM227" s="347"/>
      <c r="AN227" s="347"/>
      <c r="AO227" s="347"/>
      <c r="AP227" s="347"/>
      <c r="AQ227" s="347"/>
      <c r="AR227" s="347"/>
      <c r="AS227" s="347"/>
      <c r="AT227" s="347"/>
      <c r="AU227" s="347"/>
      <c r="AV227" s="347"/>
      <c r="AW227" s="347"/>
      <c r="AX227" s="347"/>
      <c r="AY227" s="347"/>
      <c r="AZ227" s="347"/>
      <c r="BA227" s="347"/>
      <c r="BB227" s="347"/>
      <c r="BC227" s="347"/>
      <c r="BD227" s="347"/>
      <c r="BE227" s="347"/>
      <c r="BF227" s="347"/>
      <c r="BG227" s="347"/>
      <c r="BH227" s="347"/>
      <c r="BI227" s="347"/>
      <c r="BJ227" s="347"/>
      <c r="BK227" s="347"/>
      <c r="BL227" s="347"/>
      <c r="BM227" s="347"/>
      <c r="BN227" s="347"/>
      <c r="BO227" s="347"/>
      <c r="BP227" s="347"/>
      <c r="BQ227" s="347"/>
      <c r="BR227" s="347"/>
      <c r="BS227" s="347"/>
      <c r="BT227" s="347"/>
      <c r="BU227" s="347"/>
      <c r="BV227" s="347"/>
      <c r="BW227" s="347"/>
      <c r="BX227" s="347"/>
      <c r="BY227" s="347"/>
      <c r="BZ227" s="347"/>
      <c r="CA227" s="347"/>
      <c r="CB227" s="347"/>
      <c r="CC227" s="347"/>
      <c r="CD227" s="347"/>
      <c r="CE227" s="347"/>
      <c r="CF227" s="347"/>
      <c r="CG227" s="347"/>
      <c r="CH227" s="347"/>
      <c r="CI227" s="347"/>
      <c r="CJ227" s="347"/>
      <c r="CK227" s="347"/>
      <c r="CL227" s="347"/>
      <c r="CM227" s="347"/>
      <c r="CN227" s="347"/>
      <c r="CO227" s="347"/>
      <c r="CP227" s="347"/>
    </row>
    <row r="228" spans="1:94" ht="27.75" customHeight="1">
      <c r="A228" s="347"/>
      <c r="B228" s="348"/>
      <c r="C228" s="347"/>
      <c r="D228" s="347"/>
      <c r="E228" s="347"/>
      <c r="F228" s="347"/>
      <c r="G228" s="347"/>
      <c r="H228" s="347"/>
      <c r="I228" s="347"/>
      <c r="J228" s="347"/>
      <c r="K228" s="347"/>
      <c r="L228" s="347"/>
      <c r="M228" s="347"/>
      <c r="N228" s="347"/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7"/>
      <c r="AD228" s="347"/>
      <c r="AE228" s="347"/>
      <c r="AF228" s="347"/>
      <c r="AG228" s="347"/>
      <c r="AH228" s="347"/>
      <c r="AI228" s="347"/>
      <c r="AJ228" s="347"/>
      <c r="AK228" s="347"/>
      <c r="AL228" s="347"/>
      <c r="AM228" s="347"/>
      <c r="AN228" s="347"/>
      <c r="AO228" s="347"/>
      <c r="AP228" s="347"/>
      <c r="AQ228" s="347"/>
      <c r="AR228" s="347"/>
      <c r="AS228" s="347"/>
      <c r="AT228" s="347"/>
      <c r="AU228" s="347"/>
      <c r="AV228" s="347"/>
      <c r="AW228" s="347"/>
      <c r="AX228" s="347"/>
      <c r="AY228" s="347"/>
      <c r="AZ228" s="347"/>
      <c r="BA228" s="347"/>
      <c r="BB228" s="347"/>
      <c r="BC228" s="347"/>
      <c r="BD228" s="347"/>
      <c r="BE228" s="347"/>
      <c r="BF228" s="347"/>
      <c r="BG228" s="347"/>
      <c r="BH228" s="347"/>
      <c r="BI228" s="347"/>
      <c r="BJ228" s="347"/>
      <c r="BK228" s="347"/>
      <c r="BL228" s="347"/>
      <c r="BM228" s="347"/>
      <c r="BN228" s="347"/>
      <c r="BO228" s="347"/>
      <c r="BP228" s="347"/>
      <c r="BQ228" s="347"/>
      <c r="BR228" s="347"/>
      <c r="BS228" s="347"/>
      <c r="BT228" s="347"/>
      <c r="BU228" s="347"/>
      <c r="BV228" s="347"/>
      <c r="BW228" s="347"/>
      <c r="BX228" s="347"/>
      <c r="BY228" s="347"/>
      <c r="BZ228" s="347"/>
      <c r="CA228" s="347"/>
      <c r="CB228" s="347"/>
      <c r="CC228" s="347"/>
      <c r="CD228" s="347"/>
      <c r="CE228" s="347"/>
      <c r="CF228" s="347"/>
      <c r="CG228" s="347"/>
      <c r="CH228" s="347"/>
      <c r="CI228" s="347"/>
      <c r="CJ228" s="347"/>
      <c r="CK228" s="347"/>
      <c r="CL228" s="347"/>
      <c r="CM228" s="347"/>
      <c r="CN228" s="347"/>
      <c r="CO228" s="347"/>
      <c r="CP228" s="347"/>
    </row>
    <row r="229" spans="1:94" ht="27.75" customHeight="1">
      <c r="A229" s="347"/>
      <c r="B229" s="348"/>
      <c r="C229" s="347"/>
      <c r="D229" s="347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347"/>
      <c r="Q229" s="347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7"/>
      <c r="AD229" s="347"/>
      <c r="AE229" s="347"/>
      <c r="AF229" s="347"/>
      <c r="AG229" s="347"/>
      <c r="AH229" s="347"/>
      <c r="AI229" s="347"/>
      <c r="AJ229" s="347"/>
      <c r="AK229" s="347"/>
      <c r="AL229" s="347"/>
      <c r="AM229" s="347"/>
      <c r="AN229" s="347"/>
      <c r="AO229" s="347"/>
      <c r="AP229" s="347"/>
      <c r="AQ229" s="347"/>
      <c r="AR229" s="347"/>
      <c r="AS229" s="347"/>
      <c r="AT229" s="347"/>
      <c r="AU229" s="347"/>
      <c r="AV229" s="347"/>
      <c r="AW229" s="347"/>
      <c r="AX229" s="347"/>
      <c r="AY229" s="347"/>
      <c r="AZ229" s="347"/>
      <c r="BA229" s="347"/>
      <c r="BB229" s="347"/>
      <c r="BC229" s="347"/>
      <c r="BD229" s="347"/>
      <c r="BE229" s="347"/>
      <c r="BF229" s="347"/>
      <c r="BG229" s="347"/>
      <c r="BH229" s="347"/>
      <c r="BI229" s="347"/>
      <c r="BJ229" s="347"/>
      <c r="BK229" s="347"/>
      <c r="BL229" s="347"/>
      <c r="BM229" s="347"/>
      <c r="BN229" s="347"/>
      <c r="BO229" s="347"/>
      <c r="BP229" s="347"/>
      <c r="BQ229" s="347"/>
      <c r="BR229" s="347"/>
      <c r="BS229" s="347"/>
      <c r="BT229" s="347"/>
      <c r="BU229" s="347"/>
      <c r="BV229" s="347"/>
      <c r="BW229" s="347"/>
      <c r="BX229" s="347"/>
      <c r="BY229" s="347"/>
      <c r="BZ229" s="347"/>
      <c r="CA229" s="347"/>
      <c r="CB229" s="347"/>
      <c r="CC229" s="347"/>
      <c r="CD229" s="347"/>
      <c r="CE229" s="347"/>
      <c r="CF229" s="347"/>
      <c r="CG229" s="347"/>
      <c r="CH229" s="347"/>
      <c r="CI229" s="347"/>
      <c r="CJ229" s="347"/>
      <c r="CK229" s="347"/>
      <c r="CL229" s="347"/>
      <c r="CM229" s="347"/>
      <c r="CN229" s="347"/>
      <c r="CO229" s="347"/>
      <c r="CP229" s="347"/>
    </row>
    <row r="230" spans="1:94" ht="27.75" customHeight="1">
      <c r="A230" s="347"/>
      <c r="B230" s="348"/>
      <c r="C230" s="347"/>
      <c r="D230" s="347"/>
      <c r="E230" s="347"/>
      <c r="F230" s="347"/>
      <c r="G230" s="347"/>
      <c r="H230" s="347"/>
      <c r="I230" s="347"/>
      <c r="J230" s="347"/>
      <c r="K230" s="347"/>
      <c r="L230" s="347"/>
      <c r="M230" s="347"/>
      <c r="N230" s="347"/>
      <c r="O230" s="347"/>
      <c r="P230" s="347"/>
      <c r="Q230" s="347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7"/>
      <c r="AD230" s="347"/>
      <c r="AE230" s="347"/>
      <c r="AF230" s="347"/>
      <c r="AG230" s="347"/>
      <c r="AH230" s="347"/>
      <c r="AI230" s="347"/>
      <c r="AJ230" s="347"/>
      <c r="AK230" s="347"/>
      <c r="AL230" s="347"/>
      <c r="AM230" s="347"/>
      <c r="AN230" s="347"/>
      <c r="AO230" s="347"/>
      <c r="AP230" s="347"/>
      <c r="AQ230" s="347"/>
      <c r="AR230" s="347"/>
      <c r="AS230" s="347"/>
      <c r="AT230" s="347"/>
      <c r="AU230" s="347"/>
      <c r="AV230" s="347"/>
      <c r="AW230" s="347"/>
      <c r="AX230" s="347"/>
      <c r="AY230" s="347"/>
      <c r="AZ230" s="347"/>
      <c r="BA230" s="347"/>
      <c r="BB230" s="347"/>
      <c r="BC230" s="347"/>
      <c r="BD230" s="347"/>
      <c r="BE230" s="347"/>
      <c r="BF230" s="347"/>
      <c r="BG230" s="347"/>
      <c r="BH230" s="347"/>
      <c r="BI230" s="347"/>
      <c r="BJ230" s="347"/>
      <c r="BK230" s="347"/>
      <c r="BL230" s="347"/>
      <c r="BM230" s="347"/>
      <c r="BN230" s="347"/>
      <c r="BO230" s="347"/>
      <c r="BP230" s="347"/>
      <c r="BQ230" s="347"/>
      <c r="BR230" s="347"/>
      <c r="BS230" s="347"/>
      <c r="BT230" s="347"/>
      <c r="BU230" s="347"/>
      <c r="BV230" s="347"/>
      <c r="BW230" s="347"/>
      <c r="BX230" s="347"/>
      <c r="BY230" s="347"/>
      <c r="BZ230" s="347"/>
      <c r="CA230" s="347"/>
      <c r="CB230" s="347"/>
      <c r="CC230" s="347"/>
      <c r="CD230" s="347"/>
      <c r="CE230" s="347"/>
      <c r="CF230" s="347"/>
      <c r="CG230" s="347"/>
      <c r="CH230" s="347"/>
      <c r="CI230" s="347"/>
      <c r="CJ230" s="347"/>
      <c r="CK230" s="347"/>
      <c r="CL230" s="347"/>
      <c r="CM230" s="347"/>
      <c r="CN230" s="347"/>
      <c r="CO230" s="347"/>
      <c r="CP230" s="347"/>
    </row>
    <row r="231" spans="1:94" ht="27.75" customHeight="1">
      <c r="A231" s="347"/>
      <c r="B231" s="348"/>
      <c r="C231" s="347"/>
      <c r="D231" s="347"/>
      <c r="E231" s="347"/>
      <c r="F231" s="347"/>
      <c r="G231" s="347"/>
      <c r="H231" s="347"/>
      <c r="I231" s="347"/>
      <c r="J231" s="347"/>
      <c r="K231" s="347"/>
      <c r="L231" s="347"/>
      <c r="M231" s="347"/>
      <c r="N231" s="347"/>
      <c r="O231" s="347"/>
      <c r="P231" s="347"/>
      <c r="Q231" s="347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7"/>
      <c r="AD231" s="347"/>
      <c r="AE231" s="347"/>
      <c r="AF231" s="347"/>
      <c r="AG231" s="347"/>
      <c r="AH231" s="347"/>
      <c r="AI231" s="347"/>
      <c r="AJ231" s="347"/>
      <c r="AK231" s="347"/>
      <c r="AL231" s="347"/>
      <c r="AM231" s="347"/>
      <c r="AN231" s="347"/>
      <c r="AO231" s="347"/>
      <c r="AP231" s="347"/>
      <c r="AQ231" s="347"/>
      <c r="AR231" s="347"/>
      <c r="AS231" s="347"/>
      <c r="AT231" s="347"/>
      <c r="AU231" s="347"/>
      <c r="AV231" s="347"/>
      <c r="AW231" s="347"/>
      <c r="AX231" s="347"/>
      <c r="AY231" s="347"/>
      <c r="AZ231" s="347"/>
      <c r="BA231" s="347"/>
      <c r="BB231" s="347"/>
      <c r="BC231" s="347"/>
      <c r="BD231" s="347"/>
      <c r="BE231" s="347"/>
      <c r="BF231" s="347"/>
      <c r="BG231" s="347"/>
      <c r="BH231" s="347"/>
      <c r="BI231" s="347"/>
      <c r="BJ231" s="347"/>
      <c r="BK231" s="347"/>
      <c r="BL231" s="347"/>
      <c r="BM231" s="347"/>
      <c r="BN231" s="347"/>
      <c r="BO231" s="347"/>
      <c r="BP231" s="347"/>
      <c r="BQ231" s="347"/>
      <c r="BR231" s="347"/>
      <c r="BS231" s="347"/>
      <c r="BT231" s="347"/>
      <c r="BU231" s="347"/>
      <c r="BV231" s="347"/>
      <c r="BW231" s="347"/>
      <c r="BX231" s="347"/>
      <c r="BY231" s="347"/>
      <c r="BZ231" s="347"/>
      <c r="CA231" s="347"/>
      <c r="CB231" s="347"/>
      <c r="CC231" s="347"/>
      <c r="CD231" s="347"/>
      <c r="CE231" s="347"/>
      <c r="CF231" s="347"/>
      <c r="CG231" s="347"/>
      <c r="CH231" s="347"/>
      <c r="CI231" s="347"/>
      <c r="CJ231" s="347"/>
      <c r="CK231" s="347"/>
      <c r="CL231" s="347"/>
      <c r="CM231" s="347"/>
      <c r="CN231" s="347"/>
      <c r="CO231" s="347"/>
      <c r="CP231" s="347"/>
    </row>
    <row r="232" spans="1:94" ht="27.75" customHeight="1">
      <c r="A232" s="347"/>
      <c r="B232" s="348"/>
      <c r="C232" s="347"/>
      <c r="D232" s="347"/>
      <c r="E232" s="347"/>
      <c r="F232" s="347"/>
      <c r="G232" s="347"/>
      <c r="H232" s="347"/>
      <c r="I232" s="347"/>
      <c r="J232" s="347"/>
      <c r="K232" s="347"/>
      <c r="L232" s="347"/>
      <c r="M232" s="347"/>
      <c r="N232" s="347"/>
      <c r="O232" s="347"/>
      <c r="P232" s="347"/>
      <c r="Q232" s="347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7"/>
      <c r="AD232" s="347"/>
      <c r="AE232" s="347"/>
      <c r="AF232" s="347"/>
      <c r="AG232" s="347"/>
      <c r="AH232" s="347"/>
      <c r="AI232" s="347"/>
      <c r="AJ232" s="347"/>
      <c r="AK232" s="347"/>
      <c r="AL232" s="347"/>
      <c r="AM232" s="347"/>
      <c r="AN232" s="347"/>
      <c r="AO232" s="347"/>
      <c r="AP232" s="347"/>
      <c r="AQ232" s="347"/>
      <c r="AR232" s="347"/>
      <c r="AS232" s="347"/>
      <c r="AT232" s="347"/>
      <c r="AU232" s="347"/>
      <c r="AV232" s="347"/>
      <c r="AW232" s="347"/>
      <c r="AX232" s="347"/>
      <c r="AY232" s="347"/>
      <c r="AZ232" s="347"/>
      <c r="BA232" s="347"/>
      <c r="BB232" s="347"/>
      <c r="BC232" s="347"/>
      <c r="BD232" s="347"/>
      <c r="BE232" s="347"/>
      <c r="BF232" s="347"/>
      <c r="BG232" s="347"/>
      <c r="BH232" s="347"/>
      <c r="BI232" s="347"/>
      <c r="BJ232" s="347"/>
      <c r="BK232" s="347"/>
      <c r="BL232" s="347"/>
      <c r="BM232" s="347"/>
      <c r="BN232" s="347"/>
      <c r="BO232" s="347"/>
      <c r="BP232" s="347"/>
      <c r="BQ232" s="347"/>
      <c r="BR232" s="347"/>
      <c r="BS232" s="347"/>
      <c r="BT232" s="347"/>
      <c r="BU232" s="347"/>
      <c r="BV232" s="347"/>
      <c r="BW232" s="347"/>
      <c r="BX232" s="347"/>
      <c r="BY232" s="347"/>
      <c r="BZ232" s="347"/>
      <c r="CA232" s="347"/>
      <c r="CB232" s="347"/>
      <c r="CC232" s="347"/>
      <c r="CD232" s="347"/>
      <c r="CE232" s="347"/>
      <c r="CF232" s="347"/>
      <c r="CG232" s="347"/>
      <c r="CH232" s="347"/>
      <c r="CI232" s="347"/>
      <c r="CJ232" s="347"/>
      <c r="CK232" s="347"/>
      <c r="CL232" s="347"/>
      <c r="CM232" s="347"/>
      <c r="CN232" s="347"/>
      <c r="CO232" s="347"/>
      <c r="CP232" s="347"/>
    </row>
    <row r="233" spans="1:94" ht="27.75" customHeight="1">
      <c r="A233" s="347"/>
      <c r="B233" s="348"/>
      <c r="C233" s="347"/>
      <c r="D233" s="347"/>
      <c r="E233" s="347"/>
      <c r="F233" s="347"/>
      <c r="G233" s="347"/>
      <c r="H233" s="347"/>
      <c r="I233" s="347"/>
      <c r="J233" s="347"/>
      <c r="K233" s="347"/>
      <c r="L233" s="347"/>
      <c r="M233" s="347"/>
      <c r="N233" s="347"/>
      <c r="O233" s="347"/>
      <c r="P233" s="347"/>
      <c r="Q233" s="347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7"/>
      <c r="AD233" s="347"/>
      <c r="AE233" s="347"/>
      <c r="AF233" s="347"/>
      <c r="AG233" s="347"/>
      <c r="AH233" s="347"/>
      <c r="AI233" s="347"/>
      <c r="AJ233" s="347"/>
      <c r="AK233" s="347"/>
      <c r="AL233" s="347"/>
      <c r="AM233" s="347"/>
      <c r="AN233" s="347"/>
      <c r="AO233" s="347"/>
      <c r="AP233" s="347"/>
      <c r="AQ233" s="347"/>
      <c r="AR233" s="347"/>
      <c r="AS233" s="347"/>
      <c r="AT233" s="347"/>
      <c r="AU233" s="347"/>
      <c r="AV233" s="347"/>
      <c r="AW233" s="347"/>
      <c r="AX233" s="347"/>
      <c r="AY233" s="347"/>
      <c r="AZ233" s="347"/>
      <c r="BA233" s="347"/>
      <c r="BB233" s="347"/>
      <c r="BC233" s="347"/>
      <c r="BD233" s="347"/>
      <c r="BE233" s="347"/>
      <c r="BF233" s="347"/>
      <c r="BG233" s="347"/>
      <c r="BH233" s="347"/>
      <c r="BI233" s="347"/>
      <c r="BJ233" s="347"/>
      <c r="BK233" s="347"/>
      <c r="BL233" s="347"/>
      <c r="BM233" s="347"/>
      <c r="BN233" s="347"/>
      <c r="BO233" s="347"/>
      <c r="BP233" s="347"/>
      <c r="BQ233" s="347"/>
      <c r="BR233" s="347"/>
      <c r="BS233" s="347"/>
      <c r="BT233" s="347"/>
      <c r="BU233" s="347"/>
      <c r="BV233" s="347"/>
      <c r="BW233" s="347"/>
      <c r="BX233" s="347"/>
      <c r="BY233" s="347"/>
      <c r="BZ233" s="347"/>
      <c r="CA233" s="347"/>
      <c r="CB233" s="347"/>
      <c r="CC233" s="347"/>
      <c r="CD233" s="347"/>
      <c r="CE233" s="347"/>
      <c r="CF233" s="347"/>
      <c r="CG233" s="347"/>
      <c r="CH233" s="347"/>
      <c r="CI233" s="347"/>
      <c r="CJ233" s="347"/>
      <c r="CK233" s="347"/>
      <c r="CL233" s="347"/>
      <c r="CM233" s="347"/>
      <c r="CN233" s="347"/>
      <c r="CO233" s="347"/>
      <c r="CP233" s="347"/>
    </row>
    <row r="234" spans="1:94" ht="27.75" customHeight="1">
      <c r="A234" s="347"/>
      <c r="B234" s="348"/>
      <c r="C234" s="347"/>
      <c r="D234" s="347"/>
      <c r="E234" s="347"/>
      <c r="F234" s="347"/>
      <c r="G234" s="347"/>
      <c r="H234" s="347"/>
      <c r="I234" s="347"/>
      <c r="J234" s="347"/>
      <c r="K234" s="347"/>
      <c r="L234" s="347"/>
      <c r="M234" s="347"/>
      <c r="N234" s="347"/>
      <c r="O234" s="347"/>
      <c r="P234" s="347"/>
      <c r="Q234" s="347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7"/>
      <c r="AD234" s="347"/>
      <c r="AE234" s="347"/>
      <c r="AF234" s="347"/>
      <c r="AG234" s="347"/>
      <c r="AH234" s="347"/>
      <c r="AI234" s="347"/>
      <c r="AJ234" s="347"/>
      <c r="AK234" s="347"/>
      <c r="AL234" s="347"/>
      <c r="AM234" s="347"/>
      <c r="AN234" s="347"/>
      <c r="AO234" s="347"/>
      <c r="AP234" s="347"/>
      <c r="AQ234" s="347"/>
      <c r="AR234" s="347"/>
      <c r="AS234" s="347"/>
      <c r="AT234" s="347"/>
      <c r="AU234" s="347"/>
      <c r="AV234" s="347"/>
      <c r="AW234" s="347"/>
      <c r="AX234" s="347"/>
      <c r="AY234" s="347"/>
      <c r="AZ234" s="347"/>
      <c r="BA234" s="347"/>
      <c r="BB234" s="347"/>
      <c r="BC234" s="347"/>
      <c r="BD234" s="347"/>
      <c r="BE234" s="347"/>
      <c r="BF234" s="347"/>
      <c r="BG234" s="347"/>
      <c r="BH234" s="347"/>
      <c r="BI234" s="347"/>
      <c r="BJ234" s="347"/>
      <c r="BK234" s="347"/>
      <c r="BL234" s="347"/>
      <c r="BM234" s="347"/>
      <c r="BN234" s="347"/>
      <c r="BO234" s="347"/>
      <c r="BP234" s="347"/>
      <c r="BQ234" s="347"/>
      <c r="BR234" s="347"/>
      <c r="BS234" s="347"/>
      <c r="BT234" s="347"/>
      <c r="BU234" s="347"/>
      <c r="BV234" s="347"/>
      <c r="BW234" s="347"/>
      <c r="BX234" s="347"/>
      <c r="BY234" s="347"/>
      <c r="BZ234" s="347"/>
      <c r="CA234" s="347"/>
      <c r="CB234" s="347"/>
      <c r="CC234" s="347"/>
      <c r="CD234" s="347"/>
      <c r="CE234" s="347"/>
      <c r="CF234" s="347"/>
      <c r="CG234" s="347"/>
      <c r="CH234" s="347"/>
      <c r="CI234" s="347"/>
      <c r="CJ234" s="347"/>
      <c r="CK234" s="347"/>
      <c r="CL234" s="347"/>
      <c r="CM234" s="347"/>
      <c r="CN234" s="347"/>
      <c r="CO234" s="347"/>
      <c r="CP234" s="347"/>
    </row>
    <row r="235" spans="1:94" ht="27.75" customHeight="1">
      <c r="A235" s="347"/>
      <c r="B235" s="348"/>
      <c r="C235" s="347"/>
      <c r="D235" s="347"/>
      <c r="E235" s="347"/>
      <c r="F235" s="347"/>
      <c r="G235" s="347"/>
      <c r="H235" s="347"/>
      <c r="I235" s="347"/>
      <c r="J235" s="347"/>
      <c r="K235" s="347"/>
      <c r="L235" s="347"/>
      <c r="M235" s="347"/>
      <c r="N235" s="347"/>
      <c r="O235" s="347"/>
      <c r="P235" s="347"/>
      <c r="Q235" s="347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7"/>
      <c r="AD235" s="347"/>
      <c r="AE235" s="347"/>
      <c r="AF235" s="347"/>
      <c r="AG235" s="347"/>
      <c r="AH235" s="347"/>
      <c r="AI235" s="347"/>
      <c r="AJ235" s="347"/>
      <c r="AK235" s="347"/>
      <c r="AL235" s="347"/>
      <c r="AM235" s="347"/>
      <c r="AN235" s="347"/>
      <c r="AO235" s="347"/>
      <c r="AP235" s="347"/>
      <c r="AQ235" s="347"/>
      <c r="AR235" s="347"/>
      <c r="AS235" s="347"/>
      <c r="AT235" s="347"/>
      <c r="AU235" s="347"/>
      <c r="AV235" s="347"/>
      <c r="AW235" s="347"/>
      <c r="AX235" s="347"/>
      <c r="AY235" s="347"/>
      <c r="AZ235" s="347"/>
      <c r="BA235" s="347"/>
      <c r="BB235" s="347"/>
      <c r="BC235" s="347"/>
      <c r="BD235" s="347"/>
      <c r="BE235" s="347"/>
      <c r="BF235" s="347"/>
      <c r="BG235" s="347"/>
      <c r="BH235" s="347"/>
      <c r="BI235" s="347"/>
      <c r="BJ235" s="347"/>
      <c r="BK235" s="347"/>
      <c r="BL235" s="347"/>
      <c r="BM235" s="347"/>
      <c r="BN235" s="347"/>
      <c r="BO235" s="347"/>
      <c r="BP235" s="347"/>
      <c r="BQ235" s="347"/>
      <c r="BR235" s="347"/>
      <c r="BS235" s="347"/>
      <c r="BT235" s="347"/>
      <c r="BU235" s="347"/>
      <c r="BV235" s="347"/>
      <c r="BW235" s="347"/>
      <c r="BX235" s="347"/>
      <c r="BY235" s="347"/>
      <c r="BZ235" s="347"/>
      <c r="CA235" s="347"/>
      <c r="CB235" s="347"/>
      <c r="CC235" s="347"/>
      <c r="CD235" s="347"/>
      <c r="CE235" s="347"/>
      <c r="CF235" s="347"/>
      <c r="CG235" s="347"/>
      <c r="CH235" s="347"/>
      <c r="CI235" s="347"/>
      <c r="CJ235" s="347"/>
      <c r="CK235" s="347"/>
      <c r="CL235" s="347"/>
      <c r="CM235" s="347"/>
      <c r="CN235" s="347"/>
      <c r="CO235" s="347"/>
      <c r="CP235" s="347"/>
    </row>
    <row r="236" spans="1:94" ht="27.75" customHeight="1">
      <c r="A236" s="347"/>
      <c r="B236" s="348"/>
      <c r="C236" s="347"/>
      <c r="D236" s="347"/>
      <c r="E236" s="347"/>
      <c r="F236" s="347"/>
      <c r="G236" s="347"/>
      <c r="H236" s="347"/>
      <c r="I236" s="347"/>
      <c r="J236" s="347"/>
      <c r="K236" s="347"/>
      <c r="L236" s="347"/>
      <c r="M236" s="347"/>
      <c r="N236" s="347"/>
      <c r="O236" s="347"/>
      <c r="P236" s="347"/>
      <c r="Q236" s="347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7"/>
      <c r="AD236" s="347"/>
      <c r="AE236" s="347"/>
      <c r="AF236" s="347"/>
      <c r="AG236" s="347"/>
      <c r="AH236" s="347"/>
      <c r="AI236" s="347"/>
      <c r="AJ236" s="347"/>
      <c r="AK236" s="347"/>
      <c r="AL236" s="347"/>
      <c r="AM236" s="347"/>
      <c r="AN236" s="347"/>
      <c r="AO236" s="347"/>
      <c r="AP236" s="347"/>
      <c r="AQ236" s="347"/>
      <c r="AR236" s="347"/>
      <c r="AS236" s="347"/>
      <c r="AT236" s="347"/>
      <c r="AU236" s="347"/>
      <c r="AV236" s="347"/>
      <c r="AW236" s="347"/>
      <c r="AX236" s="347"/>
      <c r="AY236" s="347"/>
      <c r="AZ236" s="347"/>
      <c r="BA236" s="347"/>
      <c r="BB236" s="347"/>
      <c r="BC236" s="347"/>
      <c r="BD236" s="347"/>
      <c r="BE236" s="347"/>
      <c r="BF236" s="347"/>
      <c r="BG236" s="347"/>
      <c r="BH236" s="347"/>
      <c r="BI236" s="347"/>
      <c r="BJ236" s="347"/>
      <c r="BK236" s="347"/>
      <c r="BL236" s="347"/>
      <c r="BM236" s="347"/>
      <c r="BN236" s="347"/>
      <c r="BO236" s="347"/>
      <c r="BP236" s="347"/>
      <c r="BQ236" s="347"/>
      <c r="BR236" s="347"/>
      <c r="BS236" s="347"/>
      <c r="BT236" s="347"/>
      <c r="BU236" s="347"/>
      <c r="BV236" s="347"/>
      <c r="BW236" s="347"/>
      <c r="BX236" s="347"/>
      <c r="BY236" s="347"/>
      <c r="BZ236" s="347"/>
      <c r="CA236" s="347"/>
      <c r="CB236" s="347"/>
      <c r="CC236" s="347"/>
      <c r="CD236" s="347"/>
      <c r="CE236" s="347"/>
      <c r="CF236" s="347"/>
      <c r="CG236" s="347"/>
      <c r="CH236" s="347"/>
      <c r="CI236" s="347"/>
      <c r="CJ236" s="347"/>
      <c r="CK236" s="347"/>
      <c r="CL236" s="347"/>
      <c r="CM236" s="347"/>
      <c r="CN236" s="347"/>
      <c r="CO236" s="347"/>
      <c r="CP236" s="347"/>
    </row>
    <row r="237" spans="1:94" ht="27.75" customHeight="1">
      <c r="A237" s="347"/>
      <c r="B237" s="348"/>
      <c r="C237" s="347"/>
      <c r="D237" s="347"/>
      <c r="E237" s="347"/>
      <c r="F237" s="347"/>
      <c r="G237" s="347"/>
      <c r="H237" s="347"/>
      <c r="I237" s="347"/>
      <c r="J237" s="347"/>
      <c r="K237" s="347"/>
      <c r="L237" s="347"/>
      <c r="M237" s="347"/>
      <c r="N237" s="347"/>
      <c r="O237" s="347"/>
      <c r="P237" s="347"/>
      <c r="Q237" s="347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7"/>
      <c r="AD237" s="347"/>
      <c r="AE237" s="347"/>
      <c r="AF237" s="347"/>
      <c r="AG237" s="347"/>
      <c r="AH237" s="347"/>
      <c r="AI237" s="347"/>
      <c r="AJ237" s="347"/>
      <c r="AK237" s="347"/>
      <c r="AL237" s="347"/>
      <c r="AM237" s="347"/>
      <c r="AN237" s="347"/>
      <c r="AO237" s="347"/>
      <c r="AP237" s="347"/>
      <c r="AQ237" s="347"/>
      <c r="AR237" s="347"/>
      <c r="AS237" s="347"/>
      <c r="AT237" s="347"/>
      <c r="AU237" s="347"/>
      <c r="AV237" s="347"/>
      <c r="AW237" s="347"/>
      <c r="AX237" s="347"/>
      <c r="AY237" s="347"/>
      <c r="AZ237" s="347"/>
      <c r="BA237" s="347"/>
      <c r="BB237" s="347"/>
      <c r="BC237" s="347"/>
      <c r="BD237" s="347"/>
      <c r="BE237" s="347"/>
      <c r="BF237" s="347"/>
      <c r="BG237" s="347"/>
      <c r="BH237" s="347"/>
      <c r="BI237" s="347"/>
      <c r="BJ237" s="347"/>
      <c r="BK237" s="347"/>
      <c r="BL237" s="347"/>
      <c r="BM237" s="347"/>
      <c r="BN237" s="347"/>
      <c r="BO237" s="347"/>
      <c r="BP237" s="347"/>
      <c r="BQ237" s="347"/>
      <c r="BR237" s="347"/>
      <c r="BS237" s="347"/>
      <c r="BT237" s="347"/>
      <c r="BU237" s="347"/>
      <c r="BV237" s="347"/>
      <c r="BW237" s="347"/>
      <c r="BX237" s="347"/>
      <c r="BY237" s="347"/>
      <c r="BZ237" s="347"/>
      <c r="CA237" s="347"/>
      <c r="CB237" s="347"/>
      <c r="CC237" s="347"/>
      <c r="CD237" s="347"/>
      <c r="CE237" s="347"/>
      <c r="CF237" s="347"/>
      <c r="CG237" s="347"/>
      <c r="CH237" s="347"/>
      <c r="CI237" s="347"/>
      <c r="CJ237" s="347"/>
      <c r="CK237" s="347"/>
      <c r="CL237" s="347"/>
      <c r="CM237" s="347"/>
      <c r="CN237" s="347"/>
      <c r="CO237" s="347"/>
      <c r="CP237" s="347"/>
    </row>
    <row r="238" spans="1:94" ht="27.75" customHeight="1">
      <c r="A238" s="347"/>
      <c r="B238" s="348"/>
      <c r="C238" s="347"/>
      <c r="D238" s="347"/>
      <c r="E238" s="347"/>
      <c r="F238" s="347"/>
      <c r="G238" s="347"/>
      <c r="H238" s="347"/>
      <c r="I238" s="347"/>
      <c r="J238" s="347"/>
      <c r="K238" s="347"/>
      <c r="L238" s="347"/>
      <c r="M238" s="347"/>
      <c r="N238" s="347"/>
      <c r="O238" s="347"/>
      <c r="P238" s="347"/>
      <c r="Q238" s="347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7"/>
      <c r="AD238" s="347"/>
      <c r="AE238" s="347"/>
      <c r="AF238" s="347"/>
      <c r="AG238" s="347"/>
      <c r="AH238" s="347"/>
      <c r="AI238" s="347"/>
      <c r="AJ238" s="347"/>
      <c r="AK238" s="347"/>
      <c r="AL238" s="347"/>
      <c r="AM238" s="347"/>
      <c r="AN238" s="347"/>
      <c r="AO238" s="347"/>
      <c r="AP238" s="347"/>
      <c r="AQ238" s="347"/>
      <c r="AR238" s="347"/>
      <c r="AS238" s="347"/>
      <c r="AT238" s="347"/>
      <c r="AU238" s="347"/>
      <c r="AV238" s="347"/>
      <c r="AW238" s="347"/>
      <c r="AX238" s="347"/>
      <c r="AY238" s="347"/>
      <c r="AZ238" s="347"/>
      <c r="BA238" s="347"/>
      <c r="BB238" s="347"/>
      <c r="BC238" s="347"/>
      <c r="BD238" s="347"/>
      <c r="BE238" s="347"/>
      <c r="BF238" s="347"/>
      <c r="BG238" s="347"/>
      <c r="BH238" s="347"/>
      <c r="BI238" s="347"/>
      <c r="BJ238" s="347"/>
      <c r="BK238" s="347"/>
      <c r="BL238" s="347"/>
      <c r="BM238" s="347"/>
      <c r="BN238" s="347"/>
      <c r="BO238" s="347"/>
      <c r="BP238" s="347"/>
      <c r="BQ238" s="347"/>
      <c r="BR238" s="347"/>
      <c r="BS238" s="347"/>
      <c r="BT238" s="347"/>
      <c r="BU238" s="347"/>
      <c r="BV238" s="347"/>
      <c r="BW238" s="347"/>
      <c r="BX238" s="347"/>
      <c r="BY238" s="347"/>
      <c r="BZ238" s="347"/>
      <c r="CA238" s="347"/>
      <c r="CB238" s="347"/>
      <c r="CC238" s="347"/>
      <c r="CD238" s="347"/>
      <c r="CE238" s="347"/>
      <c r="CF238" s="347"/>
      <c r="CG238" s="347"/>
      <c r="CH238" s="347"/>
      <c r="CI238" s="347"/>
      <c r="CJ238" s="347"/>
      <c r="CK238" s="347"/>
      <c r="CL238" s="347"/>
      <c r="CM238" s="347"/>
      <c r="CN238" s="347"/>
      <c r="CO238" s="347"/>
      <c r="CP238" s="347"/>
    </row>
    <row r="239" spans="1:94" ht="27.75" customHeight="1">
      <c r="A239" s="347"/>
      <c r="B239" s="348"/>
      <c r="C239" s="347"/>
      <c r="D239" s="347"/>
      <c r="E239" s="347"/>
      <c r="F239" s="347"/>
      <c r="G239" s="347"/>
      <c r="H239" s="347"/>
      <c r="I239" s="347"/>
      <c r="J239" s="347"/>
      <c r="K239" s="347"/>
      <c r="L239" s="347"/>
      <c r="M239" s="347"/>
      <c r="N239" s="347"/>
      <c r="O239" s="347"/>
      <c r="P239" s="347"/>
      <c r="Q239" s="347"/>
      <c r="R239" s="347"/>
      <c r="S239" s="347"/>
      <c r="T239" s="347"/>
      <c r="U239" s="347"/>
      <c r="V239" s="347"/>
      <c r="W239" s="347"/>
      <c r="X239" s="347"/>
      <c r="Y239" s="347"/>
      <c r="Z239" s="347"/>
      <c r="AA239" s="347"/>
      <c r="AB239" s="347"/>
      <c r="AC239" s="347"/>
      <c r="AD239" s="347"/>
      <c r="AE239" s="347"/>
      <c r="AF239" s="347"/>
      <c r="AG239" s="347"/>
      <c r="AH239" s="347"/>
      <c r="AI239" s="347"/>
      <c r="AJ239" s="347"/>
      <c r="AK239" s="347"/>
      <c r="AL239" s="347"/>
      <c r="AM239" s="347"/>
      <c r="AN239" s="347"/>
      <c r="AO239" s="347"/>
      <c r="AP239" s="347"/>
      <c r="AQ239" s="347"/>
      <c r="AR239" s="347"/>
      <c r="AS239" s="347"/>
      <c r="AT239" s="347"/>
      <c r="AU239" s="347"/>
      <c r="AV239" s="347"/>
      <c r="AW239" s="347"/>
      <c r="AX239" s="347"/>
      <c r="AY239" s="347"/>
      <c r="AZ239" s="347"/>
      <c r="BA239" s="347"/>
      <c r="BB239" s="347"/>
      <c r="BC239" s="347"/>
      <c r="BD239" s="347"/>
      <c r="BE239" s="347"/>
      <c r="BF239" s="347"/>
      <c r="BG239" s="347"/>
      <c r="BH239" s="347"/>
      <c r="BI239" s="347"/>
      <c r="BJ239" s="347"/>
      <c r="BK239" s="347"/>
      <c r="BL239" s="347"/>
      <c r="BM239" s="347"/>
      <c r="BN239" s="347"/>
      <c r="BO239" s="347"/>
      <c r="BP239" s="347"/>
      <c r="BQ239" s="347"/>
      <c r="BR239" s="347"/>
      <c r="BS239" s="347"/>
      <c r="BT239" s="347"/>
      <c r="BU239" s="347"/>
      <c r="BV239" s="347"/>
      <c r="BW239" s="347"/>
      <c r="BX239" s="347"/>
      <c r="BY239" s="347"/>
      <c r="BZ239" s="347"/>
      <c r="CA239" s="347"/>
      <c r="CB239" s="347"/>
      <c r="CC239" s="347"/>
      <c r="CD239" s="347"/>
      <c r="CE239" s="347"/>
      <c r="CF239" s="347"/>
      <c r="CG239" s="347"/>
      <c r="CH239" s="347"/>
      <c r="CI239" s="347"/>
      <c r="CJ239" s="347"/>
      <c r="CK239" s="347"/>
      <c r="CL239" s="347"/>
      <c r="CM239" s="347"/>
      <c r="CN239" s="347"/>
      <c r="CO239" s="347"/>
      <c r="CP239" s="347"/>
    </row>
    <row r="240" spans="1:94" ht="27.75" customHeight="1">
      <c r="A240" s="347"/>
      <c r="B240" s="348"/>
      <c r="C240" s="347"/>
      <c r="D240" s="347"/>
      <c r="E240" s="347"/>
      <c r="F240" s="347"/>
      <c r="G240" s="347"/>
      <c r="H240" s="347"/>
      <c r="I240" s="347"/>
      <c r="J240" s="347"/>
      <c r="K240" s="347"/>
      <c r="L240" s="347"/>
      <c r="M240" s="347"/>
      <c r="N240" s="347"/>
      <c r="O240" s="347"/>
      <c r="P240" s="347"/>
      <c r="Q240" s="347"/>
      <c r="R240" s="347"/>
      <c r="S240" s="347"/>
      <c r="T240" s="347"/>
      <c r="U240" s="347"/>
      <c r="V240" s="347"/>
      <c r="W240" s="347"/>
      <c r="X240" s="347"/>
      <c r="Y240" s="347"/>
      <c r="Z240" s="347"/>
      <c r="AA240" s="347"/>
      <c r="AB240" s="347"/>
      <c r="AC240" s="347"/>
      <c r="AD240" s="347"/>
      <c r="AE240" s="347"/>
      <c r="AF240" s="347"/>
      <c r="AG240" s="347"/>
      <c r="AH240" s="347"/>
      <c r="AI240" s="347"/>
      <c r="AJ240" s="347"/>
      <c r="AK240" s="347"/>
      <c r="AL240" s="347"/>
      <c r="AM240" s="347"/>
      <c r="AN240" s="347"/>
      <c r="AO240" s="347"/>
      <c r="AP240" s="347"/>
      <c r="AQ240" s="347"/>
      <c r="AR240" s="347"/>
      <c r="AS240" s="347"/>
      <c r="AT240" s="347"/>
      <c r="AU240" s="347"/>
      <c r="AV240" s="347"/>
      <c r="AW240" s="347"/>
      <c r="AX240" s="347"/>
      <c r="AY240" s="347"/>
      <c r="AZ240" s="347"/>
      <c r="BA240" s="347"/>
      <c r="BB240" s="347"/>
      <c r="BC240" s="347"/>
      <c r="BD240" s="347"/>
      <c r="BE240" s="347"/>
      <c r="BF240" s="347"/>
      <c r="BG240" s="347"/>
      <c r="BH240" s="347"/>
      <c r="BI240" s="347"/>
      <c r="BJ240" s="347"/>
      <c r="BK240" s="347"/>
      <c r="BL240" s="347"/>
      <c r="BM240" s="347"/>
      <c r="BN240" s="347"/>
      <c r="BO240" s="347"/>
      <c r="BP240" s="347"/>
      <c r="BQ240" s="347"/>
      <c r="BR240" s="347"/>
      <c r="BS240" s="347"/>
      <c r="BT240" s="347"/>
      <c r="BU240" s="347"/>
      <c r="BV240" s="347"/>
      <c r="BW240" s="347"/>
      <c r="BX240" s="347"/>
      <c r="BY240" s="347"/>
      <c r="BZ240" s="347"/>
      <c r="CA240" s="347"/>
      <c r="CB240" s="347"/>
      <c r="CC240" s="347"/>
      <c r="CD240" s="347"/>
      <c r="CE240" s="347"/>
      <c r="CF240" s="347"/>
      <c r="CG240" s="347"/>
      <c r="CH240" s="347"/>
      <c r="CI240" s="347"/>
      <c r="CJ240" s="347"/>
      <c r="CK240" s="347"/>
      <c r="CL240" s="347"/>
      <c r="CM240" s="347"/>
      <c r="CN240" s="347"/>
      <c r="CO240" s="347"/>
      <c r="CP240" s="347"/>
    </row>
    <row r="241" spans="1:94" ht="27.75" customHeight="1">
      <c r="A241" s="347"/>
      <c r="B241" s="348"/>
      <c r="C241" s="347"/>
      <c r="D241" s="347"/>
      <c r="E241" s="347"/>
      <c r="F241" s="347"/>
      <c r="G241" s="347"/>
      <c r="H241" s="347"/>
      <c r="I241" s="347"/>
      <c r="J241" s="347"/>
      <c r="K241" s="347"/>
      <c r="L241" s="347"/>
      <c r="M241" s="347"/>
      <c r="N241" s="347"/>
      <c r="O241" s="347"/>
      <c r="P241" s="347"/>
      <c r="Q241" s="347"/>
      <c r="R241" s="347"/>
      <c r="S241" s="347"/>
      <c r="T241" s="347"/>
      <c r="U241" s="347"/>
      <c r="V241" s="347"/>
      <c r="W241" s="347"/>
      <c r="X241" s="347"/>
      <c r="Y241" s="347"/>
      <c r="Z241" s="347"/>
      <c r="AA241" s="347"/>
      <c r="AB241" s="347"/>
      <c r="AC241" s="347"/>
      <c r="AD241" s="347"/>
      <c r="AE241" s="347"/>
      <c r="AF241" s="347"/>
      <c r="AG241" s="347"/>
      <c r="AH241" s="347"/>
      <c r="AI241" s="347"/>
      <c r="AJ241" s="347"/>
      <c r="AK241" s="347"/>
      <c r="AL241" s="347"/>
      <c r="AM241" s="347"/>
      <c r="AN241" s="347"/>
      <c r="AO241" s="347"/>
      <c r="AP241" s="347"/>
      <c r="AQ241" s="347"/>
      <c r="AR241" s="347"/>
      <c r="AS241" s="347"/>
      <c r="AT241" s="347"/>
      <c r="AU241" s="347"/>
      <c r="AV241" s="347"/>
      <c r="AW241" s="347"/>
      <c r="AX241" s="347"/>
      <c r="AY241" s="347"/>
      <c r="AZ241" s="347"/>
      <c r="BA241" s="347"/>
      <c r="BB241" s="347"/>
      <c r="BC241" s="347"/>
      <c r="BD241" s="347"/>
      <c r="BE241" s="347"/>
      <c r="BF241" s="347"/>
      <c r="BG241" s="347"/>
      <c r="BH241" s="347"/>
      <c r="BI241" s="347"/>
      <c r="BJ241" s="347"/>
      <c r="BK241" s="347"/>
      <c r="BL241" s="347"/>
      <c r="BM241" s="347"/>
      <c r="BN241" s="347"/>
      <c r="BO241" s="347"/>
      <c r="BP241" s="347"/>
      <c r="BQ241" s="347"/>
      <c r="BR241" s="347"/>
      <c r="BS241" s="347"/>
      <c r="BT241" s="347"/>
      <c r="BU241" s="347"/>
      <c r="BV241" s="347"/>
      <c r="BW241" s="347"/>
      <c r="BX241" s="347"/>
      <c r="BY241" s="347"/>
      <c r="BZ241" s="347"/>
      <c r="CA241" s="347"/>
      <c r="CB241" s="347"/>
      <c r="CC241" s="347"/>
      <c r="CD241" s="347"/>
      <c r="CE241" s="347"/>
      <c r="CF241" s="347"/>
      <c r="CG241" s="347"/>
      <c r="CH241" s="347"/>
      <c r="CI241" s="347"/>
      <c r="CJ241" s="347"/>
      <c r="CK241" s="347"/>
      <c r="CL241" s="347"/>
      <c r="CM241" s="347"/>
      <c r="CN241" s="347"/>
      <c r="CO241" s="347"/>
      <c r="CP241" s="347"/>
    </row>
    <row r="242" spans="1:94" ht="27.75" customHeight="1">
      <c r="A242" s="347"/>
      <c r="B242" s="348"/>
      <c r="C242" s="347"/>
      <c r="D242" s="347"/>
      <c r="E242" s="347"/>
      <c r="F242" s="347"/>
      <c r="G242" s="347"/>
      <c r="H242" s="347"/>
      <c r="I242" s="347"/>
      <c r="J242" s="347"/>
      <c r="K242" s="347"/>
      <c r="L242" s="347"/>
      <c r="M242" s="347"/>
      <c r="N242" s="347"/>
      <c r="O242" s="347"/>
      <c r="P242" s="347"/>
      <c r="Q242" s="347"/>
      <c r="R242" s="347"/>
      <c r="S242" s="347"/>
      <c r="T242" s="347"/>
      <c r="U242" s="347"/>
      <c r="V242" s="347"/>
      <c r="W242" s="347"/>
      <c r="X242" s="347"/>
      <c r="Y242" s="347"/>
      <c r="Z242" s="347"/>
      <c r="AA242" s="347"/>
      <c r="AB242" s="347"/>
      <c r="AC242" s="347"/>
      <c r="AD242" s="347"/>
      <c r="AE242" s="347"/>
      <c r="AF242" s="347"/>
      <c r="AG242" s="347"/>
      <c r="AH242" s="347"/>
      <c r="AI242" s="347"/>
      <c r="AJ242" s="347"/>
      <c r="AK242" s="347"/>
      <c r="AL242" s="347"/>
      <c r="AM242" s="347"/>
      <c r="AN242" s="347"/>
      <c r="AO242" s="347"/>
      <c r="AP242" s="347"/>
      <c r="AQ242" s="347"/>
      <c r="AR242" s="347"/>
      <c r="AS242" s="347"/>
      <c r="AT242" s="347"/>
      <c r="AU242" s="347"/>
      <c r="AV242" s="347"/>
      <c r="AW242" s="347"/>
      <c r="AX242" s="347"/>
      <c r="AY242" s="347"/>
      <c r="AZ242" s="347"/>
      <c r="BA242" s="347"/>
      <c r="BB242" s="347"/>
      <c r="BC242" s="347"/>
      <c r="BD242" s="347"/>
      <c r="BE242" s="347"/>
      <c r="BF242" s="347"/>
      <c r="BG242" s="347"/>
      <c r="BH242" s="347"/>
      <c r="BI242" s="347"/>
      <c r="BJ242" s="347"/>
      <c r="BK242" s="347"/>
      <c r="BL242" s="347"/>
      <c r="BM242" s="347"/>
      <c r="BN242" s="347"/>
      <c r="BO242" s="347"/>
      <c r="BP242" s="347"/>
      <c r="BQ242" s="347"/>
      <c r="BR242" s="347"/>
      <c r="BS242" s="347"/>
      <c r="BT242" s="347"/>
      <c r="BU242" s="347"/>
      <c r="BV242" s="347"/>
      <c r="BW242" s="347"/>
      <c r="BX242" s="347"/>
      <c r="BY242" s="347"/>
      <c r="BZ242" s="347"/>
      <c r="CA242" s="347"/>
      <c r="CB242" s="347"/>
      <c r="CC242" s="347"/>
      <c r="CD242" s="347"/>
      <c r="CE242" s="347"/>
      <c r="CF242" s="347"/>
      <c r="CG242" s="347"/>
      <c r="CH242" s="347"/>
      <c r="CI242" s="347"/>
      <c r="CJ242" s="347"/>
      <c r="CK242" s="347"/>
      <c r="CL242" s="347"/>
      <c r="CM242" s="347"/>
      <c r="CN242" s="347"/>
      <c r="CO242" s="347"/>
      <c r="CP242" s="347"/>
    </row>
    <row r="243" spans="1:94" ht="27.75" customHeight="1">
      <c r="A243" s="347"/>
      <c r="B243" s="348"/>
      <c r="C243" s="347"/>
      <c r="D243" s="347"/>
      <c r="E243" s="347"/>
      <c r="F243" s="347"/>
      <c r="G243" s="347"/>
      <c r="H243" s="347"/>
      <c r="I243" s="347"/>
      <c r="J243" s="347"/>
      <c r="K243" s="347"/>
      <c r="L243" s="347"/>
      <c r="M243" s="347"/>
      <c r="N243" s="347"/>
      <c r="O243" s="347"/>
      <c r="P243" s="347"/>
      <c r="Q243" s="347"/>
      <c r="R243" s="347"/>
      <c r="S243" s="347"/>
      <c r="T243" s="347"/>
      <c r="U243" s="347"/>
      <c r="V243" s="347"/>
      <c r="W243" s="347"/>
      <c r="X243" s="347"/>
      <c r="Y243" s="347"/>
      <c r="Z243" s="347"/>
      <c r="AA243" s="347"/>
      <c r="AB243" s="347"/>
      <c r="AC243" s="347"/>
      <c r="AD243" s="347"/>
      <c r="AE243" s="347"/>
      <c r="AF243" s="347"/>
      <c r="AG243" s="347"/>
      <c r="AH243" s="347"/>
      <c r="AI243" s="347"/>
      <c r="AJ243" s="347"/>
      <c r="AK243" s="347"/>
      <c r="AL243" s="347"/>
      <c r="AM243" s="347"/>
      <c r="AN243" s="347"/>
      <c r="AO243" s="347"/>
      <c r="AP243" s="347"/>
      <c r="AQ243" s="347"/>
      <c r="AR243" s="347"/>
      <c r="AS243" s="347"/>
      <c r="AT243" s="347"/>
      <c r="AU243" s="347"/>
      <c r="AV243" s="347"/>
      <c r="AW243" s="347"/>
      <c r="AX243" s="347"/>
      <c r="AY243" s="347"/>
      <c r="AZ243" s="347"/>
      <c r="BA243" s="347"/>
      <c r="BB243" s="347"/>
      <c r="BC243" s="347"/>
      <c r="BD243" s="347"/>
      <c r="BE243" s="347"/>
      <c r="BF243" s="347"/>
      <c r="BG243" s="347"/>
      <c r="BH243" s="347"/>
      <c r="BI243" s="347"/>
      <c r="BJ243" s="347"/>
      <c r="BK243" s="347"/>
      <c r="BL243" s="347"/>
      <c r="BM243" s="347"/>
      <c r="BN243" s="347"/>
      <c r="BO243" s="347"/>
      <c r="BP243" s="347"/>
      <c r="BQ243" s="347"/>
      <c r="BR243" s="347"/>
      <c r="BS243" s="347"/>
      <c r="BT243" s="347"/>
      <c r="BU243" s="347"/>
      <c r="BV243" s="347"/>
      <c r="BW243" s="347"/>
      <c r="BX243" s="347"/>
      <c r="BY243" s="347"/>
      <c r="BZ243" s="347"/>
      <c r="CA243" s="347"/>
      <c r="CB243" s="347"/>
      <c r="CC243" s="347"/>
      <c r="CD243" s="347"/>
      <c r="CE243" s="347"/>
      <c r="CF243" s="347"/>
      <c r="CG243" s="347"/>
      <c r="CH243" s="347"/>
      <c r="CI243" s="347"/>
      <c r="CJ243" s="347"/>
      <c r="CK243" s="347"/>
      <c r="CL243" s="347"/>
      <c r="CM243" s="347"/>
      <c r="CN243" s="347"/>
      <c r="CO243" s="347"/>
      <c r="CP243" s="347"/>
    </row>
    <row r="244" spans="1:94" ht="27.75" customHeight="1">
      <c r="A244" s="347"/>
      <c r="B244" s="348"/>
      <c r="C244" s="347"/>
      <c r="D244" s="347"/>
      <c r="E244" s="347"/>
      <c r="F244" s="347"/>
      <c r="G244" s="347"/>
      <c r="H244" s="347"/>
      <c r="I244" s="347"/>
      <c r="J244" s="347"/>
      <c r="K244" s="347"/>
      <c r="L244" s="347"/>
      <c r="M244" s="347"/>
      <c r="N244" s="347"/>
      <c r="O244" s="347"/>
      <c r="P244" s="347"/>
      <c r="Q244" s="347"/>
      <c r="R244" s="347"/>
      <c r="S244" s="347"/>
      <c r="T244" s="347"/>
      <c r="U244" s="347"/>
      <c r="V244" s="347"/>
      <c r="W244" s="347"/>
      <c r="X244" s="347"/>
      <c r="Y244" s="347"/>
      <c r="Z244" s="347"/>
      <c r="AA244" s="347"/>
      <c r="AB244" s="347"/>
      <c r="AC244" s="347"/>
      <c r="AD244" s="347"/>
      <c r="AE244" s="347"/>
      <c r="AF244" s="347"/>
      <c r="AG244" s="347"/>
      <c r="AH244" s="347"/>
      <c r="AI244" s="347"/>
      <c r="AJ244" s="347"/>
      <c r="AK244" s="347"/>
      <c r="AL244" s="347"/>
      <c r="AM244" s="347"/>
      <c r="AN244" s="347"/>
      <c r="AO244" s="347"/>
      <c r="AP244" s="347"/>
      <c r="AQ244" s="347"/>
      <c r="AR244" s="347"/>
      <c r="AS244" s="347"/>
      <c r="AT244" s="347"/>
      <c r="AU244" s="347"/>
      <c r="AV244" s="347"/>
      <c r="AW244" s="347"/>
      <c r="AX244" s="347"/>
      <c r="AY244" s="347"/>
      <c r="AZ244" s="347"/>
      <c r="BA244" s="347"/>
      <c r="BB244" s="347"/>
      <c r="BC244" s="347"/>
      <c r="BD244" s="347"/>
      <c r="BE244" s="347"/>
      <c r="BF244" s="347"/>
      <c r="BG244" s="347"/>
      <c r="BH244" s="347"/>
      <c r="BI244" s="347"/>
      <c r="BJ244" s="347"/>
      <c r="BK244" s="347"/>
      <c r="BL244" s="347"/>
      <c r="BM244" s="347"/>
      <c r="BN244" s="347"/>
      <c r="BO244" s="347"/>
      <c r="BP244" s="347"/>
      <c r="BQ244" s="347"/>
      <c r="BR244" s="347"/>
      <c r="BS244" s="347"/>
      <c r="BT244" s="347"/>
      <c r="BU244" s="347"/>
      <c r="BV244" s="347"/>
      <c r="BW244" s="347"/>
      <c r="BX244" s="347"/>
      <c r="BY244" s="347"/>
      <c r="BZ244" s="347"/>
      <c r="CA244" s="347"/>
      <c r="CB244" s="347"/>
      <c r="CC244" s="347"/>
      <c r="CD244" s="347"/>
      <c r="CE244" s="347"/>
      <c r="CF244" s="347"/>
      <c r="CG244" s="347"/>
      <c r="CH244" s="347"/>
      <c r="CI244" s="347"/>
      <c r="CJ244" s="347"/>
      <c r="CK244" s="347"/>
      <c r="CL244" s="347"/>
      <c r="CM244" s="347"/>
      <c r="CN244" s="347"/>
      <c r="CO244" s="347"/>
      <c r="CP244" s="347"/>
    </row>
    <row r="245" spans="1:94" ht="27.75" customHeight="1">
      <c r="A245" s="347"/>
      <c r="B245" s="348"/>
      <c r="C245" s="347"/>
      <c r="D245" s="347"/>
      <c r="E245" s="347"/>
      <c r="F245" s="347"/>
      <c r="G245" s="347"/>
      <c r="H245" s="347"/>
      <c r="I245" s="347"/>
      <c r="J245" s="347"/>
      <c r="K245" s="347"/>
      <c r="L245" s="347"/>
      <c r="M245" s="347"/>
      <c r="N245" s="347"/>
      <c r="O245" s="347"/>
      <c r="P245" s="347"/>
      <c r="Q245" s="347"/>
      <c r="R245" s="347"/>
      <c r="S245" s="347"/>
      <c r="T245" s="347"/>
      <c r="U245" s="347"/>
      <c r="V245" s="347"/>
      <c r="W245" s="347"/>
      <c r="X245" s="347"/>
      <c r="Y245" s="347"/>
      <c r="Z245" s="347"/>
      <c r="AA245" s="347"/>
      <c r="AB245" s="347"/>
      <c r="AC245" s="347"/>
      <c r="AD245" s="347"/>
      <c r="AE245" s="347"/>
      <c r="AF245" s="347"/>
      <c r="AG245" s="347"/>
      <c r="AH245" s="347"/>
      <c r="AI245" s="347"/>
      <c r="AJ245" s="347"/>
      <c r="AK245" s="347"/>
      <c r="AL245" s="347"/>
      <c r="AM245" s="347"/>
      <c r="AN245" s="347"/>
      <c r="AO245" s="347"/>
      <c r="AP245" s="347"/>
      <c r="AQ245" s="347"/>
      <c r="AR245" s="347"/>
      <c r="AS245" s="347"/>
      <c r="AT245" s="347"/>
      <c r="AU245" s="347"/>
      <c r="AV245" s="347"/>
      <c r="AW245" s="347"/>
      <c r="AX245" s="347"/>
      <c r="AY245" s="347"/>
      <c r="AZ245" s="347"/>
      <c r="BA245" s="347"/>
      <c r="BB245" s="347"/>
      <c r="BC245" s="347"/>
      <c r="BD245" s="347"/>
      <c r="BE245" s="347"/>
      <c r="BF245" s="347"/>
      <c r="BG245" s="347"/>
      <c r="BH245" s="347"/>
      <c r="BI245" s="347"/>
      <c r="BJ245" s="347"/>
      <c r="BK245" s="347"/>
      <c r="BL245" s="347"/>
      <c r="BM245" s="347"/>
      <c r="BN245" s="347"/>
      <c r="BO245" s="347"/>
      <c r="BP245" s="347"/>
      <c r="BQ245" s="347"/>
      <c r="BR245" s="347"/>
      <c r="BS245" s="347"/>
      <c r="BT245" s="347"/>
      <c r="BU245" s="347"/>
      <c r="BV245" s="347"/>
      <c r="BW245" s="347"/>
      <c r="BX245" s="347"/>
      <c r="BY245" s="347"/>
      <c r="BZ245" s="347"/>
      <c r="CA245" s="347"/>
      <c r="CB245" s="347"/>
      <c r="CC245" s="347"/>
      <c r="CD245" s="347"/>
      <c r="CE245" s="347"/>
      <c r="CF245" s="347"/>
      <c r="CG245" s="347"/>
      <c r="CH245" s="347"/>
      <c r="CI245" s="347"/>
      <c r="CJ245" s="347"/>
      <c r="CK245" s="347"/>
      <c r="CL245" s="347"/>
      <c r="CM245" s="347"/>
      <c r="CN245" s="347"/>
      <c r="CO245" s="347"/>
      <c r="CP245" s="347"/>
    </row>
    <row r="246" spans="1:94" ht="27.75" customHeight="1">
      <c r="A246" s="347"/>
      <c r="B246" s="348"/>
      <c r="C246" s="347"/>
      <c r="D246" s="347"/>
      <c r="E246" s="347"/>
      <c r="F246" s="347"/>
      <c r="G246" s="347"/>
      <c r="H246" s="347"/>
      <c r="I246" s="347"/>
      <c r="J246" s="347"/>
      <c r="K246" s="347"/>
      <c r="L246" s="347"/>
      <c r="M246" s="347"/>
      <c r="N246" s="347"/>
      <c r="O246" s="347"/>
      <c r="P246" s="347"/>
      <c r="Q246" s="347"/>
      <c r="R246" s="347"/>
      <c r="S246" s="347"/>
      <c r="T246" s="347"/>
      <c r="U246" s="347"/>
      <c r="V246" s="347"/>
      <c r="W246" s="347"/>
      <c r="X246" s="347"/>
      <c r="Y246" s="347"/>
      <c r="Z246" s="347"/>
      <c r="AA246" s="347"/>
      <c r="AB246" s="347"/>
      <c r="AC246" s="347"/>
      <c r="AD246" s="347"/>
      <c r="AE246" s="347"/>
      <c r="AF246" s="347"/>
      <c r="AG246" s="347"/>
      <c r="AH246" s="347"/>
      <c r="AI246" s="347"/>
      <c r="AJ246" s="347"/>
      <c r="AK246" s="347"/>
      <c r="AL246" s="347"/>
      <c r="AM246" s="347"/>
      <c r="AN246" s="347"/>
      <c r="AO246" s="347"/>
      <c r="AP246" s="347"/>
      <c r="AQ246" s="347"/>
      <c r="AR246" s="347"/>
      <c r="AS246" s="347"/>
      <c r="AT246" s="347"/>
      <c r="AU246" s="347"/>
      <c r="AV246" s="347"/>
      <c r="AW246" s="347"/>
      <c r="AX246" s="347"/>
      <c r="AY246" s="347"/>
      <c r="AZ246" s="347"/>
      <c r="BA246" s="347"/>
      <c r="BB246" s="347"/>
      <c r="BC246" s="347"/>
      <c r="BD246" s="347"/>
      <c r="BE246" s="347"/>
      <c r="BF246" s="347"/>
      <c r="BG246" s="347"/>
      <c r="BH246" s="347"/>
      <c r="BI246" s="347"/>
      <c r="BJ246" s="347"/>
      <c r="BK246" s="347"/>
      <c r="BL246" s="347"/>
      <c r="BM246" s="347"/>
      <c r="BN246" s="347"/>
      <c r="BO246" s="347"/>
      <c r="BP246" s="347"/>
      <c r="BQ246" s="347"/>
      <c r="BR246" s="347"/>
      <c r="BS246" s="347"/>
      <c r="BT246" s="347"/>
      <c r="BU246" s="347"/>
      <c r="BV246" s="347"/>
      <c r="BW246" s="347"/>
      <c r="BX246" s="347"/>
      <c r="BY246" s="347"/>
      <c r="BZ246" s="347"/>
      <c r="CA246" s="347"/>
      <c r="CB246" s="347"/>
      <c r="CC246" s="347"/>
      <c r="CD246" s="347"/>
      <c r="CE246" s="347"/>
      <c r="CF246" s="347"/>
      <c r="CG246" s="347"/>
      <c r="CH246" s="347"/>
      <c r="CI246" s="347"/>
      <c r="CJ246" s="347"/>
      <c r="CK246" s="347"/>
      <c r="CL246" s="347"/>
      <c r="CM246" s="347"/>
      <c r="CN246" s="347"/>
      <c r="CO246" s="347"/>
      <c r="CP246" s="347"/>
    </row>
    <row r="247" spans="1:94" ht="27.75" customHeight="1">
      <c r="A247" s="347"/>
      <c r="B247" s="348"/>
      <c r="C247" s="347"/>
      <c r="D247" s="347"/>
      <c r="E247" s="347"/>
      <c r="F247" s="347"/>
      <c r="G247" s="347"/>
      <c r="H247" s="347"/>
      <c r="I247" s="347"/>
      <c r="J247" s="347"/>
      <c r="K247" s="347"/>
      <c r="L247" s="347"/>
      <c r="M247" s="347"/>
      <c r="N247" s="347"/>
      <c r="O247" s="347"/>
      <c r="P247" s="347"/>
      <c r="Q247" s="347"/>
      <c r="R247" s="347"/>
      <c r="S247" s="347"/>
      <c r="T247" s="347"/>
      <c r="U247" s="347"/>
      <c r="V247" s="347"/>
      <c r="W247" s="347"/>
      <c r="X247" s="347"/>
      <c r="Y247" s="347"/>
      <c r="Z247" s="347"/>
      <c r="AA247" s="347"/>
      <c r="AB247" s="347"/>
      <c r="AC247" s="347"/>
      <c r="AD247" s="347"/>
      <c r="AE247" s="347"/>
      <c r="AF247" s="347"/>
      <c r="AG247" s="347"/>
      <c r="AH247" s="347"/>
      <c r="AI247" s="347"/>
      <c r="AJ247" s="347"/>
      <c r="AK247" s="347"/>
      <c r="AL247" s="347"/>
      <c r="AM247" s="347"/>
      <c r="AN247" s="347"/>
      <c r="AO247" s="347"/>
      <c r="AP247" s="347"/>
      <c r="AQ247" s="347"/>
      <c r="AR247" s="347"/>
      <c r="AS247" s="347"/>
      <c r="AT247" s="347"/>
      <c r="AU247" s="347"/>
      <c r="AV247" s="347"/>
      <c r="AW247" s="347"/>
      <c r="AX247" s="347"/>
      <c r="AY247" s="347"/>
      <c r="AZ247" s="347"/>
      <c r="BA247" s="347"/>
      <c r="BB247" s="347"/>
      <c r="BC247" s="347"/>
      <c r="BD247" s="347"/>
      <c r="BE247" s="347"/>
      <c r="BF247" s="347"/>
      <c r="BG247" s="347"/>
      <c r="BH247" s="347"/>
      <c r="BI247" s="347"/>
      <c r="BJ247" s="347"/>
      <c r="BK247" s="347"/>
      <c r="BL247" s="347"/>
      <c r="BM247" s="347"/>
      <c r="BN247" s="347"/>
      <c r="BO247" s="347"/>
      <c r="BP247" s="347"/>
      <c r="BQ247" s="347"/>
      <c r="BR247" s="347"/>
      <c r="BS247" s="347"/>
      <c r="BT247" s="347"/>
      <c r="BU247" s="347"/>
      <c r="BV247" s="347"/>
      <c r="BW247" s="347"/>
      <c r="BX247" s="347"/>
      <c r="BY247" s="347"/>
      <c r="BZ247" s="347"/>
      <c r="CA247" s="347"/>
      <c r="CB247" s="347"/>
      <c r="CC247" s="347"/>
      <c r="CD247" s="347"/>
      <c r="CE247" s="347"/>
      <c r="CF247" s="347"/>
      <c r="CG247" s="347"/>
      <c r="CH247" s="347"/>
      <c r="CI247" s="347"/>
      <c r="CJ247" s="347"/>
      <c r="CK247" s="347"/>
      <c r="CL247" s="347"/>
      <c r="CM247" s="347"/>
      <c r="CN247" s="347"/>
      <c r="CO247" s="347"/>
      <c r="CP247" s="347"/>
    </row>
    <row r="248" spans="1:94" ht="27.75" customHeight="1">
      <c r="A248" s="347"/>
      <c r="B248" s="348"/>
      <c r="C248" s="347"/>
      <c r="D248" s="347"/>
      <c r="E248" s="347"/>
      <c r="F248" s="347"/>
      <c r="G248" s="347"/>
      <c r="H248" s="347"/>
      <c r="I248" s="347"/>
      <c r="J248" s="347"/>
      <c r="K248" s="347"/>
      <c r="L248" s="347"/>
      <c r="M248" s="347"/>
      <c r="N248" s="347"/>
      <c r="O248" s="347"/>
      <c r="P248" s="347"/>
      <c r="Q248" s="347"/>
      <c r="R248" s="347"/>
      <c r="S248" s="347"/>
      <c r="T248" s="347"/>
      <c r="U248" s="347"/>
      <c r="V248" s="347"/>
      <c r="W248" s="347"/>
      <c r="X248" s="347"/>
      <c r="Y248" s="347"/>
      <c r="Z248" s="347"/>
      <c r="AA248" s="347"/>
      <c r="AB248" s="347"/>
      <c r="AC248" s="347"/>
      <c r="AD248" s="347"/>
      <c r="AE248" s="347"/>
      <c r="AF248" s="347"/>
      <c r="AG248" s="347"/>
      <c r="AH248" s="347"/>
      <c r="AI248" s="347"/>
      <c r="AJ248" s="347"/>
      <c r="AK248" s="347"/>
      <c r="AL248" s="347"/>
      <c r="AM248" s="347"/>
      <c r="AN248" s="347"/>
      <c r="AO248" s="347"/>
      <c r="AP248" s="347"/>
      <c r="AQ248" s="347"/>
      <c r="AR248" s="347"/>
      <c r="AS248" s="347"/>
      <c r="AT248" s="347"/>
      <c r="AU248" s="347"/>
      <c r="AV248" s="347"/>
      <c r="AW248" s="347"/>
      <c r="AX248" s="347"/>
      <c r="AY248" s="347"/>
      <c r="AZ248" s="347"/>
      <c r="BA248" s="347"/>
      <c r="BB248" s="347"/>
      <c r="BC248" s="347"/>
      <c r="BD248" s="347"/>
      <c r="BE248" s="347"/>
      <c r="BF248" s="347"/>
      <c r="BG248" s="347"/>
      <c r="BH248" s="347"/>
      <c r="BI248" s="347"/>
      <c r="BJ248" s="347"/>
      <c r="BK248" s="347"/>
      <c r="BL248" s="347"/>
      <c r="BM248" s="347"/>
      <c r="BN248" s="347"/>
      <c r="BO248" s="347"/>
      <c r="BP248" s="347"/>
      <c r="BQ248" s="347"/>
      <c r="BR248" s="347"/>
      <c r="BS248" s="347"/>
      <c r="BT248" s="347"/>
      <c r="BU248" s="347"/>
      <c r="BV248" s="347"/>
      <c r="BW248" s="347"/>
      <c r="BX248" s="347"/>
      <c r="BY248" s="347"/>
      <c r="BZ248" s="347"/>
      <c r="CA248" s="347"/>
      <c r="CB248" s="347"/>
      <c r="CC248" s="347"/>
      <c r="CD248" s="347"/>
      <c r="CE248" s="347"/>
      <c r="CF248" s="347"/>
      <c r="CG248" s="347"/>
      <c r="CH248" s="347"/>
      <c r="CI248" s="347"/>
      <c r="CJ248" s="347"/>
      <c r="CK248" s="347"/>
      <c r="CL248" s="347"/>
      <c r="CM248" s="347"/>
      <c r="CN248" s="347"/>
      <c r="CO248" s="347"/>
      <c r="CP248" s="347"/>
    </row>
    <row r="249" spans="1:94" ht="27.75" customHeight="1">
      <c r="A249" s="347"/>
      <c r="B249" s="348"/>
      <c r="C249" s="347"/>
      <c r="D249" s="347"/>
      <c r="E249" s="347"/>
      <c r="F249" s="347"/>
      <c r="G249" s="347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  <c r="X249" s="347"/>
      <c r="Y249" s="347"/>
      <c r="Z249" s="347"/>
      <c r="AA249" s="347"/>
      <c r="AB249" s="347"/>
      <c r="AC249" s="347"/>
      <c r="AD249" s="347"/>
      <c r="AE249" s="347"/>
      <c r="AF249" s="347"/>
      <c r="AG249" s="347"/>
      <c r="AH249" s="347"/>
      <c r="AI249" s="347"/>
      <c r="AJ249" s="347"/>
      <c r="AK249" s="347"/>
      <c r="AL249" s="347"/>
      <c r="AM249" s="347"/>
      <c r="AN249" s="347"/>
      <c r="AO249" s="347"/>
      <c r="AP249" s="347"/>
      <c r="AQ249" s="347"/>
      <c r="AR249" s="347"/>
      <c r="AS249" s="347"/>
      <c r="AT249" s="347"/>
      <c r="AU249" s="347"/>
      <c r="AV249" s="347"/>
      <c r="AW249" s="347"/>
      <c r="AX249" s="347"/>
      <c r="AY249" s="347"/>
      <c r="AZ249" s="347"/>
      <c r="BA249" s="347"/>
      <c r="BB249" s="347"/>
      <c r="BC249" s="347"/>
      <c r="BD249" s="347"/>
      <c r="BE249" s="347"/>
      <c r="BF249" s="347"/>
      <c r="BG249" s="347"/>
      <c r="BH249" s="347"/>
      <c r="BI249" s="347"/>
      <c r="BJ249" s="347"/>
      <c r="BK249" s="347"/>
      <c r="BL249" s="347"/>
      <c r="BM249" s="347"/>
      <c r="BN249" s="347"/>
      <c r="BO249" s="347"/>
      <c r="BP249" s="347"/>
      <c r="BQ249" s="347"/>
      <c r="BR249" s="347"/>
      <c r="BS249" s="347"/>
      <c r="BT249" s="347"/>
      <c r="BU249" s="347"/>
      <c r="BV249" s="347"/>
      <c r="BW249" s="347"/>
      <c r="BX249" s="347"/>
      <c r="BY249" s="347"/>
      <c r="BZ249" s="347"/>
      <c r="CA249" s="347"/>
      <c r="CB249" s="347"/>
      <c r="CC249" s="347"/>
      <c r="CD249" s="347"/>
      <c r="CE249" s="347"/>
      <c r="CF249" s="347"/>
      <c r="CG249" s="347"/>
      <c r="CH249" s="347"/>
      <c r="CI249" s="347"/>
      <c r="CJ249" s="347"/>
      <c r="CK249" s="347"/>
      <c r="CL249" s="347"/>
      <c r="CM249" s="347"/>
      <c r="CN249" s="347"/>
      <c r="CO249" s="347"/>
      <c r="CP249" s="347"/>
    </row>
    <row r="250" spans="1:94" ht="27.75" customHeight="1">
      <c r="A250" s="347"/>
      <c r="B250" s="348"/>
      <c r="C250" s="347"/>
      <c r="D250" s="347"/>
      <c r="E250" s="347"/>
      <c r="F250" s="347"/>
      <c r="G250" s="347"/>
      <c r="H250" s="347"/>
      <c r="I250" s="347"/>
      <c r="J250" s="347"/>
      <c r="K250" s="347"/>
      <c r="L250" s="347"/>
      <c r="M250" s="347"/>
      <c r="N250" s="347"/>
      <c r="O250" s="347"/>
      <c r="P250" s="347"/>
      <c r="Q250" s="347"/>
      <c r="R250" s="347"/>
      <c r="S250" s="347"/>
      <c r="T250" s="347"/>
      <c r="U250" s="347"/>
      <c r="V250" s="347"/>
      <c r="W250" s="347"/>
      <c r="X250" s="347"/>
      <c r="Y250" s="347"/>
      <c r="Z250" s="347"/>
      <c r="AA250" s="347"/>
      <c r="AB250" s="347"/>
      <c r="AC250" s="347"/>
      <c r="AD250" s="347"/>
      <c r="AE250" s="347"/>
      <c r="AF250" s="347"/>
      <c r="AG250" s="347"/>
      <c r="AH250" s="347"/>
      <c r="AI250" s="347"/>
      <c r="AJ250" s="347"/>
      <c r="AK250" s="347"/>
      <c r="AL250" s="347"/>
      <c r="AM250" s="347"/>
      <c r="AN250" s="347"/>
      <c r="AO250" s="347"/>
      <c r="AP250" s="347"/>
      <c r="AQ250" s="347"/>
      <c r="AR250" s="347"/>
      <c r="AS250" s="347"/>
      <c r="AT250" s="347"/>
      <c r="AU250" s="347"/>
      <c r="AV250" s="347"/>
      <c r="AW250" s="347"/>
      <c r="AX250" s="347"/>
      <c r="AY250" s="347"/>
      <c r="AZ250" s="347"/>
      <c r="BA250" s="347"/>
      <c r="BB250" s="347"/>
      <c r="BC250" s="347"/>
      <c r="BD250" s="347"/>
      <c r="BE250" s="347"/>
      <c r="BF250" s="347"/>
      <c r="BG250" s="347"/>
      <c r="BH250" s="347"/>
      <c r="BI250" s="347"/>
      <c r="BJ250" s="347"/>
      <c r="BK250" s="347"/>
      <c r="BL250" s="347"/>
      <c r="BM250" s="347"/>
      <c r="BN250" s="347"/>
      <c r="BO250" s="347"/>
      <c r="BP250" s="347"/>
      <c r="BQ250" s="347"/>
      <c r="BR250" s="347"/>
      <c r="BS250" s="347"/>
      <c r="BT250" s="347"/>
      <c r="BU250" s="347"/>
      <c r="BV250" s="347"/>
      <c r="BW250" s="347"/>
      <c r="BX250" s="347"/>
      <c r="BY250" s="347"/>
      <c r="BZ250" s="347"/>
      <c r="CA250" s="347"/>
      <c r="CB250" s="347"/>
      <c r="CC250" s="347"/>
      <c r="CD250" s="347"/>
      <c r="CE250" s="347"/>
      <c r="CF250" s="347"/>
      <c r="CG250" s="347"/>
      <c r="CH250" s="347"/>
      <c r="CI250" s="347"/>
      <c r="CJ250" s="347"/>
      <c r="CK250" s="347"/>
      <c r="CL250" s="347"/>
      <c r="CM250" s="347"/>
      <c r="CN250" s="347"/>
      <c r="CO250" s="347"/>
      <c r="CP250" s="347"/>
    </row>
    <row r="251" spans="1:94" ht="27.75" customHeight="1">
      <c r="A251" s="347"/>
      <c r="B251" s="348"/>
      <c r="C251" s="347"/>
      <c r="D251" s="347"/>
      <c r="E251" s="347"/>
      <c r="F251" s="347"/>
      <c r="G251" s="347"/>
      <c r="H251" s="347"/>
      <c r="I251" s="347"/>
      <c r="J251" s="347"/>
      <c r="K251" s="347"/>
      <c r="L251" s="347"/>
      <c r="M251" s="347"/>
      <c r="N251" s="347"/>
      <c r="O251" s="347"/>
      <c r="P251" s="347"/>
      <c r="Q251" s="347"/>
      <c r="R251" s="347"/>
      <c r="S251" s="347"/>
      <c r="T251" s="347"/>
      <c r="U251" s="347"/>
      <c r="V251" s="347"/>
      <c r="W251" s="347"/>
      <c r="X251" s="347"/>
      <c r="Y251" s="347"/>
      <c r="Z251" s="347"/>
      <c r="AA251" s="347"/>
      <c r="AB251" s="347"/>
      <c r="AC251" s="347"/>
      <c r="AD251" s="347"/>
      <c r="AE251" s="347"/>
      <c r="AF251" s="347"/>
      <c r="AG251" s="347"/>
      <c r="AH251" s="347"/>
      <c r="AI251" s="347"/>
      <c r="AJ251" s="347"/>
      <c r="AK251" s="347"/>
      <c r="AL251" s="347"/>
      <c r="AM251" s="347"/>
      <c r="AN251" s="347"/>
      <c r="AO251" s="347"/>
      <c r="AP251" s="347"/>
      <c r="AQ251" s="347"/>
      <c r="AR251" s="347"/>
      <c r="AS251" s="347"/>
      <c r="AT251" s="347"/>
      <c r="AU251" s="347"/>
      <c r="AV251" s="347"/>
      <c r="AW251" s="347"/>
      <c r="AX251" s="347"/>
      <c r="AY251" s="347"/>
      <c r="AZ251" s="347"/>
      <c r="BA251" s="347"/>
      <c r="BB251" s="347"/>
      <c r="BC251" s="347"/>
      <c r="BD251" s="347"/>
      <c r="BE251" s="347"/>
      <c r="BF251" s="347"/>
      <c r="BG251" s="347"/>
      <c r="BH251" s="347"/>
      <c r="BI251" s="347"/>
      <c r="BJ251" s="347"/>
      <c r="BK251" s="347"/>
      <c r="BL251" s="347"/>
      <c r="BM251" s="347"/>
      <c r="BN251" s="347"/>
      <c r="BO251" s="347"/>
      <c r="BP251" s="347"/>
      <c r="BQ251" s="347"/>
      <c r="BR251" s="347"/>
      <c r="BS251" s="347"/>
      <c r="BT251" s="347"/>
      <c r="BU251" s="347"/>
      <c r="BV251" s="347"/>
      <c r="BW251" s="347"/>
      <c r="BX251" s="347"/>
      <c r="BY251" s="347"/>
      <c r="BZ251" s="347"/>
      <c r="CA251" s="347"/>
      <c r="CB251" s="347"/>
      <c r="CC251" s="347"/>
      <c r="CD251" s="347"/>
      <c r="CE251" s="347"/>
      <c r="CF251" s="347"/>
      <c r="CG251" s="347"/>
      <c r="CH251" s="347"/>
      <c r="CI251" s="347"/>
      <c r="CJ251" s="347"/>
      <c r="CK251" s="347"/>
      <c r="CL251" s="347"/>
      <c r="CM251" s="347"/>
      <c r="CN251" s="347"/>
      <c r="CO251" s="347"/>
      <c r="CP251" s="347"/>
    </row>
    <row r="252" spans="1:94" ht="27.75" customHeight="1">
      <c r="A252" s="347"/>
      <c r="B252" s="348"/>
      <c r="C252" s="347"/>
      <c r="D252" s="347"/>
      <c r="E252" s="347"/>
      <c r="F252" s="347"/>
      <c r="G252" s="347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7"/>
      <c r="AD252" s="347"/>
      <c r="AE252" s="347"/>
      <c r="AF252" s="347"/>
      <c r="AG252" s="347"/>
      <c r="AH252" s="347"/>
      <c r="AI252" s="347"/>
      <c r="AJ252" s="347"/>
      <c r="AK252" s="347"/>
      <c r="AL252" s="347"/>
      <c r="AM252" s="347"/>
      <c r="AN252" s="347"/>
      <c r="AO252" s="347"/>
      <c r="AP252" s="347"/>
      <c r="AQ252" s="347"/>
      <c r="AR252" s="347"/>
      <c r="AS252" s="347"/>
      <c r="AT252" s="347"/>
      <c r="AU252" s="347"/>
      <c r="AV252" s="347"/>
      <c r="AW252" s="347"/>
      <c r="AX252" s="347"/>
      <c r="AY252" s="347"/>
      <c r="AZ252" s="347"/>
      <c r="BA252" s="347"/>
      <c r="BB252" s="347"/>
      <c r="BC252" s="347"/>
      <c r="BD252" s="347"/>
      <c r="BE252" s="347"/>
      <c r="BF252" s="347"/>
      <c r="BG252" s="347"/>
      <c r="BH252" s="347"/>
      <c r="BI252" s="347"/>
      <c r="BJ252" s="347"/>
      <c r="BK252" s="347"/>
      <c r="BL252" s="347"/>
      <c r="BM252" s="347"/>
      <c r="BN252" s="347"/>
      <c r="BO252" s="347"/>
      <c r="BP252" s="347"/>
      <c r="BQ252" s="347"/>
      <c r="BR252" s="347"/>
      <c r="BS252" s="347"/>
      <c r="BT252" s="347"/>
      <c r="BU252" s="347"/>
      <c r="BV252" s="347"/>
      <c r="BW252" s="347"/>
      <c r="BX252" s="347"/>
      <c r="BY252" s="347"/>
      <c r="BZ252" s="347"/>
      <c r="CA252" s="347"/>
      <c r="CB252" s="347"/>
      <c r="CC252" s="347"/>
      <c r="CD252" s="347"/>
      <c r="CE252" s="347"/>
      <c r="CF252" s="347"/>
      <c r="CG252" s="347"/>
      <c r="CH252" s="347"/>
      <c r="CI252" s="347"/>
      <c r="CJ252" s="347"/>
      <c r="CK252" s="347"/>
      <c r="CL252" s="347"/>
      <c r="CM252" s="347"/>
      <c r="CN252" s="347"/>
      <c r="CO252" s="347"/>
      <c r="CP252" s="347"/>
    </row>
    <row r="253" spans="1:94" ht="27.75" customHeight="1">
      <c r="A253" s="347"/>
      <c r="B253" s="348"/>
      <c r="C253" s="347"/>
      <c r="D253" s="347"/>
      <c r="E253" s="347"/>
      <c r="F253" s="347"/>
      <c r="G253" s="347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7"/>
      <c r="AD253" s="347"/>
      <c r="AE253" s="347"/>
      <c r="AF253" s="347"/>
      <c r="AG253" s="347"/>
      <c r="AH253" s="347"/>
      <c r="AI253" s="347"/>
      <c r="AJ253" s="347"/>
      <c r="AK253" s="347"/>
      <c r="AL253" s="347"/>
      <c r="AM253" s="347"/>
      <c r="AN253" s="347"/>
      <c r="AO253" s="347"/>
      <c r="AP253" s="347"/>
      <c r="AQ253" s="347"/>
      <c r="AR253" s="347"/>
      <c r="AS253" s="347"/>
      <c r="AT253" s="347"/>
      <c r="AU253" s="347"/>
      <c r="AV253" s="347"/>
      <c r="AW253" s="347"/>
      <c r="AX253" s="347"/>
      <c r="AY253" s="347"/>
      <c r="AZ253" s="347"/>
      <c r="BA253" s="347"/>
      <c r="BB253" s="347"/>
      <c r="BC253" s="347"/>
      <c r="BD253" s="347"/>
      <c r="BE253" s="347"/>
      <c r="BF253" s="347"/>
      <c r="BG253" s="347"/>
      <c r="BH253" s="347"/>
      <c r="BI253" s="347"/>
      <c r="BJ253" s="347"/>
      <c r="BK253" s="347"/>
      <c r="BL253" s="347"/>
      <c r="BM253" s="347"/>
      <c r="BN253" s="347"/>
      <c r="BO253" s="347"/>
      <c r="BP253" s="347"/>
      <c r="BQ253" s="347"/>
      <c r="BR253" s="347"/>
      <c r="BS253" s="347"/>
      <c r="BT253" s="347"/>
      <c r="BU253" s="347"/>
      <c r="BV253" s="347"/>
      <c r="BW253" s="347"/>
      <c r="BX253" s="347"/>
      <c r="BY253" s="347"/>
      <c r="BZ253" s="347"/>
      <c r="CA253" s="347"/>
      <c r="CB253" s="347"/>
      <c r="CC253" s="347"/>
      <c r="CD253" s="347"/>
      <c r="CE253" s="347"/>
      <c r="CF253" s="347"/>
      <c r="CG253" s="347"/>
      <c r="CH253" s="347"/>
      <c r="CI253" s="347"/>
      <c r="CJ253" s="347"/>
      <c r="CK253" s="347"/>
      <c r="CL253" s="347"/>
      <c r="CM253" s="347"/>
      <c r="CN253" s="347"/>
      <c r="CO253" s="347"/>
      <c r="CP253" s="347"/>
    </row>
    <row r="254" spans="1:94" ht="27.75" customHeight="1">
      <c r="A254" s="347"/>
      <c r="B254" s="348"/>
      <c r="C254" s="347"/>
      <c r="D254" s="347"/>
      <c r="E254" s="347"/>
      <c r="F254" s="347"/>
      <c r="G254" s="347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7"/>
      <c r="AD254" s="347"/>
      <c r="AE254" s="347"/>
      <c r="AF254" s="347"/>
      <c r="AG254" s="347"/>
      <c r="AH254" s="347"/>
      <c r="AI254" s="347"/>
      <c r="AJ254" s="347"/>
      <c r="AK254" s="347"/>
      <c r="AL254" s="347"/>
      <c r="AM254" s="347"/>
      <c r="AN254" s="347"/>
      <c r="AO254" s="347"/>
      <c r="AP254" s="347"/>
      <c r="AQ254" s="347"/>
      <c r="AR254" s="347"/>
      <c r="AS254" s="347"/>
      <c r="AT254" s="347"/>
      <c r="AU254" s="347"/>
      <c r="AV254" s="347"/>
      <c r="AW254" s="347"/>
      <c r="AX254" s="347"/>
      <c r="AY254" s="347"/>
      <c r="AZ254" s="347"/>
      <c r="BA254" s="347"/>
      <c r="BB254" s="347"/>
      <c r="BC254" s="347"/>
      <c r="BD254" s="347"/>
      <c r="BE254" s="347"/>
      <c r="BF254" s="347"/>
      <c r="BG254" s="347"/>
      <c r="BH254" s="347"/>
      <c r="BI254" s="347"/>
      <c r="BJ254" s="347"/>
      <c r="BK254" s="347"/>
      <c r="BL254" s="347"/>
      <c r="BM254" s="347"/>
      <c r="BN254" s="347"/>
      <c r="BO254" s="347"/>
      <c r="BP254" s="347"/>
      <c r="BQ254" s="347"/>
      <c r="BR254" s="347"/>
      <c r="BS254" s="347"/>
      <c r="BT254" s="347"/>
      <c r="BU254" s="347"/>
      <c r="BV254" s="347"/>
      <c r="BW254" s="347"/>
      <c r="BX254" s="347"/>
      <c r="BY254" s="347"/>
      <c r="BZ254" s="347"/>
      <c r="CA254" s="347"/>
      <c r="CB254" s="347"/>
      <c r="CC254" s="347"/>
      <c r="CD254" s="347"/>
      <c r="CE254" s="347"/>
      <c r="CF254" s="347"/>
      <c r="CG254" s="347"/>
      <c r="CH254" s="347"/>
      <c r="CI254" s="347"/>
      <c r="CJ254" s="347"/>
      <c r="CK254" s="347"/>
      <c r="CL254" s="347"/>
      <c r="CM254" s="347"/>
      <c r="CN254" s="347"/>
      <c r="CO254" s="347"/>
      <c r="CP254" s="347"/>
    </row>
    <row r="255" spans="1:94" ht="27.75" customHeight="1">
      <c r="A255" s="347"/>
      <c r="B255" s="348"/>
      <c r="C255" s="347"/>
      <c r="D255" s="347"/>
      <c r="E255" s="347"/>
      <c r="F255" s="347"/>
      <c r="G255" s="347"/>
      <c r="H255" s="347"/>
      <c r="I255" s="347"/>
      <c r="J255" s="347"/>
      <c r="K255" s="347"/>
      <c r="L255" s="347"/>
      <c r="M255" s="347"/>
      <c r="N255" s="347"/>
      <c r="O255" s="347"/>
      <c r="P255" s="347"/>
      <c r="Q255" s="347"/>
      <c r="R255" s="347"/>
      <c r="S255" s="347"/>
      <c r="T255" s="347"/>
      <c r="U255" s="347"/>
      <c r="V255" s="347"/>
      <c r="W255" s="347"/>
      <c r="X255" s="347"/>
      <c r="Y255" s="347"/>
      <c r="Z255" s="347"/>
      <c r="AA255" s="347"/>
      <c r="AB255" s="347"/>
      <c r="AC255" s="347"/>
      <c r="AD255" s="347"/>
      <c r="AE255" s="347"/>
      <c r="AF255" s="347"/>
      <c r="AG255" s="347"/>
      <c r="AH255" s="347"/>
      <c r="AI255" s="347"/>
      <c r="AJ255" s="347"/>
      <c r="AK255" s="347"/>
      <c r="AL255" s="347"/>
      <c r="AM255" s="347"/>
      <c r="AN255" s="347"/>
      <c r="AO255" s="347"/>
      <c r="AP255" s="347"/>
      <c r="AQ255" s="347"/>
      <c r="AR255" s="347"/>
      <c r="AS255" s="347"/>
      <c r="AT255" s="347"/>
      <c r="AU255" s="347"/>
      <c r="AV255" s="347"/>
      <c r="AW255" s="347"/>
      <c r="AX255" s="347"/>
      <c r="AY255" s="347"/>
      <c r="AZ255" s="347"/>
      <c r="BA255" s="347"/>
      <c r="BB255" s="347"/>
      <c r="BC255" s="347"/>
      <c r="BD255" s="347"/>
      <c r="BE255" s="347"/>
      <c r="BF255" s="347"/>
      <c r="BG255" s="347"/>
      <c r="BH255" s="347"/>
      <c r="BI255" s="347"/>
      <c r="BJ255" s="347"/>
      <c r="BK255" s="347"/>
      <c r="BL255" s="347"/>
      <c r="BM255" s="347"/>
      <c r="BN255" s="347"/>
      <c r="BO255" s="347"/>
      <c r="BP255" s="347"/>
      <c r="BQ255" s="347"/>
      <c r="BR255" s="347"/>
      <c r="BS255" s="347"/>
      <c r="BT255" s="347"/>
      <c r="BU255" s="347"/>
      <c r="BV255" s="347"/>
      <c r="BW255" s="347"/>
      <c r="BX255" s="347"/>
      <c r="BY255" s="347"/>
      <c r="BZ255" s="347"/>
      <c r="CA255" s="347"/>
      <c r="CB255" s="347"/>
      <c r="CC255" s="347"/>
      <c r="CD255" s="347"/>
      <c r="CE255" s="347"/>
      <c r="CF255" s="347"/>
      <c r="CG255" s="347"/>
      <c r="CH255" s="347"/>
      <c r="CI255" s="347"/>
      <c r="CJ255" s="347"/>
      <c r="CK255" s="347"/>
      <c r="CL255" s="347"/>
      <c r="CM255" s="347"/>
      <c r="CN255" s="347"/>
      <c r="CO255" s="347"/>
      <c r="CP255" s="347"/>
    </row>
    <row r="256" spans="1:94" ht="27.75" customHeight="1">
      <c r="A256" s="347"/>
      <c r="B256" s="348"/>
      <c r="C256" s="347"/>
      <c r="D256" s="347"/>
      <c r="E256" s="347"/>
      <c r="F256" s="347"/>
      <c r="G256" s="347"/>
      <c r="H256" s="347"/>
      <c r="I256" s="347"/>
      <c r="J256" s="347"/>
      <c r="K256" s="347"/>
      <c r="L256" s="347"/>
      <c r="M256" s="347"/>
      <c r="N256" s="347"/>
      <c r="O256" s="347"/>
      <c r="P256" s="347"/>
      <c r="Q256" s="347"/>
      <c r="R256" s="347"/>
      <c r="S256" s="347"/>
      <c r="T256" s="347"/>
      <c r="U256" s="347"/>
      <c r="V256" s="347"/>
      <c r="W256" s="347"/>
      <c r="X256" s="347"/>
      <c r="Y256" s="347"/>
      <c r="Z256" s="347"/>
      <c r="AA256" s="347"/>
      <c r="AB256" s="347"/>
      <c r="AC256" s="347"/>
      <c r="AD256" s="347"/>
      <c r="AE256" s="347"/>
      <c r="AF256" s="347"/>
      <c r="AG256" s="347"/>
      <c r="AH256" s="347"/>
      <c r="AI256" s="347"/>
      <c r="AJ256" s="347"/>
      <c r="AK256" s="347"/>
      <c r="AL256" s="347"/>
      <c r="AM256" s="347"/>
      <c r="AN256" s="347"/>
      <c r="AO256" s="347"/>
      <c r="AP256" s="347"/>
      <c r="AQ256" s="347"/>
      <c r="AR256" s="347"/>
      <c r="AS256" s="347"/>
      <c r="AT256" s="347"/>
      <c r="AU256" s="347"/>
      <c r="AV256" s="347"/>
      <c r="AW256" s="347"/>
      <c r="AX256" s="347"/>
      <c r="AY256" s="347"/>
      <c r="AZ256" s="347"/>
      <c r="BA256" s="347"/>
      <c r="BB256" s="347"/>
      <c r="BC256" s="347"/>
      <c r="BD256" s="347"/>
      <c r="BE256" s="347"/>
      <c r="BF256" s="347"/>
      <c r="BG256" s="347"/>
      <c r="BH256" s="347"/>
      <c r="BI256" s="347"/>
      <c r="BJ256" s="347"/>
      <c r="BK256" s="347"/>
      <c r="BL256" s="347"/>
      <c r="BM256" s="347"/>
      <c r="BN256" s="347"/>
      <c r="BO256" s="347"/>
      <c r="BP256" s="347"/>
      <c r="BQ256" s="347"/>
      <c r="BR256" s="347"/>
      <c r="BS256" s="347"/>
      <c r="BT256" s="347"/>
      <c r="BU256" s="347"/>
      <c r="BV256" s="347"/>
      <c r="BW256" s="347"/>
      <c r="BX256" s="347"/>
      <c r="BY256" s="347"/>
      <c r="BZ256" s="347"/>
      <c r="CA256" s="347"/>
      <c r="CB256" s="347"/>
      <c r="CC256" s="347"/>
      <c r="CD256" s="347"/>
      <c r="CE256" s="347"/>
      <c r="CF256" s="347"/>
      <c r="CG256" s="347"/>
      <c r="CH256" s="347"/>
      <c r="CI256" s="347"/>
      <c r="CJ256" s="347"/>
      <c r="CK256" s="347"/>
      <c r="CL256" s="347"/>
      <c r="CM256" s="347"/>
      <c r="CN256" s="347"/>
      <c r="CO256" s="347"/>
      <c r="CP256" s="347"/>
    </row>
    <row r="257" spans="1:94" ht="27.75" customHeight="1">
      <c r="A257" s="347"/>
      <c r="B257" s="348"/>
      <c r="C257" s="347"/>
      <c r="D257" s="347"/>
      <c r="E257" s="347"/>
      <c r="F257" s="347"/>
      <c r="G257" s="347"/>
      <c r="H257" s="347"/>
      <c r="I257" s="347"/>
      <c r="J257" s="347"/>
      <c r="K257" s="347"/>
      <c r="L257" s="347"/>
      <c r="M257" s="347"/>
      <c r="N257" s="347"/>
      <c r="O257" s="347"/>
      <c r="P257" s="347"/>
      <c r="Q257" s="347"/>
      <c r="R257" s="347"/>
      <c r="S257" s="347"/>
      <c r="T257" s="347"/>
      <c r="U257" s="347"/>
      <c r="V257" s="347"/>
      <c r="W257" s="347"/>
      <c r="X257" s="347"/>
      <c r="Y257" s="347"/>
      <c r="Z257" s="347"/>
      <c r="AA257" s="347"/>
      <c r="AB257" s="347"/>
      <c r="AC257" s="347"/>
      <c r="AD257" s="347"/>
      <c r="AE257" s="347"/>
      <c r="AF257" s="347"/>
      <c r="AG257" s="347"/>
      <c r="AH257" s="347"/>
      <c r="AI257" s="347"/>
      <c r="AJ257" s="347"/>
      <c r="AK257" s="347"/>
      <c r="AL257" s="347"/>
      <c r="AM257" s="347"/>
      <c r="AN257" s="347"/>
      <c r="AO257" s="347"/>
      <c r="AP257" s="347"/>
      <c r="AQ257" s="347"/>
      <c r="AR257" s="347"/>
      <c r="AS257" s="347"/>
      <c r="AT257" s="347"/>
      <c r="AU257" s="347"/>
      <c r="AV257" s="347"/>
      <c r="AW257" s="347"/>
      <c r="AX257" s="347"/>
      <c r="AY257" s="347"/>
      <c r="AZ257" s="347"/>
      <c r="BA257" s="347"/>
      <c r="BB257" s="347"/>
      <c r="BC257" s="347"/>
      <c r="BD257" s="347"/>
      <c r="BE257" s="347"/>
      <c r="BF257" s="347"/>
      <c r="BG257" s="347"/>
      <c r="BH257" s="347"/>
      <c r="BI257" s="347"/>
      <c r="BJ257" s="347"/>
      <c r="BK257" s="347"/>
      <c r="BL257" s="347"/>
      <c r="BM257" s="347"/>
      <c r="BN257" s="347"/>
      <c r="BO257" s="347"/>
      <c r="BP257" s="347"/>
      <c r="BQ257" s="347"/>
      <c r="BR257" s="347"/>
      <c r="BS257" s="347"/>
      <c r="BT257" s="347"/>
      <c r="BU257" s="347"/>
      <c r="BV257" s="347"/>
      <c r="BW257" s="347"/>
      <c r="BX257" s="347"/>
      <c r="BY257" s="347"/>
      <c r="BZ257" s="347"/>
      <c r="CA257" s="347"/>
      <c r="CB257" s="347"/>
      <c r="CC257" s="347"/>
      <c r="CD257" s="347"/>
      <c r="CE257" s="347"/>
      <c r="CF257" s="347"/>
      <c r="CG257" s="347"/>
      <c r="CH257" s="347"/>
      <c r="CI257" s="347"/>
      <c r="CJ257" s="347"/>
      <c r="CK257" s="347"/>
      <c r="CL257" s="347"/>
      <c r="CM257" s="347"/>
      <c r="CN257" s="347"/>
      <c r="CO257" s="347"/>
      <c r="CP257" s="347"/>
    </row>
    <row r="258" spans="1:94" ht="27.75" customHeight="1">
      <c r="A258" s="347"/>
      <c r="B258" s="348"/>
      <c r="C258" s="347"/>
      <c r="D258" s="347"/>
      <c r="E258" s="347"/>
      <c r="F258" s="347"/>
      <c r="G258" s="347"/>
      <c r="H258" s="347"/>
      <c r="I258" s="347"/>
      <c r="J258" s="347"/>
      <c r="K258" s="347"/>
      <c r="L258" s="347"/>
      <c r="M258" s="347"/>
      <c r="N258" s="347"/>
      <c r="O258" s="347"/>
      <c r="P258" s="347"/>
      <c r="Q258" s="347"/>
      <c r="R258" s="347"/>
      <c r="S258" s="347"/>
      <c r="T258" s="347"/>
      <c r="U258" s="347"/>
      <c r="V258" s="347"/>
      <c r="W258" s="347"/>
      <c r="X258" s="347"/>
      <c r="Y258" s="347"/>
      <c r="Z258" s="347"/>
      <c r="AA258" s="347"/>
      <c r="AB258" s="347"/>
      <c r="AC258" s="347"/>
      <c r="AD258" s="347"/>
      <c r="AE258" s="347"/>
      <c r="AF258" s="347"/>
      <c r="AG258" s="347"/>
      <c r="AH258" s="347"/>
      <c r="AI258" s="347"/>
      <c r="AJ258" s="347"/>
      <c r="AK258" s="347"/>
      <c r="AL258" s="347"/>
      <c r="AM258" s="347"/>
      <c r="AN258" s="347"/>
      <c r="AO258" s="347"/>
      <c r="AP258" s="347"/>
      <c r="AQ258" s="347"/>
      <c r="AR258" s="347"/>
      <c r="AS258" s="347"/>
      <c r="AT258" s="347"/>
      <c r="AU258" s="347"/>
      <c r="AV258" s="347"/>
      <c r="AW258" s="347"/>
      <c r="AX258" s="347"/>
      <c r="AY258" s="347"/>
      <c r="AZ258" s="347"/>
      <c r="BA258" s="347"/>
      <c r="BB258" s="347"/>
      <c r="BC258" s="347"/>
      <c r="BD258" s="347"/>
      <c r="BE258" s="347"/>
      <c r="BF258" s="347"/>
      <c r="BG258" s="347"/>
      <c r="BH258" s="347"/>
      <c r="BI258" s="347"/>
      <c r="BJ258" s="347"/>
      <c r="BK258" s="347"/>
      <c r="BL258" s="347"/>
      <c r="BM258" s="347"/>
      <c r="BN258" s="347"/>
      <c r="BO258" s="347"/>
      <c r="BP258" s="347"/>
      <c r="BQ258" s="347"/>
      <c r="BR258" s="347"/>
      <c r="BS258" s="347"/>
      <c r="BT258" s="347"/>
      <c r="BU258" s="347"/>
      <c r="BV258" s="347"/>
      <c r="BW258" s="347"/>
      <c r="BX258" s="347"/>
      <c r="BY258" s="347"/>
      <c r="BZ258" s="347"/>
      <c r="CA258" s="347"/>
      <c r="CB258" s="347"/>
      <c r="CC258" s="347"/>
      <c r="CD258" s="347"/>
      <c r="CE258" s="347"/>
      <c r="CF258" s="347"/>
      <c r="CG258" s="347"/>
      <c r="CH258" s="347"/>
      <c r="CI258" s="347"/>
      <c r="CJ258" s="347"/>
      <c r="CK258" s="347"/>
      <c r="CL258" s="347"/>
      <c r="CM258" s="347"/>
      <c r="CN258" s="347"/>
      <c r="CO258" s="347"/>
      <c r="CP258" s="347"/>
    </row>
    <row r="259" spans="1:94" ht="27.75" customHeight="1">
      <c r="A259" s="347"/>
      <c r="B259" s="348"/>
      <c r="C259" s="347"/>
      <c r="D259" s="347"/>
      <c r="E259" s="347"/>
      <c r="F259" s="347"/>
      <c r="G259" s="347"/>
      <c r="H259" s="347"/>
      <c r="I259" s="347"/>
      <c r="J259" s="347"/>
      <c r="K259" s="347"/>
      <c r="L259" s="347"/>
      <c r="M259" s="347"/>
      <c r="N259" s="347"/>
      <c r="O259" s="347"/>
      <c r="P259" s="347"/>
      <c r="Q259" s="347"/>
      <c r="R259" s="347"/>
      <c r="S259" s="347"/>
      <c r="T259" s="347"/>
      <c r="U259" s="347"/>
      <c r="V259" s="347"/>
      <c r="W259" s="347"/>
      <c r="X259" s="347"/>
      <c r="Y259" s="347"/>
      <c r="Z259" s="347"/>
      <c r="AA259" s="347"/>
      <c r="AB259" s="347"/>
      <c r="AC259" s="347"/>
      <c r="AD259" s="347"/>
      <c r="AE259" s="347"/>
      <c r="AF259" s="347"/>
      <c r="AG259" s="347"/>
      <c r="AH259" s="347"/>
      <c r="AI259" s="347"/>
      <c r="AJ259" s="347"/>
      <c r="AK259" s="347"/>
      <c r="AL259" s="347"/>
      <c r="AM259" s="347"/>
      <c r="AN259" s="347"/>
      <c r="AO259" s="347"/>
      <c r="AP259" s="347"/>
      <c r="AQ259" s="347"/>
      <c r="AR259" s="347"/>
      <c r="AS259" s="347"/>
      <c r="AT259" s="347"/>
      <c r="AU259" s="347"/>
      <c r="AV259" s="347"/>
      <c r="AW259" s="347"/>
      <c r="AX259" s="347"/>
      <c r="AY259" s="347"/>
      <c r="AZ259" s="347"/>
      <c r="BA259" s="347"/>
      <c r="BB259" s="347"/>
      <c r="BC259" s="347"/>
      <c r="BD259" s="347"/>
      <c r="BE259" s="347"/>
      <c r="BF259" s="347"/>
      <c r="BG259" s="347"/>
      <c r="BH259" s="347"/>
      <c r="BI259" s="347"/>
      <c r="BJ259" s="347"/>
      <c r="BK259" s="347"/>
      <c r="BL259" s="347"/>
      <c r="BM259" s="347"/>
      <c r="BN259" s="347"/>
      <c r="BO259" s="347"/>
      <c r="BP259" s="347"/>
      <c r="BQ259" s="347"/>
      <c r="BR259" s="347"/>
      <c r="BS259" s="347"/>
      <c r="BT259" s="347"/>
      <c r="BU259" s="347"/>
      <c r="BV259" s="347"/>
      <c r="BW259" s="347"/>
      <c r="BX259" s="347"/>
      <c r="BY259" s="347"/>
      <c r="BZ259" s="347"/>
      <c r="CA259" s="347"/>
      <c r="CB259" s="347"/>
      <c r="CC259" s="347"/>
      <c r="CD259" s="347"/>
      <c r="CE259" s="347"/>
      <c r="CF259" s="347"/>
      <c r="CG259" s="347"/>
      <c r="CH259" s="347"/>
      <c r="CI259" s="347"/>
      <c r="CJ259" s="347"/>
      <c r="CK259" s="347"/>
      <c r="CL259" s="347"/>
      <c r="CM259" s="347"/>
      <c r="CN259" s="347"/>
      <c r="CO259" s="347"/>
      <c r="CP259" s="347"/>
    </row>
    <row r="260" spans="1:94" ht="27.75" customHeight="1">
      <c r="A260" s="347"/>
      <c r="B260" s="348"/>
      <c r="C260" s="347"/>
      <c r="D260" s="347"/>
      <c r="E260" s="347"/>
      <c r="F260" s="347"/>
      <c r="G260" s="347"/>
      <c r="H260" s="347"/>
      <c r="I260" s="347"/>
      <c r="J260" s="347"/>
      <c r="K260" s="347"/>
      <c r="L260" s="347"/>
      <c r="M260" s="347"/>
      <c r="N260" s="347"/>
      <c r="O260" s="347"/>
      <c r="P260" s="347"/>
      <c r="Q260" s="347"/>
      <c r="R260" s="347"/>
      <c r="S260" s="347"/>
      <c r="T260" s="347"/>
      <c r="U260" s="347"/>
      <c r="V260" s="347"/>
      <c r="W260" s="347"/>
      <c r="X260" s="347"/>
      <c r="Y260" s="347"/>
      <c r="Z260" s="347"/>
      <c r="AA260" s="347"/>
      <c r="AB260" s="347"/>
      <c r="AC260" s="347"/>
      <c r="AD260" s="347"/>
      <c r="AE260" s="347"/>
      <c r="AF260" s="347"/>
      <c r="AG260" s="347"/>
      <c r="AH260" s="347"/>
      <c r="AI260" s="347"/>
      <c r="AJ260" s="347"/>
      <c r="AK260" s="347"/>
      <c r="AL260" s="347"/>
      <c r="AM260" s="347"/>
      <c r="AN260" s="347"/>
      <c r="AO260" s="347"/>
      <c r="AP260" s="347"/>
      <c r="AQ260" s="347"/>
      <c r="AR260" s="347"/>
      <c r="AS260" s="347"/>
      <c r="AT260" s="347"/>
      <c r="AU260" s="347"/>
      <c r="AV260" s="347"/>
      <c r="AW260" s="347"/>
      <c r="AX260" s="347"/>
      <c r="AY260" s="347"/>
      <c r="AZ260" s="347"/>
      <c r="BA260" s="347"/>
      <c r="BB260" s="347"/>
      <c r="BC260" s="347"/>
      <c r="BD260" s="347"/>
      <c r="BE260" s="347"/>
      <c r="BF260" s="347"/>
      <c r="BG260" s="347"/>
      <c r="BH260" s="347"/>
      <c r="BI260" s="347"/>
      <c r="BJ260" s="347"/>
      <c r="BK260" s="347"/>
      <c r="BL260" s="347"/>
      <c r="BM260" s="347"/>
      <c r="BN260" s="347"/>
      <c r="BO260" s="347"/>
      <c r="BP260" s="347"/>
      <c r="BQ260" s="347"/>
      <c r="BR260" s="347"/>
      <c r="BS260" s="347"/>
      <c r="BT260" s="347"/>
      <c r="BU260" s="347"/>
      <c r="BV260" s="347"/>
      <c r="BW260" s="347"/>
      <c r="BX260" s="347"/>
      <c r="BY260" s="347"/>
      <c r="BZ260" s="347"/>
      <c r="CA260" s="347"/>
      <c r="CB260" s="347"/>
      <c r="CC260" s="347"/>
      <c r="CD260" s="347"/>
      <c r="CE260" s="347"/>
      <c r="CF260" s="347"/>
      <c r="CG260" s="347"/>
      <c r="CH260" s="347"/>
      <c r="CI260" s="347"/>
      <c r="CJ260" s="347"/>
      <c r="CK260" s="347"/>
      <c r="CL260" s="347"/>
      <c r="CM260" s="347"/>
      <c r="CN260" s="347"/>
      <c r="CO260" s="347"/>
      <c r="CP260" s="347"/>
    </row>
    <row r="261" spans="1:94" ht="27.75" customHeight="1">
      <c r="A261" s="347"/>
      <c r="B261" s="348"/>
      <c r="C261" s="347"/>
      <c r="D261" s="347"/>
      <c r="E261" s="347"/>
      <c r="F261" s="347"/>
      <c r="G261" s="347"/>
      <c r="H261" s="347"/>
      <c r="I261" s="347"/>
      <c r="J261" s="347"/>
      <c r="K261" s="347"/>
      <c r="L261" s="347"/>
      <c r="M261" s="347"/>
      <c r="N261" s="347"/>
      <c r="O261" s="347"/>
      <c r="P261" s="347"/>
      <c r="Q261" s="347"/>
      <c r="R261" s="347"/>
      <c r="S261" s="347"/>
      <c r="T261" s="347"/>
      <c r="U261" s="347"/>
      <c r="V261" s="347"/>
      <c r="W261" s="347"/>
      <c r="X261" s="347"/>
      <c r="Y261" s="347"/>
      <c r="Z261" s="347"/>
      <c r="AA261" s="347"/>
      <c r="AB261" s="347"/>
      <c r="AC261" s="347"/>
      <c r="AD261" s="347"/>
      <c r="AE261" s="347"/>
      <c r="AF261" s="347"/>
      <c r="AG261" s="347"/>
      <c r="AH261" s="347"/>
      <c r="AI261" s="347"/>
      <c r="AJ261" s="347"/>
      <c r="AK261" s="347"/>
      <c r="AL261" s="347"/>
      <c r="AM261" s="347"/>
      <c r="AN261" s="347"/>
      <c r="AO261" s="347"/>
      <c r="AP261" s="347"/>
      <c r="AQ261" s="347"/>
      <c r="AR261" s="347"/>
      <c r="AS261" s="347"/>
      <c r="AT261" s="347"/>
      <c r="AU261" s="347"/>
      <c r="AV261" s="347"/>
      <c r="AW261" s="347"/>
      <c r="AX261" s="347"/>
      <c r="AY261" s="347"/>
      <c r="AZ261" s="347"/>
      <c r="BA261" s="347"/>
      <c r="BB261" s="347"/>
      <c r="BC261" s="347"/>
      <c r="BD261" s="347"/>
      <c r="BE261" s="347"/>
      <c r="BF261" s="347"/>
      <c r="BG261" s="347"/>
      <c r="BH261" s="347"/>
      <c r="BI261" s="347"/>
      <c r="BJ261" s="347"/>
      <c r="BK261" s="347"/>
      <c r="BL261" s="347"/>
      <c r="BM261" s="347"/>
      <c r="BN261" s="347"/>
      <c r="BO261" s="347"/>
      <c r="BP261" s="347"/>
      <c r="BQ261" s="347"/>
      <c r="BR261" s="347"/>
      <c r="BS261" s="347"/>
      <c r="BT261" s="347"/>
      <c r="BU261" s="347"/>
      <c r="BV261" s="347"/>
      <c r="BW261" s="347"/>
      <c r="BX261" s="347"/>
      <c r="BY261" s="347"/>
      <c r="BZ261" s="347"/>
      <c r="CA261" s="347"/>
      <c r="CB261" s="347"/>
      <c r="CC261" s="347"/>
      <c r="CD261" s="347"/>
      <c r="CE261" s="347"/>
      <c r="CF261" s="347"/>
      <c r="CG261" s="347"/>
      <c r="CH261" s="347"/>
      <c r="CI261" s="347"/>
      <c r="CJ261" s="347"/>
      <c r="CK261" s="347"/>
      <c r="CL261" s="347"/>
      <c r="CM261" s="347"/>
      <c r="CN261" s="347"/>
      <c r="CO261" s="347"/>
      <c r="CP261" s="347"/>
    </row>
    <row r="262" spans="1:94" ht="27.75" customHeight="1">
      <c r="A262" s="347"/>
      <c r="B262" s="348"/>
      <c r="C262" s="347"/>
      <c r="D262" s="347"/>
      <c r="E262" s="347"/>
      <c r="F262" s="347"/>
      <c r="G262" s="347"/>
      <c r="H262" s="347"/>
      <c r="I262" s="347"/>
      <c r="J262" s="347"/>
      <c r="K262" s="347"/>
      <c r="L262" s="347"/>
      <c r="M262" s="347"/>
      <c r="N262" s="347"/>
      <c r="O262" s="347"/>
      <c r="P262" s="347"/>
      <c r="Q262" s="347"/>
      <c r="R262" s="347"/>
      <c r="S262" s="347"/>
      <c r="T262" s="347"/>
      <c r="U262" s="347"/>
      <c r="V262" s="347"/>
      <c r="W262" s="347"/>
      <c r="X262" s="347"/>
      <c r="Y262" s="347"/>
      <c r="Z262" s="347"/>
      <c r="AA262" s="347"/>
      <c r="AB262" s="347"/>
      <c r="AC262" s="347"/>
      <c r="AD262" s="347"/>
      <c r="AE262" s="347"/>
      <c r="AF262" s="347"/>
      <c r="AG262" s="347"/>
      <c r="AH262" s="347"/>
      <c r="AI262" s="347"/>
      <c r="AJ262" s="347"/>
      <c r="AK262" s="347"/>
      <c r="AL262" s="347"/>
      <c r="AM262" s="347"/>
      <c r="AN262" s="347"/>
      <c r="AO262" s="347"/>
      <c r="AP262" s="347"/>
      <c r="AQ262" s="347"/>
      <c r="AR262" s="347"/>
      <c r="AS262" s="347"/>
      <c r="AT262" s="347"/>
      <c r="AU262" s="347"/>
      <c r="AV262" s="347"/>
      <c r="AW262" s="347"/>
      <c r="AX262" s="347"/>
      <c r="AY262" s="347"/>
      <c r="AZ262" s="347"/>
      <c r="BA262" s="347"/>
      <c r="BB262" s="347"/>
      <c r="BC262" s="347"/>
      <c r="BD262" s="347"/>
      <c r="BE262" s="347"/>
      <c r="BF262" s="347"/>
      <c r="BG262" s="347"/>
      <c r="BH262" s="347"/>
      <c r="BI262" s="347"/>
      <c r="BJ262" s="347"/>
      <c r="BK262" s="347"/>
      <c r="BL262" s="347"/>
      <c r="BM262" s="347"/>
      <c r="BN262" s="347"/>
      <c r="BO262" s="347"/>
      <c r="BP262" s="347"/>
      <c r="BQ262" s="347"/>
      <c r="BR262" s="347"/>
      <c r="BS262" s="347"/>
      <c r="BT262" s="347"/>
      <c r="BU262" s="347"/>
      <c r="BV262" s="347"/>
      <c r="BW262" s="347"/>
      <c r="BX262" s="347"/>
      <c r="BY262" s="347"/>
      <c r="BZ262" s="347"/>
      <c r="CA262" s="347"/>
      <c r="CB262" s="347"/>
      <c r="CC262" s="347"/>
      <c r="CD262" s="347"/>
      <c r="CE262" s="347"/>
      <c r="CF262" s="347"/>
      <c r="CG262" s="347"/>
      <c r="CH262" s="347"/>
      <c r="CI262" s="347"/>
      <c r="CJ262" s="347"/>
      <c r="CK262" s="347"/>
      <c r="CL262" s="347"/>
      <c r="CM262" s="347"/>
      <c r="CN262" s="347"/>
      <c r="CO262" s="347"/>
      <c r="CP262" s="347"/>
    </row>
    <row r="263" spans="1:94" ht="27.75" customHeight="1">
      <c r="A263" s="347"/>
      <c r="B263" s="348"/>
      <c r="C263" s="347"/>
      <c r="D263" s="347"/>
      <c r="E263" s="347"/>
      <c r="F263" s="347"/>
      <c r="G263" s="347"/>
      <c r="H263" s="347"/>
      <c r="I263" s="347"/>
      <c r="J263" s="347"/>
      <c r="K263" s="347"/>
      <c r="L263" s="347"/>
      <c r="M263" s="347"/>
      <c r="N263" s="347"/>
      <c r="O263" s="347"/>
      <c r="P263" s="347"/>
      <c r="Q263" s="347"/>
      <c r="R263" s="347"/>
      <c r="S263" s="347"/>
      <c r="T263" s="347"/>
      <c r="U263" s="347"/>
      <c r="V263" s="347"/>
      <c r="W263" s="347"/>
      <c r="X263" s="347"/>
      <c r="Y263" s="347"/>
      <c r="Z263" s="347"/>
      <c r="AA263" s="347"/>
      <c r="AB263" s="347"/>
      <c r="AC263" s="347"/>
      <c r="AD263" s="347"/>
      <c r="AE263" s="347"/>
      <c r="AF263" s="347"/>
      <c r="AG263" s="347"/>
      <c r="AH263" s="347"/>
      <c r="AI263" s="347"/>
      <c r="AJ263" s="347"/>
      <c r="AK263" s="347"/>
      <c r="AL263" s="347"/>
      <c r="AM263" s="347"/>
      <c r="AN263" s="347"/>
      <c r="AO263" s="347"/>
      <c r="AP263" s="347"/>
      <c r="AQ263" s="347"/>
      <c r="AR263" s="347"/>
      <c r="AS263" s="347"/>
      <c r="AT263" s="347"/>
      <c r="AU263" s="347"/>
      <c r="AV263" s="347"/>
      <c r="AW263" s="347"/>
      <c r="AX263" s="347"/>
      <c r="AY263" s="347"/>
      <c r="AZ263" s="347"/>
      <c r="BA263" s="347"/>
      <c r="BB263" s="347"/>
      <c r="BC263" s="347"/>
      <c r="BD263" s="347"/>
      <c r="BE263" s="347"/>
      <c r="BF263" s="347"/>
      <c r="BG263" s="347"/>
      <c r="BH263" s="347"/>
      <c r="BI263" s="347"/>
      <c r="BJ263" s="347"/>
      <c r="BK263" s="347"/>
      <c r="BL263" s="347"/>
      <c r="BM263" s="347"/>
      <c r="BN263" s="347"/>
      <c r="BO263" s="347"/>
      <c r="BP263" s="347"/>
      <c r="BQ263" s="347"/>
      <c r="BR263" s="347"/>
      <c r="BS263" s="347"/>
      <c r="BT263" s="347"/>
      <c r="BU263" s="347"/>
      <c r="BV263" s="347"/>
      <c r="BW263" s="347"/>
      <c r="BX263" s="347"/>
      <c r="BY263" s="347"/>
      <c r="BZ263" s="347"/>
      <c r="CA263" s="347"/>
      <c r="CB263" s="347"/>
      <c r="CC263" s="347"/>
      <c r="CD263" s="347"/>
      <c r="CE263" s="347"/>
      <c r="CF263" s="347"/>
      <c r="CG263" s="347"/>
      <c r="CH263" s="347"/>
      <c r="CI263" s="347"/>
      <c r="CJ263" s="347"/>
      <c r="CK263" s="347"/>
      <c r="CL263" s="347"/>
      <c r="CM263" s="347"/>
      <c r="CN263" s="347"/>
      <c r="CO263" s="347"/>
      <c r="CP263" s="347"/>
    </row>
    <row r="264" spans="1:94" ht="27.75" customHeight="1">
      <c r="A264" s="347"/>
      <c r="B264" s="348"/>
      <c r="C264" s="347"/>
      <c r="D264" s="347"/>
      <c r="E264" s="347"/>
      <c r="F264" s="347"/>
      <c r="G264" s="347"/>
      <c r="H264" s="347"/>
      <c r="I264" s="347"/>
      <c r="J264" s="347"/>
      <c r="K264" s="347"/>
      <c r="L264" s="347"/>
      <c r="M264" s="347"/>
      <c r="N264" s="347"/>
      <c r="O264" s="347"/>
      <c r="P264" s="347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7"/>
      <c r="AD264" s="347"/>
      <c r="AE264" s="347"/>
      <c r="AF264" s="347"/>
      <c r="AG264" s="347"/>
      <c r="AH264" s="347"/>
      <c r="AI264" s="347"/>
      <c r="AJ264" s="347"/>
      <c r="AK264" s="347"/>
      <c r="AL264" s="347"/>
      <c r="AM264" s="347"/>
      <c r="AN264" s="347"/>
      <c r="AO264" s="347"/>
      <c r="AP264" s="347"/>
      <c r="AQ264" s="347"/>
      <c r="AR264" s="347"/>
      <c r="AS264" s="347"/>
      <c r="AT264" s="347"/>
      <c r="AU264" s="347"/>
      <c r="AV264" s="347"/>
      <c r="AW264" s="347"/>
      <c r="AX264" s="347"/>
      <c r="AY264" s="347"/>
      <c r="AZ264" s="347"/>
      <c r="BA264" s="347"/>
      <c r="BB264" s="347"/>
      <c r="BC264" s="347"/>
      <c r="BD264" s="347"/>
      <c r="BE264" s="347"/>
      <c r="BF264" s="347"/>
      <c r="BG264" s="347"/>
      <c r="BH264" s="347"/>
      <c r="BI264" s="347"/>
      <c r="BJ264" s="347"/>
      <c r="BK264" s="347"/>
      <c r="BL264" s="347"/>
      <c r="BM264" s="347"/>
      <c r="BN264" s="347"/>
      <c r="BO264" s="347"/>
      <c r="BP264" s="347"/>
      <c r="BQ264" s="347"/>
      <c r="BR264" s="347"/>
      <c r="BS264" s="347"/>
      <c r="BT264" s="347"/>
      <c r="BU264" s="347"/>
      <c r="BV264" s="347"/>
      <c r="BW264" s="347"/>
      <c r="BX264" s="347"/>
      <c r="BY264" s="347"/>
      <c r="BZ264" s="347"/>
      <c r="CA264" s="347"/>
      <c r="CB264" s="347"/>
      <c r="CC264" s="347"/>
      <c r="CD264" s="347"/>
      <c r="CE264" s="347"/>
      <c r="CF264" s="347"/>
      <c r="CG264" s="347"/>
      <c r="CH264" s="347"/>
      <c r="CI264" s="347"/>
      <c r="CJ264" s="347"/>
      <c r="CK264" s="347"/>
      <c r="CL264" s="347"/>
      <c r="CM264" s="347"/>
      <c r="CN264" s="347"/>
      <c r="CO264" s="347"/>
      <c r="CP264" s="347"/>
    </row>
    <row r="265" spans="1:94">
      <c r="A265" s="347"/>
      <c r="B265" s="348"/>
      <c r="C265" s="347"/>
      <c r="D265" s="347"/>
      <c r="E265" s="347"/>
      <c r="F265" s="347"/>
      <c r="G265" s="347"/>
      <c r="H265" s="347"/>
      <c r="I265" s="347"/>
      <c r="J265" s="347"/>
      <c r="K265" s="347"/>
      <c r="L265" s="347"/>
      <c r="M265" s="347"/>
      <c r="N265" s="347"/>
      <c r="O265" s="347"/>
      <c r="P265" s="347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7"/>
      <c r="AD265" s="347"/>
      <c r="AE265" s="347"/>
      <c r="AF265" s="347"/>
      <c r="AG265" s="347"/>
      <c r="AH265" s="347"/>
      <c r="AI265" s="347"/>
      <c r="AJ265" s="347"/>
      <c r="AK265" s="347"/>
      <c r="AL265" s="347"/>
      <c r="AM265" s="347"/>
      <c r="AN265" s="347"/>
      <c r="AO265" s="347"/>
      <c r="AP265" s="347"/>
      <c r="AQ265" s="347"/>
      <c r="AR265" s="347"/>
      <c r="AS265" s="347"/>
      <c r="AT265" s="347"/>
      <c r="AU265" s="347"/>
      <c r="AV265" s="347"/>
      <c r="AW265" s="347"/>
      <c r="AX265" s="347"/>
      <c r="AY265" s="347"/>
      <c r="AZ265" s="347"/>
      <c r="BA265" s="347"/>
      <c r="BB265" s="347"/>
      <c r="BC265" s="347"/>
      <c r="BD265" s="347"/>
      <c r="BE265" s="347"/>
      <c r="BF265" s="347"/>
      <c r="BG265" s="347"/>
      <c r="BH265" s="347"/>
      <c r="BI265" s="347"/>
      <c r="BJ265" s="347"/>
      <c r="BK265" s="347"/>
      <c r="BL265" s="347"/>
      <c r="BM265" s="347"/>
      <c r="BN265" s="347"/>
      <c r="BO265" s="347"/>
      <c r="BP265" s="347"/>
      <c r="BQ265" s="347"/>
      <c r="BR265" s="347"/>
      <c r="BS265" s="347"/>
      <c r="BT265" s="347"/>
      <c r="BU265" s="347"/>
      <c r="BV265" s="347"/>
      <c r="BW265" s="347"/>
      <c r="BX265" s="347"/>
      <c r="BY265" s="347"/>
      <c r="BZ265" s="347"/>
      <c r="CA265" s="347"/>
      <c r="CB265" s="347"/>
      <c r="CC265" s="347"/>
      <c r="CD265" s="347"/>
      <c r="CE265" s="347"/>
      <c r="CF265" s="347"/>
      <c r="CG265" s="347"/>
      <c r="CH265" s="347"/>
      <c r="CI265" s="347"/>
      <c r="CJ265" s="347"/>
      <c r="CK265" s="347"/>
      <c r="CL265" s="347"/>
      <c r="CM265" s="347"/>
      <c r="CN265" s="347"/>
      <c r="CO265" s="347"/>
      <c r="CP265" s="347"/>
    </row>
    <row r="266" spans="1:94">
      <c r="A266" s="347"/>
      <c r="B266" s="348"/>
      <c r="C266" s="347"/>
      <c r="D266" s="347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7"/>
      <c r="AD266" s="347"/>
      <c r="AE266" s="347"/>
      <c r="AF266" s="347"/>
      <c r="AG266" s="347"/>
      <c r="AH266" s="347"/>
      <c r="AI266" s="347"/>
      <c r="AJ266" s="347"/>
      <c r="AK266" s="347"/>
      <c r="AL266" s="347"/>
      <c r="AM266" s="347"/>
      <c r="AN266" s="347"/>
      <c r="AO266" s="347"/>
      <c r="AP266" s="347"/>
      <c r="AQ266" s="347"/>
      <c r="AR266" s="347"/>
      <c r="AS266" s="347"/>
      <c r="AT266" s="347"/>
      <c r="AU266" s="347"/>
      <c r="AV266" s="347"/>
      <c r="AW266" s="347"/>
      <c r="AX266" s="347"/>
      <c r="AY266" s="347"/>
      <c r="AZ266" s="347"/>
      <c r="BA266" s="347"/>
      <c r="BB266" s="347"/>
      <c r="BC266" s="347"/>
      <c r="BD266" s="347"/>
      <c r="BE266" s="347"/>
      <c r="BF266" s="347"/>
      <c r="BG266" s="347"/>
      <c r="BH266" s="347"/>
      <c r="BI266" s="347"/>
      <c r="BJ266" s="347"/>
      <c r="BK266" s="347"/>
      <c r="BL266" s="347"/>
      <c r="BM266" s="347"/>
      <c r="BN266" s="347"/>
      <c r="BO266" s="347"/>
      <c r="BP266" s="347"/>
      <c r="BQ266" s="347"/>
      <c r="BR266" s="347"/>
      <c r="BS266" s="347"/>
      <c r="BT266" s="347"/>
      <c r="BU266" s="347"/>
      <c r="BV266" s="347"/>
      <c r="BW266" s="347"/>
      <c r="BX266" s="347"/>
      <c r="BY266" s="347"/>
      <c r="BZ266" s="347"/>
      <c r="CA266" s="347"/>
      <c r="CB266" s="347"/>
      <c r="CC266" s="347"/>
      <c r="CD266" s="347"/>
      <c r="CE266" s="347"/>
      <c r="CF266" s="347"/>
      <c r="CG266" s="347"/>
      <c r="CH266" s="347"/>
      <c r="CI266" s="347"/>
      <c r="CJ266" s="347"/>
      <c r="CK266" s="347"/>
      <c r="CL266" s="347"/>
      <c r="CM266" s="347"/>
      <c r="CN266" s="347"/>
      <c r="CO266" s="347"/>
      <c r="CP266" s="347"/>
    </row>
    <row r="267" spans="1:94">
      <c r="A267" s="347"/>
      <c r="B267" s="348"/>
      <c r="C267" s="347"/>
      <c r="D267" s="347"/>
      <c r="E267" s="347"/>
      <c r="F267" s="347"/>
      <c r="G267" s="347"/>
      <c r="H267" s="347"/>
      <c r="I267" s="347"/>
      <c r="J267" s="347"/>
      <c r="K267" s="347"/>
      <c r="L267" s="347"/>
      <c r="M267" s="347"/>
      <c r="N267" s="347"/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7"/>
      <c r="AD267" s="347"/>
      <c r="AE267" s="347"/>
      <c r="AF267" s="347"/>
      <c r="AG267" s="347"/>
      <c r="AH267" s="347"/>
      <c r="AI267" s="347"/>
      <c r="AJ267" s="347"/>
      <c r="AK267" s="347"/>
      <c r="AL267" s="347"/>
      <c r="AM267" s="347"/>
      <c r="AN267" s="347"/>
      <c r="AO267" s="347"/>
      <c r="AP267" s="347"/>
      <c r="AQ267" s="347"/>
      <c r="AR267" s="347"/>
      <c r="AS267" s="347"/>
      <c r="AT267" s="347"/>
      <c r="AU267" s="347"/>
      <c r="AV267" s="347"/>
      <c r="AW267" s="347"/>
      <c r="AX267" s="347"/>
      <c r="AY267" s="347"/>
      <c r="AZ267" s="347"/>
      <c r="BA267" s="347"/>
      <c r="BB267" s="347"/>
      <c r="BC267" s="347"/>
      <c r="BD267" s="347"/>
      <c r="BE267" s="347"/>
      <c r="BF267" s="347"/>
      <c r="BG267" s="347"/>
      <c r="BH267" s="347"/>
      <c r="BI267" s="347"/>
      <c r="BJ267" s="347"/>
      <c r="BK267" s="347"/>
      <c r="BL267" s="347"/>
      <c r="BM267" s="347"/>
      <c r="BN267" s="347"/>
      <c r="BO267" s="347"/>
      <c r="BP267" s="347"/>
      <c r="BQ267" s="347"/>
      <c r="BR267" s="347"/>
      <c r="BS267" s="347"/>
      <c r="BT267" s="347"/>
      <c r="BU267" s="347"/>
      <c r="BV267" s="347"/>
      <c r="BW267" s="347"/>
      <c r="BX267" s="347"/>
      <c r="BY267" s="347"/>
      <c r="BZ267" s="347"/>
      <c r="CA267" s="347"/>
      <c r="CB267" s="347"/>
      <c r="CC267" s="347"/>
      <c r="CD267" s="347"/>
      <c r="CE267" s="347"/>
      <c r="CF267" s="347"/>
      <c r="CG267" s="347"/>
      <c r="CH267" s="347"/>
      <c r="CI267" s="347"/>
      <c r="CJ267" s="347"/>
      <c r="CK267" s="347"/>
      <c r="CL267" s="347"/>
      <c r="CM267" s="347"/>
      <c r="CN267" s="347"/>
      <c r="CO267" s="347"/>
      <c r="CP267" s="347"/>
    </row>
    <row r="268" spans="1:94">
      <c r="A268" s="347"/>
      <c r="B268" s="348"/>
      <c r="C268" s="347"/>
      <c r="D268" s="347"/>
      <c r="E268" s="347"/>
      <c r="F268" s="347"/>
      <c r="G268" s="347"/>
      <c r="H268" s="347"/>
      <c r="I268" s="347"/>
      <c r="J268" s="347"/>
      <c r="K268" s="347"/>
      <c r="L268" s="347"/>
      <c r="M268" s="347"/>
      <c r="N268" s="347"/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7"/>
      <c r="AD268" s="347"/>
      <c r="AE268" s="347"/>
      <c r="AF268" s="347"/>
      <c r="AG268" s="347"/>
      <c r="AH268" s="347"/>
      <c r="AI268" s="347"/>
      <c r="AJ268" s="347"/>
      <c r="AK268" s="347"/>
      <c r="AL268" s="347"/>
      <c r="AM268" s="347"/>
      <c r="AN268" s="347"/>
      <c r="AO268" s="347"/>
      <c r="AP268" s="347"/>
      <c r="AQ268" s="347"/>
      <c r="AR268" s="347"/>
      <c r="AS268" s="347"/>
      <c r="AT268" s="347"/>
      <c r="AU268" s="347"/>
      <c r="AV268" s="347"/>
      <c r="AW268" s="347"/>
      <c r="AX268" s="347"/>
      <c r="AY268" s="347"/>
      <c r="AZ268" s="347"/>
      <c r="BA268" s="347"/>
      <c r="BB268" s="347"/>
      <c r="BC268" s="347"/>
      <c r="BD268" s="347"/>
      <c r="BE268" s="347"/>
      <c r="BF268" s="347"/>
      <c r="BG268" s="347"/>
      <c r="BH268" s="347"/>
      <c r="BI268" s="347"/>
      <c r="BJ268" s="347"/>
      <c r="BK268" s="347"/>
      <c r="BL268" s="347"/>
      <c r="BM268" s="347"/>
      <c r="BN268" s="347"/>
      <c r="BO268" s="347"/>
      <c r="BP268" s="347"/>
      <c r="BQ268" s="347"/>
      <c r="BR268" s="347"/>
      <c r="BS268" s="347"/>
      <c r="BT268" s="347"/>
      <c r="BU268" s="347"/>
      <c r="BV268" s="347"/>
      <c r="BW268" s="347"/>
      <c r="BX268" s="347"/>
      <c r="BY268" s="347"/>
      <c r="BZ268" s="347"/>
      <c r="CA268" s="347"/>
      <c r="CB268" s="347"/>
      <c r="CC268" s="347"/>
      <c r="CD268" s="347"/>
      <c r="CE268" s="347"/>
      <c r="CF268" s="347"/>
      <c r="CG268" s="347"/>
      <c r="CH268" s="347"/>
      <c r="CI268" s="347"/>
      <c r="CJ268" s="347"/>
      <c r="CK268" s="347"/>
      <c r="CL268" s="347"/>
      <c r="CM268" s="347"/>
      <c r="CN268" s="347"/>
      <c r="CO268" s="347"/>
      <c r="CP268" s="347"/>
    </row>
    <row r="269" spans="1:94">
      <c r="A269" s="347"/>
      <c r="B269" s="348"/>
      <c r="C269" s="347"/>
      <c r="D269" s="347"/>
      <c r="E269" s="347"/>
      <c r="F269" s="347"/>
      <c r="G269" s="347"/>
      <c r="H269" s="347"/>
      <c r="I269" s="347"/>
      <c r="J269" s="347"/>
      <c r="K269" s="347"/>
      <c r="L269" s="347"/>
      <c r="M269" s="347"/>
      <c r="N269" s="347"/>
      <c r="O269" s="347"/>
      <c r="P269" s="347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7"/>
      <c r="AD269" s="347"/>
      <c r="AE269" s="347"/>
      <c r="AF269" s="347"/>
      <c r="AG269" s="347"/>
      <c r="AH269" s="347"/>
      <c r="AI269" s="347"/>
      <c r="AJ269" s="347"/>
      <c r="AK269" s="347"/>
      <c r="AL269" s="347"/>
      <c r="AM269" s="347"/>
      <c r="AN269" s="347"/>
      <c r="AO269" s="347"/>
      <c r="AP269" s="347"/>
      <c r="AQ269" s="347"/>
      <c r="AR269" s="347"/>
      <c r="AS269" s="347"/>
      <c r="AT269" s="347"/>
      <c r="AU269" s="347"/>
      <c r="AV269" s="347"/>
      <c r="AW269" s="347"/>
      <c r="AX269" s="347"/>
      <c r="AY269" s="347"/>
      <c r="AZ269" s="347"/>
      <c r="BA269" s="347"/>
      <c r="BB269" s="347"/>
      <c r="BC269" s="347"/>
      <c r="BD269" s="347"/>
      <c r="BE269" s="347"/>
      <c r="BF269" s="347"/>
      <c r="BG269" s="347"/>
      <c r="BH269" s="347"/>
      <c r="BI269" s="347"/>
      <c r="BJ269" s="347"/>
      <c r="BK269" s="347"/>
      <c r="BL269" s="347"/>
      <c r="BM269" s="347"/>
      <c r="BN269" s="347"/>
      <c r="BO269" s="347"/>
      <c r="BP269" s="347"/>
      <c r="BQ269" s="347"/>
      <c r="BR269" s="347"/>
      <c r="BS269" s="347"/>
      <c r="BT269" s="347"/>
      <c r="BU269" s="347"/>
      <c r="BV269" s="347"/>
      <c r="BW269" s="347"/>
      <c r="BX269" s="347"/>
      <c r="BY269" s="347"/>
      <c r="BZ269" s="347"/>
      <c r="CA269" s="347"/>
      <c r="CB269" s="347"/>
      <c r="CC269" s="347"/>
      <c r="CD269" s="347"/>
      <c r="CE269" s="347"/>
      <c r="CF269" s="347"/>
      <c r="CG269" s="347"/>
      <c r="CH269" s="347"/>
      <c r="CI269" s="347"/>
      <c r="CJ269" s="347"/>
      <c r="CK269" s="347"/>
      <c r="CL269" s="347"/>
      <c r="CM269" s="347"/>
      <c r="CN269" s="347"/>
      <c r="CO269" s="347"/>
      <c r="CP269" s="347"/>
    </row>
    <row r="270" spans="1:94">
      <c r="A270" s="347"/>
      <c r="B270" s="348"/>
      <c r="C270" s="347"/>
      <c r="D270" s="347"/>
      <c r="E270" s="347"/>
      <c r="F270" s="347"/>
      <c r="G270" s="347"/>
      <c r="H270" s="347"/>
      <c r="I270" s="347"/>
      <c r="J270" s="347"/>
      <c r="K270" s="347"/>
      <c r="L270" s="347"/>
      <c r="M270" s="347"/>
      <c r="N270" s="347"/>
      <c r="O270" s="347"/>
      <c r="P270" s="347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7"/>
      <c r="AD270" s="347"/>
      <c r="AE270" s="347"/>
      <c r="AF270" s="347"/>
      <c r="AG270" s="347"/>
      <c r="AH270" s="347"/>
      <c r="AI270" s="347"/>
      <c r="AJ270" s="347"/>
      <c r="AK270" s="347"/>
      <c r="AL270" s="347"/>
      <c r="AM270" s="347"/>
      <c r="AN270" s="347"/>
      <c r="AO270" s="347"/>
      <c r="AP270" s="347"/>
      <c r="AQ270" s="347"/>
      <c r="AR270" s="347"/>
      <c r="AS270" s="347"/>
      <c r="AT270" s="347"/>
      <c r="AU270" s="347"/>
      <c r="AV270" s="347"/>
      <c r="AW270" s="347"/>
      <c r="AX270" s="347"/>
      <c r="AY270" s="347"/>
      <c r="AZ270" s="347"/>
      <c r="BA270" s="347"/>
      <c r="BB270" s="347"/>
      <c r="BC270" s="347"/>
      <c r="BD270" s="347"/>
      <c r="BE270" s="347"/>
      <c r="BF270" s="347"/>
      <c r="BG270" s="347"/>
      <c r="BH270" s="347"/>
      <c r="BI270" s="347"/>
      <c r="BJ270" s="347"/>
      <c r="BK270" s="347"/>
      <c r="BL270" s="347"/>
      <c r="BM270" s="347"/>
      <c r="BN270" s="347"/>
      <c r="BO270" s="347"/>
      <c r="BP270" s="347"/>
      <c r="BQ270" s="347"/>
      <c r="BR270" s="347"/>
      <c r="BS270" s="347"/>
      <c r="BT270" s="347"/>
      <c r="BU270" s="347"/>
      <c r="BV270" s="347"/>
      <c r="BW270" s="347"/>
      <c r="BX270" s="347"/>
      <c r="BY270" s="347"/>
      <c r="BZ270" s="347"/>
      <c r="CA270" s="347"/>
      <c r="CB270" s="347"/>
      <c r="CC270" s="347"/>
      <c r="CD270" s="347"/>
      <c r="CE270" s="347"/>
      <c r="CF270" s="347"/>
      <c r="CG270" s="347"/>
      <c r="CH270" s="347"/>
      <c r="CI270" s="347"/>
      <c r="CJ270" s="347"/>
      <c r="CK270" s="347"/>
      <c r="CL270" s="347"/>
      <c r="CM270" s="347"/>
      <c r="CN270" s="347"/>
      <c r="CO270" s="347"/>
      <c r="CP270" s="347"/>
    </row>
    <row r="271" spans="1:94">
      <c r="A271" s="347"/>
      <c r="B271" s="348"/>
      <c r="C271" s="347"/>
      <c r="D271" s="347"/>
      <c r="E271" s="347"/>
      <c r="F271" s="347"/>
      <c r="G271" s="347"/>
      <c r="H271" s="347"/>
      <c r="I271" s="347"/>
      <c r="J271" s="347"/>
      <c r="K271" s="347"/>
      <c r="L271" s="347"/>
      <c r="M271" s="347"/>
      <c r="N271" s="347"/>
      <c r="O271" s="347"/>
      <c r="P271" s="347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7"/>
      <c r="AD271" s="347"/>
      <c r="AE271" s="347"/>
      <c r="AF271" s="347"/>
      <c r="AG271" s="347"/>
      <c r="AH271" s="347"/>
      <c r="AI271" s="347"/>
      <c r="AJ271" s="347"/>
      <c r="AK271" s="347"/>
      <c r="AL271" s="347"/>
      <c r="AM271" s="347"/>
      <c r="AN271" s="347"/>
      <c r="AO271" s="347"/>
      <c r="AP271" s="347"/>
      <c r="AQ271" s="347"/>
      <c r="AR271" s="347"/>
      <c r="AS271" s="347"/>
      <c r="AT271" s="347"/>
      <c r="AU271" s="347"/>
      <c r="AV271" s="347"/>
      <c r="AW271" s="347"/>
      <c r="AX271" s="347"/>
      <c r="AY271" s="347"/>
      <c r="AZ271" s="347"/>
      <c r="BA271" s="347"/>
      <c r="BB271" s="347"/>
      <c r="BC271" s="347"/>
      <c r="BD271" s="347"/>
      <c r="BE271" s="347"/>
      <c r="BF271" s="347"/>
      <c r="BG271" s="347"/>
      <c r="BH271" s="347"/>
      <c r="BI271" s="347"/>
      <c r="BJ271" s="347"/>
      <c r="BK271" s="347"/>
      <c r="BL271" s="347"/>
      <c r="BM271" s="347"/>
      <c r="BN271" s="347"/>
      <c r="BO271" s="347"/>
      <c r="BP271" s="347"/>
      <c r="BQ271" s="347"/>
      <c r="BR271" s="347"/>
      <c r="BS271" s="347"/>
      <c r="BT271" s="347"/>
      <c r="BU271" s="347"/>
      <c r="BV271" s="347"/>
      <c r="BW271" s="347"/>
      <c r="BX271" s="347"/>
      <c r="BY271" s="347"/>
      <c r="BZ271" s="347"/>
      <c r="CA271" s="347"/>
      <c r="CB271" s="347"/>
      <c r="CC271" s="347"/>
      <c r="CD271" s="347"/>
      <c r="CE271" s="347"/>
      <c r="CF271" s="347"/>
      <c r="CG271" s="347"/>
      <c r="CH271" s="347"/>
      <c r="CI271" s="347"/>
      <c r="CJ271" s="347"/>
      <c r="CK271" s="347"/>
      <c r="CL271" s="347"/>
      <c r="CM271" s="347"/>
      <c r="CN271" s="347"/>
      <c r="CO271" s="347"/>
      <c r="CP271" s="347"/>
    </row>
    <row r="272" spans="1:94">
      <c r="A272" s="347"/>
      <c r="B272" s="348"/>
      <c r="C272" s="347"/>
      <c r="D272" s="347"/>
      <c r="E272" s="347"/>
      <c r="F272" s="347"/>
      <c r="G272" s="347"/>
      <c r="H272" s="347"/>
      <c r="I272" s="347"/>
      <c r="J272" s="347"/>
      <c r="K272" s="347"/>
      <c r="L272" s="347"/>
      <c r="M272" s="347"/>
      <c r="N272" s="347"/>
      <c r="O272" s="347"/>
      <c r="P272" s="347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7"/>
      <c r="AD272" s="347"/>
      <c r="AE272" s="347"/>
      <c r="AF272" s="347"/>
      <c r="AG272" s="347"/>
      <c r="AH272" s="347"/>
      <c r="AI272" s="347"/>
      <c r="AJ272" s="347"/>
      <c r="AK272" s="347"/>
      <c r="AL272" s="347"/>
      <c r="AM272" s="347"/>
      <c r="AN272" s="347"/>
      <c r="AO272" s="347"/>
      <c r="AP272" s="347"/>
      <c r="AQ272" s="347"/>
      <c r="AR272" s="347"/>
      <c r="AS272" s="347"/>
      <c r="AT272" s="347"/>
      <c r="AU272" s="347"/>
      <c r="AV272" s="347"/>
      <c r="AW272" s="347"/>
      <c r="AX272" s="347"/>
      <c r="AY272" s="347"/>
      <c r="AZ272" s="347"/>
      <c r="BA272" s="347"/>
      <c r="BB272" s="347"/>
      <c r="BC272" s="347"/>
      <c r="BD272" s="347"/>
      <c r="BE272" s="347"/>
      <c r="BF272" s="347"/>
      <c r="BG272" s="347"/>
      <c r="BH272" s="347"/>
      <c r="BI272" s="347"/>
      <c r="BJ272" s="347"/>
      <c r="BK272" s="347"/>
      <c r="BL272" s="347"/>
      <c r="BM272" s="347"/>
      <c r="BN272" s="347"/>
      <c r="BO272" s="347"/>
      <c r="BP272" s="347"/>
      <c r="BQ272" s="347"/>
      <c r="BR272" s="347"/>
      <c r="BS272" s="347"/>
      <c r="BT272" s="347"/>
      <c r="BU272" s="347"/>
      <c r="BV272" s="347"/>
      <c r="BW272" s="347"/>
      <c r="BX272" s="347"/>
      <c r="BY272" s="347"/>
      <c r="BZ272" s="347"/>
      <c r="CA272" s="347"/>
      <c r="CB272" s="347"/>
      <c r="CC272" s="347"/>
      <c r="CD272" s="347"/>
      <c r="CE272" s="347"/>
      <c r="CF272" s="347"/>
      <c r="CG272" s="347"/>
      <c r="CH272" s="347"/>
      <c r="CI272" s="347"/>
      <c r="CJ272" s="347"/>
      <c r="CK272" s="347"/>
      <c r="CL272" s="347"/>
      <c r="CM272" s="347"/>
      <c r="CN272" s="347"/>
      <c r="CO272" s="347"/>
      <c r="CP272" s="347"/>
    </row>
    <row r="273" spans="1:94">
      <c r="A273" s="347"/>
      <c r="B273" s="348"/>
      <c r="C273" s="347"/>
      <c r="D273" s="347"/>
      <c r="E273" s="347"/>
      <c r="F273" s="347"/>
      <c r="G273" s="347"/>
      <c r="H273" s="347"/>
      <c r="I273" s="347"/>
      <c r="J273" s="347"/>
      <c r="K273" s="347"/>
      <c r="L273" s="347"/>
      <c r="M273" s="347"/>
      <c r="N273" s="347"/>
      <c r="O273" s="347"/>
      <c r="P273" s="347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7"/>
      <c r="AD273" s="347"/>
      <c r="AE273" s="347"/>
      <c r="AF273" s="347"/>
      <c r="AG273" s="347"/>
      <c r="AH273" s="347"/>
      <c r="AI273" s="347"/>
      <c r="AJ273" s="347"/>
      <c r="AK273" s="347"/>
      <c r="AL273" s="347"/>
      <c r="AM273" s="347"/>
      <c r="AN273" s="347"/>
      <c r="AO273" s="347"/>
      <c r="AP273" s="347"/>
      <c r="AQ273" s="347"/>
      <c r="AR273" s="347"/>
      <c r="AS273" s="347"/>
      <c r="AT273" s="347"/>
      <c r="AU273" s="347"/>
      <c r="AV273" s="347"/>
      <c r="AW273" s="347"/>
      <c r="AX273" s="347"/>
      <c r="AY273" s="347"/>
      <c r="AZ273" s="347"/>
      <c r="BA273" s="347"/>
      <c r="BB273" s="347"/>
      <c r="BC273" s="347"/>
      <c r="BD273" s="347"/>
      <c r="BE273" s="347"/>
      <c r="BF273" s="347"/>
      <c r="BG273" s="347"/>
      <c r="BH273" s="347"/>
      <c r="BI273" s="347"/>
      <c r="BJ273" s="347"/>
      <c r="BK273" s="347"/>
      <c r="BL273" s="347"/>
      <c r="BM273" s="347"/>
      <c r="BN273" s="347"/>
      <c r="BO273" s="347"/>
      <c r="BP273" s="347"/>
      <c r="BQ273" s="347"/>
      <c r="BR273" s="347"/>
      <c r="BS273" s="347"/>
      <c r="BT273" s="347"/>
      <c r="BU273" s="347"/>
      <c r="BV273" s="347"/>
      <c r="BW273" s="347"/>
      <c r="BX273" s="347"/>
      <c r="BY273" s="347"/>
      <c r="BZ273" s="347"/>
      <c r="CA273" s="347"/>
      <c r="CB273" s="347"/>
      <c r="CC273" s="347"/>
      <c r="CD273" s="347"/>
      <c r="CE273" s="347"/>
      <c r="CF273" s="347"/>
      <c r="CG273" s="347"/>
      <c r="CH273" s="347"/>
      <c r="CI273" s="347"/>
      <c r="CJ273" s="347"/>
      <c r="CK273" s="347"/>
      <c r="CL273" s="347"/>
      <c r="CM273" s="347"/>
      <c r="CN273" s="347"/>
      <c r="CO273" s="347"/>
      <c r="CP273" s="347"/>
    </row>
    <row r="274" spans="1:94">
      <c r="A274" s="347"/>
      <c r="B274" s="348"/>
      <c r="C274" s="347"/>
      <c r="D274" s="347"/>
      <c r="E274" s="347"/>
      <c r="F274" s="347"/>
      <c r="G274" s="347"/>
      <c r="H274" s="347"/>
      <c r="I274" s="347"/>
      <c r="J274" s="347"/>
      <c r="K274" s="347"/>
      <c r="L274" s="347"/>
      <c r="M274" s="347"/>
      <c r="N274" s="347"/>
      <c r="O274" s="347"/>
      <c r="P274" s="347"/>
      <c r="Q274" s="347"/>
      <c r="R274" s="347"/>
      <c r="S274" s="347"/>
      <c r="T274" s="347"/>
      <c r="U274" s="347"/>
      <c r="V274" s="347"/>
      <c r="W274" s="347"/>
      <c r="X274" s="347"/>
      <c r="Y274" s="347"/>
      <c r="Z274" s="347"/>
      <c r="AA274" s="347"/>
      <c r="AB274" s="347"/>
      <c r="AC274" s="347"/>
      <c r="AD274" s="347"/>
      <c r="AE274" s="347"/>
      <c r="AF274" s="347"/>
      <c r="AG274" s="347"/>
      <c r="AH274" s="347"/>
      <c r="AI274" s="347"/>
      <c r="AJ274" s="347"/>
      <c r="AK274" s="347"/>
      <c r="AL274" s="347"/>
      <c r="AM274" s="347"/>
      <c r="AN274" s="347"/>
      <c r="AO274" s="347"/>
      <c r="AP274" s="347"/>
      <c r="AQ274" s="347"/>
      <c r="AR274" s="347"/>
      <c r="AS274" s="347"/>
      <c r="AT274" s="347"/>
      <c r="AU274" s="347"/>
      <c r="AV274" s="347"/>
      <c r="AW274" s="347"/>
      <c r="AX274" s="347"/>
      <c r="AY274" s="347"/>
      <c r="AZ274" s="347"/>
      <c r="BA274" s="347"/>
      <c r="BB274" s="347"/>
      <c r="BC274" s="347"/>
      <c r="BD274" s="347"/>
      <c r="BE274" s="347"/>
      <c r="BF274" s="347"/>
      <c r="BG274" s="347"/>
      <c r="BH274" s="347"/>
      <c r="BI274" s="347"/>
      <c r="BJ274" s="347"/>
      <c r="BK274" s="347"/>
      <c r="BL274" s="347"/>
      <c r="BM274" s="347"/>
      <c r="BN274" s="347"/>
      <c r="BO274" s="347"/>
      <c r="BP274" s="347"/>
      <c r="BQ274" s="347"/>
      <c r="BR274" s="347"/>
      <c r="BS274" s="347"/>
      <c r="BT274" s="347"/>
      <c r="BU274" s="347"/>
      <c r="BV274" s="347"/>
      <c r="BW274" s="347"/>
      <c r="BX274" s="347"/>
      <c r="BY274" s="347"/>
      <c r="BZ274" s="347"/>
      <c r="CA274" s="347"/>
      <c r="CB274" s="347"/>
      <c r="CC274" s="347"/>
      <c r="CD274" s="347"/>
      <c r="CE274" s="347"/>
      <c r="CF274" s="347"/>
      <c r="CG274" s="347"/>
      <c r="CH274" s="347"/>
      <c r="CI274" s="347"/>
      <c r="CJ274" s="347"/>
      <c r="CK274" s="347"/>
      <c r="CL274" s="347"/>
      <c r="CM274" s="347"/>
      <c r="CN274" s="347"/>
      <c r="CO274" s="347"/>
      <c r="CP274" s="347"/>
    </row>
    <row r="275" spans="1:94">
      <c r="A275" s="347"/>
      <c r="B275" s="348"/>
      <c r="C275" s="347"/>
      <c r="D275" s="347"/>
      <c r="E275" s="347"/>
      <c r="F275" s="347"/>
      <c r="G275" s="347"/>
      <c r="H275" s="347"/>
      <c r="I275" s="347"/>
      <c r="J275" s="347"/>
      <c r="K275" s="347"/>
      <c r="L275" s="347"/>
      <c r="M275" s="347"/>
      <c r="N275" s="347"/>
      <c r="O275" s="347"/>
      <c r="P275" s="347"/>
      <c r="Q275" s="347"/>
      <c r="R275" s="347"/>
      <c r="S275" s="347"/>
      <c r="T275" s="347"/>
      <c r="U275" s="347"/>
      <c r="V275" s="347"/>
      <c r="W275" s="347"/>
      <c r="X275" s="347"/>
      <c r="Y275" s="347"/>
      <c r="Z275" s="347"/>
      <c r="AA275" s="347"/>
      <c r="AB275" s="347"/>
      <c r="AC275" s="347"/>
      <c r="AD275" s="347"/>
      <c r="AE275" s="347"/>
      <c r="AF275" s="347"/>
      <c r="AG275" s="347"/>
      <c r="AH275" s="347"/>
      <c r="AI275" s="347"/>
      <c r="AJ275" s="347"/>
      <c r="AK275" s="347"/>
      <c r="AL275" s="347"/>
      <c r="AM275" s="347"/>
      <c r="AN275" s="347"/>
      <c r="AO275" s="347"/>
      <c r="AP275" s="347"/>
      <c r="AQ275" s="347"/>
      <c r="AR275" s="347"/>
      <c r="AS275" s="347"/>
      <c r="AT275" s="347"/>
      <c r="AU275" s="347"/>
      <c r="AV275" s="347"/>
      <c r="AW275" s="347"/>
      <c r="AX275" s="347"/>
      <c r="AY275" s="347"/>
      <c r="AZ275" s="347"/>
      <c r="BA275" s="347"/>
      <c r="BB275" s="347"/>
      <c r="BC275" s="347"/>
      <c r="BD275" s="347"/>
      <c r="BE275" s="347"/>
      <c r="BF275" s="347"/>
      <c r="BG275" s="347"/>
      <c r="BH275" s="347"/>
      <c r="BI275" s="347"/>
      <c r="BJ275" s="347"/>
      <c r="BK275" s="347"/>
      <c r="BL275" s="347"/>
      <c r="BM275" s="347"/>
      <c r="BN275" s="347"/>
      <c r="BO275" s="347"/>
      <c r="BP275" s="347"/>
      <c r="BQ275" s="347"/>
      <c r="BR275" s="347"/>
      <c r="BS275" s="347"/>
      <c r="BT275" s="347"/>
      <c r="BU275" s="347"/>
      <c r="BV275" s="347"/>
      <c r="BW275" s="347"/>
      <c r="BX275" s="347"/>
      <c r="BY275" s="347"/>
      <c r="BZ275" s="347"/>
      <c r="CA275" s="347"/>
      <c r="CB275" s="347"/>
      <c r="CC275" s="347"/>
      <c r="CD275" s="347"/>
      <c r="CE275" s="347"/>
      <c r="CF275" s="347"/>
      <c r="CG275" s="347"/>
      <c r="CH275" s="347"/>
      <c r="CI275" s="347"/>
      <c r="CJ275" s="347"/>
      <c r="CK275" s="347"/>
      <c r="CL275" s="347"/>
      <c r="CM275" s="347"/>
      <c r="CN275" s="347"/>
      <c r="CO275" s="347"/>
      <c r="CP275" s="347"/>
    </row>
    <row r="276" spans="1:94">
      <c r="A276" s="347"/>
      <c r="B276" s="348"/>
      <c r="C276" s="347"/>
      <c r="D276" s="347"/>
      <c r="E276" s="347"/>
      <c r="F276" s="347"/>
      <c r="G276" s="347"/>
      <c r="H276" s="347"/>
      <c r="I276" s="347"/>
      <c r="J276" s="347"/>
      <c r="K276" s="347"/>
      <c r="L276" s="347"/>
      <c r="M276" s="347"/>
      <c r="N276" s="347"/>
      <c r="O276" s="347"/>
      <c r="P276" s="347"/>
      <c r="Q276" s="347"/>
      <c r="R276" s="347"/>
      <c r="S276" s="347"/>
      <c r="T276" s="347"/>
      <c r="U276" s="347"/>
      <c r="V276" s="347"/>
      <c r="W276" s="347"/>
      <c r="X276" s="347"/>
      <c r="Y276" s="347"/>
      <c r="Z276" s="347"/>
      <c r="AA276" s="347"/>
      <c r="AB276" s="347"/>
      <c r="AC276" s="347"/>
      <c r="AD276" s="347"/>
      <c r="AE276" s="347"/>
      <c r="AF276" s="347"/>
      <c r="AG276" s="347"/>
      <c r="AH276" s="347"/>
      <c r="AI276" s="347"/>
      <c r="AJ276" s="347"/>
      <c r="AK276" s="347"/>
      <c r="AL276" s="347"/>
      <c r="AM276" s="347"/>
      <c r="AN276" s="347"/>
      <c r="AO276" s="347"/>
      <c r="AP276" s="347"/>
      <c r="AQ276" s="347"/>
      <c r="AR276" s="347"/>
      <c r="AS276" s="347"/>
      <c r="AT276" s="347"/>
      <c r="AU276" s="347"/>
      <c r="AV276" s="347"/>
      <c r="AW276" s="347"/>
      <c r="AX276" s="347"/>
      <c r="AY276" s="347"/>
      <c r="AZ276" s="347"/>
      <c r="BA276" s="347"/>
      <c r="BB276" s="347"/>
      <c r="BC276" s="347"/>
      <c r="BD276" s="347"/>
      <c r="BE276" s="347"/>
      <c r="BF276" s="347"/>
      <c r="BG276" s="347"/>
      <c r="BH276" s="347"/>
      <c r="BI276" s="347"/>
      <c r="BJ276" s="347"/>
      <c r="BK276" s="347"/>
      <c r="BL276" s="347"/>
      <c r="BM276" s="347"/>
      <c r="BN276" s="347"/>
      <c r="BO276" s="347"/>
      <c r="BP276" s="347"/>
      <c r="BQ276" s="347"/>
      <c r="BR276" s="347"/>
      <c r="BS276" s="347"/>
      <c r="BT276" s="347"/>
      <c r="BU276" s="347"/>
      <c r="BV276" s="347"/>
      <c r="BW276" s="347"/>
      <c r="BX276" s="347"/>
      <c r="BY276" s="347"/>
      <c r="BZ276" s="347"/>
      <c r="CA276" s="347"/>
      <c r="CB276" s="347"/>
      <c r="CC276" s="347"/>
      <c r="CD276" s="347"/>
      <c r="CE276" s="347"/>
      <c r="CF276" s="347"/>
      <c r="CG276" s="347"/>
      <c r="CH276" s="347"/>
      <c r="CI276" s="347"/>
      <c r="CJ276" s="347"/>
      <c r="CK276" s="347"/>
      <c r="CL276" s="347"/>
      <c r="CM276" s="347"/>
      <c r="CN276" s="347"/>
      <c r="CO276" s="347"/>
      <c r="CP276" s="347"/>
    </row>
    <row r="277" spans="1:94">
      <c r="A277" s="347"/>
      <c r="B277" s="348"/>
      <c r="C277" s="347"/>
      <c r="D277" s="347"/>
      <c r="E277" s="347"/>
      <c r="F277" s="347"/>
      <c r="G277" s="347"/>
      <c r="H277" s="347"/>
      <c r="I277" s="347"/>
      <c r="J277" s="347"/>
      <c r="K277" s="347"/>
      <c r="L277" s="347"/>
      <c r="M277" s="347"/>
      <c r="N277" s="347"/>
      <c r="O277" s="347"/>
      <c r="P277" s="347"/>
      <c r="Q277" s="347"/>
      <c r="R277" s="347"/>
      <c r="S277" s="347"/>
      <c r="T277" s="347"/>
      <c r="U277" s="347"/>
      <c r="V277" s="347"/>
      <c r="W277" s="347"/>
      <c r="X277" s="347"/>
      <c r="Y277" s="347"/>
      <c r="Z277" s="347"/>
      <c r="AA277" s="347"/>
      <c r="AB277" s="347"/>
      <c r="AC277" s="347"/>
      <c r="AD277" s="347"/>
      <c r="AE277" s="347"/>
      <c r="AF277" s="347"/>
      <c r="AG277" s="347"/>
      <c r="AH277" s="347"/>
      <c r="AI277" s="347"/>
      <c r="AJ277" s="347"/>
      <c r="AK277" s="347"/>
      <c r="AL277" s="347"/>
      <c r="AM277" s="347"/>
      <c r="AN277" s="347"/>
      <c r="AO277" s="347"/>
      <c r="AP277" s="347"/>
      <c r="AQ277" s="347"/>
      <c r="AR277" s="347"/>
      <c r="AS277" s="347"/>
      <c r="AT277" s="347"/>
      <c r="AU277" s="347"/>
      <c r="AV277" s="347"/>
      <c r="AW277" s="347"/>
      <c r="AX277" s="347"/>
      <c r="AY277" s="347"/>
      <c r="AZ277" s="347"/>
      <c r="BA277" s="347"/>
      <c r="BB277" s="347"/>
      <c r="BC277" s="347"/>
      <c r="BD277" s="347"/>
      <c r="BE277" s="347"/>
      <c r="BF277" s="347"/>
      <c r="BG277" s="347"/>
      <c r="BH277" s="347"/>
      <c r="BI277" s="347"/>
      <c r="BJ277" s="347"/>
      <c r="BK277" s="347"/>
      <c r="BL277" s="347"/>
      <c r="BM277" s="347"/>
      <c r="BN277" s="347"/>
      <c r="BO277" s="347"/>
      <c r="BP277" s="347"/>
      <c r="BQ277" s="347"/>
      <c r="BR277" s="347"/>
      <c r="BS277" s="347"/>
      <c r="BT277" s="347"/>
      <c r="BU277" s="347"/>
      <c r="BV277" s="347"/>
      <c r="BW277" s="347"/>
      <c r="BX277" s="347"/>
      <c r="BY277" s="347"/>
      <c r="BZ277" s="347"/>
      <c r="CA277" s="347"/>
      <c r="CB277" s="347"/>
      <c r="CC277" s="347"/>
      <c r="CD277" s="347"/>
      <c r="CE277" s="347"/>
      <c r="CF277" s="347"/>
      <c r="CG277" s="347"/>
      <c r="CH277" s="347"/>
      <c r="CI277" s="347"/>
      <c r="CJ277" s="347"/>
      <c r="CK277" s="347"/>
      <c r="CL277" s="347"/>
      <c r="CM277" s="347"/>
      <c r="CN277" s="347"/>
      <c r="CO277" s="347"/>
      <c r="CP277" s="347"/>
    </row>
    <row r="278" spans="1:94">
      <c r="A278" s="347"/>
      <c r="B278" s="348"/>
      <c r="C278" s="347"/>
      <c r="D278" s="347"/>
      <c r="E278" s="347"/>
      <c r="F278" s="347"/>
      <c r="G278" s="347"/>
      <c r="H278" s="347"/>
      <c r="I278" s="347"/>
      <c r="J278" s="347"/>
      <c r="K278" s="347"/>
      <c r="L278" s="347"/>
      <c r="M278" s="347"/>
      <c r="N278" s="347"/>
      <c r="O278" s="347"/>
      <c r="P278" s="347"/>
      <c r="Q278" s="347"/>
      <c r="R278" s="347"/>
      <c r="S278" s="347"/>
      <c r="T278" s="347"/>
      <c r="U278" s="347"/>
      <c r="V278" s="347"/>
      <c r="W278" s="347"/>
      <c r="X278" s="347"/>
      <c r="Y278" s="347"/>
      <c r="Z278" s="347"/>
      <c r="AA278" s="347"/>
      <c r="AB278" s="347"/>
      <c r="AC278" s="347"/>
      <c r="AD278" s="347"/>
      <c r="AE278" s="347"/>
      <c r="AF278" s="347"/>
      <c r="AG278" s="347"/>
      <c r="AH278" s="347"/>
      <c r="AI278" s="347"/>
      <c r="AJ278" s="347"/>
      <c r="AK278" s="347"/>
      <c r="AL278" s="347"/>
      <c r="AM278" s="347"/>
      <c r="AN278" s="347"/>
      <c r="AO278" s="347"/>
      <c r="AP278" s="347"/>
      <c r="AQ278" s="347"/>
      <c r="AR278" s="347"/>
      <c r="AS278" s="347"/>
      <c r="AT278" s="347"/>
      <c r="AU278" s="347"/>
      <c r="AV278" s="347"/>
      <c r="AW278" s="347"/>
      <c r="AX278" s="347"/>
      <c r="AY278" s="347"/>
      <c r="AZ278" s="347"/>
      <c r="BA278" s="347"/>
      <c r="BB278" s="347"/>
      <c r="BC278" s="347"/>
      <c r="BD278" s="347"/>
      <c r="BE278" s="347"/>
      <c r="BF278" s="347"/>
      <c r="BG278" s="347"/>
      <c r="BH278" s="347"/>
      <c r="BI278" s="347"/>
      <c r="BJ278" s="347"/>
      <c r="BK278" s="347"/>
      <c r="BL278" s="347"/>
      <c r="BM278" s="347"/>
      <c r="BN278" s="347"/>
      <c r="BO278" s="347"/>
      <c r="BP278" s="347"/>
      <c r="BQ278" s="347"/>
      <c r="BR278" s="347"/>
      <c r="BS278" s="347"/>
      <c r="BT278" s="347"/>
      <c r="BU278" s="347"/>
      <c r="BV278" s="347"/>
      <c r="BW278" s="347"/>
      <c r="BX278" s="347"/>
      <c r="BY278" s="347"/>
      <c r="BZ278" s="347"/>
      <c r="CA278" s="347"/>
      <c r="CB278" s="347"/>
      <c r="CC278" s="347"/>
      <c r="CD278" s="347"/>
      <c r="CE278" s="347"/>
      <c r="CF278" s="347"/>
      <c r="CG278" s="347"/>
      <c r="CH278" s="347"/>
      <c r="CI278" s="347"/>
      <c r="CJ278" s="347"/>
      <c r="CK278" s="347"/>
      <c r="CL278" s="347"/>
      <c r="CM278" s="347"/>
      <c r="CN278" s="347"/>
      <c r="CO278" s="347"/>
      <c r="CP278" s="347"/>
    </row>
    <row r="279" spans="1:94">
      <c r="A279" s="347"/>
      <c r="B279" s="348"/>
      <c r="C279" s="347"/>
      <c r="D279" s="347"/>
      <c r="E279" s="347"/>
      <c r="F279" s="347"/>
      <c r="G279" s="347"/>
      <c r="H279" s="347"/>
      <c r="I279" s="347"/>
      <c r="J279" s="347"/>
      <c r="K279" s="347"/>
      <c r="L279" s="347"/>
      <c r="M279" s="347"/>
      <c r="N279" s="347"/>
      <c r="O279" s="347"/>
      <c r="P279" s="347"/>
      <c r="Q279" s="347"/>
      <c r="R279" s="347"/>
      <c r="S279" s="347"/>
      <c r="T279" s="347"/>
      <c r="U279" s="347"/>
      <c r="V279" s="347"/>
      <c r="W279" s="347"/>
      <c r="X279" s="347"/>
      <c r="Y279" s="347"/>
      <c r="Z279" s="347"/>
      <c r="AA279" s="347"/>
      <c r="AB279" s="347"/>
      <c r="AC279" s="347"/>
      <c r="AD279" s="347"/>
      <c r="AE279" s="347"/>
      <c r="AF279" s="347"/>
      <c r="AG279" s="347"/>
      <c r="AH279" s="347"/>
      <c r="AI279" s="347"/>
      <c r="AJ279" s="347"/>
      <c r="AK279" s="347"/>
      <c r="AL279" s="347"/>
      <c r="AM279" s="347"/>
      <c r="AN279" s="347"/>
      <c r="AO279" s="347"/>
      <c r="AP279" s="347"/>
      <c r="AQ279" s="347"/>
      <c r="AR279" s="347"/>
      <c r="AS279" s="347"/>
      <c r="AT279" s="347"/>
      <c r="AU279" s="347"/>
      <c r="AV279" s="347"/>
      <c r="AW279" s="347"/>
      <c r="AX279" s="347"/>
      <c r="AY279" s="347"/>
      <c r="AZ279" s="347"/>
      <c r="BA279" s="347"/>
      <c r="BB279" s="347"/>
      <c r="BC279" s="347"/>
      <c r="BD279" s="347"/>
      <c r="BE279" s="347"/>
      <c r="BF279" s="347"/>
      <c r="BG279" s="347"/>
      <c r="BH279" s="347"/>
      <c r="BI279" s="347"/>
      <c r="BJ279" s="347"/>
      <c r="BK279" s="347"/>
      <c r="BL279" s="347"/>
      <c r="BM279" s="347"/>
      <c r="BN279" s="347"/>
      <c r="BO279" s="347"/>
      <c r="BP279" s="347"/>
      <c r="BQ279" s="347"/>
      <c r="BR279" s="347"/>
      <c r="BS279" s="347"/>
      <c r="BT279" s="347"/>
      <c r="BU279" s="347"/>
      <c r="BV279" s="347"/>
      <c r="BW279" s="347"/>
      <c r="BX279" s="347"/>
      <c r="BY279" s="347"/>
      <c r="BZ279" s="347"/>
      <c r="CA279" s="347"/>
      <c r="CB279" s="347"/>
      <c r="CC279" s="347"/>
      <c r="CD279" s="347"/>
      <c r="CE279" s="347"/>
      <c r="CF279" s="347"/>
      <c r="CG279" s="347"/>
      <c r="CH279" s="347"/>
      <c r="CI279" s="347"/>
      <c r="CJ279" s="347"/>
      <c r="CK279" s="347"/>
      <c r="CL279" s="347"/>
      <c r="CM279" s="347"/>
      <c r="CN279" s="347"/>
      <c r="CO279" s="347"/>
      <c r="CP279" s="347"/>
    </row>
    <row r="280" spans="1:94">
      <c r="A280" s="347"/>
      <c r="B280" s="348"/>
      <c r="C280" s="347"/>
      <c r="D280" s="347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47"/>
      <c r="P280" s="347"/>
      <c r="Q280" s="347"/>
      <c r="R280" s="347"/>
      <c r="S280" s="347"/>
      <c r="T280" s="347"/>
      <c r="U280" s="347"/>
      <c r="V280" s="347"/>
      <c r="W280" s="347"/>
      <c r="X280" s="347"/>
      <c r="Y280" s="347"/>
      <c r="Z280" s="347"/>
      <c r="AA280" s="347"/>
      <c r="AB280" s="347"/>
      <c r="AC280" s="347"/>
      <c r="AD280" s="347"/>
      <c r="AE280" s="347"/>
      <c r="AF280" s="347"/>
      <c r="AG280" s="347"/>
      <c r="AH280" s="347"/>
      <c r="AI280" s="347"/>
      <c r="AJ280" s="347"/>
      <c r="AK280" s="347"/>
      <c r="AL280" s="347"/>
      <c r="AM280" s="347"/>
      <c r="AN280" s="347"/>
      <c r="AO280" s="347"/>
      <c r="AP280" s="347"/>
      <c r="AQ280" s="347"/>
      <c r="AR280" s="347"/>
      <c r="AS280" s="347"/>
      <c r="AT280" s="347"/>
      <c r="AU280" s="347"/>
      <c r="AV280" s="347"/>
      <c r="AW280" s="347"/>
      <c r="AX280" s="347"/>
      <c r="AY280" s="347"/>
      <c r="AZ280" s="347"/>
      <c r="BA280" s="347"/>
      <c r="BB280" s="347"/>
      <c r="BC280" s="347"/>
      <c r="BD280" s="347"/>
      <c r="BE280" s="347"/>
      <c r="BF280" s="347"/>
      <c r="BG280" s="347"/>
      <c r="BH280" s="347"/>
      <c r="BI280" s="347"/>
      <c r="BJ280" s="347"/>
      <c r="BK280" s="347"/>
      <c r="BL280" s="347"/>
      <c r="BM280" s="347"/>
      <c r="BN280" s="347"/>
      <c r="BO280" s="347"/>
      <c r="BP280" s="347"/>
      <c r="BQ280" s="347"/>
      <c r="BR280" s="347"/>
      <c r="BS280" s="347"/>
      <c r="BT280" s="347"/>
      <c r="BU280" s="347"/>
      <c r="BV280" s="347"/>
      <c r="BW280" s="347"/>
      <c r="BX280" s="347"/>
      <c r="BY280" s="347"/>
      <c r="BZ280" s="347"/>
      <c r="CA280" s="347"/>
      <c r="CB280" s="347"/>
      <c r="CC280" s="347"/>
      <c r="CD280" s="347"/>
      <c r="CE280" s="347"/>
      <c r="CF280" s="347"/>
      <c r="CG280" s="347"/>
      <c r="CH280" s="347"/>
      <c r="CI280" s="347"/>
      <c r="CJ280" s="347"/>
      <c r="CK280" s="347"/>
      <c r="CL280" s="347"/>
      <c r="CM280" s="347"/>
      <c r="CN280" s="347"/>
      <c r="CO280" s="347"/>
      <c r="CP280" s="347"/>
    </row>
    <row r="281" spans="1:94">
      <c r="A281" s="347"/>
      <c r="B281" s="348"/>
      <c r="C281" s="347"/>
      <c r="D281" s="347"/>
      <c r="E281" s="347"/>
      <c r="F281" s="347"/>
      <c r="G281" s="347"/>
      <c r="H281" s="347"/>
      <c r="I281" s="347"/>
      <c r="J281" s="347"/>
      <c r="K281" s="347"/>
      <c r="L281" s="347"/>
      <c r="M281" s="347"/>
      <c r="N281" s="347"/>
      <c r="O281" s="347"/>
      <c r="P281" s="347"/>
      <c r="Q281" s="347"/>
      <c r="R281" s="347"/>
      <c r="S281" s="347"/>
      <c r="T281" s="347"/>
      <c r="U281" s="347"/>
      <c r="V281" s="347"/>
      <c r="W281" s="347"/>
      <c r="X281" s="347"/>
      <c r="Y281" s="347"/>
      <c r="Z281" s="347"/>
      <c r="AA281" s="347"/>
      <c r="AB281" s="347"/>
      <c r="AC281" s="347"/>
      <c r="AD281" s="347"/>
      <c r="AE281" s="347"/>
      <c r="AF281" s="347"/>
      <c r="AG281" s="347"/>
      <c r="AH281" s="347"/>
      <c r="AI281" s="347"/>
      <c r="AJ281" s="347"/>
      <c r="AK281" s="347"/>
      <c r="AL281" s="347"/>
      <c r="AM281" s="347"/>
      <c r="AN281" s="347"/>
      <c r="AO281" s="347"/>
      <c r="AP281" s="347"/>
      <c r="AQ281" s="347"/>
      <c r="AR281" s="347"/>
      <c r="AS281" s="347"/>
      <c r="AT281" s="347"/>
      <c r="AU281" s="347"/>
      <c r="AV281" s="347"/>
      <c r="AW281" s="347"/>
      <c r="AX281" s="347"/>
      <c r="AY281" s="347"/>
      <c r="AZ281" s="347"/>
      <c r="BA281" s="347"/>
      <c r="BB281" s="347"/>
      <c r="BC281" s="347"/>
      <c r="BD281" s="347"/>
      <c r="BE281" s="347"/>
      <c r="BF281" s="347"/>
      <c r="BG281" s="347"/>
      <c r="BH281" s="347"/>
      <c r="BI281" s="347"/>
      <c r="BJ281" s="347"/>
      <c r="BK281" s="347"/>
      <c r="BL281" s="347"/>
      <c r="BM281" s="347"/>
      <c r="BN281" s="347"/>
      <c r="BO281" s="347"/>
      <c r="BP281" s="347"/>
      <c r="BQ281" s="347"/>
      <c r="BR281" s="347"/>
      <c r="BS281" s="347"/>
      <c r="BT281" s="347"/>
      <c r="BU281" s="347"/>
      <c r="BV281" s="347"/>
      <c r="BW281" s="347"/>
      <c r="BX281" s="347"/>
      <c r="BY281" s="347"/>
      <c r="BZ281" s="347"/>
      <c r="CA281" s="347"/>
      <c r="CB281" s="347"/>
      <c r="CC281" s="347"/>
      <c r="CD281" s="347"/>
      <c r="CE281" s="347"/>
      <c r="CF281" s="347"/>
      <c r="CG281" s="347"/>
      <c r="CH281" s="347"/>
      <c r="CI281" s="347"/>
      <c r="CJ281" s="347"/>
      <c r="CK281" s="347"/>
      <c r="CL281" s="347"/>
      <c r="CM281" s="347"/>
      <c r="CN281" s="347"/>
      <c r="CO281" s="347"/>
      <c r="CP281" s="347"/>
    </row>
    <row r="282" spans="1:94">
      <c r="A282" s="347"/>
      <c r="B282" s="348"/>
      <c r="C282" s="347"/>
      <c r="D282" s="347"/>
      <c r="E282" s="347"/>
      <c r="F282" s="347"/>
      <c r="G282" s="347"/>
      <c r="H282" s="347"/>
      <c r="I282" s="347"/>
      <c r="J282" s="347"/>
      <c r="K282" s="347"/>
      <c r="L282" s="347"/>
      <c r="M282" s="347"/>
      <c r="N282" s="347"/>
      <c r="O282" s="347"/>
      <c r="P282" s="347"/>
      <c r="Q282" s="347"/>
      <c r="R282" s="347"/>
      <c r="S282" s="347"/>
      <c r="T282" s="347"/>
      <c r="U282" s="347"/>
      <c r="V282" s="347"/>
      <c r="W282" s="347"/>
      <c r="X282" s="347"/>
      <c r="Y282" s="347"/>
      <c r="Z282" s="347"/>
      <c r="AA282" s="347"/>
      <c r="AB282" s="347"/>
      <c r="AC282" s="347"/>
      <c r="AD282" s="347"/>
      <c r="AE282" s="347"/>
      <c r="AF282" s="347"/>
      <c r="AG282" s="347"/>
      <c r="AH282" s="347"/>
      <c r="AI282" s="347"/>
      <c r="AJ282" s="347"/>
      <c r="AK282" s="347"/>
      <c r="AL282" s="347"/>
      <c r="AM282" s="347"/>
      <c r="AN282" s="347"/>
      <c r="AO282" s="347"/>
      <c r="AP282" s="347"/>
      <c r="AQ282" s="347"/>
      <c r="AR282" s="347"/>
      <c r="AS282" s="347"/>
      <c r="AT282" s="347"/>
      <c r="AU282" s="347"/>
      <c r="AV282" s="347"/>
      <c r="AW282" s="347"/>
      <c r="AX282" s="347"/>
      <c r="AY282" s="347"/>
      <c r="AZ282" s="347"/>
      <c r="BA282" s="347"/>
      <c r="BB282" s="347"/>
      <c r="BC282" s="347"/>
      <c r="BD282" s="347"/>
      <c r="BE282" s="347"/>
      <c r="BF282" s="347"/>
      <c r="BG282" s="347"/>
      <c r="BH282" s="347"/>
      <c r="BI282" s="347"/>
      <c r="BJ282" s="347"/>
      <c r="BK282" s="347"/>
      <c r="BL282" s="347"/>
      <c r="BM282" s="347"/>
      <c r="BN282" s="347"/>
      <c r="BO282" s="347"/>
      <c r="BP282" s="347"/>
      <c r="BQ282" s="347"/>
      <c r="BR282" s="347"/>
      <c r="BS282" s="347"/>
      <c r="BT282" s="347"/>
      <c r="BU282" s="347"/>
      <c r="BV282" s="347"/>
      <c r="BW282" s="347"/>
      <c r="BX282" s="347"/>
      <c r="BY282" s="347"/>
      <c r="BZ282" s="347"/>
      <c r="CA282" s="347"/>
      <c r="CB282" s="347"/>
      <c r="CC282" s="347"/>
      <c r="CD282" s="347"/>
      <c r="CE282" s="347"/>
      <c r="CF282" s="347"/>
      <c r="CG282" s="347"/>
      <c r="CH282" s="347"/>
      <c r="CI282" s="347"/>
      <c r="CJ282" s="347"/>
      <c r="CK282" s="347"/>
      <c r="CL282" s="347"/>
      <c r="CM282" s="347"/>
      <c r="CN282" s="347"/>
      <c r="CO282" s="347"/>
      <c r="CP282" s="347"/>
    </row>
    <row r="283" spans="1:94">
      <c r="A283" s="347"/>
      <c r="B283" s="348"/>
      <c r="C283" s="347"/>
      <c r="D283" s="347"/>
      <c r="E283" s="347"/>
      <c r="F283" s="347"/>
      <c r="G283" s="347"/>
      <c r="H283" s="347"/>
      <c r="I283" s="347"/>
      <c r="J283" s="347"/>
      <c r="K283" s="347"/>
      <c r="L283" s="347"/>
      <c r="M283" s="347"/>
      <c r="N283" s="347"/>
      <c r="O283" s="347"/>
      <c r="P283" s="347"/>
      <c r="Q283" s="347"/>
      <c r="R283" s="347"/>
      <c r="S283" s="347"/>
      <c r="T283" s="347"/>
      <c r="U283" s="347"/>
      <c r="V283" s="347"/>
      <c r="W283" s="347"/>
      <c r="X283" s="347"/>
      <c r="Y283" s="347"/>
      <c r="Z283" s="347"/>
      <c r="AA283" s="347"/>
      <c r="AB283" s="347"/>
      <c r="AC283" s="347"/>
      <c r="AD283" s="347"/>
      <c r="AE283" s="347"/>
      <c r="AF283" s="347"/>
      <c r="AG283" s="347"/>
      <c r="AH283" s="347"/>
      <c r="AI283" s="347"/>
      <c r="AJ283" s="347"/>
      <c r="AK283" s="347"/>
      <c r="AL283" s="347"/>
      <c r="AM283" s="347"/>
      <c r="AN283" s="347"/>
      <c r="AO283" s="347"/>
      <c r="AP283" s="347"/>
      <c r="AQ283" s="347"/>
      <c r="AR283" s="347"/>
      <c r="AS283" s="347"/>
      <c r="AT283" s="347"/>
      <c r="AU283" s="347"/>
      <c r="AV283" s="347"/>
      <c r="AW283" s="347"/>
      <c r="AX283" s="347"/>
      <c r="AY283" s="347"/>
      <c r="AZ283" s="347"/>
      <c r="BA283" s="347"/>
      <c r="BB283" s="347"/>
      <c r="BC283" s="347"/>
      <c r="BD283" s="347"/>
      <c r="BE283" s="347"/>
      <c r="BF283" s="347"/>
      <c r="BG283" s="347"/>
      <c r="BH283" s="347"/>
      <c r="BI283" s="347"/>
      <c r="BJ283" s="347"/>
      <c r="BK283" s="347"/>
      <c r="BL283" s="347"/>
      <c r="BM283" s="347"/>
      <c r="BN283" s="347"/>
      <c r="BO283" s="347"/>
      <c r="BP283" s="347"/>
      <c r="BQ283" s="347"/>
      <c r="BR283" s="347"/>
      <c r="BS283" s="347"/>
      <c r="BT283" s="347"/>
      <c r="BU283" s="347"/>
      <c r="BV283" s="347"/>
      <c r="BW283" s="347"/>
      <c r="BX283" s="347"/>
      <c r="BY283" s="347"/>
      <c r="BZ283" s="347"/>
      <c r="CA283" s="347"/>
      <c r="CB283" s="347"/>
      <c r="CC283" s="347"/>
      <c r="CD283" s="347"/>
      <c r="CE283" s="347"/>
      <c r="CF283" s="347"/>
      <c r="CG283" s="347"/>
      <c r="CH283" s="347"/>
      <c r="CI283" s="347"/>
      <c r="CJ283" s="347"/>
      <c r="CK283" s="347"/>
      <c r="CL283" s="347"/>
      <c r="CM283" s="347"/>
      <c r="CN283" s="347"/>
      <c r="CO283" s="347"/>
      <c r="CP283" s="347"/>
    </row>
    <row r="284" spans="1:94">
      <c r="A284" s="347"/>
      <c r="B284" s="348"/>
      <c r="C284" s="347"/>
      <c r="D284" s="347"/>
      <c r="E284" s="347"/>
      <c r="F284" s="347"/>
      <c r="G284" s="347"/>
      <c r="H284" s="347"/>
      <c r="I284" s="347"/>
      <c r="J284" s="347"/>
      <c r="K284" s="347"/>
      <c r="L284" s="347"/>
      <c r="M284" s="347"/>
      <c r="N284" s="347"/>
      <c r="O284" s="347"/>
      <c r="P284" s="347"/>
      <c r="Q284" s="347"/>
      <c r="R284" s="347"/>
      <c r="S284" s="347"/>
      <c r="T284" s="347"/>
      <c r="U284" s="347"/>
      <c r="V284" s="347"/>
      <c r="W284" s="347"/>
      <c r="X284" s="347"/>
      <c r="Y284" s="347"/>
      <c r="Z284" s="347"/>
      <c r="AA284" s="347"/>
      <c r="AB284" s="347"/>
      <c r="AC284" s="347"/>
      <c r="AD284" s="347"/>
      <c r="AE284" s="347"/>
      <c r="AF284" s="347"/>
      <c r="AG284" s="347"/>
      <c r="AH284" s="347"/>
      <c r="AI284" s="347"/>
      <c r="AJ284" s="347"/>
      <c r="AK284" s="347"/>
      <c r="AL284" s="347"/>
      <c r="AM284" s="347"/>
      <c r="AN284" s="347"/>
      <c r="AO284" s="347"/>
      <c r="AP284" s="347"/>
      <c r="AQ284" s="347"/>
      <c r="AR284" s="347"/>
      <c r="AS284" s="347"/>
      <c r="AT284" s="347"/>
      <c r="AU284" s="347"/>
      <c r="AV284" s="347"/>
      <c r="AW284" s="347"/>
      <c r="AX284" s="347"/>
      <c r="AY284" s="347"/>
      <c r="AZ284" s="347"/>
      <c r="BA284" s="347"/>
      <c r="BB284" s="347"/>
      <c r="BC284" s="347"/>
      <c r="BD284" s="347"/>
      <c r="BE284" s="347"/>
      <c r="BF284" s="347"/>
      <c r="BG284" s="347"/>
      <c r="BH284" s="347"/>
      <c r="BI284" s="347"/>
      <c r="BJ284" s="347"/>
      <c r="BK284" s="347"/>
      <c r="BL284" s="347"/>
      <c r="BM284" s="347"/>
      <c r="BN284" s="347"/>
      <c r="BO284" s="347"/>
      <c r="BP284" s="347"/>
      <c r="BQ284" s="347"/>
      <c r="BR284" s="347"/>
      <c r="BS284" s="347"/>
      <c r="BT284" s="347"/>
      <c r="BU284" s="347"/>
      <c r="BV284" s="347"/>
      <c r="BW284" s="347"/>
      <c r="BX284" s="347"/>
      <c r="BY284" s="347"/>
      <c r="BZ284" s="347"/>
      <c r="CA284" s="347"/>
      <c r="CB284" s="347"/>
      <c r="CC284" s="347"/>
      <c r="CD284" s="347"/>
      <c r="CE284" s="347"/>
      <c r="CF284" s="347"/>
      <c r="CG284" s="347"/>
      <c r="CH284" s="347"/>
      <c r="CI284" s="347"/>
      <c r="CJ284" s="347"/>
      <c r="CK284" s="347"/>
      <c r="CL284" s="347"/>
      <c r="CM284" s="347"/>
      <c r="CN284" s="347"/>
      <c r="CO284" s="347"/>
      <c r="CP284" s="347"/>
    </row>
    <row r="285" spans="1:94">
      <c r="A285" s="347"/>
      <c r="B285" s="348"/>
      <c r="C285" s="347"/>
      <c r="D285" s="347"/>
      <c r="E285" s="347"/>
      <c r="F285" s="347"/>
      <c r="G285" s="347"/>
      <c r="H285" s="347"/>
      <c r="I285" s="347"/>
      <c r="J285" s="347"/>
      <c r="K285" s="347"/>
      <c r="L285" s="347"/>
      <c r="M285" s="347"/>
      <c r="N285" s="347"/>
      <c r="O285" s="347"/>
      <c r="P285" s="347"/>
      <c r="Q285" s="347"/>
      <c r="R285" s="347"/>
      <c r="S285" s="347"/>
      <c r="T285" s="347"/>
      <c r="U285" s="347"/>
      <c r="V285" s="347"/>
      <c r="W285" s="347"/>
      <c r="X285" s="347"/>
      <c r="Y285" s="347"/>
      <c r="Z285" s="347"/>
      <c r="AA285" s="347"/>
      <c r="AB285" s="347"/>
      <c r="AC285" s="347"/>
      <c r="AD285" s="347"/>
      <c r="AE285" s="347"/>
      <c r="AF285" s="347"/>
      <c r="AG285" s="347"/>
      <c r="AH285" s="347"/>
      <c r="AI285" s="347"/>
      <c r="AJ285" s="347"/>
      <c r="AK285" s="347"/>
      <c r="AL285" s="347"/>
      <c r="AM285" s="347"/>
      <c r="AN285" s="347"/>
      <c r="AO285" s="347"/>
      <c r="AP285" s="347"/>
      <c r="AQ285" s="347"/>
      <c r="AR285" s="347"/>
      <c r="AS285" s="347"/>
      <c r="AT285" s="347"/>
      <c r="AU285" s="347"/>
      <c r="AV285" s="347"/>
      <c r="AW285" s="347"/>
      <c r="AX285" s="347"/>
      <c r="AY285" s="347"/>
      <c r="AZ285" s="347"/>
      <c r="BA285" s="347"/>
      <c r="BB285" s="347"/>
      <c r="BC285" s="347"/>
      <c r="BD285" s="347"/>
      <c r="BE285" s="347"/>
      <c r="BF285" s="347"/>
      <c r="BG285" s="347"/>
      <c r="BH285" s="347"/>
      <c r="BI285" s="347"/>
      <c r="BJ285" s="347"/>
      <c r="BK285" s="347"/>
      <c r="BL285" s="347"/>
      <c r="BM285" s="347"/>
      <c r="BN285" s="347"/>
      <c r="BO285" s="347"/>
      <c r="BP285" s="347"/>
      <c r="BQ285" s="347"/>
      <c r="BR285" s="347"/>
      <c r="BS285" s="347"/>
      <c r="BT285" s="347"/>
      <c r="BU285" s="347"/>
      <c r="BV285" s="347"/>
      <c r="BW285" s="347"/>
      <c r="BX285" s="347"/>
      <c r="BY285" s="347"/>
      <c r="BZ285" s="347"/>
      <c r="CA285" s="347"/>
      <c r="CB285" s="347"/>
      <c r="CC285" s="347"/>
      <c r="CD285" s="347"/>
      <c r="CE285" s="347"/>
      <c r="CF285" s="347"/>
      <c r="CG285" s="347"/>
      <c r="CH285" s="347"/>
      <c r="CI285" s="347"/>
      <c r="CJ285" s="347"/>
      <c r="CK285" s="347"/>
      <c r="CL285" s="347"/>
      <c r="CM285" s="347"/>
      <c r="CN285" s="347"/>
      <c r="CO285" s="347"/>
      <c r="CP285" s="347"/>
    </row>
    <row r="286" spans="1:94">
      <c r="A286" s="347"/>
      <c r="B286" s="348"/>
      <c r="C286" s="347"/>
      <c r="D286" s="347"/>
      <c r="E286" s="347"/>
      <c r="F286" s="347"/>
      <c r="G286" s="347"/>
      <c r="H286" s="347"/>
      <c r="I286" s="347"/>
      <c r="J286" s="347"/>
      <c r="K286" s="347"/>
      <c r="L286" s="347"/>
      <c r="M286" s="347"/>
      <c r="N286" s="347"/>
      <c r="O286" s="347"/>
      <c r="P286" s="347"/>
      <c r="Q286" s="347"/>
      <c r="R286" s="347"/>
      <c r="S286" s="347"/>
      <c r="T286" s="347"/>
      <c r="U286" s="347"/>
      <c r="V286" s="347"/>
      <c r="W286" s="347"/>
      <c r="X286" s="347"/>
      <c r="Y286" s="347"/>
      <c r="Z286" s="347"/>
      <c r="AA286" s="347"/>
      <c r="AB286" s="347"/>
      <c r="AC286" s="347"/>
      <c r="AD286" s="347"/>
      <c r="AE286" s="347"/>
      <c r="AF286" s="347"/>
      <c r="AG286" s="347"/>
      <c r="AH286" s="347"/>
      <c r="AI286" s="347"/>
      <c r="AJ286" s="347"/>
      <c r="AK286" s="347"/>
      <c r="AL286" s="347"/>
      <c r="AM286" s="347"/>
      <c r="AN286" s="347"/>
      <c r="AO286" s="347"/>
      <c r="AP286" s="347"/>
      <c r="AQ286" s="347"/>
      <c r="AR286" s="347"/>
      <c r="AS286" s="347"/>
      <c r="AT286" s="347"/>
      <c r="AU286" s="347"/>
      <c r="AV286" s="347"/>
      <c r="AW286" s="347"/>
      <c r="AX286" s="347"/>
      <c r="AY286" s="347"/>
      <c r="AZ286" s="347"/>
      <c r="BA286" s="347"/>
      <c r="BB286" s="347"/>
      <c r="BC286" s="347"/>
      <c r="BD286" s="347"/>
      <c r="BE286" s="347"/>
      <c r="BF286" s="347"/>
      <c r="BG286" s="347"/>
      <c r="BH286" s="347"/>
      <c r="BI286" s="347"/>
      <c r="BJ286" s="347"/>
      <c r="BK286" s="347"/>
      <c r="BL286" s="347"/>
      <c r="BM286" s="347"/>
      <c r="BN286" s="347"/>
      <c r="BO286" s="347"/>
      <c r="BP286" s="347"/>
      <c r="BQ286" s="347"/>
      <c r="BR286" s="347"/>
      <c r="BS286" s="347"/>
      <c r="BT286" s="347"/>
      <c r="BU286" s="347"/>
      <c r="BV286" s="347"/>
      <c r="BW286" s="347"/>
      <c r="BX286" s="347"/>
      <c r="BY286" s="347"/>
      <c r="BZ286" s="347"/>
      <c r="CA286" s="347"/>
      <c r="CB286" s="347"/>
      <c r="CC286" s="347"/>
      <c r="CD286" s="347"/>
      <c r="CE286" s="347"/>
      <c r="CF286" s="347"/>
      <c r="CG286" s="347"/>
      <c r="CH286" s="347"/>
      <c r="CI286" s="347"/>
      <c r="CJ286" s="347"/>
      <c r="CK286" s="347"/>
      <c r="CL286" s="347"/>
      <c r="CM286" s="347"/>
      <c r="CN286" s="347"/>
      <c r="CO286" s="347"/>
      <c r="CP286" s="347"/>
    </row>
    <row r="287" spans="1:94">
      <c r="A287" s="347"/>
      <c r="B287" s="348"/>
      <c r="C287" s="347"/>
      <c r="D287" s="347"/>
      <c r="E287" s="347"/>
      <c r="F287" s="347"/>
      <c r="G287" s="347"/>
      <c r="H287" s="347"/>
      <c r="I287" s="347"/>
      <c r="J287" s="347"/>
      <c r="K287" s="347"/>
      <c r="L287" s="347"/>
      <c r="M287" s="347"/>
      <c r="N287" s="347"/>
      <c r="O287" s="347"/>
      <c r="P287" s="347"/>
      <c r="Q287" s="347"/>
      <c r="R287" s="347"/>
      <c r="S287" s="347"/>
      <c r="T287" s="347"/>
      <c r="U287" s="347"/>
      <c r="V287" s="347"/>
      <c r="W287" s="347"/>
      <c r="X287" s="347"/>
      <c r="Y287" s="347"/>
      <c r="Z287" s="347"/>
      <c r="AA287" s="347"/>
      <c r="AB287" s="347"/>
      <c r="AC287" s="347"/>
      <c r="AD287" s="347"/>
      <c r="AE287" s="347"/>
      <c r="AF287" s="347"/>
      <c r="AG287" s="347"/>
      <c r="AH287" s="347"/>
      <c r="AI287" s="347"/>
      <c r="AJ287" s="347"/>
      <c r="AK287" s="347"/>
      <c r="AL287" s="347"/>
      <c r="AM287" s="347"/>
      <c r="AN287" s="347"/>
      <c r="AO287" s="347"/>
      <c r="AP287" s="347"/>
      <c r="AQ287" s="347"/>
      <c r="AR287" s="347"/>
      <c r="AS287" s="347"/>
      <c r="AT287" s="347"/>
      <c r="AU287" s="347"/>
      <c r="AV287" s="347"/>
      <c r="AW287" s="347"/>
      <c r="AX287" s="347"/>
      <c r="AY287" s="347"/>
      <c r="AZ287" s="347"/>
      <c r="BA287" s="347"/>
      <c r="BB287" s="347"/>
      <c r="BC287" s="347"/>
      <c r="BD287" s="347"/>
      <c r="BE287" s="347"/>
      <c r="BF287" s="347"/>
      <c r="BG287" s="347"/>
      <c r="BH287" s="347"/>
      <c r="BI287" s="347"/>
      <c r="BJ287" s="347"/>
      <c r="BK287" s="347"/>
      <c r="BL287" s="347"/>
      <c r="BM287" s="347"/>
      <c r="BN287" s="347"/>
      <c r="BO287" s="347"/>
      <c r="BP287" s="347"/>
      <c r="BQ287" s="347"/>
      <c r="BR287" s="347"/>
      <c r="BS287" s="347"/>
      <c r="BT287" s="347"/>
      <c r="BU287" s="347"/>
      <c r="BV287" s="347"/>
      <c r="BW287" s="347"/>
      <c r="BX287" s="347"/>
      <c r="BY287" s="347"/>
      <c r="BZ287" s="347"/>
      <c r="CA287" s="347"/>
      <c r="CB287" s="347"/>
      <c r="CC287" s="347"/>
      <c r="CD287" s="347"/>
      <c r="CE287" s="347"/>
      <c r="CF287" s="347"/>
      <c r="CG287" s="347"/>
      <c r="CH287" s="347"/>
      <c r="CI287" s="347"/>
      <c r="CJ287" s="347"/>
      <c r="CK287" s="347"/>
      <c r="CL287" s="347"/>
      <c r="CM287" s="347"/>
      <c r="CN287" s="347"/>
      <c r="CO287" s="347"/>
      <c r="CP287" s="347"/>
    </row>
    <row r="288" spans="1:94">
      <c r="A288" s="347"/>
      <c r="B288" s="348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  <c r="AE288" s="347"/>
      <c r="AF288" s="347"/>
      <c r="AG288" s="347"/>
      <c r="AH288" s="347"/>
      <c r="AI288" s="347"/>
      <c r="AJ288" s="347"/>
      <c r="AK288" s="347"/>
      <c r="AL288" s="347"/>
      <c r="AM288" s="347"/>
      <c r="AN288" s="347"/>
      <c r="AO288" s="347"/>
      <c r="AP288" s="347"/>
      <c r="AQ288" s="347"/>
      <c r="AR288" s="347"/>
      <c r="AS288" s="347"/>
      <c r="AT288" s="347"/>
      <c r="AU288" s="347"/>
      <c r="AV288" s="347"/>
      <c r="AW288" s="347"/>
      <c r="AX288" s="347"/>
      <c r="AY288" s="347"/>
      <c r="AZ288" s="347"/>
      <c r="BA288" s="347"/>
      <c r="BB288" s="347"/>
      <c r="BC288" s="347"/>
      <c r="BD288" s="347"/>
      <c r="BE288" s="347"/>
      <c r="BF288" s="347"/>
      <c r="BG288" s="347"/>
      <c r="BH288" s="347"/>
      <c r="BI288" s="347"/>
      <c r="BJ288" s="347"/>
      <c r="BK288" s="347"/>
      <c r="BL288" s="347"/>
      <c r="BM288" s="347"/>
      <c r="BN288" s="347"/>
      <c r="BO288" s="347"/>
      <c r="BP288" s="347"/>
      <c r="BQ288" s="347"/>
      <c r="BR288" s="347"/>
      <c r="BS288" s="347"/>
      <c r="BT288" s="347"/>
      <c r="BU288" s="347"/>
      <c r="BV288" s="347"/>
      <c r="BW288" s="347"/>
      <c r="BX288" s="347"/>
      <c r="BY288" s="347"/>
      <c r="BZ288" s="347"/>
      <c r="CA288" s="347"/>
      <c r="CB288" s="347"/>
      <c r="CC288" s="347"/>
      <c r="CD288" s="347"/>
      <c r="CE288" s="347"/>
      <c r="CF288" s="347"/>
      <c r="CG288" s="347"/>
      <c r="CH288" s="347"/>
      <c r="CI288" s="347"/>
      <c r="CJ288" s="347"/>
      <c r="CK288" s="347"/>
      <c r="CL288" s="347"/>
      <c r="CM288" s="347"/>
      <c r="CN288" s="347"/>
      <c r="CO288" s="347"/>
      <c r="CP288" s="347"/>
    </row>
    <row r="289" spans="1:94">
      <c r="A289" s="347"/>
      <c r="B289" s="348"/>
      <c r="C289" s="347"/>
      <c r="D289" s="347"/>
      <c r="E289" s="347"/>
      <c r="F289" s="347"/>
      <c r="G289" s="347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7"/>
      <c r="AD289" s="347"/>
      <c r="AE289" s="347"/>
      <c r="AF289" s="347"/>
      <c r="AG289" s="347"/>
      <c r="AH289" s="347"/>
      <c r="AI289" s="347"/>
      <c r="AJ289" s="347"/>
      <c r="AK289" s="347"/>
      <c r="AL289" s="347"/>
      <c r="AM289" s="347"/>
      <c r="AN289" s="347"/>
      <c r="AO289" s="347"/>
      <c r="AP289" s="347"/>
      <c r="AQ289" s="347"/>
      <c r="AR289" s="347"/>
      <c r="AS289" s="347"/>
      <c r="AT289" s="347"/>
      <c r="AU289" s="347"/>
      <c r="AV289" s="347"/>
      <c r="AW289" s="347"/>
      <c r="AX289" s="347"/>
      <c r="AY289" s="347"/>
      <c r="AZ289" s="347"/>
      <c r="BA289" s="347"/>
      <c r="BB289" s="347"/>
      <c r="BC289" s="347"/>
      <c r="BD289" s="347"/>
      <c r="BE289" s="347"/>
      <c r="BF289" s="347"/>
      <c r="BG289" s="347"/>
      <c r="BH289" s="347"/>
      <c r="BI289" s="347"/>
      <c r="BJ289" s="347"/>
      <c r="BK289" s="347"/>
      <c r="BL289" s="347"/>
      <c r="BM289" s="347"/>
      <c r="BN289" s="347"/>
      <c r="BO289" s="347"/>
      <c r="BP289" s="347"/>
      <c r="BQ289" s="347"/>
      <c r="BR289" s="347"/>
      <c r="BS289" s="347"/>
      <c r="BT289" s="347"/>
      <c r="BU289" s="347"/>
      <c r="BV289" s="347"/>
      <c r="BW289" s="347"/>
      <c r="BX289" s="347"/>
      <c r="BY289" s="347"/>
      <c r="BZ289" s="347"/>
      <c r="CA289" s="347"/>
      <c r="CB289" s="347"/>
      <c r="CC289" s="347"/>
      <c r="CD289" s="347"/>
      <c r="CE289" s="347"/>
      <c r="CF289" s="347"/>
      <c r="CG289" s="347"/>
      <c r="CH289" s="347"/>
      <c r="CI289" s="347"/>
      <c r="CJ289" s="347"/>
      <c r="CK289" s="347"/>
      <c r="CL289" s="347"/>
      <c r="CM289" s="347"/>
      <c r="CN289" s="347"/>
      <c r="CO289" s="347"/>
      <c r="CP289" s="347"/>
    </row>
    <row r="290" spans="1:94">
      <c r="A290" s="347"/>
      <c r="B290" s="348"/>
      <c r="C290" s="347"/>
      <c r="D290" s="347"/>
      <c r="E290" s="347"/>
      <c r="F290" s="347"/>
      <c r="G290" s="347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7"/>
      <c r="AD290" s="347"/>
      <c r="AE290" s="347"/>
      <c r="AF290" s="347"/>
      <c r="AG290" s="347"/>
      <c r="AH290" s="347"/>
      <c r="AI290" s="347"/>
      <c r="AJ290" s="347"/>
      <c r="AK290" s="347"/>
      <c r="AL290" s="347"/>
      <c r="AM290" s="347"/>
      <c r="AN290" s="347"/>
      <c r="AO290" s="347"/>
      <c r="AP290" s="347"/>
      <c r="AQ290" s="347"/>
      <c r="AR290" s="347"/>
      <c r="AS290" s="347"/>
      <c r="AT290" s="347"/>
      <c r="AU290" s="347"/>
      <c r="AV290" s="347"/>
      <c r="AW290" s="347"/>
      <c r="AX290" s="347"/>
      <c r="AY290" s="347"/>
      <c r="AZ290" s="347"/>
      <c r="BA290" s="347"/>
      <c r="BB290" s="347"/>
      <c r="BC290" s="347"/>
      <c r="BD290" s="347"/>
      <c r="BE290" s="347"/>
      <c r="BF290" s="347"/>
      <c r="BG290" s="347"/>
      <c r="BH290" s="347"/>
      <c r="BI290" s="347"/>
      <c r="BJ290" s="347"/>
      <c r="BK290" s="347"/>
      <c r="BL290" s="347"/>
      <c r="BM290" s="347"/>
      <c r="BN290" s="347"/>
      <c r="BO290" s="347"/>
      <c r="BP290" s="347"/>
      <c r="BQ290" s="347"/>
      <c r="BR290" s="347"/>
      <c r="BS290" s="347"/>
      <c r="BT290" s="347"/>
      <c r="BU290" s="347"/>
      <c r="BV290" s="347"/>
      <c r="BW290" s="347"/>
      <c r="BX290" s="347"/>
      <c r="BY290" s="347"/>
      <c r="BZ290" s="347"/>
      <c r="CA290" s="347"/>
      <c r="CB290" s="347"/>
      <c r="CC290" s="347"/>
      <c r="CD290" s="347"/>
      <c r="CE290" s="347"/>
      <c r="CF290" s="347"/>
      <c r="CG290" s="347"/>
      <c r="CH290" s="347"/>
      <c r="CI290" s="347"/>
      <c r="CJ290" s="347"/>
      <c r="CK290" s="347"/>
      <c r="CL290" s="347"/>
      <c r="CM290" s="347"/>
      <c r="CN290" s="347"/>
      <c r="CO290" s="347"/>
      <c r="CP290" s="347"/>
    </row>
    <row r="291" spans="1:94">
      <c r="A291" s="347"/>
      <c r="B291" s="348"/>
      <c r="C291" s="347"/>
      <c r="D291" s="347"/>
      <c r="E291" s="347"/>
      <c r="F291" s="347"/>
      <c r="G291" s="347"/>
      <c r="H291" s="347"/>
      <c r="I291" s="347"/>
      <c r="J291" s="347"/>
      <c r="K291" s="347"/>
      <c r="L291" s="347"/>
      <c r="M291" s="347"/>
      <c r="N291" s="347"/>
      <c r="O291" s="347"/>
      <c r="P291" s="347"/>
      <c r="Q291" s="347"/>
      <c r="R291" s="347"/>
      <c r="S291" s="347"/>
      <c r="T291" s="347"/>
      <c r="U291" s="347"/>
      <c r="V291" s="347"/>
      <c r="W291" s="347"/>
      <c r="X291" s="347"/>
      <c r="Y291" s="347"/>
      <c r="Z291" s="347"/>
      <c r="AA291" s="347"/>
      <c r="AB291" s="347"/>
      <c r="AC291" s="347"/>
      <c r="AD291" s="347"/>
      <c r="AE291" s="347"/>
      <c r="AF291" s="347"/>
      <c r="AG291" s="347"/>
      <c r="AH291" s="347"/>
      <c r="AI291" s="347"/>
      <c r="AJ291" s="347"/>
      <c r="AK291" s="347"/>
      <c r="AL291" s="347"/>
      <c r="AM291" s="347"/>
      <c r="AN291" s="347"/>
      <c r="AO291" s="347"/>
      <c r="AP291" s="347"/>
      <c r="AQ291" s="347"/>
      <c r="AR291" s="347"/>
      <c r="AS291" s="347"/>
      <c r="AT291" s="347"/>
      <c r="AU291" s="347"/>
      <c r="AV291" s="347"/>
      <c r="AW291" s="347"/>
      <c r="AX291" s="347"/>
      <c r="AY291" s="347"/>
      <c r="AZ291" s="347"/>
      <c r="BA291" s="347"/>
      <c r="BB291" s="347"/>
      <c r="BC291" s="347"/>
      <c r="BD291" s="347"/>
      <c r="BE291" s="347"/>
      <c r="BF291" s="347"/>
      <c r="BG291" s="347"/>
      <c r="BH291" s="347"/>
      <c r="BI291" s="347"/>
      <c r="BJ291" s="347"/>
      <c r="BK291" s="347"/>
      <c r="BL291" s="347"/>
      <c r="BM291" s="347"/>
      <c r="BN291" s="347"/>
      <c r="BO291" s="347"/>
      <c r="BP291" s="347"/>
      <c r="BQ291" s="347"/>
      <c r="BR291" s="347"/>
      <c r="BS291" s="347"/>
      <c r="BT291" s="347"/>
      <c r="BU291" s="347"/>
      <c r="BV291" s="347"/>
      <c r="BW291" s="347"/>
      <c r="BX291" s="347"/>
      <c r="BY291" s="347"/>
      <c r="BZ291" s="347"/>
      <c r="CA291" s="347"/>
      <c r="CB291" s="347"/>
      <c r="CC291" s="347"/>
      <c r="CD291" s="347"/>
      <c r="CE291" s="347"/>
      <c r="CF291" s="347"/>
      <c r="CG291" s="347"/>
      <c r="CH291" s="347"/>
      <c r="CI291" s="347"/>
      <c r="CJ291" s="347"/>
      <c r="CK291" s="347"/>
      <c r="CL291" s="347"/>
      <c r="CM291" s="347"/>
      <c r="CN291" s="347"/>
      <c r="CO291" s="347"/>
      <c r="CP291" s="347"/>
    </row>
    <row r="292" spans="1:94">
      <c r="A292" s="347"/>
      <c r="B292" s="348"/>
      <c r="C292" s="347"/>
      <c r="D292" s="347"/>
      <c r="E292" s="347"/>
      <c r="F292" s="347"/>
      <c r="G292" s="347"/>
      <c r="H292" s="347"/>
      <c r="I292" s="347"/>
      <c r="J292" s="347"/>
      <c r="K292" s="347"/>
      <c r="L292" s="347"/>
      <c r="M292" s="347"/>
      <c r="N292" s="347"/>
      <c r="O292" s="347"/>
      <c r="P292" s="347"/>
      <c r="Q292" s="347"/>
      <c r="R292" s="347"/>
      <c r="S292" s="347"/>
      <c r="T292" s="347"/>
      <c r="U292" s="347"/>
      <c r="V292" s="347"/>
      <c r="W292" s="347"/>
      <c r="X292" s="347"/>
      <c r="Y292" s="347"/>
      <c r="Z292" s="347"/>
      <c r="AA292" s="347"/>
      <c r="AB292" s="347"/>
      <c r="AC292" s="347"/>
      <c r="AD292" s="347"/>
      <c r="AE292" s="347"/>
      <c r="AF292" s="347"/>
      <c r="AG292" s="347"/>
      <c r="AH292" s="347"/>
      <c r="AI292" s="347"/>
      <c r="AJ292" s="347"/>
      <c r="AK292" s="347"/>
      <c r="AL292" s="347"/>
      <c r="AM292" s="347"/>
      <c r="AN292" s="347"/>
      <c r="AO292" s="347"/>
      <c r="AP292" s="347"/>
      <c r="AQ292" s="347"/>
      <c r="AR292" s="347"/>
      <c r="AS292" s="347"/>
      <c r="AT292" s="347"/>
      <c r="AU292" s="347"/>
      <c r="AV292" s="347"/>
      <c r="AW292" s="347"/>
      <c r="AX292" s="347"/>
      <c r="AY292" s="347"/>
      <c r="AZ292" s="347"/>
      <c r="BA292" s="347"/>
      <c r="BB292" s="347"/>
      <c r="BC292" s="347"/>
      <c r="BD292" s="347"/>
      <c r="BE292" s="347"/>
      <c r="BF292" s="347"/>
      <c r="BG292" s="347"/>
      <c r="BH292" s="347"/>
      <c r="BI292" s="347"/>
      <c r="BJ292" s="347"/>
      <c r="BK292" s="347"/>
      <c r="BL292" s="347"/>
      <c r="BM292" s="347"/>
      <c r="BN292" s="347"/>
      <c r="BO292" s="347"/>
      <c r="BP292" s="347"/>
      <c r="BQ292" s="347"/>
      <c r="BR292" s="347"/>
      <c r="BS292" s="347"/>
      <c r="BT292" s="347"/>
      <c r="BU292" s="347"/>
      <c r="BV292" s="347"/>
      <c r="BW292" s="347"/>
      <c r="BX292" s="347"/>
      <c r="BY292" s="347"/>
      <c r="BZ292" s="347"/>
      <c r="CA292" s="347"/>
      <c r="CB292" s="347"/>
      <c r="CC292" s="347"/>
      <c r="CD292" s="347"/>
      <c r="CE292" s="347"/>
      <c r="CF292" s="347"/>
      <c r="CG292" s="347"/>
      <c r="CH292" s="347"/>
      <c r="CI292" s="347"/>
      <c r="CJ292" s="347"/>
      <c r="CK292" s="347"/>
      <c r="CL292" s="347"/>
      <c r="CM292" s="347"/>
      <c r="CN292" s="347"/>
      <c r="CO292" s="347"/>
      <c r="CP292" s="347"/>
    </row>
    <row r="293" spans="1:94">
      <c r="A293" s="347"/>
      <c r="B293" s="348"/>
      <c r="C293" s="347"/>
      <c r="D293" s="347"/>
      <c r="E293" s="347"/>
      <c r="F293" s="347"/>
      <c r="G293" s="347"/>
      <c r="H293" s="347"/>
      <c r="I293" s="347"/>
      <c r="J293" s="347"/>
      <c r="K293" s="347"/>
      <c r="L293" s="347"/>
      <c r="M293" s="347"/>
      <c r="N293" s="347"/>
      <c r="O293" s="347"/>
      <c r="P293" s="347"/>
      <c r="Q293" s="347"/>
      <c r="R293" s="347"/>
      <c r="S293" s="347"/>
      <c r="T293" s="347"/>
      <c r="U293" s="347"/>
      <c r="V293" s="347"/>
      <c r="W293" s="347"/>
      <c r="X293" s="347"/>
      <c r="Y293" s="347"/>
      <c r="Z293" s="347"/>
      <c r="AA293" s="347"/>
      <c r="AB293" s="347"/>
      <c r="AC293" s="347"/>
      <c r="AD293" s="347"/>
      <c r="AE293" s="347"/>
      <c r="AF293" s="347"/>
      <c r="AG293" s="347"/>
      <c r="AH293" s="347"/>
      <c r="AI293" s="347"/>
      <c r="AJ293" s="347"/>
      <c r="AK293" s="347"/>
      <c r="AL293" s="347"/>
      <c r="AM293" s="347"/>
      <c r="AN293" s="347"/>
      <c r="AO293" s="347"/>
      <c r="AP293" s="347"/>
      <c r="AQ293" s="347"/>
      <c r="AR293" s="347"/>
      <c r="AS293" s="347"/>
      <c r="AT293" s="347"/>
      <c r="AU293" s="347"/>
      <c r="AV293" s="347"/>
      <c r="AW293" s="347"/>
      <c r="AX293" s="347"/>
      <c r="AY293" s="347"/>
      <c r="AZ293" s="347"/>
      <c r="BA293" s="347"/>
      <c r="BB293" s="347"/>
      <c r="BC293" s="347"/>
      <c r="BD293" s="347"/>
      <c r="BE293" s="347"/>
      <c r="BF293" s="347"/>
      <c r="BG293" s="347"/>
      <c r="BH293" s="347"/>
      <c r="BI293" s="347"/>
      <c r="BJ293" s="347"/>
      <c r="BK293" s="347"/>
      <c r="BL293" s="347"/>
      <c r="BM293" s="347"/>
      <c r="BN293" s="347"/>
      <c r="BO293" s="347"/>
      <c r="BP293" s="347"/>
      <c r="BQ293" s="347"/>
      <c r="BR293" s="347"/>
      <c r="BS293" s="347"/>
      <c r="BT293" s="347"/>
      <c r="BU293" s="347"/>
      <c r="BV293" s="347"/>
      <c r="BW293" s="347"/>
      <c r="BX293" s="347"/>
      <c r="BY293" s="347"/>
      <c r="BZ293" s="347"/>
      <c r="CA293" s="347"/>
      <c r="CB293" s="347"/>
      <c r="CC293" s="347"/>
      <c r="CD293" s="347"/>
      <c r="CE293" s="347"/>
      <c r="CF293" s="347"/>
      <c r="CG293" s="347"/>
      <c r="CH293" s="347"/>
      <c r="CI293" s="347"/>
      <c r="CJ293" s="347"/>
      <c r="CK293" s="347"/>
      <c r="CL293" s="347"/>
      <c r="CM293" s="347"/>
      <c r="CN293" s="347"/>
      <c r="CO293" s="347"/>
      <c r="CP293" s="347"/>
    </row>
    <row r="294" spans="1:94">
      <c r="A294" s="347"/>
      <c r="B294" s="348"/>
      <c r="C294" s="347"/>
      <c r="D294" s="347"/>
      <c r="E294" s="347"/>
      <c r="F294" s="347"/>
      <c r="G294" s="347"/>
      <c r="H294" s="347"/>
      <c r="I294" s="347"/>
      <c r="J294" s="347"/>
      <c r="K294" s="347"/>
      <c r="L294" s="347"/>
      <c r="M294" s="347"/>
      <c r="N294" s="347"/>
      <c r="O294" s="347"/>
      <c r="P294" s="347"/>
      <c r="Q294" s="347"/>
      <c r="R294" s="347"/>
      <c r="S294" s="347"/>
      <c r="T294" s="347"/>
      <c r="U294" s="347"/>
      <c r="V294" s="347"/>
      <c r="W294" s="347"/>
      <c r="X294" s="347"/>
      <c r="Y294" s="347"/>
      <c r="Z294" s="347"/>
      <c r="AA294" s="347"/>
      <c r="AB294" s="347"/>
      <c r="AC294" s="347"/>
      <c r="AD294" s="347"/>
      <c r="AE294" s="347"/>
      <c r="AF294" s="347"/>
      <c r="AG294" s="347"/>
      <c r="AH294" s="347"/>
      <c r="AI294" s="347"/>
      <c r="AJ294" s="347"/>
      <c r="AK294" s="347"/>
      <c r="AL294" s="347"/>
      <c r="AM294" s="347"/>
      <c r="AN294" s="347"/>
      <c r="AO294" s="347"/>
      <c r="AP294" s="347"/>
      <c r="AQ294" s="347"/>
      <c r="AR294" s="347"/>
      <c r="AS294" s="347"/>
      <c r="AT294" s="347"/>
      <c r="AU294" s="347"/>
      <c r="AV294" s="347"/>
      <c r="AW294" s="347"/>
      <c r="AX294" s="347"/>
      <c r="AY294" s="347"/>
      <c r="AZ294" s="347"/>
      <c r="BA294" s="347"/>
      <c r="BB294" s="347"/>
      <c r="BC294" s="347"/>
      <c r="BD294" s="347"/>
      <c r="BE294" s="347"/>
      <c r="BF294" s="347"/>
      <c r="BG294" s="347"/>
      <c r="BH294" s="347"/>
      <c r="BI294" s="347"/>
      <c r="BJ294" s="347"/>
      <c r="BK294" s="347"/>
      <c r="BL294" s="347"/>
      <c r="BM294" s="347"/>
      <c r="BN294" s="347"/>
      <c r="BO294" s="347"/>
      <c r="BP294" s="347"/>
      <c r="BQ294" s="347"/>
      <c r="BR294" s="347"/>
      <c r="BS294" s="347"/>
      <c r="BT294" s="347"/>
      <c r="BU294" s="347"/>
      <c r="BV294" s="347"/>
      <c r="BW294" s="347"/>
      <c r="BX294" s="347"/>
      <c r="BY294" s="347"/>
      <c r="BZ294" s="347"/>
      <c r="CA294" s="347"/>
      <c r="CB294" s="347"/>
      <c r="CC294" s="347"/>
      <c r="CD294" s="347"/>
      <c r="CE294" s="347"/>
      <c r="CF294" s="347"/>
      <c r="CG294" s="347"/>
      <c r="CH294" s="347"/>
      <c r="CI294" s="347"/>
      <c r="CJ294" s="347"/>
      <c r="CK294" s="347"/>
      <c r="CL294" s="347"/>
      <c r="CM294" s="347"/>
      <c r="CN294" s="347"/>
      <c r="CO294" s="347"/>
      <c r="CP294" s="347"/>
    </row>
    <row r="295" spans="1:94">
      <c r="A295" s="347"/>
      <c r="B295" s="348"/>
      <c r="C295" s="347"/>
      <c r="D295" s="347"/>
      <c r="E295" s="347"/>
      <c r="F295" s="347"/>
      <c r="G295" s="347"/>
      <c r="H295" s="347"/>
      <c r="I295" s="347"/>
      <c r="J295" s="347"/>
      <c r="K295" s="347"/>
      <c r="L295" s="347"/>
      <c r="M295" s="347"/>
      <c r="N295" s="347"/>
      <c r="O295" s="347"/>
      <c r="P295" s="347"/>
      <c r="Q295" s="347"/>
      <c r="R295" s="347"/>
      <c r="S295" s="347"/>
      <c r="T295" s="347"/>
      <c r="U295" s="347"/>
      <c r="V295" s="347"/>
      <c r="W295" s="347"/>
      <c r="X295" s="347"/>
      <c r="Y295" s="347"/>
      <c r="Z295" s="347"/>
      <c r="AA295" s="347"/>
      <c r="AB295" s="347"/>
      <c r="AC295" s="347"/>
      <c r="AD295" s="347"/>
      <c r="AE295" s="347"/>
      <c r="AF295" s="347"/>
      <c r="AG295" s="347"/>
      <c r="AH295" s="347"/>
      <c r="AI295" s="347"/>
      <c r="AJ295" s="347"/>
      <c r="AK295" s="347"/>
      <c r="AL295" s="347"/>
      <c r="AM295" s="347"/>
      <c r="AN295" s="347"/>
      <c r="AO295" s="347"/>
      <c r="AP295" s="347"/>
      <c r="AQ295" s="347"/>
      <c r="AR295" s="347"/>
      <c r="AS295" s="347"/>
      <c r="AT295" s="347"/>
      <c r="AU295" s="347"/>
      <c r="AV295" s="347"/>
      <c r="AW295" s="347"/>
      <c r="AX295" s="347"/>
      <c r="AY295" s="347"/>
      <c r="AZ295" s="347"/>
      <c r="BA295" s="347"/>
      <c r="BB295" s="347"/>
      <c r="BC295" s="347"/>
      <c r="BD295" s="347"/>
      <c r="BE295" s="347"/>
      <c r="BF295" s="347"/>
      <c r="BG295" s="347"/>
      <c r="BH295" s="347"/>
      <c r="BI295" s="347"/>
      <c r="BJ295" s="347"/>
      <c r="BK295" s="347"/>
      <c r="BL295" s="347"/>
      <c r="BM295" s="347"/>
      <c r="BN295" s="347"/>
      <c r="BO295" s="347"/>
      <c r="BP295" s="347"/>
      <c r="BQ295" s="347"/>
      <c r="BR295" s="347"/>
      <c r="BS295" s="347"/>
      <c r="BT295" s="347"/>
      <c r="BU295" s="347"/>
      <c r="BV295" s="347"/>
      <c r="BW295" s="347"/>
      <c r="BX295" s="347"/>
      <c r="BY295" s="347"/>
      <c r="BZ295" s="347"/>
      <c r="CA295" s="347"/>
      <c r="CB295" s="347"/>
      <c r="CC295" s="347"/>
      <c r="CD295" s="347"/>
      <c r="CE295" s="347"/>
      <c r="CF295" s="347"/>
      <c r="CG295" s="347"/>
      <c r="CH295" s="347"/>
      <c r="CI295" s="347"/>
      <c r="CJ295" s="347"/>
      <c r="CK295" s="347"/>
      <c r="CL295" s="347"/>
      <c r="CM295" s="347"/>
      <c r="CN295" s="347"/>
      <c r="CO295" s="347"/>
      <c r="CP295" s="347"/>
    </row>
    <row r="296" spans="1:94">
      <c r="A296" s="347"/>
      <c r="B296" s="348"/>
      <c r="C296" s="347"/>
      <c r="D296" s="347"/>
      <c r="E296" s="347"/>
      <c r="F296" s="347"/>
      <c r="G296" s="347"/>
      <c r="H296" s="347"/>
      <c r="I296" s="347"/>
      <c r="J296" s="347"/>
      <c r="K296" s="347"/>
      <c r="L296" s="347"/>
      <c r="M296" s="347"/>
      <c r="N296" s="347"/>
      <c r="O296" s="347"/>
      <c r="P296" s="347"/>
      <c r="Q296" s="347"/>
      <c r="R296" s="347"/>
      <c r="S296" s="347"/>
      <c r="T296" s="347"/>
      <c r="U296" s="347"/>
      <c r="V296" s="347"/>
      <c r="W296" s="347"/>
      <c r="X296" s="347"/>
      <c r="Y296" s="347"/>
      <c r="Z296" s="347"/>
      <c r="AA296" s="347"/>
      <c r="AB296" s="347"/>
      <c r="AC296" s="347"/>
      <c r="AD296" s="347"/>
      <c r="AE296" s="347"/>
      <c r="AF296" s="347"/>
      <c r="AG296" s="347"/>
      <c r="AH296" s="347"/>
      <c r="AI296" s="347"/>
      <c r="AJ296" s="347"/>
      <c r="AK296" s="347"/>
      <c r="AL296" s="347"/>
      <c r="AM296" s="347"/>
      <c r="AN296" s="347"/>
      <c r="AO296" s="347"/>
      <c r="AP296" s="347"/>
      <c r="AQ296" s="347"/>
      <c r="AR296" s="347"/>
      <c r="AS296" s="347"/>
      <c r="AT296" s="347"/>
      <c r="AU296" s="347"/>
      <c r="AV296" s="347"/>
      <c r="AW296" s="347"/>
      <c r="AX296" s="347"/>
      <c r="AY296" s="347"/>
      <c r="AZ296" s="347"/>
      <c r="BA296" s="347"/>
      <c r="BB296" s="347"/>
      <c r="BC296" s="347"/>
      <c r="BD296" s="347"/>
      <c r="BE296" s="347"/>
      <c r="BF296" s="347"/>
      <c r="BG296" s="347"/>
      <c r="BH296" s="347"/>
      <c r="BI296" s="347"/>
      <c r="BJ296" s="347"/>
      <c r="BK296" s="347"/>
      <c r="BL296" s="347"/>
      <c r="BM296" s="347"/>
      <c r="BN296" s="347"/>
      <c r="BO296" s="347"/>
      <c r="BP296" s="347"/>
      <c r="BQ296" s="347"/>
      <c r="BR296" s="347"/>
      <c r="BS296" s="347"/>
      <c r="BT296" s="347"/>
      <c r="BU296" s="347"/>
      <c r="BV296" s="347"/>
      <c r="BW296" s="347"/>
      <c r="BX296" s="347"/>
      <c r="BY296" s="347"/>
      <c r="BZ296" s="347"/>
      <c r="CA296" s="347"/>
      <c r="CB296" s="347"/>
      <c r="CC296" s="347"/>
      <c r="CD296" s="347"/>
      <c r="CE296" s="347"/>
      <c r="CF296" s="347"/>
      <c r="CG296" s="347"/>
      <c r="CH296" s="347"/>
      <c r="CI296" s="347"/>
      <c r="CJ296" s="347"/>
      <c r="CK296" s="347"/>
      <c r="CL296" s="347"/>
      <c r="CM296" s="347"/>
      <c r="CN296" s="347"/>
      <c r="CO296" s="347"/>
      <c r="CP296" s="347"/>
    </row>
    <row r="297" spans="1:94">
      <c r="A297" s="347"/>
      <c r="B297" s="348"/>
      <c r="C297" s="347"/>
      <c r="D297" s="347"/>
      <c r="E297" s="347"/>
      <c r="F297" s="347"/>
      <c r="G297" s="347"/>
      <c r="H297" s="347"/>
      <c r="I297" s="347"/>
      <c r="J297" s="347"/>
      <c r="K297" s="347"/>
      <c r="L297" s="347"/>
      <c r="M297" s="347"/>
      <c r="N297" s="347"/>
      <c r="O297" s="347"/>
      <c r="P297" s="347"/>
      <c r="Q297" s="347"/>
      <c r="R297" s="347"/>
      <c r="S297" s="347"/>
      <c r="T297" s="347"/>
      <c r="U297" s="347"/>
      <c r="V297" s="347"/>
      <c r="W297" s="347"/>
      <c r="X297" s="347"/>
      <c r="Y297" s="347"/>
      <c r="Z297" s="347"/>
      <c r="AA297" s="347"/>
      <c r="AB297" s="347"/>
      <c r="AC297" s="347"/>
      <c r="AD297" s="347"/>
      <c r="AE297" s="347"/>
      <c r="AF297" s="347"/>
      <c r="AG297" s="347"/>
      <c r="AH297" s="347"/>
      <c r="AI297" s="347"/>
      <c r="AJ297" s="347"/>
      <c r="AK297" s="347"/>
      <c r="AL297" s="347"/>
      <c r="AM297" s="347"/>
      <c r="AN297" s="347"/>
      <c r="AO297" s="347"/>
      <c r="AP297" s="347"/>
      <c r="AQ297" s="347"/>
      <c r="AR297" s="347"/>
      <c r="AS297" s="347"/>
      <c r="AT297" s="347"/>
      <c r="AU297" s="347"/>
      <c r="AV297" s="347"/>
      <c r="AW297" s="347"/>
      <c r="AX297" s="347"/>
      <c r="AY297" s="347"/>
      <c r="AZ297" s="347"/>
      <c r="BA297" s="347"/>
      <c r="BB297" s="347"/>
      <c r="BC297" s="347"/>
      <c r="BD297" s="347"/>
      <c r="BE297" s="347"/>
      <c r="BF297" s="347"/>
      <c r="BG297" s="347"/>
      <c r="BH297" s="347"/>
      <c r="BI297" s="347"/>
      <c r="BJ297" s="347"/>
      <c r="BK297" s="347"/>
      <c r="BL297" s="347"/>
      <c r="BM297" s="347"/>
      <c r="BN297" s="347"/>
      <c r="BO297" s="347"/>
      <c r="BP297" s="347"/>
      <c r="BQ297" s="347"/>
      <c r="BR297" s="347"/>
      <c r="BS297" s="347"/>
      <c r="BT297" s="347"/>
      <c r="BU297" s="347"/>
      <c r="BV297" s="347"/>
      <c r="BW297" s="347"/>
      <c r="BX297" s="347"/>
      <c r="BY297" s="347"/>
      <c r="BZ297" s="347"/>
      <c r="CA297" s="347"/>
      <c r="CB297" s="347"/>
      <c r="CC297" s="347"/>
      <c r="CD297" s="347"/>
      <c r="CE297" s="347"/>
      <c r="CF297" s="347"/>
      <c r="CG297" s="347"/>
      <c r="CH297" s="347"/>
      <c r="CI297" s="347"/>
      <c r="CJ297" s="347"/>
      <c r="CK297" s="347"/>
      <c r="CL297" s="347"/>
      <c r="CM297" s="347"/>
      <c r="CN297" s="347"/>
      <c r="CO297" s="347"/>
      <c r="CP297" s="347"/>
    </row>
    <row r="298" spans="1:94">
      <c r="A298" s="347"/>
      <c r="B298" s="348"/>
      <c r="C298" s="347"/>
      <c r="D298" s="347"/>
      <c r="E298" s="347"/>
      <c r="F298" s="347"/>
      <c r="G298" s="347"/>
      <c r="H298" s="347"/>
      <c r="I298" s="347"/>
      <c r="J298" s="347"/>
      <c r="K298" s="347"/>
      <c r="L298" s="347"/>
      <c r="M298" s="347"/>
      <c r="N298" s="347"/>
      <c r="O298" s="347"/>
      <c r="P298" s="347"/>
      <c r="Q298" s="347"/>
      <c r="R298" s="347"/>
      <c r="S298" s="347"/>
      <c r="T298" s="347"/>
      <c r="U298" s="347"/>
      <c r="V298" s="347"/>
      <c r="W298" s="347"/>
      <c r="X298" s="347"/>
      <c r="Y298" s="347"/>
      <c r="Z298" s="347"/>
      <c r="AA298" s="347"/>
      <c r="AB298" s="347"/>
      <c r="AC298" s="347"/>
      <c r="AD298" s="347"/>
      <c r="AE298" s="347"/>
      <c r="AF298" s="347"/>
      <c r="AG298" s="347"/>
      <c r="AH298" s="347"/>
      <c r="AI298" s="347"/>
      <c r="AJ298" s="347"/>
      <c r="AK298" s="347"/>
      <c r="AL298" s="347"/>
      <c r="AM298" s="347"/>
      <c r="AN298" s="347"/>
      <c r="AO298" s="347"/>
      <c r="AP298" s="347"/>
      <c r="AQ298" s="347"/>
      <c r="AR298" s="347"/>
      <c r="AS298" s="347"/>
      <c r="AT298" s="347"/>
      <c r="AU298" s="347"/>
      <c r="AV298" s="347"/>
      <c r="AW298" s="347"/>
      <c r="AX298" s="347"/>
      <c r="AY298" s="347"/>
      <c r="AZ298" s="347"/>
      <c r="BA298" s="347"/>
      <c r="BB298" s="347"/>
      <c r="BC298" s="347"/>
      <c r="BD298" s="347"/>
      <c r="BE298" s="347"/>
      <c r="BF298" s="347"/>
      <c r="BG298" s="347"/>
      <c r="BH298" s="347"/>
      <c r="BI298" s="347"/>
      <c r="BJ298" s="347"/>
      <c r="BK298" s="347"/>
      <c r="BL298" s="347"/>
      <c r="BM298" s="347"/>
      <c r="BN298" s="347"/>
      <c r="BO298" s="347"/>
      <c r="BP298" s="347"/>
      <c r="BQ298" s="347"/>
      <c r="BR298" s="347"/>
      <c r="BS298" s="347"/>
      <c r="BT298" s="347"/>
      <c r="BU298" s="347"/>
      <c r="BV298" s="347"/>
      <c r="BW298" s="347"/>
      <c r="BX298" s="347"/>
      <c r="BY298" s="347"/>
      <c r="BZ298" s="347"/>
      <c r="CA298" s="347"/>
      <c r="CB298" s="347"/>
      <c r="CC298" s="347"/>
      <c r="CD298" s="347"/>
      <c r="CE298" s="347"/>
      <c r="CF298" s="347"/>
      <c r="CG298" s="347"/>
      <c r="CH298" s="347"/>
      <c r="CI298" s="347"/>
      <c r="CJ298" s="347"/>
      <c r="CK298" s="347"/>
      <c r="CL298" s="347"/>
      <c r="CM298" s="347"/>
      <c r="CN298" s="347"/>
      <c r="CO298" s="347"/>
      <c r="CP298" s="347"/>
    </row>
    <row r="299" spans="1:94">
      <c r="A299" s="347"/>
      <c r="B299" s="348"/>
      <c r="C299" s="347"/>
      <c r="D299" s="347"/>
      <c r="E299" s="347"/>
      <c r="F299" s="347"/>
      <c r="G299" s="347"/>
      <c r="H299" s="347"/>
      <c r="I299" s="347"/>
      <c r="J299" s="347"/>
      <c r="K299" s="347"/>
      <c r="L299" s="347"/>
      <c r="M299" s="347"/>
      <c r="N299" s="347"/>
      <c r="O299" s="347"/>
      <c r="P299" s="347"/>
      <c r="Q299" s="347"/>
      <c r="R299" s="347"/>
      <c r="S299" s="347"/>
      <c r="T299" s="347"/>
      <c r="U299" s="347"/>
      <c r="V299" s="347"/>
      <c r="W299" s="347"/>
      <c r="X299" s="347"/>
      <c r="Y299" s="347"/>
      <c r="Z299" s="347"/>
      <c r="AA299" s="347"/>
      <c r="AB299" s="347"/>
      <c r="AC299" s="347"/>
      <c r="AD299" s="347"/>
      <c r="AE299" s="347"/>
      <c r="AF299" s="347"/>
      <c r="AG299" s="347"/>
      <c r="AH299" s="347"/>
      <c r="AI299" s="347"/>
      <c r="AJ299" s="347"/>
      <c r="AK299" s="347"/>
      <c r="AL299" s="347"/>
      <c r="AM299" s="347"/>
      <c r="AN299" s="347"/>
      <c r="AO299" s="347"/>
      <c r="AP299" s="347"/>
      <c r="AQ299" s="347"/>
      <c r="AR299" s="347"/>
      <c r="AS299" s="347"/>
      <c r="AT299" s="347"/>
      <c r="AU299" s="347"/>
      <c r="AV299" s="347"/>
      <c r="AW299" s="347"/>
      <c r="AX299" s="347"/>
      <c r="AY299" s="347"/>
      <c r="AZ299" s="347"/>
      <c r="BA299" s="347"/>
      <c r="BB299" s="347"/>
      <c r="BC299" s="347"/>
      <c r="BD299" s="347"/>
      <c r="BE299" s="347"/>
      <c r="BF299" s="347"/>
      <c r="BG299" s="347"/>
      <c r="BH299" s="347"/>
      <c r="BI299" s="347"/>
      <c r="BJ299" s="347"/>
      <c r="BK299" s="347"/>
      <c r="BL299" s="347"/>
      <c r="BM299" s="347"/>
      <c r="BN299" s="347"/>
      <c r="BO299" s="347"/>
      <c r="BP299" s="347"/>
      <c r="BQ299" s="347"/>
      <c r="BR299" s="347"/>
      <c r="BS299" s="347"/>
      <c r="BT299" s="347"/>
      <c r="BU299" s="347"/>
      <c r="BV299" s="347"/>
      <c r="BW299" s="347"/>
      <c r="BX299" s="347"/>
      <c r="BY299" s="347"/>
      <c r="BZ299" s="347"/>
      <c r="CA299" s="347"/>
      <c r="CB299" s="347"/>
      <c r="CC299" s="347"/>
      <c r="CD299" s="347"/>
      <c r="CE299" s="347"/>
      <c r="CF299" s="347"/>
      <c r="CG299" s="347"/>
      <c r="CH299" s="347"/>
      <c r="CI299" s="347"/>
      <c r="CJ299" s="347"/>
      <c r="CK299" s="347"/>
      <c r="CL299" s="347"/>
      <c r="CM299" s="347"/>
      <c r="CN299" s="347"/>
      <c r="CO299" s="347"/>
      <c r="CP299" s="347"/>
    </row>
    <row r="300" spans="1:94">
      <c r="A300" s="347"/>
      <c r="B300" s="348"/>
      <c r="C300" s="347"/>
      <c r="D300" s="347"/>
      <c r="E300" s="347"/>
      <c r="F300" s="347"/>
      <c r="G300" s="347"/>
      <c r="H300" s="347"/>
      <c r="I300" s="347"/>
      <c r="J300" s="347"/>
      <c r="K300" s="347"/>
      <c r="L300" s="347"/>
      <c r="M300" s="347"/>
      <c r="N300" s="347"/>
      <c r="O300" s="347"/>
      <c r="P300" s="347"/>
      <c r="Q300" s="347"/>
      <c r="R300" s="347"/>
      <c r="S300" s="347"/>
      <c r="T300" s="347"/>
      <c r="U300" s="347"/>
      <c r="V300" s="347"/>
      <c r="W300" s="347"/>
      <c r="X300" s="347"/>
      <c r="Y300" s="347"/>
      <c r="Z300" s="347"/>
      <c r="AA300" s="347"/>
      <c r="AB300" s="347"/>
      <c r="AC300" s="347"/>
      <c r="AD300" s="347"/>
      <c r="AE300" s="347"/>
      <c r="AF300" s="347"/>
      <c r="AG300" s="347"/>
      <c r="AH300" s="347"/>
      <c r="AI300" s="347"/>
      <c r="AJ300" s="347"/>
      <c r="AK300" s="347"/>
      <c r="AL300" s="347"/>
      <c r="AM300" s="347"/>
      <c r="AN300" s="347"/>
      <c r="AO300" s="347"/>
      <c r="AP300" s="347"/>
      <c r="AQ300" s="347"/>
      <c r="AR300" s="347"/>
      <c r="AS300" s="347"/>
      <c r="AT300" s="347"/>
      <c r="AU300" s="347"/>
      <c r="AV300" s="347"/>
      <c r="AW300" s="347"/>
      <c r="AX300" s="347"/>
      <c r="AY300" s="347"/>
      <c r="AZ300" s="347"/>
      <c r="BA300" s="347"/>
      <c r="BB300" s="347"/>
      <c r="BC300" s="347"/>
      <c r="BD300" s="347"/>
      <c r="BE300" s="347"/>
      <c r="BF300" s="347"/>
      <c r="BG300" s="347"/>
      <c r="BH300" s="347"/>
      <c r="BI300" s="347"/>
      <c r="BJ300" s="347"/>
      <c r="BK300" s="347"/>
      <c r="BL300" s="347"/>
      <c r="BM300" s="347"/>
      <c r="BN300" s="347"/>
      <c r="BO300" s="347"/>
      <c r="BP300" s="347"/>
      <c r="BQ300" s="347"/>
      <c r="BR300" s="347"/>
      <c r="BS300" s="347"/>
      <c r="BT300" s="347"/>
      <c r="BU300" s="347"/>
      <c r="BV300" s="347"/>
      <c r="BW300" s="347"/>
      <c r="BX300" s="347"/>
      <c r="BY300" s="347"/>
      <c r="BZ300" s="347"/>
      <c r="CA300" s="347"/>
      <c r="CB300" s="347"/>
      <c r="CC300" s="347"/>
      <c r="CD300" s="347"/>
      <c r="CE300" s="347"/>
      <c r="CF300" s="347"/>
      <c r="CG300" s="347"/>
      <c r="CH300" s="347"/>
      <c r="CI300" s="347"/>
      <c r="CJ300" s="347"/>
      <c r="CK300" s="347"/>
      <c r="CL300" s="347"/>
      <c r="CM300" s="347"/>
      <c r="CN300" s="347"/>
      <c r="CO300" s="347"/>
      <c r="CP300" s="347"/>
    </row>
    <row r="301" spans="1:94">
      <c r="A301" s="347"/>
      <c r="B301" s="348"/>
      <c r="C301" s="347"/>
      <c r="D301" s="347"/>
      <c r="E301" s="347"/>
      <c r="F301" s="347"/>
      <c r="G301" s="347"/>
      <c r="H301" s="347"/>
      <c r="I301" s="347"/>
      <c r="J301" s="347"/>
      <c r="K301" s="347"/>
      <c r="L301" s="347"/>
      <c r="M301" s="347"/>
      <c r="N301" s="347"/>
      <c r="O301" s="347"/>
      <c r="P301" s="347"/>
      <c r="Q301" s="347"/>
      <c r="R301" s="347"/>
      <c r="S301" s="347"/>
      <c r="T301" s="347"/>
      <c r="U301" s="347"/>
      <c r="V301" s="347"/>
      <c r="W301" s="347"/>
      <c r="X301" s="347"/>
      <c r="Y301" s="347"/>
      <c r="Z301" s="347"/>
      <c r="AA301" s="347"/>
      <c r="AB301" s="347"/>
      <c r="AC301" s="347"/>
      <c r="AD301" s="347"/>
      <c r="AE301" s="347"/>
      <c r="AF301" s="347"/>
      <c r="AG301" s="347"/>
      <c r="AH301" s="347"/>
      <c r="AI301" s="347"/>
      <c r="AJ301" s="347"/>
      <c r="AK301" s="347"/>
      <c r="AL301" s="347"/>
      <c r="AM301" s="347"/>
      <c r="AN301" s="347"/>
      <c r="AO301" s="347"/>
      <c r="AP301" s="347"/>
      <c r="AQ301" s="347"/>
      <c r="AR301" s="347"/>
      <c r="AS301" s="347"/>
      <c r="AT301" s="347"/>
      <c r="AU301" s="347"/>
      <c r="AV301" s="347"/>
      <c r="AW301" s="347"/>
      <c r="AX301" s="347"/>
      <c r="AY301" s="347"/>
      <c r="AZ301" s="347"/>
      <c r="BA301" s="347"/>
      <c r="BB301" s="347"/>
      <c r="BC301" s="347"/>
      <c r="BD301" s="347"/>
      <c r="BE301" s="347"/>
      <c r="BF301" s="347"/>
      <c r="BG301" s="347"/>
      <c r="BH301" s="347"/>
      <c r="BI301" s="347"/>
      <c r="BJ301" s="347"/>
      <c r="BK301" s="347"/>
      <c r="BL301" s="347"/>
      <c r="BM301" s="347"/>
      <c r="BN301" s="347"/>
      <c r="BO301" s="347"/>
      <c r="BP301" s="347"/>
      <c r="BQ301" s="347"/>
      <c r="BR301" s="347"/>
      <c r="BS301" s="347"/>
      <c r="BT301" s="347"/>
      <c r="BU301" s="347"/>
      <c r="BV301" s="347"/>
      <c r="BW301" s="347"/>
      <c r="BX301" s="347"/>
      <c r="BY301" s="347"/>
      <c r="BZ301" s="347"/>
      <c r="CA301" s="347"/>
      <c r="CB301" s="347"/>
      <c r="CC301" s="347"/>
      <c r="CD301" s="347"/>
      <c r="CE301" s="347"/>
      <c r="CF301" s="347"/>
      <c r="CG301" s="347"/>
      <c r="CH301" s="347"/>
      <c r="CI301" s="347"/>
      <c r="CJ301" s="347"/>
      <c r="CK301" s="347"/>
      <c r="CL301" s="347"/>
      <c r="CM301" s="347"/>
      <c r="CN301" s="347"/>
      <c r="CO301" s="347"/>
      <c r="CP301" s="347"/>
    </row>
    <row r="302" spans="1:94">
      <c r="A302" s="347"/>
      <c r="B302" s="348"/>
      <c r="C302" s="347"/>
      <c r="D302" s="347"/>
      <c r="E302" s="347"/>
      <c r="F302" s="347"/>
      <c r="G302" s="347"/>
      <c r="H302" s="347"/>
      <c r="I302" s="347"/>
      <c r="J302" s="347"/>
      <c r="K302" s="347"/>
      <c r="L302" s="347"/>
      <c r="M302" s="347"/>
      <c r="N302" s="347"/>
      <c r="O302" s="347"/>
      <c r="P302" s="347"/>
      <c r="Q302" s="347"/>
      <c r="R302" s="347"/>
      <c r="S302" s="347"/>
      <c r="T302" s="347"/>
      <c r="U302" s="347"/>
      <c r="V302" s="347"/>
      <c r="W302" s="347"/>
      <c r="X302" s="347"/>
      <c r="Y302" s="347"/>
      <c r="Z302" s="347"/>
      <c r="AA302" s="347"/>
      <c r="AB302" s="347"/>
      <c r="AC302" s="347"/>
      <c r="AD302" s="347"/>
      <c r="AE302" s="347"/>
      <c r="AF302" s="347"/>
      <c r="AG302" s="347"/>
      <c r="AH302" s="347"/>
      <c r="AI302" s="347"/>
      <c r="AJ302" s="347"/>
      <c r="AK302" s="347"/>
      <c r="AL302" s="347"/>
      <c r="AM302" s="347"/>
      <c r="AN302" s="347"/>
      <c r="AO302" s="347"/>
      <c r="AP302" s="347"/>
      <c r="AQ302" s="347"/>
      <c r="AR302" s="347"/>
      <c r="AS302" s="347"/>
      <c r="AT302" s="347"/>
      <c r="AU302" s="347"/>
      <c r="AV302" s="347"/>
      <c r="AW302" s="347"/>
      <c r="AX302" s="347"/>
      <c r="AY302" s="347"/>
      <c r="AZ302" s="347"/>
      <c r="BA302" s="347"/>
      <c r="BB302" s="347"/>
      <c r="BC302" s="347"/>
      <c r="BD302" s="347"/>
      <c r="BE302" s="347"/>
      <c r="BF302" s="347"/>
      <c r="BG302" s="347"/>
      <c r="BH302" s="347"/>
      <c r="BI302" s="347"/>
      <c r="BJ302" s="347"/>
      <c r="BK302" s="347"/>
      <c r="BL302" s="347"/>
      <c r="BM302" s="347"/>
      <c r="BN302" s="347"/>
      <c r="BO302" s="347"/>
      <c r="BP302" s="347"/>
      <c r="BQ302" s="347"/>
      <c r="BR302" s="347"/>
      <c r="BS302" s="347"/>
      <c r="BT302" s="347"/>
      <c r="BU302" s="347"/>
      <c r="BV302" s="347"/>
      <c r="BW302" s="347"/>
      <c r="BX302" s="347"/>
      <c r="BY302" s="347"/>
      <c r="BZ302" s="347"/>
      <c r="CA302" s="347"/>
      <c r="CB302" s="347"/>
      <c r="CC302" s="347"/>
      <c r="CD302" s="347"/>
      <c r="CE302" s="347"/>
      <c r="CF302" s="347"/>
      <c r="CG302" s="347"/>
      <c r="CH302" s="347"/>
      <c r="CI302" s="347"/>
      <c r="CJ302" s="347"/>
      <c r="CK302" s="347"/>
      <c r="CL302" s="347"/>
      <c r="CM302" s="347"/>
      <c r="CN302" s="347"/>
      <c r="CO302" s="347"/>
      <c r="CP302" s="347"/>
    </row>
    <row r="303" spans="1:94">
      <c r="A303" s="347"/>
      <c r="B303" s="348"/>
      <c r="C303" s="347"/>
      <c r="D303" s="347"/>
      <c r="E303" s="347"/>
      <c r="F303" s="347"/>
      <c r="G303" s="347"/>
      <c r="H303" s="347"/>
      <c r="I303" s="347"/>
      <c r="J303" s="347"/>
      <c r="K303" s="347"/>
      <c r="L303" s="347"/>
      <c r="M303" s="347"/>
      <c r="N303" s="347"/>
      <c r="O303" s="347"/>
      <c r="P303" s="347"/>
      <c r="Q303" s="347"/>
      <c r="R303" s="347"/>
      <c r="S303" s="347"/>
      <c r="T303" s="347"/>
      <c r="U303" s="347"/>
      <c r="V303" s="347"/>
      <c r="W303" s="347"/>
      <c r="X303" s="347"/>
      <c r="Y303" s="347"/>
      <c r="Z303" s="347"/>
      <c r="AA303" s="347"/>
      <c r="AB303" s="347"/>
      <c r="AC303" s="347"/>
      <c r="AD303" s="347"/>
      <c r="AE303" s="347"/>
      <c r="AF303" s="347"/>
      <c r="AG303" s="347"/>
      <c r="AH303" s="347"/>
      <c r="AI303" s="347"/>
      <c r="AJ303" s="347"/>
      <c r="AK303" s="347"/>
      <c r="AL303" s="347"/>
      <c r="AM303" s="347"/>
      <c r="AN303" s="347"/>
      <c r="AO303" s="347"/>
      <c r="AP303" s="347"/>
      <c r="AQ303" s="347"/>
      <c r="AR303" s="347"/>
      <c r="AS303" s="347"/>
      <c r="AT303" s="347"/>
      <c r="AU303" s="347"/>
      <c r="AV303" s="347"/>
      <c r="AW303" s="347"/>
      <c r="AX303" s="347"/>
      <c r="AY303" s="347"/>
      <c r="AZ303" s="347"/>
      <c r="BA303" s="347"/>
      <c r="BB303" s="347"/>
      <c r="BC303" s="347"/>
      <c r="BD303" s="347"/>
      <c r="BE303" s="347"/>
      <c r="BF303" s="347"/>
      <c r="BG303" s="347"/>
      <c r="BH303" s="347"/>
      <c r="BI303" s="347"/>
      <c r="BJ303" s="347"/>
      <c r="BK303" s="347"/>
      <c r="BL303" s="347"/>
      <c r="BM303" s="347"/>
      <c r="BN303" s="347"/>
      <c r="BO303" s="347"/>
      <c r="BP303" s="347"/>
      <c r="BQ303" s="347"/>
      <c r="BR303" s="347"/>
      <c r="BS303" s="347"/>
      <c r="BT303" s="347"/>
      <c r="BU303" s="347"/>
      <c r="BV303" s="347"/>
      <c r="BW303" s="347"/>
      <c r="BX303" s="347"/>
      <c r="BY303" s="347"/>
      <c r="BZ303" s="347"/>
      <c r="CA303" s="347"/>
      <c r="CB303" s="347"/>
      <c r="CC303" s="347"/>
      <c r="CD303" s="347"/>
      <c r="CE303" s="347"/>
      <c r="CF303" s="347"/>
      <c r="CG303" s="347"/>
      <c r="CH303" s="347"/>
      <c r="CI303" s="347"/>
      <c r="CJ303" s="347"/>
      <c r="CK303" s="347"/>
      <c r="CL303" s="347"/>
      <c r="CM303" s="347"/>
      <c r="CN303" s="347"/>
      <c r="CO303" s="347"/>
      <c r="CP303" s="347"/>
    </row>
    <row r="304" spans="1:94">
      <c r="A304" s="347"/>
      <c r="B304" s="348"/>
      <c r="C304" s="347"/>
      <c r="D304" s="347"/>
      <c r="E304" s="347"/>
      <c r="F304" s="347"/>
      <c r="G304" s="347"/>
      <c r="H304" s="347"/>
      <c r="I304" s="347"/>
      <c r="J304" s="347"/>
      <c r="K304" s="347"/>
      <c r="L304" s="347"/>
      <c r="M304" s="347"/>
      <c r="N304" s="347"/>
      <c r="O304" s="347"/>
      <c r="P304" s="347"/>
      <c r="Q304" s="347"/>
      <c r="R304" s="347"/>
      <c r="S304" s="347"/>
      <c r="T304" s="347"/>
      <c r="U304" s="347"/>
      <c r="V304" s="347"/>
      <c r="W304" s="347"/>
      <c r="X304" s="347"/>
      <c r="Y304" s="347"/>
      <c r="Z304" s="347"/>
      <c r="AA304" s="347"/>
      <c r="AB304" s="347"/>
      <c r="AC304" s="347"/>
      <c r="AD304" s="347"/>
      <c r="AE304" s="347"/>
      <c r="AF304" s="347"/>
      <c r="AG304" s="347"/>
      <c r="AH304" s="347"/>
      <c r="AI304" s="347"/>
      <c r="AJ304" s="347"/>
      <c r="AK304" s="347"/>
      <c r="AL304" s="347"/>
      <c r="AM304" s="347"/>
      <c r="AN304" s="347"/>
      <c r="AO304" s="347"/>
      <c r="AP304" s="347"/>
      <c r="AQ304" s="347"/>
      <c r="AR304" s="347"/>
      <c r="AS304" s="347"/>
      <c r="AT304" s="347"/>
      <c r="AU304" s="347"/>
      <c r="AV304" s="347"/>
      <c r="AW304" s="347"/>
      <c r="AX304" s="347"/>
      <c r="AY304" s="347"/>
      <c r="AZ304" s="347"/>
      <c r="BA304" s="347"/>
      <c r="BB304" s="347"/>
      <c r="BC304" s="347"/>
      <c r="BD304" s="347"/>
      <c r="BE304" s="347"/>
      <c r="BF304" s="347"/>
      <c r="BG304" s="347"/>
      <c r="BH304" s="347"/>
      <c r="BI304" s="347"/>
      <c r="BJ304" s="347"/>
      <c r="BK304" s="347"/>
      <c r="BL304" s="347"/>
      <c r="BM304" s="347"/>
      <c r="BN304" s="347"/>
      <c r="BO304" s="347"/>
      <c r="BP304" s="347"/>
      <c r="BQ304" s="347"/>
      <c r="BR304" s="347"/>
      <c r="BS304" s="347"/>
      <c r="BT304" s="347"/>
      <c r="BU304" s="347"/>
      <c r="BV304" s="347"/>
      <c r="BW304" s="347"/>
      <c r="BX304" s="347"/>
      <c r="BY304" s="347"/>
      <c r="BZ304" s="347"/>
      <c r="CA304" s="347"/>
      <c r="CB304" s="347"/>
      <c r="CC304" s="347"/>
      <c r="CD304" s="347"/>
      <c r="CE304" s="347"/>
      <c r="CF304" s="347"/>
      <c r="CG304" s="347"/>
      <c r="CH304" s="347"/>
      <c r="CI304" s="347"/>
      <c r="CJ304" s="347"/>
      <c r="CK304" s="347"/>
      <c r="CL304" s="347"/>
      <c r="CM304" s="347"/>
      <c r="CN304" s="347"/>
      <c r="CO304" s="347"/>
      <c r="CP304" s="347"/>
    </row>
    <row r="305" spans="1:94">
      <c r="A305" s="347"/>
      <c r="B305" s="348"/>
      <c r="C305" s="347"/>
      <c r="D305" s="347"/>
      <c r="E305" s="347"/>
      <c r="F305" s="347"/>
      <c r="G305" s="347"/>
      <c r="H305" s="347"/>
      <c r="I305" s="347"/>
      <c r="J305" s="347"/>
      <c r="K305" s="347"/>
      <c r="L305" s="347"/>
      <c r="M305" s="347"/>
      <c r="N305" s="347"/>
      <c r="O305" s="347"/>
      <c r="P305" s="347"/>
      <c r="Q305" s="347"/>
      <c r="R305" s="347"/>
      <c r="S305" s="347"/>
      <c r="T305" s="347"/>
      <c r="U305" s="347"/>
      <c r="V305" s="347"/>
      <c r="W305" s="347"/>
      <c r="X305" s="347"/>
      <c r="Y305" s="347"/>
      <c r="Z305" s="347"/>
      <c r="AA305" s="347"/>
      <c r="AB305" s="347"/>
      <c r="AC305" s="347"/>
      <c r="AD305" s="347"/>
      <c r="AE305" s="347"/>
      <c r="AF305" s="347"/>
      <c r="AG305" s="347"/>
      <c r="AH305" s="347"/>
      <c r="AI305" s="347"/>
      <c r="AJ305" s="347"/>
      <c r="AK305" s="347"/>
      <c r="AL305" s="347"/>
      <c r="AM305" s="347"/>
      <c r="AN305" s="347"/>
      <c r="AO305" s="347"/>
      <c r="AP305" s="347"/>
      <c r="AQ305" s="347"/>
      <c r="AR305" s="347"/>
      <c r="AS305" s="347"/>
      <c r="AT305" s="347"/>
      <c r="AU305" s="347"/>
      <c r="AV305" s="347"/>
      <c r="AW305" s="347"/>
      <c r="AX305" s="347"/>
      <c r="AY305" s="347"/>
      <c r="AZ305" s="347"/>
      <c r="BA305" s="347"/>
      <c r="BB305" s="347"/>
      <c r="BC305" s="347"/>
      <c r="BD305" s="347"/>
      <c r="BE305" s="347"/>
      <c r="BF305" s="347"/>
      <c r="BG305" s="347"/>
      <c r="BH305" s="347"/>
      <c r="BI305" s="347"/>
      <c r="BJ305" s="347"/>
      <c r="BK305" s="347"/>
      <c r="BL305" s="347"/>
      <c r="BM305" s="347"/>
      <c r="BN305" s="347"/>
      <c r="BO305" s="347"/>
      <c r="BP305" s="347"/>
      <c r="BQ305" s="347"/>
      <c r="BR305" s="347"/>
      <c r="BS305" s="347"/>
      <c r="BT305" s="347"/>
      <c r="BU305" s="347"/>
      <c r="BV305" s="347"/>
      <c r="BW305" s="347"/>
      <c r="BX305" s="347"/>
      <c r="BY305" s="347"/>
      <c r="BZ305" s="347"/>
      <c r="CA305" s="347"/>
      <c r="CB305" s="347"/>
      <c r="CC305" s="347"/>
      <c r="CD305" s="347"/>
      <c r="CE305" s="347"/>
      <c r="CF305" s="347"/>
      <c r="CG305" s="347"/>
      <c r="CH305" s="347"/>
      <c r="CI305" s="347"/>
      <c r="CJ305" s="347"/>
      <c r="CK305" s="347"/>
      <c r="CL305" s="347"/>
      <c r="CM305" s="347"/>
      <c r="CN305" s="347"/>
      <c r="CO305" s="347"/>
      <c r="CP305" s="347"/>
    </row>
    <row r="306" spans="1:94">
      <c r="A306" s="347"/>
      <c r="B306" s="348"/>
      <c r="C306" s="347"/>
      <c r="D306" s="347"/>
      <c r="E306" s="347"/>
      <c r="F306" s="347"/>
      <c r="G306" s="347"/>
      <c r="H306" s="347"/>
      <c r="I306" s="347"/>
      <c r="J306" s="347"/>
      <c r="K306" s="347"/>
      <c r="L306" s="347"/>
      <c r="M306" s="347"/>
      <c r="N306" s="347"/>
      <c r="O306" s="347"/>
      <c r="P306" s="347"/>
      <c r="Q306" s="347"/>
      <c r="R306" s="347"/>
      <c r="S306" s="347"/>
      <c r="T306" s="347"/>
      <c r="U306" s="347"/>
      <c r="V306" s="347"/>
      <c r="W306" s="347"/>
      <c r="X306" s="347"/>
      <c r="Y306" s="347"/>
      <c r="Z306" s="347"/>
      <c r="AA306" s="347"/>
      <c r="AB306" s="347"/>
      <c r="AC306" s="347"/>
      <c r="AD306" s="347"/>
      <c r="AE306" s="347"/>
      <c r="AF306" s="347"/>
      <c r="AG306" s="347"/>
      <c r="AH306" s="347"/>
      <c r="AI306" s="347"/>
      <c r="AJ306" s="347"/>
      <c r="AK306" s="347"/>
      <c r="AL306" s="347"/>
      <c r="AM306" s="347"/>
      <c r="AN306" s="347"/>
      <c r="AO306" s="347"/>
      <c r="AP306" s="347"/>
      <c r="AQ306" s="347"/>
      <c r="AR306" s="347"/>
      <c r="AS306" s="347"/>
      <c r="AT306" s="347"/>
      <c r="AU306" s="347"/>
      <c r="AV306" s="347"/>
      <c r="AW306" s="347"/>
      <c r="AX306" s="347"/>
      <c r="AY306" s="347"/>
      <c r="AZ306" s="347"/>
      <c r="BA306" s="347"/>
      <c r="BB306" s="347"/>
      <c r="BC306" s="347"/>
      <c r="BD306" s="347"/>
      <c r="BE306" s="347"/>
      <c r="BF306" s="347"/>
      <c r="BG306" s="347"/>
      <c r="BH306" s="347"/>
      <c r="BI306" s="347"/>
      <c r="BJ306" s="347"/>
      <c r="BK306" s="347"/>
      <c r="BL306" s="347"/>
      <c r="BM306" s="347"/>
      <c r="BN306" s="347"/>
      <c r="BO306" s="347"/>
      <c r="BP306" s="347"/>
      <c r="BQ306" s="347"/>
      <c r="BR306" s="347"/>
      <c r="BS306" s="347"/>
      <c r="BT306" s="347"/>
      <c r="BU306" s="347"/>
      <c r="BV306" s="347"/>
      <c r="BW306" s="347"/>
      <c r="BX306" s="347"/>
      <c r="BY306" s="347"/>
      <c r="BZ306" s="347"/>
      <c r="CA306" s="347"/>
      <c r="CB306" s="347"/>
      <c r="CC306" s="347"/>
      <c r="CD306" s="347"/>
      <c r="CE306" s="347"/>
      <c r="CF306" s="347"/>
      <c r="CG306" s="347"/>
      <c r="CH306" s="347"/>
      <c r="CI306" s="347"/>
      <c r="CJ306" s="347"/>
      <c r="CK306" s="347"/>
      <c r="CL306" s="347"/>
      <c r="CM306" s="347"/>
      <c r="CN306" s="347"/>
      <c r="CO306" s="347"/>
      <c r="CP306" s="347"/>
    </row>
    <row r="307" spans="1:94">
      <c r="A307" s="347"/>
      <c r="B307" s="348"/>
      <c r="C307" s="347"/>
      <c r="D307" s="347"/>
      <c r="E307" s="347"/>
      <c r="F307" s="347"/>
      <c r="G307" s="347"/>
      <c r="H307" s="347"/>
      <c r="I307" s="347"/>
      <c r="J307" s="347"/>
      <c r="K307" s="347"/>
      <c r="L307" s="347"/>
      <c r="M307" s="347"/>
      <c r="N307" s="347"/>
      <c r="O307" s="347"/>
      <c r="P307" s="347"/>
      <c r="Q307" s="347"/>
      <c r="R307" s="347"/>
      <c r="S307" s="347"/>
      <c r="T307" s="347"/>
      <c r="U307" s="347"/>
      <c r="V307" s="347"/>
      <c r="W307" s="347"/>
      <c r="X307" s="347"/>
      <c r="Y307" s="347"/>
      <c r="Z307" s="347"/>
      <c r="AA307" s="347"/>
      <c r="AB307" s="347"/>
      <c r="AC307" s="347"/>
      <c r="AD307" s="347"/>
      <c r="AE307" s="347"/>
      <c r="AF307" s="347"/>
      <c r="AG307" s="347"/>
      <c r="AH307" s="347"/>
      <c r="AI307" s="347"/>
      <c r="AJ307" s="347"/>
      <c r="AK307" s="347"/>
      <c r="AL307" s="347"/>
      <c r="AM307" s="347"/>
      <c r="AN307" s="347"/>
      <c r="AO307" s="347"/>
      <c r="AP307" s="347"/>
      <c r="AQ307" s="347"/>
      <c r="AR307" s="347"/>
      <c r="AS307" s="347"/>
      <c r="AT307" s="347"/>
      <c r="AU307" s="347"/>
      <c r="AV307" s="347"/>
      <c r="AW307" s="347"/>
      <c r="AX307" s="347"/>
      <c r="AY307" s="347"/>
      <c r="AZ307" s="347"/>
      <c r="BA307" s="347"/>
      <c r="BB307" s="347"/>
      <c r="BC307" s="347"/>
      <c r="BD307" s="347"/>
      <c r="BE307" s="347"/>
      <c r="BF307" s="347"/>
      <c r="BG307" s="347"/>
      <c r="BH307" s="347"/>
      <c r="BI307" s="347"/>
      <c r="BJ307" s="347"/>
      <c r="BK307" s="347"/>
      <c r="BL307" s="347"/>
      <c r="BM307" s="347"/>
      <c r="BN307" s="347"/>
      <c r="BO307" s="347"/>
      <c r="BP307" s="347"/>
      <c r="BQ307" s="347"/>
      <c r="BR307" s="347"/>
      <c r="BS307" s="347"/>
      <c r="BT307" s="347"/>
      <c r="BU307" s="347"/>
      <c r="BV307" s="347"/>
      <c r="BW307" s="347"/>
      <c r="BX307" s="347"/>
      <c r="BY307" s="347"/>
      <c r="BZ307" s="347"/>
      <c r="CA307" s="347"/>
      <c r="CB307" s="347"/>
      <c r="CC307" s="347"/>
      <c r="CD307" s="347"/>
      <c r="CE307" s="347"/>
      <c r="CF307" s="347"/>
      <c r="CG307" s="347"/>
      <c r="CH307" s="347"/>
      <c r="CI307" s="347"/>
      <c r="CJ307" s="347"/>
      <c r="CK307" s="347"/>
      <c r="CL307" s="347"/>
      <c r="CM307" s="347"/>
      <c r="CN307" s="347"/>
      <c r="CO307" s="347"/>
      <c r="CP307" s="347"/>
    </row>
    <row r="308" spans="1:94">
      <c r="A308" s="347"/>
      <c r="B308" s="348"/>
      <c r="C308" s="347"/>
      <c r="D308" s="347"/>
      <c r="E308" s="347"/>
      <c r="F308" s="347"/>
      <c r="G308" s="347"/>
      <c r="H308" s="347"/>
      <c r="I308" s="347"/>
      <c r="J308" s="347"/>
      <c r="K308" s="347"/>
      <c r="L308" s="347"/>
      <c r="M308" s="347"/>
      <c r="N308" s="347"/>
      <c r="O308" s="347"/>
      <c r="P308" s="347"/>
      <c r="Q308" s="347"/>
      <c r="R308" s="347"/>
      <c r="S308" s="347"/>
      <c r="T308" s="347"/>
      <c r="U308" s="347"/>
      <c r="V308" s="347"/>
      <c r="W308" s="347"/>
      <c r="X308" s="347"/>
      <c r="Y308" s="347"/>
      <c r="Z308" s="347"/>
      <c r="AA308" s="347"/>
      <c r="AB308" s="347"/>
      <c r="AC308" s="347"/>
      <c r="AD308" s="347"/>
      <c r="AE308" s="347"/>
      <c r="AF308" s="347"/>
      <c r="AG308" s="347"/>
      <c r="AH308" s="347"/>
      <c r="AI308" s="347"/>
      <c r="AJ308" s="347"/>
      <c r="AK308" s="347"/>
      <c r="AL308" s="347"/>
      <c r="AM308" s="347"/>
      <c r="AN308" s="347"/>
      <c r="AO308" s="347"/>
      <c r="AP308" s="347"/>
      <c r="AQ308" s="347"/>
      <c r="AR308" s="347"/>
      <c r="AS308" s="347"/>
      <c r="AT308" s="347"/>
      <c r="AU308" s="347"/>
      <c r="AV308" s="347"/>
      <c r="AW308" s="347"/>
      <c r="AX308" s="347"/>
      <c r="AY308" s="347"/>
      <c r="AZ308" s="347"/>
      <c r="BA308" s="347"/>
      <c r="BB308" s="347"/>
      <c r="BC308" s="347"/>
      <c r="BD308" s="347"/>
      <c r="BE308" s="347"/>
      <c r="BF308" s="347"/>
      <c r="BG308" s="347"/>
      <c r="BH308" s="347"/>
      <c r="BI308" s="347"/>
      <c r="BJ308" s="347"/>
      <c r="BK308" s="347"/>
      <c r="BL308" s="347"/>
      <c r="BM308" s="347"/>
      <c r="BN308" s="347"/>
      <c r="BO308" s="347"/>
      <c r="BP308" s="347"/>
      <c r="BQ308" s="347"/>
      <c r="BR308" s="347"/>
      <c r="BS308" s="347"/>
      <c r="BT308" s="347"/>
      <c r="BU308" s="347"/>
      <c r="BV308" s="347"/>
      <c r="BW308" s="347"/>
      <c r="BX308" s="347"/>
      <c r="BY308" s="347"/>
      <c r="BZ308" s="347"/>
      <c r="CA308" s="347"/>
      <c r="CB308" s="347"/>
      <c r="CC308" s="347"/>
      <c r="CD308" s="347"/>
      <c r="CE308" s="347"/>
      <c r="CF308" s="347"/>
      <c r="CG308" s="347"/>
      <c r="CH308" s="347"/>
      <c r="CI308" s="347"/>
      <c r="CJ308" s="347"/>
      <c r="CK308" s="347"/>
      <c r="CL308" s="347"/>
      <c r="CM308" s="347"/>
      <c r="CN308" s="347"/>
      <c r="CO308" s="347"/>
      <c r="CP308" s="347"/>
    </row>
    <row r="309" spans="1:94">
      <c r="A309" s="347"/>
      <c r="B309" s="348"/>
      <c r="C309" s="347"/>
      <c r="D309" s="347"/>
      <c r="E309" s="347"/>
      <c r="F309" s="347"/>
      <c r="G309" s="347"/>
      <c r="H309" s="347"/>
      <c r="I309" s="347"/>
      <c r="J309" s="347"/>
      <c r="K309" s="347"/>
      <c r="L309" s="347"/>
      <c r="M309" s="347"/>
      <c r="N309" s="347"/>
      <c r="O309" s="347"/>
      <c r="P309" s="347"/>
      <c r="Q309" s="347"/>
      <c r="R309" s="347"/>
      <c r="S309" s="347"/>
      <c r="T309" s="347"/>
      <c r="U309" s="347"/>
      <c r="V309" s="347"/>
      <c r="W309" s="347"/>
      <c r="X309" s="347"/>
      <c r="Y309" s="347"/>
      <c r="Z309" s="347"/>
      <c r="AA309" s="347"/>
      <c r="AB309" s="347"/>
      <c r="AC309" s="347"/>
      <c r="AD309" s="347"/>
      <c r="AE309" s="347"/>
      <c r="AF309" s="347"/>
      <c r="AG309" s="347"/>
      <c r="AH309" s="347"/>
      <c r="AI309" s="347"/>
      <c r="AJ309" s="347"/>
      <c r="AK309" s="347"/>
      <c r="AL309" s="347"/>
      <c r="AM309" s="347"/>
      <c r="AN309" s="347"/>
      <c r="AO309" s="347"/>
      <c r="AP309" s="347"/>
      <c r="AQ309" s="347"/>
      <c r="AR309" s="347"/>
      <c r="AS309" s="347"/>
      <c r="AT309" s="347"/>
      <c r="AU309" s="347"/>
      <c r="AV309" s="347"/>
      <c r="AW309" s="347"/>
      <c r="AX309" s="347"/>
      <c r="AY309" s="347"/>
      <c r="AZ309" s="347"/>
      <c r="BA309" s="347"/>
      <c r="BB309" s="347"/>
      <c r="BC309" s="347"/>
      <c r="BD309" s="347"/>
      <c r="BE309" s="347"/>
      <c r="BF309" s="347"/>
      <c r="BG309" s="347"/>
      <c r="BH309" s="347"/>
      <c r="BI309" s="347"/>
      <c r="BJ309" s="347"/>
      <c r="BK309" s="347"/>
      <c r="BL309" s="347"/>
      <c r="BM309" s="347"/>
      <c r="BN309" s="347"/>
      <c r="BO309" s="347"/>
      <c r="BP309" s="347"/>
      <c r="BQ309" s="347"/>
      <c r="BR309" s="347"/>
      <c r="BS309" s="347"/>
      <c r="BT309" s="347"/>
      <c r="BU309" s="347"/>
      <c r="BV309" s="347"/>
      <c r="BW309" s="347"/>
      <c r="BX309" s="347"/>
      <c r="BY309" s="347"/>
      <c r="BZ309" s="347"/>
      <c r="CA309" s="347"/>
      <c r="CB309" s="347"/>
      <c r="CC309" s="347"/>
      <c r="CD309" s="347"/>
      <c r="CE309" s="347"/>
      <c r="CF309" s="347"/>
      <c r="CG309" s="347"/>
      <c r="CH309" s="347"/>
      <c r="CI309" s="347"/>
      <c r="CJ309" s="347"/>
      <c r="CK309" s="347"/>
      <c r="CL309" s="347"/>
      <c r="CM309" s="347"/>
      <c r="CN309" s="347"/>
      <c r="CO309" s="347"/>
      <c r="CP309" s="347"/>
    </row>
    <row r="310" spans="1:94">
      <c r="A310" s="347"/>
      <c r="B310" s="348"/>
      <c r="C310" s="347"/>
      <c r="D310" s="347"/>
      <c r="E310" s="347"/>
      <c r="F310" s="347"/>
      <c r="G310" s="347"/>
      <c r="H310" s="347"/>
      <c r="I310" s="347"/>
      <c r="J310" s="347"/>
      <c r="K310" s="347"/>
      <c r="L310" s="347"/>
      <c r="M310" s="347"/>
      <c r="N310" s="347"/>
      <c r="O310" s="347"/>
      <c r="P310" s="347"/>
      <c r="Q310" s="347"/>
      <c r="R310" s="347"/>
      <c r="S310" s="347"/>
      <c r="T310" s="347"/>
      <c r="U310" s="347"/>
      <c r="V310" s="347"/>
      <c r="W310" s="347"/>
      <c r="X310" s="347"/>
      <c r="Y310" s="347"/>
      <c r="Z310" s="347"/>
      <c r="AA310" s="347"/>
      <c r="AB310" s="347"/>
      <c r="AC310" s="347"/>
      <c r="AD310" s="347"/>
      <c r="AE310" s="347"/>
      <c r="AF310" s="347"/>
      <c r="AG310" s="347"/>
      <c r="AH310" s="347"/>
      <c r="AI310" s="347"/>
      <c r="AJ310" s="347"/>
      <c r="AK310" s="347"/>
      <c r="AL310" s="347"/>
      <c r="AM310" s="347"/>
      <c r="AN310" s="347"/>
      <c r="AO310" s="347"/>
      <c r="AP310" s="347"/>
      <c r="AQ310" s="347"/>
      <c r="AR310" s="347"/>
      <c r="AS310" s="347"/>
      <c r="AT310" s="347"/>
      <c r="AU310" s="347"/>
      <c r="AV310" s="347"/>
      <c r="AW310" s="347"/>
      <c r="AX310" s="347"/>
      <c r="AY310" s="347"/>
      <c r="AZ310" s="347"/>
      <c r="BA310" s="347"/>
      <c r="BB310" s="347"/>
      <c r="BC310" s="347"/>
      <c r="BD310" s="347"/>
      <c r="BE310" s="347"/>
      <c r="BF310" s="347"/>
      <c r="BG310" s="347"/>
      <c r="BH310" s="347"/>
      <c r="BI310" s="347"/>
      <c r="BJ310" s="347"/>
      <c r="BK310" s="347"/>
      <c r="BL310" s="347"/>
      <c r="BM310" s="347"/>
      <c r="BN310" s="347"/>
      <c r="BO310" s="347"/>
      <c r="BP310" s="347"/>
      <c r="BQ310" s="347"/>
      <c r="BR310" s="347"/>
      <c r="BS310" s="347"/>
      <c r="BT310" s="347"/>
      <c r="BU310" s="347"/>
      <c r="BV310" s="347"/>
      <c r="BW310" s="347"/>
      <c r="BX310" s="347"/>
      <c r="BY310" s="347"/>
      <c r="BZ310" s="347"/>
      <c r="CA310" s="347"/>
      <c r="CB310" s="347"/>
      <c r="CC310" s="347"/>
      <c r="CD310" s="347"/>
      <c r="CE310" s="347"/>
      <c r="CF310" s="347"/>
      <c r="CG310" s="347"/>
      <c r="CH310" s="347"/>
      <c r="CI310" s="347"/>
      <c r="CJ310" s="347"/>
      <c r="CK310" s="347"/>
      <c r="CL310" s="347"/>
      <c r="CM310" s="347"/>
      <c r="CN310" s="347"/>
      <c r="CO310" s="347"/>
      <c r="CP310" s="347"/>
    </row>
    <row r="311" spans="1:94">
      <c r="A311" s="347"/>
      <c r="B311" s="348"/>
      <c r="C311" s="347"/>
      <c r="D311" s="347"/>
      <c r="E311" s="347"/>
      <c r="F311" s="347"/>
      <c r="G311" s="347"/>
      <c r="H311" s="347"/>
      <c r="I311" s="347"/>
      <c r="J311" s="347"/>
      <c r="K311" s="347"/>
      <c r="L311" s="347"/>
      <c r="M311" s="347"/>
      <c r="N311" s="347"/>
      <c r="O311" s="347"/>
      <c r="P311" s="347"/>
      <c r="Q311" s="347"/>
      <c r="R311" s="347"/>
      <c r="S311" s="347"/>
      <c r="T311" s="347"/>
      <c r="U311" s="347"/>
      <c r="V311" s="347"/>
      <c r="W311" s="347"/>
      <c r="X311" s="347"/>
      <c r="Y311" s="347"/>
      <c r="Z311" s="347"/>
      <c r="AA311" s="347"/>
      <c r="AB311" s="347"/>
      <c r="AC311" s="347"/>
      <c r="AD311" s="347"/>
      <c r="AE311" s="347"/>
      <c r="AF311" s="347"/>
      <c r="AG311" s="347"/>
      <c r="AH311" s="347"/>
      <c r="AI311" s="347"/>
      <c r="AJ311" s="347"/>
      <c r="AK311" s="347"/>
      <c r="AL311" s="347"/>
      <c r="AM311" s="347"/>
      <c r="AN311" s="347"/>
      <c r="AO311" s="347"/>
      <c r="AP311" s="347"/>
      <c r="AQ311" s="347"/>
      <c r="AR311" s="347"/>
      <c r="AS311" s="347"/>
      <c r="AT311" s="347"/>
      <c r="AU311" s="347"/>
      <c r="AV311" s="347"/>
      <c r="AW311" s="347"/>
      <c r="AX311" s="347"/>
      <c r="AY311" s="347"/>
      <c r="AZ311" s="347"/>
      <c r="BA311" s="347"/>
      <c r="BB311" s="347"/>
      <c r="BC311" s="347"/>
      <c r="BD311" s="347"/>
      <c r="BE311" s="347"/>
      <c r="BF311" s="347"/>
      <c r="BG311" s="347"/>
      <c r="BH311" s="347"/>
      <c r="BI311" s="347"/>
      <c r="BJ311" s="347"/>
      <c r="BK311" s="347"/>
      <c r="BL311" s="347"/>
      <c r="BM311" s="347"/>
      <c r="BN311" s="347"/>
      <c r="BO311" s="347"/>
      <c r="BP311" s="347"/>
      <c r="BQ311" s="347"/>
      <c r="BR311" s="347"/>
      <c r="BS311" s="347"/>
      <c r="BT311" s="347"/>
      <c r="BU311" s="347"/>
      <c r="BV311" s="347"/>
      <c r="BW311" s="347"/>
      <c r="BX311" s="347"/>
      <c r="BY311" s="347"/>
      <c r="BZ311" s="347"/>
      <c r="CA311" s="347"/>
      <c r="CB311" s="347"/>
      <c r="CC311" s="347"/>
      <c r="CD311" s="347"/>
      <c r="CE311" s="347"/>
      <c r="CF311" s="347"/>
      <c r="CG311" s="347"/>
      <c r="CH311" s="347"/>
      <c r="CI311" s="347"/>
      <c r="CJ311" s="347"/>
      <c r="CK311" s="347"/>
      <c r="CL311" s="347"/>
      <c r="CM311" s="347"/>
      <c r="CN311" s="347"/>
      <c r="CO311" s="347"/>
      <c r="CP311" s="347"/>
    </row>
    <row r="312" spans="1:94">
      <c r="A312" s="347"/>
      <c r="B312" s="348"/>
      <c r="C312" s="347"/>
      <c r="D312" s="347"/>
      <c r="E312" s="347"/>
      <c r="F312" s="347"/>
      <c r="G312" s="347"/>
      <c r="H312" s="347"/>
      <c r="I312" s="347"/>
      <c r="J312" s="347"/>
      <c r="K312" s="347"/>
      <c r="L312" s="347"/>
      <c r="M312" s="347"/>
      <c r="N312" s="347"/>
      <c r="O312" s="347"/>
      <c r="P312" s="347"/>
      <c r="Q312" s="347"/>
      <c r="R312" s="347"/>
      <c r="S312" s="347"/>
      <c r="T312" s="347"/>
      <c r="U312" s="347"/>
      <c r="V312" s="347"/>
      <c r="W312" s="347"/>
      <c r="X312" s="347"/>
      <c r="Y312" s="347"/>
      <c r="Z312" s="347"/>
      <c r="AA312" s="347"/>
      <c r="AB312" s="347"/>
      <c r="AC312" s="347"/>
      <c r="AD312" s="347"/>
      <c r="AE312" s="347"/>
      <c r="AF312" s="347"/>
      <c r="AG312" s="347"/>
      <c r="AH312" s="347"/>
      <c r="AI312" s="347"/>
      <c r="AJ312" s="347"/>
      <c r="AK312" s="347"/>
      <c r="AL312" s="347"/>
      <c r="AM312" s="347"/>
      <c r="AN312" s="347"/>
      <c r="AO312" s="347"/>
      <c r="AP312" s="347"/>
      <c r="AQ312" s="347"/>
      <c r="AR312" s="347"/>
      <c r="AS312" s="347"/>
      <c r="AT312" s="347"/>
      <c r="AU312" s="347"/>
      <c r="AV312" s="347"/>
      <c r="AW312" s="347"/>
      <c r="AX312" s="347"/>
      <c r="AY312" s="347"/>
      <c r="AZ312" s="347"/>
      <c r="BA312" s="347"/>
      <c r="BB312" s="347"/>
      <c r="BC312" s="347"/>
      <c r="BD312" s="347"/>
      <c r="BE312" s="347"/>
      <c r="BF312" s="347"/>
      <c r="BG312" s="347"/>
      <c r="BH312" s="347"/>
      <c r="BI312" s="347"/>
      <c r="BJ312" s="347"/>
      <c r="BK312" s="347"/>
      <c r="BL312" s="347"/>
      <c r="BM312" s="347"/>
      <c r="BN312" s="347"/>
      <c r="BO312" s="347"/>
      <c r="BP312" s="347"/>
      <c r="BQ312" s="347"/>
      <c r="BR312" s="347"/>
      <c r="BS312" s="347"/>
      <c r="BT312" s="347"/>
      <c r="BU312" s="347"/>
      <c r="BV312" s="347"/>
      <c r="BW312" s="347"/>
      <c r="BX312" s="347"/>
      <c r="BY312" s="347"/>
      <c r="BZ312" s="347"/>
      <c r="CA312" s="347"/>
      <c r="CB312" s="347"/>
      <c r="CC312" s="347"/>
      <c r="CD312" s="347"/>
      <c r="CE312" s="347"/>
      <c r="CF312" s="347"/>
      <c r="CG312" s="347"/>
      <c r="CH312" s="347"/>
      <c r="CI312" s="347"/>
      <c r="CJ312" s="347"/>
      <c r="CK312" s="347"/>
      <c r="CL312" s="347"/>
      <c r="CM312" s="347"/>
      <c r="CN312" s="347"/>
      <c r="CO312" s="347"/>
      <c r="CP312" s="347"/>
    </row>
    <row r="313" spans="1:94">
      <c r="A313" s="347"/>
      <c r="B313" s="348"/>
      <c r="C313" s="347"/>
      <c r="D313" s="347"/>
      <c r="E313" s="347"/>
      <c r="F313" s="347"/>
      <c r="G313" s="347"/>
      <c r="H313" s="347"/>
      <c r="I313" s="347"/>
      <c r="J313" s="347"/>
      <c r="K313" s="347"/>
      <c r="L313" s="347"/>
      <c r="M313" s="347"/>
      <c r="N313" s="347"/>
      <c r="O313" s="347"/>
      <c r="P313" s="347"/>
      <c r="Q313" s="347"/>
      <c r="R313" s="347"/>
      <c r="S313" s="347"/>
      <c r="T313" s="347"/>
      <c r="U313" s="347"/>
      <c r="V313" s="347"/>
      <c r="W313" s="347"/>
      <c r="X313" s="347"/>
      <c r="Y313" s="347"/>
      <c r="Z313" s="347"/>
      <c r="AA313" s="347"/>
      <c r="AB313" s="347"/>
      <c r="AC313" s="347"/>
      <c r="AD313" s="347"/>
      <c r="AE313" s="347"/>
      <c r="AF313" s="347"/>
      <c r="AG313" s="347"/>
      <c r="AH313" s="347"/>
      <c r="AI313" s="347"/>
      <c r="AJ313" s="347"/>
      <c r="AK313" s="347"/>
      <c r="AL313" s="347"/>
      <c r="AM313" s="347"/>
      <c r="AN313" s="347"/>
      <c r="AO313" s="347"/>
      <c r="AP313" s="347"/>
      <c r="AQ313" s="347"/>
      <c r="AR313" s="347"/>
      <c r="AS313" s="347"/>
      <c r="AT313" s="347"/>
      <c r="AU313" s="347"/>
      <c r="AV313" s="347"/>
      <c r="AW313" s="347"/>
      <c r="AX313" s="347"/>
      <c r="AY313" s="347"/>
      <c r="AZ313" s="347"/>
      <c r="BA313" s="347"/>
      <c r="BB313" s="347"/>
      <c r="BC313" s="347"/>
      <c r="BD313" s="347"/>
      <c r="BE313" s="347"/>
      <c r="BF313" s="347"/>
      <c r="BG313" s="347"/>
      <c r="BH313" s="347"/>
      <c r="BI313" s="347"/>
      <c r="BJ313" s="347"/>
      <c r="BK313" s="347"/>
      <c r="BL313" s="347"/>
      <c r="BM313" s="347"/>
      <c r="BN313" s="347"/>
      <c r="BO313" s="347"/>
      <c r="BP313" s="347"/>
      <c r="BQ313" s="347"/>
      <c r="BR313" s="347"/>
      <c r="BS313" s="347"/>
      <c r="BT313" s="347"/>
      <c r="BU313" s="347"/>
      <c r="BV313" s="347"/>
      <c r="BW313" s="347"/>
      <c r="BX313" s="347"/>
      <c r="BY313" s="347"/>
      <c r="BZ313" s="347"/>
      <c r="CA313" s="347"/>
      <c r="CB313" s="347"/>
      <c r="CC313" s="347"/>
      <c r="CD313" s="347"/>
      <c r="CE313" s="347"/>
      <c r="CF313" s="347"/>
      <c r="CG313" s="347"/>
      <c r="CH313" s="347"/>
      <c r="CI313" s="347"/>
      <c r="CJ313" s="347"/>
      <c r="CK313" s="347"/>
      <c r="CL313" s="347"/>
      <c r="CM313" s="347"/>
      <c r="CN313" s="347"/>
      <c r="CO313" s="347"/>
      <c r="CP313" s="347"/>
    </row>
    <row r="314" spans="1:94">
      <c r="A314" s="347"/>
      <c r="B314" s="348"/>
      <c r="C314" s="347"/>
      <c r="D314" s="347"/>
      <c r="E314" s="347"/>
      <c r="F314" s="347"/>
      <c r="G314" s="347"/>
      <c r="H314" s="347"/>
      <c r="I314" s="347"/>
      <c r="J314" s="347"/>
      <c r="K314" s="347"/>
      <c r="L314" s="347"/>
      <c r="M314" s="347"/>
      <c r="N314" s="347"/>
      <c r="O314" s="347"/>
      <c r="P314" s="347"/>
      <c r="Q314" s="347"/>
      <c r="R314" s="347"/>
      <c r="S314" s="347"/>
      <c r="T314" s="347"/>
      <c r="U314" s="347"/>
      <c r="V314" s="347"/>
      <c r="W314" s="347"/>
      <c r="X314" s="347"/>
      <c r="Y314" s="347"/>
      <c r="Z314" s="347"/>
      <c r="AA314" s="347"/>
      <c r="AB314" s="347"/>
      <c r="AC314" s="347"/>
      <c r="AD314" s="347"/>
      <c r="AE314" s="347"/>
      <c r="AF314" s="347"/>
      <c r="AG314" s="347"/>
      <c r="AH314" s="347"/>
      <c r="AI314" s="347"/>
      <c r="AJ314" s="347"/>
      <c r="AK314" s="347"/>
      <c r="AL314" s="347"/>
      <c r="AM314" s="347"/>
      <c r="AN314" s="347"/>
      <c r="AO314" s="347"/>
      <c r="AP314" s="347"/>
      <c r="AQ314" s="347"/>
      <c r="AR314" s="347"/>
      <c r="AS314" s="347"/>
      <c r="AT314" s="347"/>
      <c r="AU314" s="347"/>
      <c r="AV314" s="347"/>
      <c r="AW314" s="347"/>
      <c r="AX314" s="347"/>
      <c r="AY314" s="347"/>
      <c r="AZ314" s="347"/>
      <c r="BA314" s="347"/>
      <c r="BB314" s="347"/>
      <c r="BC314" s="347"/>
      <c r="BD314" s="347"/>
      <c r="BE314" s="347"/>
      <c r="BF314" s="347"/>
      <c r="BG314" s="347"/>
      <c r="BH314" s="347"/>
      <c r="BI314" s="347"/>
      <c r="BJ314" s="347"/>
      <c r="BK314" s="347"/>
      <c r="BL314" s="347"/>
      <c r="BM314" s="347"/>
      <c r="BN314" s="347"/>
      <c r="BO314" s="347"/>
      <c r="BP314" s="347"/>
      <c r="BQ314" s="347"/>
      <c r="BR314" s="347"/>
      <c r="BS314" s="347"/>
      <c r="BT314" s="347"/>
      <c r="BU314" s="347"/>
      <c r="BV314" s="347"/>
      <c r="BW314" s="347"/>
      <c r="BX314" s="347"/>
      <c r="BY314" s="347"/>
      <c r="BZ314" s="347"/>
      <c r="CA314" s="347"/>
      <c r="CB314" s="347"/>
      <c r="CC314" s="347"/>
      <c r="CD314" s="347"/>
      <c r="CE314" s="347"/>
      <c r="CF314" s="347"/>
      <c r="CG314" s="347"/>
      <c r="CH314" s="347"/>
      <c r="CI314" s="347"/>
      <c r="CJ314" s="347"/>
      <c r="CK314" s="347"/>
      <c r="CL314" s="347"/>
      <c r="CM314" s="347"/>
      <c r="CN314" s="347"/>
      <c r="CO314" s="347"/>
      <c r="CP314" s="347"/>
    </row>
    <row r="315" spans="1:94">
      <c r="A315" s="347"/>
      <c r="B315" s="348"/>
      <c r="C315" s="347"/>
      <c r="D315" s="347"/>
      <c r="E315" s="347"/>
      <c r="F315" s="347"/>
      <c r="G315" s="347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  <c r="X315" s="347"/>
      <c r="Y315" s="347"/>
      <c r="Z315" s="347"/>
      <c r="AA315" s="347"/>
      <c r="AB315" s="347"/>
      <c r="AC315" s="347"/>
      <c r="AD315" s="347"/>
      <c r="AE315" s="347"/>
      <c r="AF315" s="347"/>
      <c r="AG315" s="347"/>
      <c r="AH315" s="347"/>
      <c r="AI315" s="347"/>
      <c r="AJ315" s="347"/>
      <c r="AK315" s="347"/>
      <c r="AL315" s="347"/>
      <c r="AM315" s="347"/>
      <c r="AN315" s="347"/>
      <c r="AO315" s="347"/>
      <c r="AP315" s="347"/>
      <c r="AQ315" s="347"/>
      <c r="AR315" s="347"/>
      <c r="AS315" s="347"/>
      <c r="AT315" s="347"/>
      <c r="AU315" s="347"/>
      <c r="AV315" s="347"/>
      <c r="AW315" s="347"/>
      <c r="AX315" s="347"/>
      <c r="AY315" s="347"/>
      <c r="AZ315" s="347"/>
      <c r="BA315" s="347"/>
      <c r="BB315" s="347"/>
      <c r="BC315" s="347"/>
      <c r="BD315" s="347"/>
      <c r="BE315" s="347"/>
      <c r="BF315" s="347"/>
      <c r="BG315" s="347"/>
      <c r="BH315" s="347"/>
      <c r="BI315" s="347"/>
      <c r="BJ315" s="347"/>
      <c r="BK315" s="347"/>
      <c r="BL315" s="347"/>
      <c r="BM315" s="347"/>
      <c r="BN315" s="347"/>
      <c r="BO315" s="347"/>
      <c r="BP315" s="347"/>
      <c r="BQ315" s="347"/>
      <c r="BR315" s="347"/>
      <c r="BS315" s="347"/>
      <c r="BT315" s="347"/>
      <c r="BU315" s="347"/>
      <c r="BV315" s="347"/>
      <c r="BW315" s="347"/>
      <c r="BX315" s="347"/>
      <c r="BY315" s="347"/>
      <c r="BZ315" s="347"/>
      <c r="CA315" s="347"/>
      <c r="CB315" s="347"/>
      <c r="CC315" s="347"/>
      <c r="CD315" s="347"/>
      <c r="CE315" s="347"/>
      <c r="CF315" s="347"/>
      <c r="CG315" s="347"/>
      <c r="CH315" s="347"/>
      <c r="CI315" s="347"/>
      <c r="CJ315" s="347"/>
      <c r="CK315" s="347"/>
      <c r="CL315" s="347"/>
      <c r="CM315" s="347"/>
      <c r="CN315" s="347"/>
      <c r="CO315" s="347"/>
      <c r="CP315" s="347"/>
    </row>
    <row r="316" spans="1:94">
      <c r="A316" s="347"/>
      <c r="B316" s="348"/>
      <c r="C316" s="347"/>
      <c r="D316" s="347"/>
      <c r="E316" s="347"/>
      <c r="F316" s="347"/>
      <c r="G316" s="347"/>
      <c r="H316" s="347"/>
      <c r="I316" s="347"/>
      <c r="J316" s="347"/>
      <c r="K316" s="347"/>
      <c r="L316" s="347"/>
      <c r="M316" s="347"/>
      <c r="N316" s="347"/>
      <c r="O316" s="347"/>
      <c r="P316" s="347"/>
      <c r="Q316" s="347"/>
      <c r="R316" s="347"/>
      <c r="S316" s="347"/>
      <c r="T316" s="347"/>
      <c r="U316" s="347"/>
      <c r="V316" s="347"/>
      <c r="W316" s="347"/>
      <c r="X316" s="347"/>
      <c r="Y316" s="347"/>
      <c r="Z316" s="347"/>
      <c r="AA316" s="347"/>
      <c r="AB316" s="347"/>
      <c r="AC316" s="347"/>
      <c r="AD316" s="347"/>
      <c r="AE316" s="347"/>
      <c r="AF316" s="347"/>
      <c r="AG316" s="347"/>
      <c r="AH316" s="347"/>
      <c r="AI316" s="347"/>
      <c r="AJ316" s="347"/>
      <c r="AK316" s="347"/>
      <c r="AL316" s="347"/>
      <c r="AM316" s="347"/>
      <c r="AN316" s="347"/>
      <c r="AO316" s="347"/>
      <c r="AP316" s="347"/>
      <c r="AQ316" s="347"/>
      <c r="AR316" s="347"/>
      <c r="AS316" s="347"/>
      <c r="AT316" s="347"/>
      <c r="AU316" s="347"/>
      <c r="AV316" s="347"/>
      <c r="AW316" s="347"/>
      <c r="AX316" s="347"/>
      <c r="AY316" s="347"/>
      <c r="AZ316" s="347"/>
      <c r="BA316" s="347"/>
      <c r="BB316" s="347"/>
      <c r="BC316" s="347"/>
      <c r="BD316" s="347"/>
      <c r="BE316" s="347"/>
      <c r="BF316" s="347"/>
      <c r="BG316" s="347"/>
      <c r="BH316" s="347"/>
      <c r="BI316" s="347"/>
      <c r="BJ316" s="347"/>
      <c r="BK316" s="347"/>
      <c r="BL316" s="347"/>
      <c r="BM316" s="347"/>
      <c r="BN316" s="347"/>
      <c r="BO316" s="347"/>
      <c r="BP316" s="347"/>
      <c r="BQ316" s="347"/>
      <c r="BR316" s="347"/>
      <c r="BS316" s="347"/>
      <c r="BT316" s="347"/>
      <c r="BU316" s="347"/>
      <c r="BV316" s="347"/>
      <c r="BW316" s="347"/>
      <c r="BX316" s="347"/>
      <c r="BY316" s="347"/>
      <c r="BZ316" s="347"/>
      <c r="CA316" s="347"/>
      <c r="CB316" s="347"/>
      <c r="CC316" s="347"/>
      <c r="CD316" s="347"/>
      <c r="CE316" s="347"/>
      <c r="CF316" s="347"/>
      <c r="CG316" s="347"/>
      <c r="CH316" s="347"/>
      <c r="CI316" s="347"/>
      <c r="CJ316" s="347"/>
      <c r="CK316" s="347"/>
      <c r="CL316" s="347"/>
      <c r="CM316" s="347"/>
      <c r="CN316" s="347"/>
      <c r="CO316" s="347"/>
      <c r="CP316" s="347"/>
    </row>
    <row r="317" spans="1:94">
      <c r="A317" s="347"/>
      <c r="B317" s="348"/>
      <c r="C317" s="347"/>
      <c r="D317" s="347"/>
      <c r="E317" s="347"/>
      <c r="F317" s="347"/>
      <c r="G317" s="347"/>
      <c r="H317" s="347"/>
      <c r="I317" s="347"/>
      <c r="J317" s="347"/>
      <c r="K317" s="347"/>
      <c r="L317" s="347"/>
      <c r="M317" s="347"/>
      <c r="N317" s="347"/>
      <c r="O317" s="347"/>
      <c r="P317" s="347"/>
      <c r="Q317" s="347"/>
      <c r="R317" s="347"/>
      <c r="S317" s="347"/>
      <c r="T317" s="347"/>
      <c r="U317" s="347"/>
      <c r="V317" s="347"/>
      <c r="W317" s="347"/>
      <c r="X317" s="347"/>
      <c r="Y317" s="347"/>
      <c r="Z317" s="347"/>
      <c r="AA317" s="347"/>
      <c r="AB317" s="347"/>
      <c r="AC317" s="347"/>
      <c r="AD317" s="347"/>
      <c r="AE317" s="347"/>
      <c r="AF317" s="347"/>
      <c r="AG317" s="347"/>
      <c r="AH317" s="347"/>
      <c r="AI317" s="347"/>
      <c r="AJ317" s="347"/>
      <c r="AK317" s="347"/>
      <c r="AL317" s="347"/>
      <c r="AM317" s="347"/>
      <c r="AN317" s="347"/>
      <c r="AO317" s="347"/>
      <c r="AP317" s="347"/>
      <c r="AQ317" s="347"/>
      <c r="AR317" s="347"/>
      <c r="AS317" s="347"/>
      <c r="AT317" s="347"/>
      <c r="AU317" s="347"/>
      <c r="AV317" s="347"/>
      <c r="AW317" s="347"/>
      <c r="AX317" s="347"/>
      <c r="AY317" s="347"/>
      <c r="AZ317" s="347"/>
      <c r="BA317" s="347"/>
      <c r="BB317" s="347"/>
      <c r="BC317" s="347"/>
      <c r="BD317" s="347"/>
      <c r="BE317" s="347"/>
      <c r="BF317" s="347"/>
      <c r="BG317" s="347"/>
      <c r="BH317" s="347"/>
      <c r="BI317" s="347"/>
      <c r="BJ317" s="347"/>
      <c r="BK317" s="347"/>
      <c r="BL317" s="347"/>
      <c r="BM317" s="347"/>
      <c r="BN317" s="347"/>
      <c r="BO317" s="347"/>
      <c r="BP317" s="347"/>
      <c r="BQ317" s="347"/>
      <c r="BR317" s="347"/>
      <c r="BS317" s="347"/>
      <c r="BT317" s="347"/>
      <c r="BU317" s="347"/>
      <c r="BV317" s="347"/>
      <c r="BW317" s="347"/>
      <c r="BX317" s="347"/>
      <c r="BY317" s="347"/>
      <c r="BZ317" s="347"/>
      <c r="CA317" s="347"/>
      <c r="CB317" s="347"/>
      <c r="CC317" s="347"/>
      <c r="CD317" s="347"/>
      <c r="CE317" s="347"/>
      <c r="CF317" s="347"/>
      <c r="CG317" s="347"/>
      <c r="CH317" s="347"/>
      <c r="CI317" s="347"/>
      <c r="CJ317" s="347"/>
      <c r="CK317" s="347"/>
      <c r="CL317" s="347"/>
      <c r="CM317" s="347"/>
      <c r="CN317" s="347"/>
      <c r="CO317" s="347"/>
      <c r="CP317" s="347"/>
    </row>
    <row r="318" spans="1:94">
      <c r="A318" s="347"/>
      <c r="B318" s="348"/>
      <c r="C318" s="347"/>
      <c r="D318" s="347"/>
      <c r="E318" s="347"/>
      <c r="F318" s="347"/>
      <c r="G318" s="347"/>
      <c r="H318" s="347"/>
      <c r="I318" s="347"/>
      <c r="J318" s="347"/>
      <c r="K318" s="347"/>
      <c r="L318" s="347"/>
      <c r="M318" s="347"/>
      <c r="N318" s="347"/>
      <c r="O318" s="347"/>
      <c r="P318" s="347"/>
      <c r="Q318" s="347"/>
      <c r="R318" s="347"/>
      <c r="S318" s="347"/>
      <c r="T318" s="347"/>
      <c r="U318" s="347"/>
      <c r="V318" s="347"/>
      <c r="W318" s="347"/>
      <c r="X318" s="347"/>
      <c r="Y318" s="347"/>
      <c r="Z318" s="347"/>
      <c r="AA318" s="347"/>
      <c r="AB318" s="347"/>
      <c r="AC318" s="347"/>
      <c r="AD318" s="347"/>
      <c r="AE318" s="347"/>
      <c r="AF318" s="347"/>
      <c r="AG318" s="347"/>
      <c r="AH318" s="347"/>
      <c r="AI318" s="347"/>
      <c r="AJ318" s="347"/>
      <c r="AK318" s="347"/>
      <c r="AL318" s="347"/>
      <c r="AM318" s="347"/>
      <c r="AN318" s="347"/>
      <c r="AO318" s="347"/>
      <c r="AP318" s="347"/>
      <c r="AQ318" s="347"/>
      <c r="AR318" s="347"/>
      <c r="AS318" s="347"/>
      <c r="AT318" s="347"/>
      <c r="AU318" s="347"/>
      <c r="AV318" s="347"/>
      <c r="AW318" s="347"/>
      <c r="AX318" s="347"/>
      <c r="AY318" s="347"/>
      <c r="AZ318" s="347"/>
      <c r="BA318" s="347"/>
      <c r="BB318" s="347"/>
      <c r="BC318" s="347"/>
      <c r="BD318" s="347"/>
      <c r="BE318" s="347"/>
      <c r="BF318" s="347"/>
      <c r="BG318" s="347"/>
      <c r="BH318" s="347"/>
      <c r="BI318" s="347"/>
      <c r="BJ318" s="347"/>
      <c r="BK318" s="347"/>
      <c r="BL318" s="347"/>
      <c r="BM318" s="347"/>
      <c r="BN318" s="347"/>
      <c r="BO318" s="347"/>
      <c r="BP318" s="347"/>
      <c r="BQ318" s="347"/>
      <c r="BR318" s="347"/>
      <c r="BS318" s="347"/>
      <c r="BT318" s="347"/>
      <c r="BU318" s="347"/>
      <c r="BV318" s="347"/>
      <c r="BW318" s="347"/>
      <c r="BX318" s="347"/>
      <c r="BY318" s="347"/>
      <c r="BZ318" s="347"/>
      <c r="CA318" s="347"/>
      <c r="CB318" s="347"/>
      <c r="CC318" s="347"/>
      <c r="CD318" s="347"/>
      <c r="CE318" s="347"/>
      <c r="CF318" s="347"/>
      <c r="CG318" s="347"/>
      <c r="CH318" s="347"/>
      <c r="CI318" s="347"/>
      <c r="CJ318" s="347"/>
      <c r="CK318" s="347"/>
      <c r="CL318" s="347"/>
      <c r="CM318" s="347"/>
      <c r="CN318" s="347"/>
      <c r="CO318" s="347"/>
      <c r="CP318" s="347"/>
    </row>
    <row r="319" spans="1:94">
      <c r="A319" s="347"/>
      <c r="B319" s="348"/>
      <c r="C319" s="347"/>
      <c r="D319" s="347"/>
      <c r="E319" s="347"/>
      <c r="F319" s="347"/>
      <c r="G319" s="347"/>
      <c r="H319" s="347"/>
      <c r="I319" s="347"/>
      <c r="J319" s="347"/>
      <c r="K319" s="347"/>
      <c r="L319" s="347"/>
      <c r="M319" s="347"/>
      <c r="N319" s="347"/>
      <c r="O319" s="347"/>
      <c r="P319" s="347"/>
      <c r="Q319" s="347"/>
      <c r="R319" s="347"/>
      <c r="S319" s="347"/>
      <c r="T319" s="347"/>
      <c r="U319" s="347"/>
      <c r="V319" s="347"/>
      <c r="W319" s="347"/>
      <c r="X319" s="347"/>
      <c r="Y319" s="347"/>
      <c r="Z319" s="347"/>
      <c r="AA319" s="347"/>
      <c r="AB319" s="347"/>
      <c r="AC319" s="347"/>
      <c r="AD319" s="347"/>
      <c r="AE319" s="347"/>
      <c r="AF319" s="347"/>
      <c r="AG319" s="347"/>
      <c r="AH319" s="347"/>
      <c r="AI319" s="347"/>
      <c r="AJ319" s="347"/>
      <c r="AK319" s="347"/>
      <c r="AL319" s="347"/>
      <c r="AM319" s="347"/>
      <c r="AN319" s="347"/>
      <c r="AO319" s="347"/>
      <c r="AP319" s="347"/>
      <c r="AQ319" s="347"/>
      <c r="AR319" s="347"/>
      <c r="AS319" s="347"/>
      <c r="AT319" s="347"/>
      <c r="AU319" s="347"/>
      <c r="AV319" s="347"/>
      <c r="AW319" s="347"/>
      <c r="AX319" s="347"/>
      <c r="AY319" s="347"/>
      <c r="AZ319" s="347"/>
      <c r="BA319" s="347"/>
      <c r="BB319" s="347"/>
      <c r="BC319" s="347"/>
      <c r="BD319" s="347"/>
      <c r="BE319" s="347"/>
      <c r="BF319" s="347"/>
      <c r="BG319" s="347"/>
      <c r="BH319" s="347"/>
      <c r="BI319" s="347"/>
      <c r="BJ319" s="347"/>
      <c r="BK319" s="347"/>
      <c r="BL319" s="347"/>
      <c r="BM319" s="347"/>
      <c r="BN319" s="347"/>
      <c r="BO319" s="347"/>
      <c r="BP319" s="347"/>
      <c r="BQ319" s="347"/>
      <c r="BR319" s="347"/>
      <c r="BS319" s="347"/>
      <c r="BT319" s="347"/>
      <c r="BU319" s="347"/>
      <c r="BV319" s="347"/>
      <c r="BW319" s="347"/>
      <c r="BX319" s="347"/>
      <c r="BY319" s="347"/>
      <c r="BZ319" s="347"/>
      <c r="CA319" s="347"/>
      <c r="CB319" s="347"/>
      <c r="CC319" s="347"/>
      <c r="CD319" s="347"/>
      <c r="CE319" s="347"/>
      <c r="CF319" s="347"/>
      <c r="CG319" s="347"/>
      <c r="CH319" s="347"/>
      <c r="CI319" s="347"/>
      <c r="CJ319" s="347"/>
      <c r="CK319" s="347"/>
      <c r="CL319" s="347"/>
      <c r="CM319" s="347"/>
      <c r="CN319" s="347"/>
      <c r="CO319" s="347"/>
      <c r="CP319" s="347"/>
    </row>
    <row r="320" spans="1:94">
      <c r="A320" s="347"/>
      <c r="B320" s="348"/>
      <c r="C320" s="347"/>
      <c r="D320" s="347"/>
      <c r="E320" s="347"/>
      <c r="F320" s="347"/>
      <c r="G320" s="347"/>
      <c r="H320" s="347"/>
      <c r="I320" s="347"/>
      <c r="J320" s="347"/>
      <c r="K320" s="347"/>
      <c r="L320" s="347"/>
      <c r="M320" s="347"/>
      <c r="N320" s="347"/>
      <c r="O320" s="347"/>
      <c r="P320" s="347"/>
      <c r="Q320" s="347"/>
      <c r="R320" s="347"/>
      <c r="S320" s="347"/>
      <c r="T320" s="347"/>
      <c r="U320" s="347"/>
      <c r="V320" s="347"/>
      <c r="W320" s="347"/>
      <c r="X320" s="347"/>
      <c r="Y320" s="347"/>
      <c r="Z320" s="347"/>
      <c r="AA320" s="347"/>
      <c r="AB320" s="347"/>
      <c r="AC320" s="347"/>
      <c r="AD320" s="347"/>
      <c r="AE320" s="347"/>
      <c r="AF320" s="347"/>
      <c r="AG320" s="347"/>
      <c r="AH320" s="347"/>
      <c r="AI320" s="347"/>
      <c r="AJ320" s="347"/>
      <c r="AK320" s="347"/>
      <c r="AL320" s="347"/>
      <c r="AM320" s="347"/>
      <c r="AN320" s="347"/>
      <c r="AO320" s="347"/>
      <c r="AP320" s="347"/>
      <c r="AQ320" s="347"/>
      <c r="AR320" s="347"/>
      <c r="AS320" s="347"/>
      <c r="AT320" s="347"/>
      <c r="AU320" s="347"/>
      <c r="AV320" s="347"/>
      <c r="AW320" s="347"/>
      <c r="AX320" s="347"/>
      <c r="AY320" s="347"/>
      <c r="AZ320" s="347"/>
      <c r="BA320" s="347"/>
      <c r="BB320" s="347"/>
      <c r="BC320" s="347"/>
      <c r="BD320" s="347"/>
      <c r="BE320" s="347"/>
      <c r="BF320" s="347"/>
      <c r="BG320" s="347"/>
      <c r="BH320" s="347"/>
      <c r="BI320" s="347"/>
      <c r="BJ320" s="347"/>
      <c r="BK320" s="347"/>
      <c r="BL320" s="347"/>
      <c r="BM320" s="347"/>
      <c r="BN320" s="347"/>
      <c r="BO320" s="347"/>
      <c r="BP320" s="347"/>
      <c r="BQ320" s="347"/>
      <c r="BR320" s="347"/>
      <c r="BS320" s="347"/>
      <c r="BT320" s="347"/>
      <c r="BU320" s="347"/>
      <c r="BV320" s="347"/>
      <c r="BW320" s="347"/>
      <c r="BX320" s="347"/>
      <c r="BY320" s="347"/>
      <c r="BZ320" s="347"/>
      <c r="CA320" s="347"/>
      <c r="CB320" s="347"/>
      <c r="CC320" s="347"/>
      <c r="CD320" s="347"/>
      <c r="CE320" s="347"/>
      <c r="CF320" s="347"/>
      <c r="CG320" s="347"/>
      <c r="CH320" s="347"/>
      <c r="CI320" s="347"/>
      <c r="CJ320" s="347"/>
      <c r="CK320" s="347"/>
      <c r="CL320" s="347"/>
      <c r="CM320" s="347"/>
      <c r="CN320" s="347"/>
      <c r="CO320" s="347"/>
      <c r="CP320" s="347"/>
    </row>
    <row r="321" spans="1:94">
      <c r="A321" s="347"/>
      <c r="B321" s="348"/>
      <c r="C321" s="347"/>
      <c r="D321" s="347"/>
      <c r="E321" s="347"/>
      <c r="F321" s="347"/>
      <c r="G321" s="347"/>
      <c r="H321" s="347"/>
      <c r="I321" s="347"/>
      <c r="J321" s="347"/>
      <c r="K321" s="347"/>
      <c r="L321" s="347"/>
      <c r="M321" s="347"/>
      <c r="N321" s="347"/>
      <c r="O321" s="347"/>
      <c r="P321" s="347"/>
      <c r="Q321" s="347"/>
      <c r="R321" s="347"/>
      <c r="S321" s="347"/>
      <c r="T321" s="347"/>
      <c r="U321" s="347"/>
      <c r="V321" s="347"/>
      <c r="W321" s="347"/>
      <c r="X321" s="347"/>
      <c r="Y321" s="347"/>
      <c r="Z321" s="347"/>
      <c r="AA321" s="347"/>
      <c r="AB321" s="347"/>
      <c r="AC321" s="347"/>
      <c r="AD321" s="347"/>
      <c r="AE321" s="347"/>
      <c r="AF321" s="347"/>
      <c r="AG321" s="347"/>
      <c r="AH321" s="347"/>
      <c r="AI321" s="347"/>
      <c r="AJ321" s="347"/>
      <c r="AK321" s="347"/>
      <c r="AL321" s="347"/>
      <c r="AM321" s="347"/>
      <c r="AN321" s="347"/>
      <c r="AO321" s="347"/>
      <c r="AP321" s="347"/>
      <c r="AQ321" s="347"/>
      <c r="AR321" s="347"/>
      <c r="AS321" s="347"/>
      <c r="AT321" s="347"/>
      <c r="AU321" s="347"/>
      <c r="AV321" s="347"/>
      <c r="AW321" s="347"/>
      <c r="AX321" s="347"/>
      <c r="AY321" s="347"/>
      <c r="AZ321" s="347"/>
      <c r="BA321" s="347"/>
      <c r="BB321" s="347"/>
      <c r="BC321" s="347"/>
      <c r="BD321" s="347"/>
      <c r="BE321" s="347"/>
      <c r="BF321" s="347"/>
      <c r="BG321" s="347"/>
      <c r="BH321" s="347"/>
      <c r="BI321" s="347"/>
      <c r="BJ321" s="347"/>
      <c r="BK321" s="347"/>
      <c r="BL321" s="347"/>
      <c r="BM321" s="347"/>
      <c r="BN321" s="347"/>
      <c r="BO321" s="347"/>
      <c r="BP321" s="347"/>
      <c r="BQ321" s="347"/>
      <c r="BR321" s="347"/>
      <c r="BS321" s="347"/>
      <c r="BT321" s="347"/>
      <c r="BU321" s="347"/>
      <c r="BV321" s="347"/>
      <c r="BW321" s="347"/>
      <c r="BX321" s="347"/>
      <c r="BY321" s="347"/>
      <c r="BZ321" s="347"/>
      <c r="CA321" s="347"/>
      <c r="CB321" s="347"/>
      <c r="CC321" s="347"/>
      <c r="CD321" s="347"/>
      <c r="CE321" s="347"/>
      <c r="CF321" s="347"/>
      <c r="CG321" s="347"/>
      <c r="CH321" s="347"/>
      <c r="CI321" s="347"/>
      <c r="CJ321" s="347"/>
      <c r="CK321" s="347"/>
      <c r="CL321" s="347"/>
      <c r="CM321" s="347"/>
      <c r="CN321" s="347"/>
      <c r="CO321" s="347"/>
      <c r="CP321" s="347"/>
    </row>
    <row r="322" spans="1:94">
      <c r="A322" s="347"/>
      <c r="B322" s="348"/>
      <c r="C322" s="347"/>
      <c r="D322" s="347"/>
      <c r="E322" s="347"/>
      <c r="F322" s="347"/>
      <c r="G322" s="347"/>
      <c r="H322" s="347"/>
      <c r="I322" s="347"/>
      <c r="J322" s="347"/>
      <c r="K322" s="347"/>
      <c r="L322" s="347"/>
      <c r="M322" s="347"/>
      <c r="N322" s="347"/>
      <c r="O322" s="347"/>
      <c r="P322" s="347"/>
      <c r="Q322" s="347"/>
      <c r="R322" s="347"/>
      <c r="S322" s="347"/>
      <c r="T322" s="347"/>
      <c r="U322" s="347"/>
      <c r="V322" s="347"/>
      <c r="W322" s="347"/>
      <c r="X322" s="347"/>
      <c r="Y322" s="347"/>
      <c r="Z322" s="347"/>
      <c r="AA322" s="347"/>
      <c r="AB322" s="347"/>
      <c r="AC322" s="347"/>
      <c r="AD322" s="347"/>
      <c r="AE322" s="347"/>
      <c r="AF322" s="347"/>
      <c r="AG322" s="347"/>
      <c r="AH322" s="347"/>
      <c r="AI322" s="347"/>
      <c r="AJ322" s="347"/>
      <c r="AK322" s="347"/>
      <c r="AL322" s="347"/>
      <c r="AM322" s="347"/>
      <c r="AN322" s="347"/>
      <c r="AO322" s="347"/>
      <c r="AP322" s="347"/>
      <c r="AQ322" s="347"/>
      <c r="AR322" s="347"/>
      <c r="AS322" s="347"/>
      <c r="AT322" s="347"/>
      <c r="AU322" s="347"/>
      <c r="AV322" s="347"/>
      <c r="AW322" s="347"/>
      <c r="AX322" s="347"/>
      <c r="AY322" s="347"/>
      <c r="AZ322" s="347"/>
      <c r="BA322" s="347"/>
      <c r="BB322" s="347"/>
      <c r="BC322" s="347"/>
      <c r="BD322" s="347"/>
      <c r="BE322" s="347"/>
      <c r="BF322" s="347"/>
      <c r="BG322" s="347"/>
      <c r="BH322" s="347"/>
      <c r="BI322" s="347"/>
      <c r="BJ322" s="347"/>
      <c r="BK322" s="347"/>
      <c r="BL322" s="347"/>
      <c r="BM322" s="347"/>
      <c r="BN322" s="347"/>
      <c r="BO322" s="347"/>
      <c r="BP322" s="347"/>
      <c r="BQ322" s="347"/>
      <c r="BR322" s="347"/>
      <c r="BS322" s="347"/>
      <c r="BT322" s="347"/>
      <c r="BU322" s="347"/>
      <c r="BV322" s="347"/>
      <c r="BW322" s="347"/>
      <c r="BX322" s="347"/>
      <c r="BY322" s="347"/>
      <c r="BZ322" s="347"/>
      <c r="CA322" s="347"/>
      <c r="CB322" s="347"/>
      <c r="CC322" s="347"/>
      <c r="CD322" s="347"/>
      <c r="CE322" s="347"/>
      <c r="CF322" s="347"/>
      <c r="CG322" s="347"/>
      <c r="CH322" s="347"/>
      <c r="CI322" s="347"/>
      <c r="CJ322" s="347"/>
      <c r="CK322" s="347"/>
      <c r="CL322" s="347"/>
      <c r="CM322" s="347"/>
      <c r="CN322" s="347"/>
      <c r="CO322" s="347"/>
      <c r="CP322" s="347"/>
    </row>
    <row r="323" spans="1:94">
      <c r="A323" s="347"/>
      <c r="B323" s="348"/>
      <c r="C323" s="347"/>
      <c r="D323" s="347"/>
      <c r="E323" s="347"/>
      <c r="F323" s="347"/>
      <c r="G323" s="347"/>
      <c r="H323" s="347"/>
      <c r="I323" s="347"/>
      <c r="J323" s="347"/>
      <c r="K323" s="347"/>
      <c r="L323" s="347"/>
      <c r="M323" s="347"/>
      <c r="N323" s="347"/>
      <c r="O323" s="347"/>
      <c r="P323" s="347"/>
      <c r="Q323" s="347"/>
      <c r="R323" s="347"/>
      <c r="S323" s="347"/>
      <c r="T323" s="347"/>
      <c r="U323" s="347"/>
      <c r="V323" s="347"/>
      <c r="W323" s="347"/>
      <c r="X323" s="347"/>
      <c r="Y323" s="347"/>
      <c r="Z323" s="347"/>
      <c r="AA323" s="347"/>
      <c r="AB323" s="347"/>
      <c r="AC323" s="347"/>
      <c r="AD323" s="347"/>
      <c r="AE323" s="347"/>
      <c r="AF323" s="347"/>
      <c r="AG323" s="347"/>
      <c r="AH323" s="347"/>
      <c r="AI323" s="347"/>
      <c r="AJ323" s="347"/>
      <c r="AK323" s="347"/>
      <c r="AL323" s="347"/>
      <c r="AM323" s="347"/>
      <c r="AN323" s="347"/>
      <c r="AO323" s="347"/>
      <c r="AP323" s="347"/>
      <c r="AQ323" s="347"/>
      <c r="AR323" s="347"/>
      <c r="AS323" s="347"/>
      <c r="AT323" s="347"/>
      <c r="AU323" s="347"/>
      <c r="AV323" s="347"/>
      <c r="AW323" s="347"/>
      <c r="AX323" s="347"/>
      <c r="AY323" s="347"/>
      <c r="AZ323" s="347"/>
      <c r="BA323" s="347"/>
      <c r="BB323" s="347"/>
      <c r="BC323" s="347"/>
      <c r="BD323" s="347"/>
      <c r="BE323" s="347"/>
      <c r="BF323" s="347"/>
      <c r="BG323" s="347"/>
      <c r="BH323" s="347"/>
      <c r="BI323" s="347"/>
      <c r="BJ323" s="347"/>
      <c r="BK323" s="347"/>
      <c r="BL323" s="347"/>
      <c r="BM323" s="347"/>
      <c r="BN323" s="347"/>
      <c r="BO323" s="347"/>
      <c r="BP323" s="347"/>
      <c r="BQ323" s="347"/>
      <c r="BR323" s="347"/>
      <c r="BS323" s="347"/>
      <c r="BT323" s="347"/>
      <c r="BU323" s="347"/>
      <c r="BV323" s="347"/>
      <c r="BW323" s="347"/>
      <c r="BX323" s="347"/>
      <c r="BY323" s="347"/>
      <c r="BZ323" s="347"/>
      <c r="CA323" s="347"/>
      <c r="CB323" s="347"/>
      <c r="CC323" s="347"/>
      <c r="CD323" s="347"/>
      <c r="CE323" s="347"/>
      <c r="CF323" s="347"/>
      <c r="CG323" s="347"/>
      <c r="CH323" s="347"/>
      <c r="CI323" s="347"/>
      <c r="CJ323" s="347"/>
      <c r="CK323" s="347"/>
      <c r="CL323" s="347"/>
      <c r="CM323" s="347"/>
      <c r="CN323" s="347"/>
      <c r="CO323" s="347"/>
      <c r="CP323" s="347"/>
    </row>
    <row r="324" spans="1:94">
      <c r="A324" s="347"/>
      <c r="B324" s="348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  <c r="AE324" s="347"/>
      <c r="AF324" s="347"/>
      <c r="AG324" s="347"/>
      <c r="AH324" s="347"/>
      <c r="AI324" s="347"/>
      <c r="AJ324" s="347"/>
      <c r="AK324" s="347"/>
      <c r="AL324" s="347"/>
      <c r="AM324" s="347"/>
      <c r="AN324" s="347"/>
      <c r="AO324" s="347"/>
      <c r="AP324" s="347"/>
      <c r="AQ324" s="347"/>
      <c r="AR324" s="347"/>
      <c r="AS324" s="347"/>
      <c r="AT324" s="347"/>
      <c r="AU324" s="347"/>
      <c r="AV324" s="347"/>
      <c r="AW324" s="347"/>
      <c r="AX324" s="347"/>
      <c r="AY324" s="347"/>
      <c r="AZ324" s="347"/>
      <c r="BA324" s="347"/>
      <c r="BB324" s="347"/>
      <c r="BC324" s="347"/>
      <c r="BD324" s="347"/>
      <c r="BE324" s="347"/>
      <c r="BF324" s="347"/>
      <c r="BG324" s="347"/>
      <c r="BH324" s="347"/>
      <c r="BI324" s="347"/>
      <c r="BJ324" s="347"/>
      <c r="BK324" s="347"/>
      <c r="BL324" s="347"/>
      <c r="BM324" s="347"/>
      <c r="BN324" s="347"/>
      <c r="BO324" s="347"/>
      <c r="BP324" s="347"/>
      <c r="BQ324" s="347"/>
      <c r="BR324" s="347"/>
      <c r="BS324" s="347"/>
      <c r="BT324" s="347"/>
      <c r="BU324" s="347"/>
      <c r="BV324" s="347"/>
      <c r="BW324" s="347"/>
      <c r="BX324" s="347"/>
      <c r="BY324" s="347"/>
      <c r="BZ324" s="347"/>
      <c r="CA324" s="347"/>
      <c r="CB324" s="347"/>
      <c r="CC324" s="347"/>
      <c r="CD324" s="347"/>
      <c r="CE324" s="347"/>
      <c r="CF324" s="347"/>
      <c r="CG324" s="347"/>
      <c r="CH324" s="347"/>
      <c r="CI324" s="347"/>
      <c r="CJ324" s="347"/>
      <c r="CK324" s="347"/>
      <c r="CL324" s="347"/>
      <c r="CM324" s="347"/>
      <c r="CN324" s="347"/>
      <c r="CO324" s="347"/>
      <c r="CP324" s="347"/>
    </row>
    <row r="325" spans="1:94">
      <c r="A325" s="347"/>
      <c r="B325" s="348"/>
      <c r="C325" s="347"/>
      <c r="D325" s="347"/>
      <c r="E325" s="347"/>
      <c r="F325" s="347"/>
      <c r="G325" s="347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7"/>
      <c r="AD325" s="347"/>
      <c r="AE325" s="347"/>
      <c r="AF325" s="347"/>
      <c r="AG325" s="347"/>
      <c r="AH325" s="347"/>
      <c r="AI325" s="347"/>
      <c r="AJ325" s="347"/>
      <c r="AK325" s="347"/>
      <c r="AL325" s="347"/>
      <c r="AM325" s="347"/>
      <c r="AN325" s="347"/>
      <c r="AO325" s="347"/>
      <c r="AP325" s="347"/>
      <c r="AQ325" s="347"/>
      <c r="AR325" s="347"/>
      <c r="AS325" s="347"/>
      <c r="AT325" s="347"/>
      <c r="AU325" s="347"/>
      <c r="AV325" s="347"/>
      <c r="AW325" s="347"/>
      <c r="AX325" s="347"/>
      <c r="AY325" s="347"/>
      <c r="AZ325" s="347"/>
      <c r="BA325" s="347"/>
      <c r="BB325" s="347"/>
      <c r="BC325" s="347"/>
      <c r="BD325" s="347"/>
      <c r="BE325" s="347"/>
      <c r="BF325" s="347"/>
      <c r="BG325" s="347"/>
      <c r="BH325" s="347"/>
      <c r="BI325" s="347"/>
      <c r="BJ325" s="347"/>
      <c r="BK325" s="347"/>
      <c r="BL325" s="347"/>
      <c r="BM325" s="347"/>
      <c r="BN325" s="347"/>
      <c r="BO325" s="347"/>
      <c r="BP325" s="347"/>
      <c r="BQ325" s="347"/>
      <c r="BR325" s="347"/>
      <c r="BS325" s="347"/>
      <c r="BT325" s="347"/>
      <c r="BU325" s="347"/>
      <c r="BV325" s="347"/>
      <c r="BW325" s="347"/>
      <c r="BX325" s="347"/>
      <c r="BY325" s="347"/>
      <c r="BZ325" s="347"/>
      <c r="CA325" s="347"/>
      <c r="CB325" s="347"/>
      <c r="CC325" s="347"/>
      <c r="CD325" s="347"/>
      <c r="CE325" s="347"/>
      <c r="CF325" s="347"/>
      <c r="CG325" s="347"/>
      <c r="CH325" s="347"/>
      <c r="CI325" s="347"/>
      <c r="CJ325" s="347"/>
      <c r="CK325" s="347"/>
      <c r="CL325" s="347"/>
      <c r="CM325" s="347"/>
      <c r="CN325" s="347"/>
      <c r="CO325" s="347"/>
      <c r="CP325" s="347"/>
    </row>
    <row r="326" spans="1:94">
      <c r="A326" s="347"/>
      <c r="B326" s="348"/>
      <c r="C326" s="347"/>
      <c r="D326" s="347"/>
      <c r="E326" s="347"/>
      <c r="F326" s="347"/>
      <c r="G326" s="347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7"/>
      <c r="AD326" s="347"/>
      <c r="AE326" s="347"/>
      <c r="AF326" s="347"/>
      <c r="AG326" s="347"/>
      <c r="AH326" s="347"/>
      <c r="AI326" s="347"/>
      <c r="AJ326" s="347"/>
      <c r="AK326" s="347"/>
      <c r="AL326" s="347"/>
      <c r="AM326" s="347"/>
      <c r="AN326" s="347"/>
      <c r="AO326" s="347"/>
      <c r="AP326" s="347"/>
      <c r="AQ326" s="347"/>
      <c r="AR326" s="347"/>
      <c r="AS326" s="347"/>
      <c r="AT326" s="347"/>
      <c r="AU326" s="347"/>
      <c r="AV326" s="347"/>
      <c r="AW326" s="347"/>
      <c r="AX326" s="347"/>
      <c r="AY326" s="347"/>
      <c r="AZ326" s="347"/>
      <c r="BA326" s="347"/>
      <c r="BB326" s="347"/>
      <c r="BC326" s="347"/>
      <c r="BD326" s="347"/>
      <c r="BE326" s="347"/>
      <c r="BF326" s="347"/>
      <c r="BG326" s="347"/>
      <c r="BH326" s="347"/>
      <c r="BI326" s="347"/>
      <c r="BJ326" s="347"/>
      <c r="BK326" s="347"/>
      <c r="BL326" s="347"/>
      <c r="BM326" s="347"/>
      <c r="BN326" s="347"/>
      <c r="BO326" s="347"/>
      <c r="BP326" s="347"/>
      <c r="BQ326" s="347"/>
      <c r="BR326" s="347"/>
      <c r="BS326" s="347"/>
      <c r="BT326" s="347"/>
      <c r="BU326" s="347"/>
      <c r="BV326" s="347"/>
      <c r="BW326" s="347"/>
      <c r="BX326" s="347"/>
      <c r="BY326" s="347"/>
      <c r="BZ326" s="347"/>
      <c r="CA326" s="347"/>
      <c r="CB326" s="347"/>
      <c r="CC326" s="347"/>
      <c r="CD326" s="347"/>
      <c r="CE326" s="347"/>
      <c r="CF326" s="347"/>
      <c r="CG326" s="347"/>
      <c r="CH326" s="347"/>
      <c r="CI326" s="347"/>
      <c r="CJ326" s="347"/>
      <c r="CK326" s="347"/>
      <c r="CL326" s="347"/>
      <c r="CM326" s="347"/>
      <c r="CN326" s="347"/>
      <c r="CO326" s="347"/>
      <c r="CP326" s="347"/>
    </row>
    <row r="327" spans="1:94">
      <c r="A327" s="347"/>
      <c r="B327" s="348"/>
      <c r="C327" s="347"/>
      <c r="D327" s="347"/>
      <c r="E327" s="347"/>
      <c r="F327" s="347"/>
      <c r="G327" s="347"/>
      <c r="H327" s="347"/>
      <c r="I327" s="347"/>
      <c r="J327" s="347"/>
      <c r="K327" s="347"/>
      <c r="L327" s="347"/>
      <c r="M327" s="347"/>
      <c r="N327" s="347"/>
      <c r="O327" s="347"/>
      <c r="P327" s="347"/>
      <c r="Q327" s="347"/>
      <c r="R327" s="347"/>
      <c r="S327" s="347"/>
      <c r="T327" s="347"/>
      <c r="U327" s="347"/>
      <c r="V327" s="347"/>
      <c r="W327" s="347"/>
      <c r="X327" s="347"/>
      <c r="Y327" s="347"/>
      <c r="Z327" s="347"/>
      <c r="AA327" s="347"/>
      <c r="AB327" s="347"/>
      <c r="AC327" s="347"/>
      <c r="AD327" s="347"/>
      <c r="AE327" s="347"/>
      <c r="AF327" s="347"/>
      <c r="AG327" s="347"/>
      <c r="AH327" s="347"/>
      <c r="AI327" s="347"/>
      <c r="AJ327" s="347"/>
      <c r="AK327" s="347"/>
      <c r="AL327" s="347"/>
      <c r="AM327" s="347"/>
      <c r="AN327" s="347"/>
      <c r="AO327" s="347"/>
      <c r="AP327" s="347"/>
      <c r="AQ327" s="347"/>
      <c r="AR327" s="347"/>
      <c r="AS327" s="347"/>
      <c r="AT327" s="347"/>
      <c r="AU327" s="347"/>
      <c r="AV327" s="347"/>
      <c r="AW327" s="347"/>
      <c r="AX327" s="347"/>
      <c r="AY327" s="347"/>
      <c r="AZ327" s="347"/>
      <c r="BA327" s="347"/>
      <c r="BB327" s="347"/>
      <c r="BC327" s="347"/>
      <c r="BD327" s="347"/>
      <c r="BE327" s="347"/>
      <c r="BF327" s="347"/>
      <c r="BG327" s="347"/>
      <c r="BH327" s="347"/>
      <c r="BI327" s="347"/>
      <c r="BJ327" s="347"/>
      <c r="BK327" s="347"/>
      <c r="BL327" s="347"/>
      <c r="BM327" s="347"/>
      <c r="BN327" s="347"/>
      <c r="BO327" s="347"/>
      <c r="BP327" s="347"/>
      <c r="BQ327" s="347"/>
      <c r="BR327" s="347"/>
      <c r="BS327" s="347"/>
      <c r="BT327" s="347"/>
      <c r="BU327" s="347"/>
      <c r="BV327" s="347"/>
      <c r="BW327" s="347"/>
      <c r="BX327" s="347"/>
      <c r="BY327" s="347"/>
      <c r="BZ327" s="347"/>
      <c r="CA327" s="347"/>
      <c r="CB327" s="347"/>
      <c r="CC327" s="347"/>
      <c r="CD327" s="347"/>
      <c r="CE327" s="347"/>
      <c r="CF327" s="347"/>
      <c r="CG327" s="347"/>
      <c r="CH327" s="347"/>
      <c r="CI327" s="347"/>
      <c r="CJ327" s="347"/>
      <c r="CK327" s="347"/>
      <c r="CL327" s="347"/>
      <c r="CM327" s="347"/>
      <c r="CN327" s="347"/>
      <c r="CO327" s="347"/>
      <c r="CP327" s="347"/>
    </row>
    <row r="328" spans="1:94">
      <c r="A328" s="347"/>
      <c r="B328" s="348"/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347"/>
      <c r="N328" s="347"/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347"/>
      <c r="Z328" s="347"/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347"/>
      <c r="AL328" s="347"/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347"/>
      <c r="AX328" s="347"/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  <c r="BI328" s="347"/>
      <c r="BJ328" s="347"/>
      <c r="BK328" s="347"/>
      <c r="BL328" s="347"/>
      <c r="BM328" s="347"/>
      <c r="BN328" s="347"/>
      <c r="BO328" s="347"/>
      <c r="BP328" s="347"/>
      <c r="BQ328" s="347"/>
      <c r="BR328" s="347"/>
      <c r="BS328" s="347"/>
      <c r="BT328" s="347"/>
      <c r="BU328" s="347"/>
      <c r="BV328" s="347"/>
      <c r="BW328" s="347"/>
      <c r="BX328" s="347"/>
      <c r="BY328" s="347"/>
      <c r="BZ328" s="347"/>
      <c r="CA328" s="347"/>
      <c r="CB328" s="347"/>
      <c r="CC328" s="347"/>
      <c r="CD328" s="347"/>
      <c r="CE328" s="347"/>
      <c r="CF328" s="347"/>
      <c r="CG328" s="347"/>
      <c r="CH328" s="347"/>
      <c r="CI328" s="347"/>
      <c r="CJ328" s="347"/>
      <c r="CK328" s="347"/>
      <c r="CL328" s="347"/>
      <c r="CM328" s="347"/>
      <c r="CN328" s="347"/>
      <c r="CO328" s="347"/>
      <c r="CP328" s="347"/>
    </row>
    <row r="329" spans="1:94">
      <c r="A329" s="347"/>
      <c r="B329" s="348"/>
      <c r="C329" s="347"/>
      <c r="D329" s="347"/>
      <c r="E329" s="347"/>
      <c r="F329" s="347"/>
      <c r="G329" s="347"/>
      <c r="H329" s="347"/>
      <c r="I329" s="347"/>
      <c r="J329" s="347"/>
      <c r="K329" s="347"/>
      <c r="L329" s="347"/>
      <c r="M329" s="347"/>
      <c r="N329" s="347"/>
      <c r="O329" s="347"/>
      <c r="P329" s="347"/>
      <c r="Q329" s="347"/>
      <c r="R329" s="347"/>
      <c r="S329" s="347"/>
      <c r="T329" s="347"/>
      <c r="U329" s="347"/>
      <c r="V329" s="347"/>
      <c r="W329" s="347"/>
      <c r="X329" s="347"/>
      <c r="Y329" s="347"/>
      <c r="Z329" s="347"/>
      <c r="AA329" s="347"/>
      <c r="AB329" s="347"/>
      <c r="AC329" s="347"/>
      <c r="AD329" s="347"/>
      <c r="AE329" s="347"/>
      <c r="AF329" s="347"/>
      <c r="AG329" s="347"/>
      <c r="AH329" s="347"/>
      <c r="AI329" s="347"/>
      <c r="AJ329" s="347"/>
      <c r="AK329" s="347"/>
      <c r="AL329" s="347"/>
      <c r="AM329" s="347"/>
      <c r="AN329" s="347"/>
      <c r="AO329" s="347"/>
      <c r="AP329" s="347"/>
      <c r="AQ329" s="347"/>
      <c r="AR329" s="347"/>
      <c r="AS329" s="347"/>
      <c r="AT329" s="347"/>
      <c r="AU329" s="347"/>
      <c r="AV329" s="347"/>
      <c r="AW329" s="347"/>
      <c r="AX329" s="347"/>
      <c r="AY329" s="347"/>
      <c r="AZ329" s="347"/>
      <c r="BA329" s="347"/>
      <c r="BB329" s="347"/>
      <c r="BC329" s="347"/>
      <c r="BD329" s="347"/>
      <c r="BE329" s="347"/>
      <c r="BF329" s="347"/>
      <c r="BG329" s="347"/>
      <c r="BH329" s="347"/>
      <c r="BI329" s="347"/>
      <c r="BJ329" s="347"/>
      <c r="BK329" s="347"/>
      <c r="BL329" s="347"/>
      <c r="BM329" s="347"/>
      <c r="BN329" s="347"/>
      <c r="BO329" s="347"/>
      <c r="BP329" s="347"/>
      <c r="BQ329" s="347"/>
      <c r="BR329" s="347"/>
      <c r="BS329" s="347"/>
      <c r="BT329" s="347"/>
      <c r="BU329" s="347"/>
      <c r="BV329" s="347"/>
      <c r="BW329" s="347"/>
      <c r="BX329" s="347"/>
      <c r="BY329" s="347"/>
      <c r="BZ329" s="347"/>
      <c r="CA329" s="347"/>
      <c r="CB329" s="347"/>
      <c r="CC329" s="347"/>
      <c r="CD329" s="347"/>
      <c r="CE329" s="347"/>
      <c r="CF329" s="347"/>
      <c r="CG329" s="347"/>
      <c r="CH329" s="347"/>
      <c r="CI329" s="347"/>
      <c r="CJ329" s="347"/>
      <c r="CK329" s="347"/>
      <c r="CL329" s="347"/>
      <c r="CM329" s="347"/>
      <c r="CN329" s="347"/>
      <c r="CO329" s="347"/>
      <c r="CP329" s="347"/>
    </row>
    <row r="330" spans="1:94">
      <c r="A330" s="347"/>
      <c r="B330" s="348"/>
      <c r="C330" s="347"/>
      <c r="D330" s="347"/>
      <c r="E330" s="347"/>
      <c r="F330" s="347"/>
      <c r="G330" s="347"/>
      <c r="H330" s="347"/>
      <c r="I330" s="347"/>
      <c r="J330" s="347"/>
      <c r="K330" s="347"/>
      <c r="L330" s="347"/>
      <c r="M330" s="347"/>
      <c r="N330" s="347"/>
      <c r="O330" s="347"/>
      <c r="P330" s="347"/>
      <c r="Q330" s="347"/>
      <c r="R330" s="347"/>
      <c r="S330" s="347"/>
      <c r="T330" s="347"/>
      <c r="U330" s="347"/>
      <c r="V330" s="347"/>
      <c r="W330" s="347"/>
      <c r="X330" s="347"/>
      <c r="Y330" s="347"/>
      <c r="Z330" s="347"/>
      <c r="AA330" s="347"/>
      <c r="AB330" s="347"/>
      <c r="AC330" s="347"/>
      <c r="AD330" s="347"/>
      <c r="AE330" s="347"/>
      <c r="AF330" s="347"/>
      <c r="AG330" s="347"/>
      <c r="AH330" s="347"/>
      <c r="AI330" s="347"/>
      <c r="AJ330" s="347"/>
      <c r="AK330" s="347"/>
      <c r="AL330" s="347"/>
      <c r="AM330" s="347"/>
      <c r="AN330" s="347"/>
      <c r="AO330" s="347"/>
      <c r="AP330" s="347"/>
      <c r="AQ330" s="347"/>
      <c r="AR330" s="347"/>
      <c r="AS330" s="347"/>
      <c r="AT330" s="347"/>
      <c r="AU330" s="347"/>
      <c r="AV330" s="347"/>
      <c r="AW330" s="347"/>
      <c r="AX330" s="347"/>
      <c r="AY330" s="347"/>
      <c r="AZ330" s="347"/>
      <c r="BA330" s="347"/>
      <c r="BB330" s="347"/>
      <c r="BC330" s="347"/>
      <c r="BD330" s="347"/>
      <c r="BE330" s="347"/>
      <c r="BF330" s="347"/>
      <c r="BG330" s="347"/>
      <c r="BH330" s="347"/>
      <c r="BI330" s="347"/>
      <c r="BJ330" s="347"/>
      <c r="BK330" s="347"/>
      <c r="BL330" s="347"/>
      <c r="BM330" s="347"/>
      <c r="BN330" s="347"/>
      <c r="BO330" s="347"/>
      <c r="BP330" s="347"/>
      <c r="BQ330" s="347"/>
      <c r="BR330" s="347"/>
      <c r="BS330" s="347"/>
      <c r="BT330" s="347"/>
      <c r="BU330" s="347"/>
      <c r="BV330" s="347"/>
      <c r="BW330" s="347"/>
      <c r="BX330" s="347"/>
      <c r="BY330" s="347"/>
      <c r="BZ330" s="347"/>
      <c r="CA330" s="347"/>
      <c r="CB330" s="347"/>
      <c r="CC330" s="347"/>
      <c r="CD330" s="347"/>
      <c r="CE330" s="347"/>
      <c r="CF330" s="347"/>
      <c r="CG330" s="347"/>
      <c r="CH330" s="347"/>
      <c r="CI330" s="347"/>
      <c r="CJ330" s="347"/>
      <c r="CK330" s="347"/>
      <c r="CL330" s="347"/>
      <c r="CM330" s="347"/>
      <c r="CN330" s="347"/>
      <c r="CO330" s="347"/>
      <c r="CP330" s="347"/>
    </row>
    <row r="331" spans="1:94">
      <c r="A331" s="347"/>
      <c r="B331" s="348"/>
      <c r="C331" s="347"/>
      <c r="D331" s="347"/>
      <c r="E331" s="347"/>
      <c r="F331" s="347"/>
      <c r="G331" s="347"/>
      <c r="H331" s="347"/>
      <c r="I331" s="347"/>
      <c r="J331" s="347"/>
      <c r="K331" s="347"/>
      <c r="L331" s="347"/>
      <c r="M331" s="347"/>
      <c r="N331" s="347"/>
      <c r="O331" s="347"/>
      <c r="P331" s="347"/>
      <c r="Q331" s="347"/>
      <c r="R331" s="347"/>
      <c r="S331" s="347"/>
      <c r="T331" s="347"/>
      <c r="U331" s="347"/>
      <c r="V331" s="347"/>
      <c r="W331" s="347"/>
      <c r="X331" s="347"/>
      <c r="Y331" s="347"/>
      <c r="Z331" s="347"/>
      <c r="AA331" s="347"/>
      <c r="AB331" s="347"/>
      <c r="AC331" s="347"/>
      <c r="AD331" s="347"/>
      <c r="AE331" s="347"/>
      <c r="AF331" s="347"/>
      <c r="AG331" s="347"/>
      <c r="AH331" s="347"/>
      <c r="AI331" s="347"/>
      <c r="AJ331" s="347"/>
      <c r="AK331" s="347"/>
      <c r="AL331" s="347"/>
      <c r="AM331" s="347"/>
      <c r="AN331" s="347"/>
      <c r="AO331" s="347"/>
      <c r="AP331" s="347"/>
      <c r="AQ331" s="347"/>
      <c r="AR331" s="347"/>
      <c r="AS331" s="347"/>
      <c r="AT331" s="347"/>
      <c r="AU331" s="347"/>
      <c r="AV331" s="347"/>
      <c r="AW331" s="347"/>
      <c r="AX331" s="347"/>
      <c r="AY331" s="347"/>
      <c r="AZ331" s="347"/>
      <c r="BA331" s="347"/>
      <c r="BB331" s="347"/>
      <c r="BC331" s="347"/>
      <c r="BD331" s="347"/>
      <c r="BE331" s="347"/>
      <c r="BF331" s="347"/>
      <c r="BG331" s="347"/>
      <c r="BH331" s="347"/>
      <c r="BI331" s="347"/>
      <c r="BJ331" s="347"/>
      <c r="BK331" s="347"/>
      <c r="BL331" s="347"/>
      <c r="BM331" s="347"/>
      <c r="BN331" s="347"/>
      <c r="BO331" s="347"/>
      <c r="BP331" s="347"/>
      <c r="BQ331" s="347"/>
      <c r="BR331" s="347"/>
      <c r="BS331" s="347"/>
      <c r="BT331" s="347"/>
      <c r="BU331" s="347"/>
      <c r="BV331" s="347"/>
      <c r="BW331" s="347"/>
      <c r="BX331" s="347"/>
      <c r="BY331" s="347"/>
      <c r="BZ331" s="347"/>
      <c r="CA331" s="347"/>
      <c r="CB331" s="347"/>
      <c r="CC331" s="347"/>
      <c r="CD331" s="347"/>
      <c r="CE331" s="347"/>
      <c r="CF331" s="347"/>
      <c r="CG331" s="347"/>
      <c r="CH331" s="347"/>
      <c r="CI331" s="347"/>
      <c r="CJ331" s="347"/>
      <c r="CK331" s="347"/>
      <c r="CL331" s="347"/>
      <c r="CM331" s="347"/>
      <c r="CN331" s="347"/>
      <c r="CO331" s="347"/>
      <c r="CP331" s="347"/>
    </row>
    <row r="332" spans="1:94">
      <c r="A332" s="347"/>
      <c r="B332" s="348"/>
      <c r="C332" s="347"/>
      <c r="D332" s="347"/>
      <c r="E332" s="347"/>
      <c r="F332" s="347"/>
      <c r="G332" s="347"/>
      <c r="H332" s="347"/>
      <c r="I332" s="347"/>
      <c r="J332" s="347"/>
      <c r="K332" s="347"/>
      <c r="L332" s="347"/>
      <c r="M332" s="347"/>
      <c r="N332" s="347"/>
      <c r="O332" s="347"/>
      <c r="P332" s="347"/>
      <c r="Q332" s="347"/>
      <c r="R332" s="347"/>
      <c r="S332" s="347"/>
      <c r="T332" s="347"/>
      <c r="U332" s="347"/>
      <c r="V332" s="347"/>
      <c r="W332" s="347"/>
      <c r="X332" s="347"/>
      <c r="Y332" s="347"/>
      <c r="Z332" s="347"/>
      <c r="AA332" s="347"/>
      <c r="AB332" s="347"/>
      <c r="AC332" s="347"/>
      <c r="AD332" s="347"/>
      <c r="AE332" s="347"/>
      <c r="AF332" s="347"/>
      <c r="AG332" s="347"/>
      <c r="AH332" s="347"/>
      <c r="AI332" s="347"/>
      <c r="AJ332" s="347"/>
      <c r="AK332" s="347"/>
      <c r="AL332" s="347"/>
      <c r="AM332" s="347"/>
      <c r="AN332" s="347"/>
      <c r="AO332" s="347"/>
      <c r="AP332" s="347"/>
      <c r="AQ332" s="347"/>
      <c r="AR332" s="347"/>
      <c r="AS332" s="347"/>
      <c r="AT332" s="347"/>
      <c r="AU332" s="347"/>
      <c r="AV332" s="347"/>
      <c r="AW332" s="347"/>
      <c r="AX332" s="347"/>
      <c r="AY332" s="347"/>
      <c r="AZ332" s="347"/>
      <c r="BA332" s="347"/>
      <c r="BB332" s="347"/>
      <c r="BC332" s="347"/>
      <c r="BD332" s="347"/>
      <c r="BE332" s="347"/>
      <c r="BF332" s="347"/>
      <c r="BG332" s="347"/>
      <c r="BH332" s="347"/>
      <c r="BI332" s="347"/>
      <c r="BJ332" s="347"/>
      <c r="BK332" s="347"/>
      <c r="BL332" s="347"/>
      <c r="BM332" s="347"/>
      <c r="BN332" s="347"/>
      <c r="BO332" s="347"/>
      <c r="BP332" s="347"/>
      <c r="BQ332" s="347"/>
      <c r="BR332" s="347"/>
      <c r="BS332" s="347"/>
      <c r="BT332" s="347"/>
      <c r="BU332" s="347"/>
      <c r="BV332" s="347"/>
      <c r="BW332" s="347"/>
      <c r="BX332" s="347"/>
      <c r="BY332" s="347"/>
      <c r="BZ332" s="347"/>
      <c r="CA332" s="347"/>
      <c r="CB332" s="347"/>
      <c r="CC332" s="347"/>
      <c r="CD332" s="347"/>
      <c r="CE332" s="347"/>
      <c r="CF332" s="347"/>
      <c r="CG332" s="347"/>
      <c r="CH332" s="347"/>
      <c r="CI332" s="347"/>
      <c r="CJ332" s="347"/>
      <c r="CK332" s="347"/>
      <c r="CL332" s="347"/>
      <c r="CM332" s="347"/>
      <c r="CN332" s="347"/>
      <c r="CO332" s="347"/>
      <c r="CP332" s="347"/>
    </row>
    <row r="333" spans="1:94">
      <c r="A333" s="347"/>
      <c r="B333" s="348"/>
      <c r="C333" s="347"/>
      <c r="D333" s="347"/>
      <c r="E333" s="347"/>
      <c r="F333" s="347"/>
      <c r="G333" s="347"/>
      <c r="H333" s="347"/>
      <c r="I333" s="347"/>
      <c r="J333" s="347"/>
      <c r="K333" s="347"/>
      <c r="L333" s="347"/>
      <c r="M333" s="347"/>
      <c r="N333" s="347"/>
      <c r="O333" s="347"/>
      <c r="P333" s="347"/>
      <c r="Q333" s="347"/>
      <c r="R333" s="347"/>
      <c r="S333" s="347"/>
      <c r="T333" s="347"/>
      <c r="U333" s="347"/>
      <c r="V333" s="347"/>
      <c r="W333" s="347"/>
      <c r="X333" s="347"/>
      <c r="Y333" s="347"/>
      <c r="Z333" s="347"/>
      <c r="AA333" s="347"/>
      <c r="AB333" s="347"/>
      <c r="AC333" s="347"/>
      <c r="AD333" s="347"/>
      <c r="AE333" s="347"/>
      <c r="AF333" s="347"/>
      <c r="AG333" s="347"/>
      <c r="AH333" s="347"/>
      <c r="AI333" s="347"/>
      <c r="AJ333" s="347"/>
      <c r="AK333" s="347"/>
      <c r="AL333" s="347"/>
      <c r="AM333" s="347"/>
      <c r="AN333" s="347"/>
      <c r="AO333" s="347"/>
      <c r="AP333" s="347"/>
      <c r="AQ333" s="347"/>
      <c r="AR333" s="347"/>
      <c r="AS333" s="347"/>
      <c r="AT333" s="347"/>
      <c r="AU333" s="347"/>
      <c r="AV333" s="347"/>
      <c r="AW333" s="347"/>
      <c r="AX333" s="347"/>
      <c r="AY333" s="347"/>
      <c r="AZ333" s="347"/>
      <c r="BA333" s="347"/>
      <c r="BB333" s="347"/>
      <c r="BC333" s="347"/>
      <c r="BD333" s="347"/>
      <c r="BE333" s="347"/>
      <c r="BF333" s="347"/>
      <c r="BG333" s="347"/>
      <c r="BH333" s="347"/>
      <c r="BI333" s="347"/>
      <c r="BJ333" s="347"/>
      <c r="BK333" s="347"/>
      <c r="BL333" s="347"/>
      <c r="BM333" s="347"/>
      <c r="BN333" s="347"/>
      <c r="BO333" s="347"/>
      <c r="BP333" s="347"/>
      <c r="BQ333" s="347"/>
      <c r="BR333" s="347"/>
      <c r="BS333" s="347"/>
      <c r="BT333" s="347"/>
      <c r="BU333" s="347"/>
      <c r="BV333" s="347"/>
      <c r="BW333" s="347"/>
      <c r="BX333" s="347"/>
      <c r="BY333" s="347"/>
      <c r="BZ333" s="347"/>
      <c r="CA333" s="347"/>
      <c r="CB333" s="347"/>
      <c r="CC333" s="347"/>
      <c r="CD333" s="347"/>
      <c r="CE333" s="347"/>
      <c r="CF333" s="347"/>
      <c r="CG333" s="347"/>
      <c r="CH333" s="347"/>
      <c r="CI333" s="347"/>
      <c r="CJ333" s="347"/>
      <c r="CK333" s="347"/>
      <c r="CL333" s="347"/>
      <c r="CM333" s="347"/>
      <c r="CN333" s="347"/>
      <c r="CO333" s="347"/>
      <c r="CP333" s="347"/>
    </row>
    <row r="334" spans="1:94">
      <c r="A334" s="347"/>
      <c r="B334" s="348"/>
      <c r="C334" s="347"/>
      <c r="D334" s="347"/>
      <c r="E334" s="347"/>
      <c r="F334" s="347"/>
      <c r="G334" s="347"/>
      <c r="H334" s="347"/>
      <c r="I334" s="347"/>
      <c r="J334" s="347"/>
      <c r="K334" s="347"/>
      <c r="L334" s="347"/>
      <c r="M334" s="347"/>
      <c r="N334" s="347"/>
      <c r="O334" s="347"/>
      <c r="P334" s="347"/>
      <c r="Q334" s="347"/>
      <c r="R334" s="347"/>
      <c r="S334" s="347"/>
      <c r="T334" s="347"/>
      <c r="U334" s="347"/>
      <c r="V334" s="347"/>
      <c r="W334" s="347"/>
      <c r="X334" s="347"/>
      <c r="Y334" s="347"/>
      <c r="Z334" s="347"/>
      <c r="AA334" s="347"/>
      <c r="AB334" s="347"/>
      <c r="AC334" s="347"/>
      <c r="AD334" s="347"/>
      <c r="AE334" s="347"/>
      <c r="AF334" s="347"/>
      <c r="AG334" s="347"/>
      <c r="AH334" s="347"/>
      <c r="AI334" s="347"/>
      <c r="AJ334" s="347"/>
      <c r="AK334" s="347"/>
      <c r="AL334" s="347"/>
      <c r="AM334" s="347"/>
      <c r="AN334" s="347"/>
      <c r="AO334" s="347"/>
      <c r="AP334" s="347"/>
      <c r="AQ334" s="347"/>
      <c r="AR334" s="347"/>
      <c r="AS334" s="347"/>
      <c r="AT334" s="347"/>
      <c r="AU334" s="347"/>
      <c r="AV334" s="347"/>
      <c r="AW334" s="347"/>
      <c r="AX334" s="347"/>
      <c r="AY334" s="347"/>
      <c r="AZ334" s="347"/>
      <c r="BA334" s="347"/>
      <c r="BB334" s="347"/>
      <c r="BC334" s="347"/>
      <c r="BD334" s="347"/>
      <c r="BE334" s="347"/>
      <c r="BF334" s="347"/>
      <c r="BG334" s="347"/>
      <c r="BH334" s="347"/>
      <c r="BI334" s="347"/>
      <c r="BJ334" s="347"/>
      <c r="BK334" s="347"/>
      <c r="BL334" s="347"/>
      <c r="BM334" s="347"/>
      <c r="BN334" s="347"/>
      <c r="BO334" s="347"/>
      <c r="BP334" s="347"/>
      <c r="BQ334" s="347"/>
      <c r="BR334" s="347"/>
      <c r="BS334" s="347"/>
      <c r="BT334" s="347"/>
      <c r="BU334" s="347"/>
      <c r="BV334" s="347"/>
      <c r="BW334" s="347"/>
      <c r="BX334" s="347"/>
      <c r="BY334" s="347"/>
      <c r="BZ334" s="347"/>
      <c r="CA334" s="347"/>
      <c r="CB334" s="347"/>
      <c r="CC334" s="347"/>
      <c r="CD334" s="347"/>
      <c r="CE334" s="347"/>
      <c r="CF334" s="347"/>
      <c r="CG334" s="347"/>
      <c r="CH334" s="347"/>
      <c r="CI334" s="347"/>
      <c r="CJ334" s="347"/>
      <c r="CK334" s="347"/>
      <c r="CL334" s="347"/>
      <c r="CM334" s="347"/>
      <c r="CN334" s="347"/>
      <c r="CO334" s="347"/>
      <c r="CP334" s="347"/>
    </row>
    <row r="335" spans="1:94">
      <c r="A335" s="347"/>
      <c r="B335" s="348"/>
      <c r="C335" s="347"/>
      <c r="D335" s="347"/>
      <c r="E335" s="347"/>
      <c r="F335" s="347"/>
      <c r="G335" s="347"/>
      <c r="H335" s="347"/>
      <c r="I335" s="347"/>
      <c r="J335" s="347"/>
      <c r="K335" s="347"/>
      <c r="L335" s="347"/>
      <c r="M335" s="347"/>
      <c r="N335" s="347"/>
      <c r="O335" s="347"/>
      <c r="P335" s="347"/>
      <c r="Q335" s="347"/>
      <c r="R335" s="347"/>
      <c r="S335" s="347"/>
      <c r="T335" s="347"/>
      <c r="U335" s="347"/>
      <c r="V335" s="347"/>
      <c r="W335" s="347"/>
      <c r="X335" s="347"/>
      <c r="Y335" s="347"/>
      <c r="Z335" s="347"/>
      <c r="AA335" s="347"/>
      <c r="AB335" s="347"/>
      <c r="AC335" s="347"/>
      <c r="AD335" s="347"/>
      <c r="AE335" s="347"/>
      <c r="AF335" s="347"/>
      <c r="AG335" s="347"/>
      <c r="AH335" s="347"/>
      <c r="AI335" s="347"/>
      <c r="AJ335" s="347"/>
      <c r="AK335" s="347"/>
      <c r="AL335" s="347"/>
      <c r="AM335" s="347"/>
      <c r="AN335" s="347"/>
      <c r="AO335" s="347"/>
      <c r="AP335" s="347"/>
      <c r="AQ335" s="347"/>
      <c r="AR335" s="347"/>
      <c r="AS335" s="347"/>
      <c r="AT335" s="347"/>
      <c r="AU335" s="347"/>
      <c r="AV335" s="347"/>
      <c r="AW335" s="347"/>
      <c r="AX335" s="347"/>
      <c r="AY335" s="347"/>
      <c r="AZ335" s="347"/>
      <c r="BA335" s="347"/>
      <c r="BB335" s="347"/>
      <c r="BC335" s="347"/>
      <c r="BD335" s="347"/>
      <c r="BE335" s="347"/>
      <c r="BF335" s="347"/>
      <c r="BG335" s="347"/>
      <c r="BH335" s="347"/>
      <c r="BI335" s="347"/>
      <c r="BJ335" s="347"/>
      <c r="BK335" s="347"/>
      <c r="BL335" s="347"/>
      <c r="BM335" s="347"/>
      <c r="BN335" s="347"/>
      <c r="BO335" s="347"/>
      <c r="BP335" s="347"/>
      <c r="BQ335" s="347"/>
      <c r="BR335" s="347"/>
      <c r="BS335" s="347"/>
      <c r="BT335" s="347"/>
      <c r="BU335" s="347"/>
      <c r="BV335" s="347"/>
      <c r="BW335" s="347"/>
      <c r="BX335" s="347"/>
      <c r="BY335" s="347"/>
      <c r="BZ335" s="347"/>
      <c r="CA335" s="347"/>
      <c r="CB335" s="347"/>
      <c r="CC335" s="347"/>
      <c r="CD335" s="347"/>
      <c r="CE335" s="347"/>
      <c r="CF335" s="347"/>
      <c r="CG335" s="347"/>
      <c r="CH335" s="347"/>
      <c r="CI335" s="347"/>
      <c r="CJ335" s="347"/>
      <c r="CK335" s="347"/>
      <c r="CL335" s="347"/>
      <c r="CM335" s="347"/>
      <c r="CN335" s="347"/>
      <c r="CO335" s="347"/>
      <c r="CP335" s="347"/>
    </row>
    <row r="336" spans="1:94">
      <c r="A336" s="347"/>
      <c r="B336" s="348"/>
    </row>
    <row r="337" spans="1:2">
      <c r="A337" s="347"/>
      <c r="B337" s="348"/>
    </row>
    <row r="338" spans="1:2">
      <c r="A338" s="347"/>
      <c r="B338" s="348"/>
    </row>
    <row r="339" spans="1:2">
      <c r="A339" s="347"/>
      <c r="B339" s="348"/>
    </row>
    <row r="340" spans="1:2">
      <c r="A340" s="347"/>
      <c r="B340" s="348"/>
    </row>
    <row r="341" spans="1:2">
      <c r="A341" s="347"/>
      <c r="B341" s="348"/>
    </row>
    <row r="342" spans="1:2">
      <c r="A342" s="347"/>
      <c r="B342" s="348"/>
    </row>
    <row r="343" spans="1:2">
      <c r="A343" s="347"/>
      <c r="B343" s="348"/>
    </row>
    <row r="344" spans="1:2">
      <c r="A344" s="347"/>
      <c r="B344" s="348"/>
    </row>
    <row r="345" spans="1:2">
      <c r="A345" s="347"/>
      <c r="B345" s="348"/>
    </row>
    <row r="346" spans="1:2">
      <c r="A346" s="347"/>
      <c r="B346" s="348"/>
    </row>
    <row r="347" spans="1:2">
      <c r="A347" s="347"/>
      <c r="B347" s="348"/>
    </row>
    <row r="348" spans="1:2">
      <c r="A348" s="347"/>
      <c r="B348" s="348"/>
    </row>
    <row r="349" spans="1:2">
      <c r="A349" s="347"/>
      <c r="B349" s="348"/>
    </row>
    <row r="350" spans="1:2">
      <c r="A350" s="347"/>
      <c r="B350" s="348"/>
    </row>
    <row r="351" spans="1:2">
      <c r="A351" s="347"/>
      <c r="B351" s="348"/>
    </row>
    <row r="352" spans="1:2">
      <c r="A352" s="347"/>
      <c r="B352" s="348"/>
    </row>
    <row r="353" spans="1:2">
      <c r="A353" s="347"/>
      <c r="B353" s="348"/>
    </row>
    <row r="354" spans="1:2">
      <c r="A354" s="347"/>
      <c r="B354" s="348"/>
    </row>
    <row r="355" spans="1:2">
      <c r="A355" s="347"/>
      <c r="B355" s="348"/>
    </row>
    <row r="356" spans="1:2">
      <c r="A356" s="347"/>
      <c r="B356" s="348"/>
    </row>
    <row r="357" spans="1:2">
      <c r="A357" s="347"/>
      <c r="B357" s="348"/>
    </row>
    <row r="358" spans="1:2">
      <c r="A358" s="347"/>
      <c r="B358" s="348"/>
    </row>
    <row r="359" spans="1:2">
      <c r="A359" s="347"/>
      <c r="B359" s="348"/>
    </row>
    <row r="360" spans="1:2">
      <c r="A360" s="347"/>
      <c r="B360" s="348"/>
    </row>
    <row r="361" spans="1:2">
      <c r="A361" s="347"/>
      <c r="B361" s="348"/>
    </row>
    <row r="362" spans="1:2">
      <c r="A362" s="347"/>
      <c r="B362" s="348"/>
    </row>
    <row r="363" spans="1:2">
      <c r="A363" s="347"/>
      <c r="B363" s="348"/>
    </row>
    <row r="364" spans="1:2">
      <c r="A364" s="347"/>
      <c r="B364" s="348"/>
    </row>
    <row r="365" spans="1:2">
      <c r="A365" s="347"/>
      <c r="B365" s="348"/>
    </row>
    <row r="366" spans="1:2">
      <c r="A366" s="347"/>
      <c r="B366" s="348"/>
    </row>
    <row r="367" spans="1:2">
      <c r="A367" s="347"/>
      <c r="B367" s="348"/>
    </row>
    <row r="368" spans="1:2">
      <c r="A368" s="347"/>
      <c r="B368" s="348"/>
    </row>
    <row r="369" spans="1:2">
      <c r="A369" s="347"/>
      <c r="B369" s="348"/>
    </row>
    <row r="370" spans="1:2">
      <c r="A370" s="347"/>
      <c r="B370" s="348"/>
    </row>
    <row r="371" spans="1:2">
      <c r="A371" s="347"/>
      <c r="B371" s="348"/>
    </row>
    <row r="372" spans="1:2">
      <c r="A372" s="347"/>
      <c r="B372" s="348"/>
    </row>
    <row r="373" spans="1:2">
      <c r="A373" s="347"/>
      <c r="B373" s="348"/>
    </row>
    <row r="374" spans="1:2">
      <c r="A374" s="347"/>
      <c r="B374" s="348"/>
    </row>
    <row r="375" spans="1:2">
      <c r="A375" s="347"/>
      <c r="B375" s="348"/>
    </row>
    <row r="376" spans="1:2">
      <c r="A376" s="347"/>
      <c r="B376" s="348"/>
    </row>
    <row r="377" spans="1:2">
      <c r="A377" s="347"/>
      <c r="B377" s="348"/>
    </row>
    <row r="378" spans="1:2">
      <c r="A378" s="347"/>
      <c r="B378" s="348"/>
    </row>
    <row r="379" spans="1:2">
      <c r="A379" s="347"/>
      <c r="B379" s="348"/>
    </row>
    <row r="380" spans="1:2">
      <c r="A380" s="347"/>
      <c r="B380" s="348"/>
    </row>
    <row r="381" spans="1:2">
      <c r="A381" s="347"/>
      <c r="B381" s="348"/>
    </row>
    <row r="382" spans="1:2">
      <c r="A382" s="347"/>
      <c r="B382" s="348"/>
    </row>
    <row r="383" spans="1:2">
      <c r="A383" s="347"/>
      <c r="B383" s="348"/>
    </row>
    <row r="384" spans="1:2">
      <c r="A384" s="347"/>
      <c r="B384" s="348"/>
    </row>
    <row r="385" spans="1:2">
      <c r="A385" s="347"/>
      <c r="B385" s="348"/>
    </row>
    <row r="386" spans="1:2">
      <c r="A386" s="347"/>
      <c r="B386" s="348"/>
    </row>
    <row r="387" spans="1:2">
      <c r="A387" s="347"/>
      <c r="B387" s="348"/>
    </row>
    <row r="388" spans="1:2">
      <c r="A388" s="347"/>
      <c r="B388" s="348"/>
    </row>
    <row r="389" spans="1:2">
      <c r="A389" s="347"/>
      <c r="B389" s="348"/>
    </row>
    <row r="390" spans="1:2">
      <c r="A390" s="347"/>
      <c r="B390" s="348"/>
    </row>
    <row r="391" spans="1:2">
      <c r="A391" s="347"/>
      <c r="B391" s="348"/>
    </row>
    <row r="392" spans="1:2">
      <c r="A392" s="347"/>
      <c r="B392" s="348"/>
    </row>
    <row r="393" spans="1:2">
      <c r="A393" s="347"/>
      <c r="B393" s="348"/>
    </row>
    <row r="394" spans="1:2">
      <c r="A394" s="347"/>
      <c r="B394" s="348"/>
    </row>
    <row r="395" spans="1:2">
      <c r="A395" s="347"/>
      <c r="B395" s="348"/>
    </row>
    <row r="396" spans="1:2">
      <c r="A396" s="347"/>
      <c r="B396" s="348"/>
    </row>
    <row r="397" spans="1:2">
      <c r="A397" s="347"/>
      <c r="B397" s="348"/>
    </row>
    <row r="398" spans="1:2">
      <c r="A398" s="347"/>
      <c r="B398" s="348"/>
    </row>
    <row r="399" spans="1:2">
      <c r="A399" s="347"/>
      <c r="B399" s="348"/>
    </row>
    <row r="400" spans="1:2">
      <c r="A400" s="347"/>
      <c r="B400" s="348"/>
    </row>
    <row r="401" spans="1:2">
      <c r="A401" s="347"/>
      <c r="B401" s="348"/>
    </row>
    <row r="402" spans="1:2">
      <c r="A402" s="347"/>
      <c r="B402" s="348"/>
    </row>
    <row r="403" spans="1:2">
      <c r="A403" s="347"/>
      <c r="B403" s="348"/>
    </row>
    <row r="404" spans="1:2">
      <c r="A404" s="347"/>
      <c r="B404" s="348"/>
    </row>
    <row r="405" spans="1:2">
      <c r="A405" s="347"/>
      <c r="B405" s="348"/>
    </row>
    <row r="406" spans="1:2">
      <c r="A406" s="347"/>
      <c r="B406" s="348"/>
    </row>
    <row r="407" spans="1:2">
      <c r="A407" s="347"/>
      <c r="B407" s="348"/>
    </row>
    <row r="408" spans="1:2">
      <c r="A408" s="347"/>
      <c r="B408" s="348"/>
    </row>
    <row r="409" spans="1:2">
      <c r="A409" s="347"/>
      <c r="B409" s="348"/>
    </row>
    <row r="410" spans="1:2">
      <c r="A410" s="347"/>
      <c r="B410" s="348"/>
    </row>
    <row r="411" spans="1:2">
      <c r="A411" s="347"/>
      <c r="B411" s="348"/>
    </row>
    <row r="412" spans="1:2">
      <c r="A412" s="347"/>
      <c r="B412" s="348"/>
    </row>
    <row r="413" spans="1:2">
      <c r="A413" s="347"/>
      <c r="B413" s="348"/>
    </row>
    <row r="414" spans="1:2">
      <c r="A414" s="347"/>
      <c r="B414" s="348"/>
    </row>
    <row r="415" spans="1:2">
      <c r="A415" s="347"/>
      <c r="B415" s="348"/>
    </row>
    <row r="416" spans="1:2">
      <c r="A416" s="347"/>
      <c r="B416" s="348"/>
    </row>
    <row r="417" spans="1:2">
      <c r="A417" s="347"/>
      <c r="B417" s="348"/>
    </row>
    <row r="418" spans="1:2">
      <c r="A418" s="347"/>
      <c r="B418" s="348"/>
    </row>
    <row r="419" spans="1:2">
      <c r="A419" s="347"/>
      <c r="B419" s="348"/>
    </row>
    <row r="420" spans="1:2">
      <c r="A420" s="347"/>
      <c r="B420" s="348"/>
    </row>
    <row r="421" spans="1:2">
      <c r="A421" s="347"/>
      <c r="B421" s="348"/>
    </row>
    <row r="422" spans="1:2">
      <c r="A422" s="347"/>
      <c r="B422" s="348"/>
    </row>
    <row r="423" spans="1:2">
      <c r="A423" s="347"/>
      <c r="B423" s="348"/>
    </row>
    <row r="424" spans="1:2">
      <c r="A424" s="347"/>
      <c r="B424" s="348"/>
    </row>
    <row r="425" spans="1:2">
      <c r="A425" s="347"/>
      <c r="B425" s="348"/>
    </row>
    <row r="426" spans="1:2">
      <c r="A426" s="347"/>
      <c r="B426" s="348"/>
    </row>
    <row r="427" spans="1:2">
      <c r="A427" s="347"/>
      <c r="B427" s="348"/>
    </row>
    <row r="428" spans="1:2">
      <c r="A428" s="347"/>
      <c r="B428" s="348"/>
    </row>
    <row r="429" spans="1:2">
      <c r="A429" s="347"/>
      <c r="B429" s="348"/>
    </row>
    <row r="430" spans="1:2">
      <c r="A430" s="347"/>
      <c r="B430" s="348"/>
    </row>
    <row r="431" spans="1:2">
      <c r="A431" s="347"/>
      <c r="B431" s="348"/>
    </row>
    <row r="432" spans="1:2">
      <c r="A432" s="347"/>
      <c r="B432" s="348"/>
    </row>
    <row r="433" spans="1:2">
      <c r="A433" s="347"/>
      <c r="B433" s="348"/>
    </row>
    <row r="434" spans="1:2">
      <c r="A434" s="347"/>
      <c r="B434" s="348"/>
    </row>
    <row r="435" spans="1:2">
      <c r="A435" s="347"/>
      <c r="B435" s="348"/>
    </row>
    <row r="436" spans="1:2">
      <c r="A436" s="347"/>
      <c r="B436" s="348"/>
    </row>
    <row r="437" spans="1:2">
      <c r="A437" s="347"/>
      <c r="B437" s="348"/>
    </row>
    <row r="438" spans="1:2">
      <c r="A438" s="347"/>
      <c r="B438" s="348"/>
    </row>
    <row r="439" spans="1:2">
      <c r="A439" s="347"/>
      <c r="B439" s="348"/>
    </row>
    <row r="440" spans="1:2">
      <c r="A440" s="347"/>
      <c r="B440" s="348"/>
    </row>
    <row r="441" spans="1:2">
      <c r="A441" s="347"/>
      <c r="B441" s="348"/>
    </row>
    <row r="442" spans="1:2">
      <c r="A442" s="347"/>
      <c r="B442" s="348"/>
    </row>
    <row r="443" spans="1:2">
      <c r="A443" s="347"/>
      <c r="B443" s="348"/>
    </row>
    <row r="444" spans="1:2">
      <c r="A444" s="347"/>
      <c r="B444" s="348"/>
    </row>
    <row r="445" spans="1:2">
      <c r="A445" s="347"/>
      <c r="B445" s="348"/>
    </row>
    <row r="446" spans="1:2">
      <c r="A446" s="347"/>
      <c r="B446" s="348"/>
    </row>
    <row r="447" spans="1:2">
      <c r="A447" s="347"/>
      <c r="B447" s="348"/>
    </row>
    <row r="448" spans="1:2">
      <c r="A448" s="347"/>
      <c r="B448" s="348"/>
    </row>
    <row r="449" spans="1:2">
      <c r="A449" s="347"/>
      <c r="B449" s="348"/>
    </row>
    <row r="450" spans="1:2">
      <c r="A450" s="347"/>
      <c r="B450" s="348"/>
    </row>
    <row r="451" spans="1:2">
      <c r="A451" s="347"/>
      <c r="B451" s="348"/>
    </row>
    <row r="452" spans="1:2">
      <c r="A452" s="347"/>
      <c r="B452" s="348"/>
    </row>
    <row r="453" spans="1:2">
      <c r="A453" s="347"/>
      <c r="B453" s="348"/>
    </row>
    <row r="454" spans="1:2">
      <c r="A454" s="347"/>
      <c r="B454" s="348"/>
    </row>
    <row r="455" spans="1:2">
      <c r="A455" s="347"/>
      <c r="B455" s="348"/>
    </row>
    <row r="456" spans="1:2">
      <c r="A456" s="347"/>
      <c r="B456" s="348"/>
    </row>
    <row r="457" spans="1:2">
      <c r="A457" s="347"/>
      <c r="B457" s="348"/>
    </row>
    <row r="458" spans="1:2">
      <c r="A458" s="347"/>
      <c r="B458" s="348"/>
    </row>
    <row r="459" spans="1:2">
      <c r="A459" s="347"/>
      <c r="B459" s="348"/>
    </row>
    <row r="460" spans="1:2">
      <c r="A460" s="347"/>
      <c r="B460" s="348"/>
    </row>
    <row r="461" spans="1:2">
      <c r="A461" s="347"/>
      <c r="B461" s="348"/>
    </row>
    <row r="462" spans="1:2">
      <c r="A462" s="347"/>
      <c r="B462" s="348"/>
    </row>
    <row r="463" spans="1:2">
      <c r="A463" s="347"/>
      <c r="B463" s="348"/>
    </row>
    <row r="464" spans="1:2">
      <c r="A464" s="347"/>
      <c r="B464" s="348"/>
    </row>
    <row r="465" spans="1:2">
      <c r="A465" s="347"/>
      <c r="B465" s="348"/>
    </row>
    <row r="466" spans="1:2">
      <c r="A466" s="347"/>
      <c r="B466" s="348"/>
    </row>
    <row r="467" spans="1:2">
      <c r="A467" s="347"/>
      <c r="B467" s="348"/>
    </row>
    <row r="468" spans="1:2">
      <c r="A468" s="347"/>
      <c r="B468" s="348"/>
    </row>
    <row r="469" spans="1:2">
      <c r="A469" s="347"/>
      <c r="B469" s="348"/>
    </row>
    <row r="470" spans="1:2">
      <c r="A470" s="347"/>
      <c r="B470" s="348"/>
    </row>
    <row r="471" spans="1:2">
      <c r="A471" s="347"/>
      <c r="B471" s="348"/>
    </row>
    <row r="472" spans="1:2">
      <c r="A472" s="347"/>
      <c r="B472" s="348"/>
    </row>
    <row r="473" spans="1:2">
      <c r="A473" s="347"/>
      <c r="B473" s="348"/>
    </row>
    <row r="474" spans="1:2">
      <c r="A474" s="347"/>
      <c r="B474" s="348"/>
    </row>
    <row r="475" spans="1:2">
      <c r="A475" s="347"/>
      <c r="B475" s="348"/>
    </row>
    <row r="476" spans="1:2">
      <c r="A476" s="347"/>
      <c r="B476" s="348"/>
    </row>
    <row r="477" spans="1:2">
      <c r="A477" s="347"/>
      <c r="B477" s="348"/>
    </row>
    <row r="478" spans="1:2">
      <c r="A478" s="347"/>
      <c r="B478" s="348"/>
    </row>
    <row r="479" spans="1:2">
      <c r="A479" s="347"/>
      <c r="B479" s="348"/>
    </row>
    <row r="480" spans="1:2">
      <c r="A480" s="347"/>
      <c r="B480" s="348"/>
    </row>
    <row r="481" spans="1:2">
      <c r="A481" s="347"/>
      <c r="B481" s="348"/>
    </row>
    <row r="482" spans="1:2">
      <c r="A482" s="347"/>
      <c r="B482" s="348"/>
    </row>
    <row r="483" spans="1:2">
      <c r="A483" s="347"/>
      <c r="B483" s="348"/>
    </row>
  </sheetData>
  <autoFilter ref="A2:CP2"/>
  <conditionalFormatting sqref="C3:CP91">
    <cfRule type="expression" dxfId="0" priority="1">
      <formula>C$2-$B$1&lt;=0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showGridLines="0" topLeftCell="A7" workbookViewId="0">
      <selection activeCell="E44" sqref="E44"/>
    </sheetView>
  </sheetViews>
  <sheetFormatPr defaultRowHeight="15"/>
  <cols>
    <col min="1" max="2" width="12.140625" customWidth="1"/>
    <col min="3" max="4" width="20.140625" customWidth="1"/>
    <col min="5" max="5" width="23.28515625" customWidth="1"/>
    <col min="6" max="6" width="29.28515625" customWidth="1"/>
    <col min="7" max="7" width="23.7109375" customWidth="1"/>
    <col min="8" max="8" width="16.85546875" customWidth="1"/>
    <col min="9" max="9" width="21.28515625" customWidth="1"/>
    <col min="10" max="11" width="22" customWidth="1"/>
  </cols>
  <sheetData>
    <row r="1" spans="1:12" ht="33" customHeight="1" thickTop="1">
      <c r="A1" s="22" t="s">
        <v>83</v>
      </c>
      <c r="B1" s="23" t="s">
        <v>90</v>
      </c>
      <c r="C1" s="23" t="s">
        <v>84</v>
      </c>
      <c r="D1" s="23" t="s">
        <v>102</v>
      </c>
      <c r="E1" s="23" t="s">
        <v>85</v>
      </c>
      <c r="F1" s="23" t="s">
        <v>86</v>
      </c>
      <c r="G1" s="23" t="s">
        <v>87</v>
      </c>
      <c r="H1" s="25" t="s">
        <v>88</v>
      </c>
      <c r="I1" s="24" t="s">
        <v>89</v>
      </c>
      <c r="J1" s="28" t="s">
        <v>94</v>
      </c>
      <c r="K1" s="28" t="s">
        <v>94</v>
      </c>
    </row>
    <row r="2" spans="1:12">
      <c r="A2" s="16" t="s">
        <v>91</v>
      </c>
      <c r="B2" s="1" t="s">
        <v>92</v>
      </c>
      <c r="C2" s="1" t="s">
        <v>101</v>
      </c>
      <c r="D2" s="1" t="s">
        <v>103</v>
      </c>
      <c r="E2" s="1" t="s">
        <v>93</v>
      </c>
      <c r="F2" s="18">
        <v>42138717</v>
      </c>
      <c r="G2" s="18">
        <v>49575244</v>
      </c>
      <c r="H2" s="26">
        <f>G2-F2</f>
        <v>7436527</v>
      </c>
      <c r="I2" s="19">
        <v>8923832</v>
      </c>
      <c r="J2" s="29" t="s">
        <v>136</v>
      </c>
      <c r="K2" s="29">
        <v>7139065.6000000006</v>
      </c>
      <c r="L2">
        <f>K2/8650</f>
        <v>825.32550289017342</v>
      </c>
    </row>
    <row r="3" spans="1:12">
      <c r="A3" s="16" t="s">
        <v>95</v>
      </c>
      <c r="B3" s="1" t="s">
        <v>96</v>
      </c>
      <c r="C3" s="1" t="s">
        <v>75</v>
      </c>
      <c r="D3" s="1" t="s">
        <v>103</v>
      </c>
      <c r="E3" s="1" t="s">
        <v>97</v>
      </c>
      <c r="F3" s="18">
        <v>5244940</v>
      </c>
      <c r="G3" s="18">
        <v>6170800</v>
      </c>
      <c r="H3" s="26">
        <f>G3-F3</f>
        <v>925860</v>
      </c>
      <c r="I3" s="19">
        <v>1111032</v>
      </c>
      <c r="J3" s="29" t="s">
        <v>137</v>
      </c>
      <c r="K3" s="29">
        <v>888825.60000000009</v>
      </c>
      <c r="L3">
        <f>K3/8650</f>
        <v>102.75440462427747</v>
      </c>
    </row>
    <row r="4" spans="1:12">
      <c r="A4" s="16" t="s">
        <v>98</v>
      </c>
      <c r="B4" s="1" t="s">
        <v>96</v>
      </c>
      <c r="C4" s="1" t="s">
        <v>25</v>
      </c>
      <c r="D4" s="1" t="s">
        <v>104</v>
      </c>
      <c r="E4" s="1" t="s">
        <v>99</v>
      </c>
      <c r="F4" s="18">
        <v>62377712</v>
      </c>
      <c r="G4" s="18">
        <v>69307492</v>
      </c>
      <c r="H4" s="26">
        <f>G4-F4</f>
        <v>6929780</v>
      </c>
      <c r="I4" s="19">
        <v>8315736</v>
      </c>
      <c r="J4" s="29" t="s">
        <v>138</v>
      </c>
      <c r="K4" s="29" t="s">
        <v>138</v>
      </c>
    </row>
    <row r="5" spans="1:12">
      <c r="A5" s="16" t="s">
        <v>100</v>
      </c>
      <c r="B5" s="1" t="s">
        <v>96</v>
      </c>
      <c r="C5" s="1" t="s">
        <v>31</v>
      </c>
      <c r="D5" s="1" t="s">
        <v>104</v>
      </c>
      <c r="E5" s="1" t="s">
        <v>99</v>
      </c>
      <c r="F5" s="18">
        <v>112272810</v>
      </c>
      <c r="G5" s="18">
        <v>132087780</v>
      </c>
      <c r="H5" s="26">
        <v>19814970</v>
      </c>
      <c r="I5" s="19">
        <v>23777964</v>
      </c>
      <c r="J5" s="29" t="s">
        <v>139</v>
      </c>
      <c r="K5" s="29" t="s">
        <v>139</v>
      </c>
    </row>
    <row r="6" spans="1:12">
      <c r="A6" s="16" t="s">
        <v>109</v>
      </c>
      <c r="B6" s="1" t="s">
        <v>96</v>
      </c>
      <c r="C6" s="1" t="s">
        <v>125</v>
      </c>
      <c r="D6" s="1" t="s">
        <v>104</v>
      </c>
      <c r="E6" s="1" t="s">
        <v>110</v>
      </c>
      <c r="F6" s="18">
        <v>20852370</v>
      </c>
      <c r="G6" s="18">
        <v>24532200</v>
      </c>
      <c r="H6" s="26">
        <f>G6-F6</f>
        <v>3679830</v>
      </c>
      <c r="I6" s="19">
        <v>4415796</v>
      </c>
      <c r="J6" s="29" t="s">
        <v>139</v>
      </c>
      <c r="K6" s="29" t="s">
        <v>139</v>
      </c>
    </row>
    <row r="7" spans="1:12">
      <c r="A7" s="16" t="s">
        <v>15</v>
      </c>
      <c r="B7" s="1" t="s">
        <v>92</v>
      </c>
      <c r="C7" s="1" t="s">
        <v>124</v>
      </c>
      <c r="D7" s="1" t="s">
        <v>104</v>
      </c>
      <c r="E7" s="1" t="s">
        <v>126</v>
      </c>
      <c r="F7" s="18">
        <v>17711616</v>
      </c>
      <c r="G7" s="18">
        <v>20836608</v>
      </c>
      <c r="H7" s="26">
        <v>3124992</v>
      </c>
      <c r="I7" s="19">
        <v>3749990</v>
      </c>
      <c r="J7" s="29" t="s">
        <v>139</v>
      </c>
      <c r="K7" s="29" t="s">
        <v>139</v>
      </c>
    </row>
    <row r="8" spans="1:12">
      <c r="A8" s="16" t="s">
        <v>55</v>
      </c>
      <c r="B8" s="1" t="s">
        <v>128</v>
      </c>
      <c r="C8" s="1" t="s">
        <v>48</v>
      </c>
      <c r="D8" s="1" t="s">
        <v>103</v>
      </c>
      <c r="E8" s="1" t="s">
        <v>127</v>
      </c>
      <c r="F8" s="18">
        <v>15049607</v>
      </c>
      <c r="G8" s="18">
        <v>17705430</v>
      </c>
      <c r="H8" s="26">
        <f>G8-F8</f>
        <v>2655823</v>
      </c>
      <c r="I8" s="19">
        <f>ROUND(H8*1.2,0)</f>
        <v>3186988</v>
      </c>
      <c r="J8" s="29" t="s">
        <v>137</v>
      </c>
      <c r="K8" s="29">
        <v>2549590.4000000004</v>
      </c>
      <c r="L8">
        <f>K8/8650</f>
        <v>294.75033526011566</v>
      </c>
    </row>
    <row r="9" spans="1:12">
      <c r="A9" s="16" t="s">
        <v>129</v>
      </c>
      <c r="B9" s="1" t="s">
        <v>128</v>
      </c>
      <c r="C9" s="1" t="s">
        <v>48</v>
      </c>
      <c r="D9" s="1" t="s">
        <v>104</v>
      </c>
      <c r="E9" s="1" t="s">
        <v>130</v>
      </c>
      <c r="F9" s="18">
        <v>27330160</v>
      </c>
      <c r="G9" s="18">
        <v>31613450</v>
      </c>
      <c r="H9" s="26">
        <v>4283290</v>
      </c>
      <c r="I9" s="19">
        <v>5139948</v>
      </c>
      <c r="J9" s="29" t="s">
        <v>139</v>
      </c>
      <c r="K9" s="29" t="s">
        <v>139</v>
      </c>
    </row>
    <row r="10" spans="1:12">
      <c r="A10" s="16" t="s">
        <v>98</v>
      </c>
      <c r="B10" s="1" t="s">
        <v>96</v>
      </c>
      <c r="C10" s="1" t="s">
        <v>82</v>
      </c>
      <c r="D10" s="1" t="s">
        <v>104</v>
      </c>
      <c r="E10" s="1" t="s">
        <v>110</v>
      </c>
      <c r="F10" s="18">
        <v>18403200</v>
      </c>
      <c r="G10" s="18">
        <v>21648000</v>
      </c>
      <c r="H10" s="26">
        <v>3244800</v>
      </c>
      <c r="I10" s="19">
        <v>3893760</v>
      </c>
      <c r="J10" s="29"/>
      <c r="K10" s="29"/>
    </row>
    <row r="11" spans="1:12">
      <c r="A11" s="16" t="s">
        <v>109</v>
      </c>
      <c r="B11" s="1" t="s">
        <v>96</v>
      </c>
      <c r="C11" s="1" t="s">
        <v>67</v>
      </c>
      <c r="D11" s="1" t="s">
        <v>104</v>
      </c>
      <c r="E11" s="1" t="s">
        <v>126</v>
      </c>
      <c r="F11" s="18">
        <v>138797760</v>
      </c>
      <c r="G11" s="18">
        <v>163286880</v>
      </c>
      <c r="H11" s="26">
        <v>24489120</v>
      </c>
      <c r="I11" s="19">
        <v>29386944</v>
      </c>
      <c r="J11" s="29"/>
      <c r="K11" s="29"/>
    </row>
    <row r="12" spans="1:12">
      <c r="A12" s="16" t="s">
        <v>91</v>
      </c>
      <c r="B12" s="1" t="s">
        <v>92</v>
      </c>
      <c r="C12" s="1" t="s">
        <v>63</v>
      </c>
      <c r="D12" s="1" t="s">
        <v>103</v>
      </c>
      <c r="E12" s="1" t="s">
        <v>156</v>
      </c>
      <c r="F12" s="18">
        <v>15925680</v>
      </c>
      <c r="G12" s="18">
        <v>17694324</v>
      </c>
      <c r="H12" s="26">
        <v>1768644</v>
      </c>
      <c r="I12" s="19">
        <v>2122372.7999999998</v>
      </c>
      <c r="J12" s="29"/>
      <c r="K12" s="29"/>
    </row>
    <row r="13" spans="1:12">
      <c r="A13" s="16" t="s">
        <v>91</v>
      </c>
      <c r="B13" s="1" t="s">
        <v>92</v>
      </c>
      <c r="C13" s="1" t="s">
        <v>63</v>
      </c>
      <c r="D13" s="1" t="s">
        <v>104</v>
      </c>
      <c r="E13" s="1" t="s">
        <v>157</v>
      </c>
      <c r="F13" s="18">
        <v>26983893</v>
      </c>
      <c r="G13" s="18">
        <v>29982470</v>
      </c>
      <c r="H13" s="26">
        <v>2998577</v>
      </c>
      <c r="I13" s="19">
        <v>3598292.4</v>
      </c>
      <c r="J13" s="29"/>
      <c r="K13" s="29"/>
    </row>
    <row r="14" spans="1:12">
      <c r="A14" s="16" t="s">
        <v>91</v>
      </c>
      <c r="B14" s="1" t="s">
        <v>92</v>
      </c>
      <c r="C14" s="1" t="s">
        <v>64</v>
      </c>
      <c r="D14" s="1" t="s">
        <v>104</v>
      </c>
      <c r="E14" s="1" t="s">
        <v>158</v>
      </c>
      <c r="F14" s="18">
        <v>10462800</v>
      </c>
      <c r="G14" s="18">
        <v>11625300</v>
      </c>
      <c r="H14" s="26">
        <v>1162500</v>
      </c>
      <c r="I14" s="19">
        <v>1278750</v>
      </c>
      <c r="J14" s="29"/>
      <c r="K14" s="29"/>
    </row>
    <row r="15" spans="1:12">
      <c r="A15" s="16" t="s">
        <v>91</v>
      </c>
      <c r="B15" s="1" t="s">
        <v>92</v>
      </c>
      <c r="C15" s="1" t="s">
        <v>119</v>
      </c>
      <c r="D15" s="1" t="s">
        <v>103</v>
      </c>
      <c r="E15" s="1" t="s">
        <v>193</v>
      </c>
      <c r="F15" s="18">
        <v>32179370</v>
      </c>
      <c r="G15" s="18">
        <v>37856609</v>
      </c>
      <c r="H15" s="26">
        <v>5677239</v>
      </c>
      <c r="I15" s="19">
        <v>6812687</v>
      </c>
      <c r="J15" s="29"/>
      <c r="K15" s="29"/>
    </row>
    <row r="16" spans="1:12">
      <c r="A16" s="16" t="s">
        <v>194</v>
      </c>
      <c r="B16" s="1" t="s">
        <v>128</v>
      </c>
      <c r="C16" s="1" t="s">
        <v>105</v>
      </c>
      <c r="D16" s="1" t="s">
        <v>104</v>
      </c>
      <c r="E16" s="1" t="s">
        <v>195</v>
      </c>
      <c r="F16" s="18">
        <v>3134100</v>
      </c>
      <c r="G16" s="18">
        <v>3687300</v>
      </c>
      <c r="H16" s="26">
        <v>553200</v>
      </c>
      <c r="I16" s="19">
        <v>663840</v>
      </c>
      <c r="J16" s="29"/>
      <c r="K16" s="29"/>
    </row>
    <row r="17" spans="1:11">
      <c r="A17" s="16" t="s">
        <v>55</v>
      </c>
      <c r="B17" s="1" t="s">
        <v>128</v>
      </c>
      <c r="C17" s="1" t="s">
        <v>111</v>
      </c>
      <c r="D17" s="1" t="s">
        <v>171</v>
      </c>
      <c r="E17" s="1" t="s">
        <v>196</v>
      </c>
      <c r="F17" s="18">
        <v>12889080</v>
      </c>
      <c r="G17" s="18">
        <v>15163680</v>
      </c>
      <c r="H17" s="26">
        <v>2274600</v>
      </c>
      <c r="I17" s="19">
        <v>2502060</v>
      </c>
      <c r="J17" s="29"/>
      <c r="K17" s="29"/>
    </row>
    <row r="18" spans="1:11">
      <c r="A18" s="16" t="s">
        <v>129</v>
      </c>
      <c r="B18" s="1" t="s">
        <v>128</v>
      </c>
      <c r="C18" s="1" t="s">
        <v>111</v>
      </c>
      <c r="D18" s="1" t="s">
        <v>104</v>
      </c>
      <c r="E18" s="1" t="s">
        <v>197</v>
      </c>
      <c r="F18" s="18">
        <v>21459540</v>
      </c>
      <c r="G18" s="18">
        <v>23844333</v>
      </c>
      <c r="H18" s="26">
        <f>G18-F18</f>
        <v>2384793</v>
      </c>
      <c r="I18" s="19">
        <f>H18*1.2</f>
        <v>2861751.6</v>
      </c>
      <c r="J18" s="29"/>
      <c r="K18" s="29"/>
    </row>
    <row r="19" spans="1:11">
      <c r="A19" s="16" t="s">
        <v>206</v>
      </c>
      <c r="B19" s="1" t="s">
        <v>92</v>
      </c>
      <c r="C19" s="1" t="s">
        <v>190</v>
      </c>
      <c r="D19" s="1" t="s">
        <v>103</v>
      </c>
      <c r="E19" s="1" t="s">
        <v>193</v>
      </c>
      <c r="F19" s="18">
        <v>3342880</v>
      </c>
      <c r="G19" s="18">
        <v>3932680</v>
      </c>
      <c r="H19" s="26">
        <v>589800</v>
      </c>
      <c r="I19" s="19">
        <v>707760</v>
      </c>
      <c r="J19" s="29"/>
      <c r="K19" s="29"/>
    </row>
    <row r="20" spans="1:11">
      <c r="A20" s="16" t="s">
        <v>109</v>
      </c>
      <c r="B20" s="1" t="s">
        <v>96</v>
      </c>
      <c r="C20" s="1" t="s">
        <v>131</v>
      </c>
      <c r="D20" s="1" t="s">
        <v>104</v>
      </c>
      <c r="E20" s="1" t="s">
        <v>158</v>
      </c>
      <c r="F20" s="18">
        <v>84980900</v>
      </c>
      <c r="G20" s="18">
        <v>99977580</v>
      </c>
      <c r="H20" s="26">
        <f>G20-F20</f>
        <v>14996680</v>
      </c>
      <c r="I20" s="19">
        <v>16496348.000000002</v>
      </c>
      <c r="J20" s="29"/>
      <c r="K20" s="29"/>
    </row>
    <row r="21" spans="1:11">
      <c r="A21" s="83" t="s">
        <v>243</v>
      </c>
      <c r="B21" s="84" t="s">
        <v>128</v>
      </c>
      <c r="C21" s="84" t="s">
        <v>182</v>
      </c>
      <c r="D21" s="84" t="s">
        <v>103</v>
      </c>
      <c r="E21" s="84" t="s">
        <v>193</v>
      </c>
      <c r="F21" s="85">
        <v>5713384</v>
      </c>
      <c r="G21" s="85">
        <v>6721589</v>
      </c>
      <c r="H21" s="86">
        <f>G21-F21</f>
        <v>1008205</v>
      </c>
      <c r="I21" s="87">
        <v>1209846</v>
      </c>
      <c r="J21" s="88">
        <f>I21*0.8</f>
        <v>967876.8</v>
      </c>
      <c r="K21" s="88">
        <f>J21/8700</f>
        <v>111.25020689655173</v>
      </c>
    </row>
    <row r="22" spans="1:11">
      <c r="A22" s="83" t="s">
        <v>55</v>
      </c>
      <c r="B22" s="84" t="s">
        <v>128</v>
      </c>
      <c r="C22" s="84" t="s">
        <v>182</v>
      </c>
      <c r="D22" s="84" t="s">
        <v>103</v>
      </c>
      <c r="E22" s="84" t="s">
        <v>193</v>
      </c>
      <c r="F22" s="85">
        <v>4641252</v>
      </c>
      <c r="G22" s="85">
        <v>5460238</v>
      </c>
      <c r="H22" s="86">
        <v>818986</v>
      </c>
      <c r="I22" s="87">
        <v>982783.2</v>
      </c>
      <c r="J22" s="88">
        <f>I22*0.8</f>
        <v>786226.56</v>
      </c>
      <c r="K22" s="88">
        <f>J22/8700</f>
        <v>90.370868965517246</v>
      </c>
    </row>
    <row r="23" spans="1:11">
      <c r="A23" s="83" t="s">
        <v>245</v>
      </c>
      <c r="B23" s="84" t="s">
        <v>244</v>
      </c>
      <c r="C23" s="84" t="s">
        <v>176</v>
      </c>
      <c r="D23" s="84" t="s">
        <v>103</v>
      </c>
      <c r="E23" s="84" t="s">
        <v>246</v>
      </c>
      <c r="F23" s="85">
        <v>27163392</v>
      </c>
      <c r="G23" s="85">
        <f>SUM(G20:G22)</f>
        <v>112159407</v>
      </c>
      <c r="H23" s="86">
        <v>4794816</v>
      </c>
      <c r="I23" s="87">
        <v>5753779.2000000002</v>
      </c>
      <c r="J23" s="88">
        <f>I23*0.8</f>
        <v>4603023.3600000003</v>
      </c>
      <c r="K23" s="88">
        <f>J23/8700</f>
        <v>529.08314482758624</v>
      </c>
    </row>
    <row r="24" spans="1:11">
      <c r="A24" s="16" t="s">
        <v>200</v>
      </c>
      <c r="B24" s="1" t="s">
        <v>96</v>
      </c>
      <c r="C24" s="1" t="s">
        <v>199</v>
      </c>
      <c r="D24" s="1" t="s">
        <v>171</v>
      </c>
      <c r="E24" s="1" t="s">
        <v>290</v>
      </c>
      <c r="F24" s="18">
        <v>42079360</v>
      </c>
      <c r="G24" s="18">
        <v>46754680</v>
      </c>
      <c r="H24" s="26">
        <v>4675320</v>
      </c>
      <c r="I24" s="19">
        <v>5142852</v>
      </c>
      <c r="J24" s="29"/>
      <c r="K24" s="29"/>
    </row>
    <row r="25" spans="1:11">
      <c r="A25" s="16" t="s">
        <v>202</v>
      </c>
      <c r="B25" s="1" t="s">
        <v>96</v>
      </c>
      <c r="C25" s="1" t="s">
        <v>199</v>
      </c>
      <c r="D25" s="1" t="s">
        <v>104</v>
      </c>
      <c r="E25" s="1" t="s">
        <v>291</v>
      </c>
      <c r="F25" s="18">
        <v>51872230</v>
      </c>
      <c r="G25" s="18">
        <v>64844865</v>
      </c>
      <c r="H25" s="26">
        <v>12972635</v>
      </c>
      <c r="I25" s="19">
        <v>15567162</v>
      </c>
      <c r="J25" s="29"/>
      <c r="K25" s="29"/>
    </row>
    <row r="26" spans="1:11">
      <c r="A26" s="16" t="s">
        <v>245</v>
      </c>
      <c r="B26" s="1" t="s">
        <v>96</v>
      </c>
      <c r="C26" s="1" t="s">
        <v>229</v>
      </c>
      <c r="D26" s="1" t="s">
        <v>104</v>
      </c>
      <c r="E26" s="1" t="s">
        <v>292</v>
      </c>
      <c r="F26" s="18">
        <v>35464242</v>
      </c>
      <c r="G26" s="18">
        <v>41717660</v>
      </c>
      <c r="H26" s="26">
        <v>6253418</v>
      </c>
      <c r="I26" s="19">
        <v>7504102</v>
      </c>
      <c r="J26" s="29"/>
      <c r="K26" s="29"/>
    </row>
    <row r="27" spans="1:11">
      <c r="A27" s="83" t="s">
        <v>293</v>
      </c>
      <c r="B27" s="84" t="s">
        <v>96</v>
      </c>
      <c r="C27" s="84" t="s">
        <v>230</v>
      </c>
      <c r="D27" s="84" t="s">
        <v>103</v>
      </c>
      <c r="E27" s="84" t="s">
        <v>294</v>
      </c>
      <c r="F27" s="85">
        <v>33301824</v>
      </c>
      <c r="G27" s="85">
        <v>39177408</v>
      </c>
      <c r="H27" s="86">
        <v>5875584</v>
      </c>
      <c r="I27" s="87">
        <v>7050700.7999999998</v>
      </c>
      <c r="J27" s="88"/>
      <c r="K27" s="88"/>
    </row>
    <row r="28" spans="1:11">
      <c r="A28" s="16" t="s">
        <v>129</v>
      </c>
      <c r="B28" s="1" t="s">
        <v>128</v>
      </c>
      <c r="C28" s="1" t="s">
        <v>207</v>
      </c>
      <c r="D28" s="1" t="s">
        <v>171</v>
      </c>
      <c r="E28" s="1" t="s">
        <v>290</v>
      </c>
      <c r="F28" s="18">
        <v>46156704</v>
      </c>
      <c r="G28" s="18">
        <v>54301620</v>
      </c>
      <c r="H28" s="26">
        <v>8144916</v>
      </c>
      <c r="I28" s="19">
        <v>8959407.6000000015</v>
      </c>
      <c r="J28" s="29"/>
      <c r="K28" s="29"/>
    </row>
    <row r="29" spans="1:11">
      <c r="A29" s="16" t="s">
        <v>129</v>
      </c>
      <c r="B29" s="1" t="s">
        <v>128</v>
      </c>
      <c r="C29" s="1" t="s">
        <v>182</v>
      </c>
      <c r="D29" s="1" t="s">
        <v>104</v>
      </c>
      <c r="E29" s="1" t="s">
        <v>295</v>
      </c>
      <c r="F29" s="18">
        <v>50215424</v>
      </c>
      <c r="G29" s="18">
        <v>55793744</v>
      </c>
      <c r="H29" s="26">
        <v>5578320</v>
      </c>
      <c r="I29" s="19">
        <v>6693984</v>
      </c>
      <c r="J29" s="29"/>
      <c r="K29" s="29"/>
    </row>
    <row r="30" spans="1:11">
      <c r="A30" s="16" t="s">
        <v>91</v>
      </c>
      <c r="B30" s="1" t="s">
        <v>92</v>
      </c>
      <c r="C30" s="1" t="s">
        <v>159</v>
      </c>
      <c r="D30" s="1" t="s">
        <v>171</v>
      </c>
      <c r="E30" s="1" t="s">
        <v>290</v>
      </c>
      <c r="F30" s="18">
        <v>50374821</v>
      </c>
      <c r="G30" s="18">
        <v>59264716</v>
      </c>
      <c r="H30" s="26">
        <v>8889895</v>
      </c>
      <c r="I30" s="19">
        <v>9778885</v>
      </c>
      <c r="J30" s="29"/>
      <c r="K30" s="29"/>
    </row>
    <row r="31" spans="1:11">
      <c r="A31" s="16" t="s">
        <v>91</v>
      </c>
      <c r="B31" s="1" t="s">
        <v>92</v>
      </c>
      <c r="C31" s="1" t="s">
        <v>236</v>
      </c>
      <c r="D31" s="1" t="s">
        <v>104</v>
      </c>
      <c r="E31" s="1" t="s">
        <v>296</v>
      </c>
      <c r="F31" s="18">
        <v>62766996</v>
      </c>
      <c r="G31" s="18">
        <v>69741027</v>
      </c>
      <c r="H31" s="26">
        <v>6974031</v>
      </c>
      <c r="I31" s="19">
        <v>7976446.8000000007</v>
      </c>
      <c r="J31" s="29"/>
      <c r="K31" s="29"/>
    </row>
    <row r="32" spans="1:11">
      <c r="A32" s="16" t="s">
        <v>312</v>
      </c>
      <c r="B32" s="1" t="s">
        <v>92</v>
      </c>
      <c r="C32" s="1" t="s">
        <v>261</v>
      </c>
      <c r="D32" s="1" t="s">
        <v>103</v>
      </c>
      <c r="E32" s="1" t="s">
        <v>313</v>
      </c>
      <c r="F32" s="18">
        <v>100816368</v>
      </c>
      <c r="G32" s="18">
        <v>118608528</v>
      </c>
      <c r="H32" s="26">
        <v>17792160</v>
      </c>
      <c r="I32" s="19">
        <v>21350592</v>
      </c>
      <c r="J32" s="29"/>
      <c r="K32" s="29"/>
    </row>
    <row r="33" spans="1:11">
      <c r="A33" s="16" t="s">
        <v>172</v>
      </c>
      <c r="B33" s="1" t="s">
        <v>128</v>
      </c>
      <c r="C33" s="1" t="s">
        <v>271</v>
      </c>
      <c r="D33" s="1" t="s">
        <v>103</v>
      </c>
      <c r="E33" s="1" t="s">
        <v>314</v>
      </c>
      <c r="F33" s="18">
        <v>10953694</v>
      </c>
      <c r="G33" s="18">
        <v>12886924</v>
      </c>
      <c r="H33" s="26">
        <v>1933230</v>
      </c>
      <c r="I33" s="19">
        <f>H33*1.2</f>
        <v>2319876</v>
      </c>
      <c r="J33" s="29"/>
      <c r="K33" s="29"/>
    </row>
    <row r="34" spans="1:11">
      <c r="A34" s="16" t="s">
        <v>200</v>
      </c>
      <c r="B34" s="1" t="s">
        <v>96</v>
      </c>
      <c r="C34" s="1" t="s">
        <v>250</v>
      </c>
      <c r="D34" s="1" t="s">
        <v>171</v>
      </c>
      <c r="E34" s="1" t="s">
        <v>290</v>
      </c>
      <c r="F34" s="18">
        <v>46226757</v>
      </c>
      <c r="G34" s="18">
        <v>51362933</v>
      </c>
      <c r="H34" s="26">
        <v>5136176</v>
      </c>
      <c r="I34" s="19">
        <v>5649794</v>
      </c>
      <c r="J34" s="29"/>
      <c r="K34" s="29"/>
    </row>
    <row r="35" spans="1:11">
      <c r="A35" s="16" t="s">
        <v>109</v>
      </c>
      <c r="B35" s="1" t="s">
        <v>96</v>
      </c>
      <c r="C35" s="1" t="s">
        <v>250</v>
      </c>
      <c r="D35" s="1" t="s">
        <v>104</v>
      </c>
      <c r="E35" s="1" t="s">
        <v>322</v>
      </c>
      <c r="F35" s="18">
        <v>17066000</v>
      </c>
      <c r="G35" s="18">
        <v>21336000</v>
      </c>
      <c r="H35" s="26">
        <v>4270000</v>
      </c>
      <c r="I35" s="19">
        <v>5124000</v>
      </c>
      <c r="J35" s="29"/>
      <c r="K35" s="29"/>
    </row>
    <row r="36" spans="1:11">
      <c r="A36" s="16" t="s">
        <v>323</v>
      </c>
      <c r="B36" s="1" t="s">
        <v>96</v>
      </c>
      <c r="C36" s="1" t="s">
        <v>284</v>
      </c>
      <c r="D36" s="1" t="s">
        <v>171</v>
      </c>
      <c r="E36" s="1" t="s">
        <v>290</v>
      </c>
      <c r="F36" s="18">
        <v>4675938</v>
      </c>
      <c r="G36" s="18">
        <v>4922026</v>
      </c>
      <c r="H36" s="26">
        <v>246088</v>
      </c>
      <c r="I36" s="19">
        <v>270696.80000000005</v>
      </c>
      <c r="J36" s="29"/>
      <c r="K36" s="29"/>
    </row>
    <row r="37" spans="1:11">
      <c r="A37" s="16" t="s">
        <v>172</v>
      </c>
      <c r="B37" s="1" t="s">
        <v>128</v>
      </c>
      <c r="C37" s="1" t="s">
        <v>271</v>
      </c>
      <c r="D37" s="1" t="s">
        <v>104</v>
      </c>
      <c r="E37" s="1" t="s">
        <v>292</v>
      </c>
      <c r="F37" s="18">
        <v>9005892</v>
      </c>
      <c r="G37" s="18">
        <v>12009480</v>
      </c>
      <c r="H37" s="26">
        <v>3003588</v>
      </c>
      <c r="I37" s="19">
        <v>3604305.6</v>
      </c>
      <c r="J37" s="29"/>
      <c r="K37" s="29"/>
    </row>
    <row r="38" spans="1:11">
      <c r="A38" s="16" t="s">
        <v>98</v>
      </c>
      <c r="B38" s="1" t="s">
        <v>96</v>
      </c>
      <c r="C38" s="1" t="s">
        <v>301</v>
      </c>
      <c r="D38" s="1" t="s">
        <v>103</v>
      </c>
      <c r="E38" s="1" t="s">
        <v>367</v>
      </c>
      <c r="F38" s="18">
        <v>43455768</v>
      </c>
      <c r="G38" s="18">
        <v>51122856</v>
      </c>
      <c r="H38" s="26">
        <f>G38-F38</f>
        <v>7667088</v>
      </c>
      <c r="I38" s="19">
        <f>H38*1.2</f>
        <v>9200505.5999999996</v>
      </c>
      <c r="J38" s="29"/>
      <c r="K38" s="29"/>
    </row>
    <row r="39" spans="1:11">
      <c r="A39" s="16" t="s">
        <v>98</v>
      </c>
      <c r="B39" s="1" t="s">
        <v>96</v>
      </c>
      <c r="C39" s="1" t="s">
        <v>301</v>
      </c>
      <c r="D39" s="1" t="s">
        <v>104</v>
      </c>
      <c r="E39" s="1" t="s">
        <v>368</v>
      </c>
      <c r="F39" s="18">
        <v>22796772</v>
      </c>
      <c r="G39" s="18">
        <v>34231260</v>
      </c>
      <c r="H39" s="26">
        <f>G39-F39</f>
        <v>11434488</v>
      </c>
      <c r="I39" s="19">
        <f>H39*1.2</f>
        <v>13721385.6</v>
      </c>
      <c r="J39" s="29"/>
      <c r="K39" s="29"/>
    </row>
    <row r="40" spans="1:11">
      <c r="A40" s="16" t="s">
        <v>55</v>
      </c>
      <c r="B40" s="1" t="s">
        <v>128</v>
      </c>
      <c r="C40" s="1" t="s">
        <v>297</v>
      </c>
      <c r="D40" s="1" t="s">
        <v>103</v>
      </c>
      <c r="E40" s="1" t="s">
        <v>369</v>
      </c>
      <c r="F40" s="18">
        <v>2797200</v>
      </c>
      <c r="G40" s="18">
        <v>3290625</v>
      </c>
      <c r="H40" s="26">
        <f>G40-F40</f>
        <v>493425</v>
      </c>
      <c r="I40" s="19">
        <f>H40*1.2</f>
        <v>592110</v>
      </c>
      <c r="J40" s="29"/>
      <c r="K40" s="29"/>
    </row>
    <row r="41" spans="1:11" ht="15.75" thickBot="1">
      <c r="A41" s="17"/>
      <c r="B41" s="3"/>
      <c r="C41" s="3"/>
      <c r="D41" s="3"/>
      <c r="E41" s="3"/>
      <c r="F41" s="20"/>
      <c r="G41" s="20"/>
      <c r="H41" s="27"/>
      <c r="I41" s="21"/>
      <c r="J41" s="30"/>
      <c r="K41" s="30"/>
    </row>
    <row r="42" spans="1:11" ht="15.75" thickTop="1"/>
  </sheetData>
  <autoFilter ref="A1:L3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showGridLines="0" workbookViewId="0">
      <pane ySplit="2" topLeftCell="A123" activePane="bottomLeft" state="frozen"/>
      <selection pane="bottomLeft" activeCell="A147" sqref="A147"/>
    </sheetView>
  </sheetViews>
  <sheetFormatPr defaultRowHeight="15"/>
  <cols>
    <col min="1" max="1" width="21.140625" bestFit="1" customWidth="1"/>
    <col min="2" max="2" width="41.28515625" bestFit="1" customWidth="1"/>
    <col min="3" max="3" width="88.7109375" bestFit="1" customWidth="1"/>
    <col min="4" max="10" width="18.7109375" customWidth="1"/>
  </cols>
  <sheetData>
    <row r="1" spans="1:10" ht="15.75" thickBot="1"/>
    <row r="2" spans="1:10" ht="36.75" customHeight="1" thickTop="1">
      <c r="A2" s="34" t="s">
        <v>140</v>
      </c>
      <c r="B2" s="35" t="s">
        <v>141</v>
      </c>
      <c r="C2" s="35" t="s">
        <v>2</v>
      </c>
      <c r="D2" s="35" t="s">
        <v>142</v>
      </c>
      <c r="E2" s="35" t="s">
        <v>145</v>
      </c>
      <c r="F2" s="35" t="s">
        <v>143</v>
      </c>
      <c r="G2" s="35" t="s">
        <v>144</v>
      </c>
      <c r="H2" s="35" t="s">
        <v>146</v>
      </c>
      <c r="I2" s="35" t="s">
        <v>148</v>
      </c>
      <c r="J2" s="36" t="s">
        <v>147</v>
      </c>
    </row>
    <row r="3" spans="1:10">
      <c r="A3" s="49" t="s">
        <v>66</v>
      </c>
      <c r="B3" s="50" t="s">
        <v>120</v>
      </c>
      <c r="C3" s="50" t="s">
        <v>149</v>
      </c>
      <c r="D3" s="51">
        <v>3122</v>
      </c>
      <c r="E3" s="51">
        <v>4236</v>
      </c>
      <c r="F3" s="52">
        <v>0.15</v>
      </c>
      <c r="G3" s="51">
        <f>ROUND(E3*(1-F3),0)</f>
        <v>3601</v>
      </c>
      <c r="H3" s="51">
        <f>(E3-G3)*D3</f>
        <v>1982470</v>
      </c>
      <c r="I3" s="51">
        <f>ROUND(H3*0.7,0)</f>
        <v>1387729</v>
      </c>
      <c r="J3" s="53">
        <f>I3/8650</f>
        <v>160.43109826589594</v>
      </c>
    </row>
    <row r="4" spans="1:10">
      <c r="A4" s="54"/>
      <c r="B4" s="55" t="s">
        <v>121</v>
      </c>
      <c r="C4" s="55" t="s">
        <v>150</v>
      </c>
      <c r="D4" s="56">
        <v>3061</v>
      </c>
      <c r="E4" s="56">
        <v>4550</v>
      </c>
      <c r="F4" s="57">
        <v>0.15</v>
      </c>
      <c r="G4" s="56">
        <f>ROUND(E4*(1-F4),0)</f>
        <v>3868</v>
      </c>
      <c r="H4" s="56">
        <f t="shared" ref="H4:H9" si="0">(E4-G4)*D4</f>
        <v>2087602</v>
      </c>
      <c r="I4" s="56">
        <f>ROUND(H4*0.7,0)</f>
        <v>1461321</v>
      </c>
      <c r="J4" s="58">
        <f>I4/8650</f>
        <v>168.93884393063584</v>
      </c>
    </row>
    <row r="5" spans="1:10">
      <c r="A5" s="54"/>
      <c r="B5" s="55" t="s">
        <v>122</v>
      </c>
      <c r="C5" s="55" t="s">
        <v>151</v>
      </c>
      <c r="D5" s="56">
        <v>3964</v>
      </c>
      <c r="E5" s="56">
        <v>8158</v>
      </c>
      <c r="F5" s="57">
        <v>0.15</v>
      </c>
      <c r="G5" s="56">
        <f>ROUND(E5*(1-F5),0)</f>
        <v>6934</v>
      </c>
      <c r="H5" s="56">
        <f t="shared" si="0"/>
        <v>4851936</v>
      </c>
      <c r="I5" s="56">
        <f>ROUND(H5*0.7,0)</f>
        <v>3396355</v>
      </c>
      <c r="J5" s="58">
        <f>I5/8650</f>
        <v>392.64219653179191</v>
      </c>
    </row>
    <row r="6" spans="1:10">
      <c r="A6" s="59"/>
      <c r="B6" s="60" t="s">
        <v>123</v>
      </c>
      <c r="C6" s="60"/>
      <c r="D6" s="61"/>
      <c r="E6" s="61"/>
      <c r="F6" s="60"/>
      <c r="G6" s="61"/>
      <c r="H6" s="61"/>
      <c r="I6" s="61"/>
      <c r="J6" s="62"/>
    </row>
    <row r="7" spans="1:10">
      <c r="A7" s="63"/>
      <c r="B7" s="64"/>
      <c r="C7" s="64"/>
      <c r="D7" s="65"/>
      <c r="E7" s="65"/>
      <c r="F7" s="64"/>
      <c r="G7" s="65"/>
      <c r="H7" s="65"/>
      <c r="I7" s="65"/>
      <c r="J7" s="66">
        <f>SUM(J3:J6)</f>
        <v>722.01213872832363</v>
      </c>
    </row>
    <row r="8" spans="1:10">
      <c r="A8" s="49" t="s">
        <v>75</v>
      </c>
      <c r="B8" s="50" t="s">
        <v>152</v>
      </c>
      <c r="C8" s="50" t="s">
        <v>22</v>
      </c>
      <c r="D8" s="51">
        <v>260</v>
      </c>
      <c r="E8" s="51">
        <v>13086</v>
      </c>
      <c r="F8" s="67">
        <v>0.15</v>
      </c>
      <c r="G8" s="51">
        <f>ROUND(E8*(1-F8),0)</f>
        <v>11123</v>
      </c>
      <c r="H8" s="51">
        <f t="shared" si="0"/>
        <v>510380</v>
      </c>
      <c r="I8" s="51">
        <f>ROUND(H8*0.7,0)</f>
        <v>357266</v>
      </c>
      <c r="J8" s="53">
        <f t="shared" ref="J8:J14" si="1">I8/8650</f>
        <v>41.302427745664737</v>
      </c>
    </row>
    <row r="9" spans="1:10">
      <c r="A9" s="59"/>
      <c r="B9" s="60"/>
      <c r="C9" s="60" t="s">
        <v>151</v>
      </c>
      <c r="D9" s="61">
        <v>500</v>
      </c>
      <c r="E9" s="61">
        <v>8005</v>
      </c>
      <c r="F9" s="68">
        <v>0.15</v>
      </c>
      <c r="G9" s="61">
        <f>ROUND(E9*(1-F9),0)</f>
        <v>6804</v>
      </c>
      <c r="H9" s="61">
        <f t="shared" si="0"/>
        <v>600500</v>
      </c>
      <c r="I9" s="61">
        <f>ROUND(H9*0.7,0)</f>
        <v>420350</v>
      </c>
      <c r="J9" s="69">
        <f t="shared" si="1"/>
        <v>48.595375722543352</v>
      </c>
    </row>
    <row r="10" spans="1:10">
      <c r="A10" s="70"/>
      <c r="B10" s="71"/>
      <c r="C10" s="71"/>
      <c r="D10" s="72"/>
      <c r="E10" s="72"/>
      <c r="F10" s="71"/>
      <c r="G10" s="72"/>
      <c r="H10" s="72"/>
      <c r="I10" s="72"/>
      <c r="J10" s="66">
        <f>SUM(J8:J9)</f>
        <v>89.897803468208082</v>
      </c>
    </row>
    <row r="11" spans="1:10">
      <c r="A11" s="49" t="s">
        <v>48</v>
      </c>
      <c r="B11" s="50" t="s">
        <v>114</v>
      </c>
      <c r="C11" s="50" t="s">
        <v>153</v>
      </c>
      <c r="D11" s="51">
        <v>609</v>
      </c>
      <c r="E11" s="51">
        <v>13086</v>
      </c>
      <c r="F11" s="52">
        <v>0.15</v>
      </c>
      <c r="G11" s="51">
        <f>ROUND(E11*(1-F11),0)</f>
        <v>11123</v>
      </c>
      <c r="H11" s="51">
        <f>(E11-G11)*D11</f>
        <v>1195467</v>
      </c>
      <c r="I11" s="51">
        <f>ROUND(H11*0.7,0)</f>
        <v>836827</v>
      </c>
      <c r="J11" s="53">
        <f t="shared" si="1"/>
        <v>96.74300578034682</v>
      </c>
    </row>
    <row r="12" spans="1:10">
      <c r="A12" s="54"/>
      <c r="B12" s="55"/>
      <c r="C12" s="55" t="s">
        <v>154</v>
      </c>
      <c r="D12" s="56">
        <v>535</v>
      </c>
      <c r="E12" s="56">
        <v>7451</v>
      </c>
      <c r="F12" s="57">
        <v>0.15</v>
      </c>
      <c r="G12" s="56">
        <f>ROUND(E12*(1-F12),0)</f>
        <v>6333</v>
      </c>
      <c r="H12" s="56">
        <f>(E12-G12)*D12</f>
        <v>598130</v>
      </c>
      <c r="I12" s="56">
        <f>ROUND(H12*0.7,0)</f>
        <v>418691</v>
      </c>
      <c r="J12" s="58">
        <f t="shared" si="1"/>
        <v>48.403583815028902</v>
      </c>
    </row>
    <row r="13" spans="1:10">
      <c r="A13" s="54"/>
      <c r="B13" s="55"/>
      <c r="C13" s="55" t="s">
        <v>155</v>
      </c>
      <c r="D13" s="56">
        <v>692</v>
      </c>
      <c r="E13" s="56">
        <v>5850</v>
      </c>
      <c r="F13" s="57">
        <v>0.15</v>
      </c>
      <c r="G13" s="56">
        <f>ROUND(E13*(1-F13),0)</f>
        <v>4973</v>
      </c>
      <c r="H13" s="56">
        <f>(E13-G13)*D13</f>
        <v>606884</v>
      </c>
      <c r="I13" s="56">
        <f>ROUND(H13*0.7,0)</f>
        <v>424819</v>
      </c>
      <c r="J13" s="58">
        <f t="shared" si="1"/>
        <v>49.112023121387281</v>
      </c>
    </row>
    <row r="14" spans="1:10">
      <c r="A14" s="59"/>
      <c r="B14" s="60"/>
      <c r="C14" s="60" t="s">
        <v>22</v>
      </c>
      <c r="D14" s="61">
        <v>866</v>
      </c>
      <c r="E14" s="61">
        <v>6054</v>
      </c>
      <c r="F14" s="73">
        <v>0.15</v>
      </c>
      <c r="G14" s="61">
        <f>ROUND(E14*(1-F14),0)</f>
        <v>5146</v>
      </c>
      <c r="H14" s="61">
        <f>(E14-G14)*D14</f>
        <v>786328</v>
      </c>
      <c r="I14" s="61">
        <f>ROUND(H14*0.7,0)</f>
        <v>550430</v>
      </c>
      <c r="J14" s="69">
        <f t="shared" si="1"/>
        <v>63.633526011560697</v>
      </c>
    </row>
    <row r="15" spans="1:10">
      <c r="A15" s="74"/>
      <c r="B15" s="75"/>
      <c r="C15" s="75"/>
      <c r="D15" s="75"/>
      <c r="E15" s="75"/>
      <c r="F15" s="75"/>
      <c r="G15" s="76"/>
      <c r="H15" s="76"/>
      <c r="I15" s="76"/>
      <c r="J15" s="66">
        <f>SUM(J11:J14)</f>
        <v>257.89213872832374</v>
      </c>
    </row>
    <row r="16" spans="1:10">
      <c r="A16" s="49" t="s">
        <v>63</v>
      </c>
      <c r="B16" s="50" t="s">
        <v>120</v>
      </c>
      <c r="C16" s="50" t="s">
        <v>60</v>
      </c>
      <c r="D16" s="50">
        <v>2628</v>
      </c>
      <c r="E16" s="50">
        <v>8080</v>
      </c>
      <c r="F16" s="67">
        <v>0.1</v>
      </c>
      <c r="G16" s="51">
        <v>7272</v>
      </c>
      <c r="H16" s="51">
        <f>(E16-G16)*D16</f>
        <v>2123424</v>
      </c>
      <c r="I16" s="51">
        <f>ROUND(H16*0.7,0)</f>
        <v>1486397</v>
      </c>
      <c r="J16" s="53">
        <f>I16/8650</f>
        <v>171.83780346820808</v>
      </c>
    </row>
    <row r="17" spans="1:10">
      <c r="A17" s="54"/>
      <c r="B17" s="55" t="s">
        <v>121</v>
      </c>
      <c r="C17" s="55"/>
      <c r="D17" s="55"/>
      <c r="E17" s="55"/>
      <c r="F17" s="55"/>
      <c r="G17" s="55"/>
      <c r="H17" s="55"/>
      <c r="I17" s="55"/>
      <c r="J17" s="77"/>
    </row>
    <row r="18" spans="1:10">
      <c r="A18" s="54"/>
      <c r="B18" s="55" t="s">
        <v>122</v>
      </c>
      <c r="C18" s="55"/>
      <c r="D18" s="55"/>
      <c r="E18" s="55"/>
      <c r="F18" s="55"/>
      <c r="G18" s="55"/>
      <c r="H18" s="55"/>
      <c r="I18" s="55"/>
      <c r="J18" s="77"/>
    </row>
    <row r="19" spans="1:10">
      <c r="A19" s="59"/>
      <c r="B19" s="60" t="s">
        <v>123</v>
      </c>
      <c r="C19" s="60"/>
      <c r="D19" s="60"/>
      <c r="E19" s="60"/>
      <c r="F19" s="60"/>
      <c r="G19" s="60"/>
      <c r="H19" s="60"/>
      <c r="I19" s="60"/>
      <c r="J19" s="62"/>
    </row>
    <row r="20" spans="1:10">
      <c r="A20" s="70"/>
      <c r="B20" s="71"/>
      <c r="C20" s="71"/>
      <c r="D20" s="71"/>
      <c r="E20" s="71"/>
      <c r="F20" s="71"/>
      <c r="G20" s="71"/>
      <c r="H20" s="71"/>
      <c r="I20" s="71"/>
      <c r="J20" s="89">
        <f>SUM(J16:J19)</f>
        <v>171.83780346820808</v>
      </c>
    </row>
    <row r="21" spans="1:10">
      <c r="A21" s="49" t="s">
        <v>119</v>
      </c>
      <c r="B21" s="50" t="s">
        <v>120</v>
      </c>
      <c r="C21" s="50" t="s">
        <v>57</v>
      </c>
      <c r="D21" s="50">
        <v>2185</v>
      </c>
      <c r="E21" s="50">
        <v>7594</v>
      </c>
      <c r="F21" s="67">
        <v>0.15</v>
      </c>
      <c r="G21" s="50">
        <v>6455</v>
      </c>
      <c r="H21" s="51">
        <f>(E21-G21)*D21</f>
        <v>2488715</v>
      </c>
      <c r="I21" s="51">
        <f>ROUND(H21*0.8,0)</f>
        <v>1990972</v>
      </c>
      <c r="J21" s="90">
        <f>I21/8650</f>
        <v>230.17017341040463</v>
      </c>
    </row>
    <row r="22" spans="1:10">
      <c r="A22" s="54"/>
      <c r="B22" s="55" t="s">
        <v>121</v>
      </c>
      <c r="C22" s="55" t="s">
        <v>58</v>
      </c>
      <c r="D22" s="55">
        <v>2075</v>
      </c>
      <c r="E22" s="55">
        <v>5962</v>
      </c>
      <c r="F22" s="91">
        <v>0.15</v>
      </c>
      <c r="G22" s="55">
        <v>5068</v>
      </c>
      <c r="H22" s="56">
        <f>(E22-G22)*D22</f>
        <v>1855050</v>
      </c>
      <c r="I22" s="56">
        <f>ROUND(H22*0.8,0)</f>
        <v>1484040</v>
      </c>
      <c r="J22" s="92">
        <f>I22/8650</f>
        <v>171.56531791907514</v>
      </c>
    </row>
    <row r="23" spans="1:10">
      <c r="A23" s="54"/>
      <c r="B23" s="55" t="s">
        <v>122</v>
      </c>
      <c r="C23" s="55" t="s">
        <v>59</v>
      </c>
      <c r="D23" s="55">
        <v>2669</v>
      </c>
      <c r="E23" s="55">
        <v>6169</v>
      </c>
      <c r="F23" s="91">
        <v>0.15</v>
      </c>
      <c r="G23" s="55">
        <v>5244</v>
      </c>
      <c r="H23" s="56">
        <f>(E23-G23)*D23</f>
        <v>2468825</v>
      </c>
      <c r="I23" s="56">
        <f>ROUND(H23*0.8,0)</f>
        <v>1975060</v>
      </c>
      <c r="J23" s="92">
        <f>I23/8650</f>
        <v>228.3306358381503</v>
      </c>
    </row>
    <row r="24" spans="1:10">
      <c r="A24" s="59"/>
      <c r="B24" s="60" t="s">
        <v>123</v>
      </c>
      <c r="C24" s="60"/>
      <c r="D24" s="60"/>
      <c r="E24" s="60"/>
      <c r="F24" s="60"/>
      <c r="G24" s="60"/>
      <c r="H24" s="61"/>
      <c r="I24" s="61"/>
      <c r="J24" s="93"/>
    </row>
    <row r="25" spans="1:10">
      <c r="A25" s="70"/>
      <c r="B25" s="71"/>
      <c r="C25" s="71"/>
      <c r="D25" s="71"/>
      <c r="E25" s="71"/>
      <c r="F25" s="71"/>
      <c r="G25" s="71"/>
      <c r="H25" s="71"/>
      <c r="I25" s="71"/>
      <c r="J25" s="89">
        <f>SUM(J21:J24)</f>
        <v>630.06612716763004</v>
      </c>
    </row>
    <row r="26" spans="1:10">
      <c r="A26" s="49" t="s">
        <v>190</v>
      </c>
      <c r="B26" s="50" t="s">
        <v>191</v>
      </c>
      <c r="C26" s="50" t="s">
        <v>155</v>
      </c>
      <c r="D26" s="51">
        <v>220</v>
      </c>
      <c r="E26" s="51">
        <v>7451</v>
      </c>
      <c r="F26" s="52">
        <v>0.15</v>
      </c>
      <c r="G26" s="51">
        <v>6334</v>
      </c>
      <c r="H26" s="51">
        <f>(E26-G26)*D26</f>
        <v>245740</v>
      </c>
      <c r="I26" s="51">
        <f>ROUND(H26*0.8,0)</f>
        <v>196592</v>
      </c>
      <c r="J26" s="90">
        <f>I26/8650</f>
        <v>22.727398843930636</v>
      </c>
    </row>
    <row r="27" spans="1:10">
      <c r="A27" s="54"/>
      <c r="B27" s="55"/>
      <c r="C27" s="55" t="s">
        <v>154</v>
      </c>
      <c r="D27" s="56">
        <v>180</v>
      </c>
      <c r="E27" s="56">
        <v>5850</v>
      </c>
      <c r="F27" s="57">
        <v>0.15</v>
      </c>
      <c r="G27" s="56">
        <v>4973</v>
      </c>
      <c r="H27" s="56">
        <f>(E27-G27)*D27</f>
        <v>157860</v>
      </c>
      <c r="I27" s="56">
        <f>ROUND(H27*0.8,0)</f>
        <v>126288</v>
      </c>
      <c r="J27" s="92">
        <f>I27/8650</f>
        <v>14.599768786127168</v>
      </c>
    </row>
    <row r="28" spans="1:10">
      <c r="A28" s="59"/>
      <c r="B28" s="60"/>
      <c r="C28" s="60" t="s">
        <v>183</v>
      </c>
      <c r="D28" s="61">
        <v>200</v>
      </c>
      <c r="E28" s="61">
        <v>10135</v>
      </c>
      <c r="F28" s="73">
        <v>0.15</v>
      </c>
      <c r="G28" s="61">
        <v>8615</v>
      </c>
      <c r="H28" s="61">
        <f>(E28-G28)*D28</f>
        <v>304000</v>
      </c>
      <c r="I28" s="61">
        <f>ROUND(H28*0.8,0)</f>
        <v>243200</v>
      </c>
      <c r="J28" s="93">
        <f>I28/8650</f>
        <v>28.115606936416185</v>
      </c>
    </row>
    <row r="29" spans="1:10">
      <c r="A29" s="40"/>
      <c r="B29" s="41"/>
      <c r="C29" s="41"/>
      <c r="D29" s="41"/>
      <c r="E29" s="41"/>
      <c r="F29" s="41"/>
      <c r="G29" s="41"/>
      <c r="H29" s="41"/>
      <c r="I29" s="41"/>
      <c r="J29" s="48">
        <f>SUM(J26:J28)</f>
        <v>65.442774566473986</v>
      </c>
    </row>
    <row r="30" spans="1:10">
      <c r="A30" s="49" t="s">
        <v>182</v>
      </c>
      <c r="B30" s="50" t="s">
        <v>114</v>
      </c>
      <c r="C30" s="50" t="s">
        <v>183</v>
      </c>
      <c r="D30" s="95">
        <v>448</v>
      </c>
      <c r="E30" s="50">
        <v>10135</v>
      </c>
      <c r="F30" s="67">
        <v>0.15</v>
      </c>
      <c r="G30" s="50">
        <v>8615</v>
      </c>
      <c r="H30" s="51">
        <f>(E30-G30)*D30</f>
        <v>680960</v>
      </c>
      <c r="I30" s="51">
        <f>ROUND(H30*0.8,0)</f>
        <v>544768</v>
      </c>
      <c r="J30" s="90">
        <f>I30/8700</f>
        <v>62.617011494252871</v>
      </c>
    </row>
    <row r="31" spans="1:10">
      <c r="A31" s="59"/>
      <c r="B31" s="60"/>
      <c r="C31" s="60" t="s">
        <v>155</v>
      </c>
      <c r="D31" s="96">
        <v>270</v>
      </c>
      <c r="E31" s="60">
        <v>7451</v>
      </c>
      <c r="F31" s="68">
        <v>0.15</v>
      </c>
      <c r="G31" s="60">
        <v>6334</v>
      </c>
      <c r="H31" s="61">
        <f>(E31-G31)*D31</f>
        <v>301590</v>
      </c>
      <c r="I31" s="61">
        <f>ROUND(H31*0.8,0)</f>
        <v>241272</v>
      </c>
      <c r="J31" s="93">
        <f>I31/8700</f>
        <v>27.732413793103447</v>
      </c>
    </row>
    <row r="32" spans="1:10">
      <c r="A32" s="70"/>
      <c r="B32" s="71"/>
      <c r="C32" s="71"/>
      <c r="D32" s="71"/>
      <c r="E32" s="71"/>
      <c r="F32" s="71"/>
      <c r="G32" s="71"/>
      <c r="H32" s="71"/>
      <c r="I32" s="71"/>
      <c r="J32" s="97">
        <f>SUM(J30:J31)</f>
        <v>90.349425287356325</v>
      </c>
    </row>
    <row r="33" spans="1:10">
      <c r="A33" s="49" t="s">
        <v>182</v>
      </c>
      <c r="B33" s="50" t="s">
        <v>106</v>
      </c>
      <c r="C33" s="50" t="s">
        <v>154</v>
      </c>
      <c r="D33" s="50">
        <v>367</v>
      </c>
      <c r="E33" s="50">
        <v>5850</v>
      </c>
      <c r="F33" s="67">
        <v>0.15</v>
      </c>
      <c r="G33" s="50">
        <v>4973</v>
      </c>
      <c r="H33" s="51">
        <f>(E33-G33)*D33</f>
        <v>321859</v>
      </c>
      <c r="I33" s="51">
        <f>ROUND(H33*0.8,0)</f>
        <v>257487</v>
      </c>
      <c r="J33" s="90">
        <f>I33/8700</f>
        <v>29.596206896551724</v>
      </c>
    </row>
    <row r="34" spans="1:10">
      <c r="A34" s="59"/>
      <c r="B34" s="60"/>
      <c r="C34" s="60" t="s">
        <v>183</v>
      </c>
      <c r="D34" s="60">
        <v>584</v>
      </c>
      <c r="E34" s="60">
        <v>10135</v>
      </c>
      <c r="F34" s="68">
        <v>0.15</v>
      </c>
      <c r="G34" s="60">
        <v>8615</v>
      </c>
      <c r="H34" s="61">
        <f>(E34-G34)*D34</f>
        <v>887680</v>
      </c>
      <c r="I34" s="61">
        <f>ROUND(H34*0.8,0)</f>
        <v>710144</v>
      </c>
      <c r="J34" s="93">
        <f>I34/8700</f>
        <v>81.625747126436778</v>
      </c>
    </row>
    <row r="35" spans="1:10">
      <c r="A35" s="70"/>
      <c r="B35" s="71"/>
      <c r="C35" s="71"/>
      <c r="D35" s="71"/>
      <c r="E35" s="71"/>
      <c r="F35" s="71"/>
      <c r="G35" s="71"/>
      <c r="H35" s="71"/>
      <c r="I35" s="71"/>
      <c r="J35" s="97">
        <f>SUM(J33:J34)</f>
        <v>111.2219540229885</v>
      </c>
    </row>
    <row r="36" spans="1:10">
      <c r="A36" s="49" t="s">
        <v>176</v>
      </c>
      <c r="B36" s="50" t="s">
        <v>132</v>
      </c>
      <c r="C36" s="50" t="s">
        <v>177</v>
      </c>
      <c r="D36" s="50">
        <v>3843</v>
      </c>
      <c r="E36" s="50">
        <v>5303</v>
      </c>
      <c r="F36" s="67">
        <v>0.15</v>
      </c>
      <c r="G36" s="50">
        <v>4507</v>
      </c>
      <c r="H36" s="51">
        <f>(E36-G36)*D36</f>
        <v>3059028</v>
      </c>
      <c r="I36" s="51">
        <f>ROUND(H36*0.8,0)</f>
        <v>2447222</v>
      </c>
      <c r="J36" s="90">
        <f>I36/8700</f>
        <v>281.28988505747128</v>
      </c>
    </row>
    <row r="37" spans="1:10">
      <c r="A37" s="54"/>
      <c r="B37" s="55" t="s">
        <v>133</v>
      </c>
      <c r="C37" s="55" t="s">
        <v>178</v>
      </c>
      <c r="D37" s="55">
        <v>3389</v>
      </c>
      <c r="E37" s="55">
        <v>5303</v>
      </c>
      <c r="F37" s="91">
        <v>0.15</v>
      </c>
      <c r="G37" s="55">
        <v>4507</v>
      </c>
      <c r="H37" s="56">
        <f>(E37-G37)*D37</f>
        <v>2697644</v>
      </c>
      <c r="I37" s="56">
        <f>ROUND(H37*0.8,0)</f>
        <v>2158115</v>
      </c>
      <c r="J37" s="92">
        <f>I37/8700</f>
        <v>248.05919540229885</v>
      </c>
    </row>
    <row r="38" spans="1:10">
      <c r="A38" s="54"/>
      <c r="B38" s="55" t="s">
        <v>179</v>
      </c>
      <c r="C38" s="55"/>
      <c r="D38" s="55"/>
      <c r="E38" s="55"/>
      <c r="F38" s="55"/>
      <c r="G38" s="55"/>
      <c r="H38" s="55"/>
      <c r="I38" s="55"/>
      <c r="J38" s="77"/>
    </row>
    <row r="39" spans="1:10">
      <c r="A39" s="54"/>
      <c r="B39" s="55" t="s">
        <v>134</v>
      </c>
      <c r="C39" s="55"/>
      <c r="D39" s="55"/>
      <c r="E39" s="55"/>
      <c r="F39" s="55"/>
      <c r="G39" s="55"/>
      <c r="H39" s="55"/>
      <c r="I39" s="55"/>
      <c r="J39" s="77"/>
    </row>
    <row r="40" spans="1:10">
      <c r="A40" s="54"/>
      <c r="B40" s="55" t="s">
        <v>180</v>
      </c>
      <c r="C40" s="55"/>
      <c r="D40" s="55"/>
      <c r="E40" s="55"/>
      <c r="F40" s="55"/>
      <c r="G40" s="55"/>
      <c r="H40" s="55"/>
      <c r="I40" s="55"/>
      <c r="J40" s="77"/>
    </row>
    <row r="41" spans="1:10">
      <c r="A41" s="54"/>
      <c r="B41" s="55" t="s">
        <v>181</v>
      </c>
      <c r="C41" s="55"/>
      <c r="D41" s="55"/>
      <c r="E41" s="55"/>
      <c r="F41" s="55"/>
      <c r="G41" s="55"/>
      <c r="H41" s="55"/>
      <c r="I41" s="55"/>
      <c r="J41" s="77"/>
    </row>
    <row r="42" spans="1:10">
      <c r="A42" s="59"/>
      <c r="B42" s="60" t="s">
        <v>135</v>
      </c>
      <c r="C42" s="60"/>
      <c r="D42" s="60"/>
      <c r="E42" s="60"/>
      <c r="F42" s="60"/>
      <c r="G42" s="60"/>
      <c r="H42" s="60"/>
      <c r="I42" s="60"/>
      <c r="J42" s="62"/>
    </row>
    <row r="43" spans="1:10">
      <c r="A43" s="70"/>
      <c r="B43" s="71"/>
      <c r="C43" s="71"/>
      <c r="D43" s="71"/>
      <c r="E43" s="71"/>
      <c r="F43" s="71"/>
      <c r="G43" s="71"/>
      <c r="H43" s="71"/>
      <c r="I43" s="71"/>
      <c r="J43" s="97">
        <f>SUM(J36:J42)</f>
        <v>529.34908045977011</v>
      </c>
    </row>
    <row r="44" spans="1:10">
      <c r="A44" s="102" t="s">
        <v>230</v>
      </c>
      <c r="B44" s="103" t="s">
        <v>293</v>
      </c>
      <c r="C44" s="103" t="s">
        <v>231</v>
      </c>
      <c r="D44" s="103">
        <v>5136</v>
      </c>
      <c r="E44" s="103">
        <v>7781</v>
      </c>
      <c r="F44" s="104">
        <v>0.15</v>
      </c>
      <c r="G44" s="103">
        <v>9154</v>
      </c>
      <c r="H44" s="56">
        <f>D44*(G44-E44)</f>
        <v>7051728</v>
      </c>
      <c r="I44" s="56">
        <f>H44*0.8</f>
        <v>5641382.4000000004</v>
      </c>
      <c r="J44" s="92">
        <f>I44/8800</f>
        <v>641.06618181818192</v>
      </c>
    </row>
    <row r="45" spans="1:10">
      <c r="A45" s="70"/>
      <c r="B45" s="71"/>
      <c r="C45" s="71"/>
      <c r="D45" s="71"/>
      <c r="E45" s="71"/>
      <c r="F45" s="71"/>
      <c r="G45" s="71"/>
      <c r="H45" s="71"/>
      <c r="I45" s="71"/>
      <c r="J45" s="105">
        <f>SUM(J44)</f>
        <v>641.06618181818192</v>
      </c>
    </row>
    <row r="46" spans="1:10">
      <c r="A46" s="102" t="s">
        <v>261</v>
      </c>
      <c r="B46" s="103" t="s">
        <v>312</v>
      </c>
      <c r="C46" s="103" t="s">
        <v>60</v>
      </c>
      <c r="D46" s="103">
        <v>17616</v>
      </c>
      <c r="E46" s="103">
        <v>6868</v>
      </c>
      <c r="F46" s="104">
        <v>0.15</v>
      </c>
      <c r="G46" s="103">
        <v>8080</v>
      </c>
      <c r="H46" s="56">
        <f>D46*(G46-E46)</f>
        <v>21350592</v>
      </c>
      <c r="I46" s="56">
        <f>H46*0.8</f>
        <v>17080473.600000001</v>
      </c>
      <c r="J46" s="92">
        <f>I46/8800</f>
        <v>1940.9629090909093</v>
      </c>
    </row>
    <row r="47" spans="1:10">
      <c r="A47" s="70"/>
      <c r="B47" s="71"/>
      <c r="C47" s="71"/>
      <c r="D47" s="71"/>
      <c r="E47" s="71"/>
      <c r="F47" s="71"/>
      <c r="G47" s="71"/>
      <c r="H47" s="71"/>
      <c r="I47" s="71"/>
      <c r="J47" s="105">
        <f>J46</f>
        <v>1940.9629090909093</v>
      </c>
    </row>
    <row r="48" spans="1:10">
      <c r="A48" s="49" t="s">
        <v>271</v>
      </c>
      <c r="B48" s="50" t="s">
        <v>172</v>
      </c>
      <c r="C48" s="50" t="s">
        <v>273</v>
      </c>
      <c r="D48" s="50">
        <v>304</v>
      </c>
      <c r="E48" s="50">
        <v>4507</v>
      </c>
      <c r="F48" s="67">
        <v>0.15</v>
      </c>
      <c r="G48" s="50">
        <v>5303</v>
      </c>
      <c r="H48" s="51">
        <f t="shared" ref="H48:H56" si="2">D48*(G48-E48)</f>
        <v>241984</v>
      </c>
      <c r="I48" s="51">
        <f t="shared" ref="I48:I58" si="3">H48*0.8</f>
        <v>193587.20000000001</v>
      </c>
      <c r="J48" s="92">
        <f>I48/8800</f>
        <v>21.998545454545457</v>
      </c>
    </row>
    <row r="49" spans="1:10">
      <c r="A49" s="54"/>
      <c r="B49" s="55"/>
      <c r="C49" s="55" t="s">
        <v>177</v>
      </c>
      <c r="D49" s="55">
        <v>304</v>
      </c>
      <c r="E49" s="55">
        <v>4507</v>
      </c>
      <c r="F49" s="91">
        <v>0.15</v>
      </c>
      <c r="G49" s="55">
        <v>5303</v>
      </c>
      <c r="H49" s="56">
        <f t="shared" si="2"/>
        <v>241984</v>
      </c>
      <c r="I49" s="56">
        <f t="shared" si="3"/>
        <v>193587.20000000001</v>
      </c>
      <c r="J49" s="92">
        <f>I49/8800</f>
        <v>21.998545454545457</v>
      </c>
    </row>
    <row r="50" spans="1:10">
      <c r="A50" s="54"/>
      <c r="B50" s="55"/>
      <c r="C50" s="55" t="s">
        <v>178</v>
      </c>
      <c r="D50" s="55">
        <v>304</v>
      </c>
      <c r="E50" s="55">
        <v>4507</v>
      </c>
      <c r="F50" s="91">
        <v>0.15</v>
      </c>
      <c r="G50" s="55">
        <v>5303</v>
      </c>
      <c r="H50" s="56">
        <f t="shared" si="2"/>
        <v>241984</v>
      </c>
      <c r="I50" s="56">
        <f t="shared" si="3"/>
        <v>193587.20000000001</v>
      </c>
      <c r="J50" s="92">
        <f>I50/8800</f>
        <v>21.998545454545457</v>
      </c>
    </row>
    <row r="51" spans="1:10">
      <c r="A51" s="54"/>
      <c r="B51" s="55"/>
      <c r="C51" s="55" t="s">
        <v>263</v>
      </c>
      <c r="D51" s="55">
        <v>1092</v>
      </c>
      <c r="E51" s="55">
        <v>6868</v>
      </c>
      <c r="F51" s="91">
        <v>0.15</v>
      </c>
      <c r="G51" s="55">
        <v>8080</v>
      </c>
      <c r="H51" s="56">
        <f t="shared" si="2"/>
        <v>1323504</v>
      </c>
      <c r="I51" s="56">
        <f t="shared" si="3"/>
        <v>1058803.2</v>
      </c>
      <c r="J51" s="92">
        <f>I51/8800</f>
        <v>120.31854545454544</v>
      </c>
    </row>
    <row r="52" spans="1:10">
      <c r="A52" s="59"/>
      <c r="B52" s="60"/>
      <c r="C52" s="60" t="s">
        <v>274</v>
      </c>
      <c r="D52" s="60">
        <v>286</v>
      </c>
      <c r="E52" s="60">
        <v>5365</v>
      </c>
      <c r="F52" s="68">
        <v>0.15</v>
      </c>
      <c r="G52" s="60">
        <v>6312</v>
      </c>
      <c r="H52" s="61">
        <f t="shared" si="2"/>
        <v>270842</v>
      </c>
      <c r="I52" s="61">
        <f t="shared" si="3"/>
        <v>216673.6</v>
      </c>
      <c r="J52" s="92">
        <f>I52/8800</f>
        <v>24.622</v>
      </c>
    </row>
    <row r="53" spans="1:10">
      <c r="A53" s="70"/>
      <c r="B53" s="71"/>
      <c r="C53" s="71"/>
      <c r="D53" s="71"/>
      <c r="E53" s="71"/>
      <c r="F53" s="71"/>
      <c r="G53" s="71"/>
      <c r="H53" s="71"/>
      <c r="I53" s="71"/>
      <c r="J53" s="105">
        <f>SUM(J48:J52)</f>
        <v>210.93618181818181</v>
      </c>
    </row>
    <row r="54" spans="1:10">
      <c r="A54" s="49" t="s">
        <v>301</v>
      </c>
      <c r="B54" s="102" t="s">
        <v>98</v>
      </c>
      <c r="C54" s="103" t="s">
        <v>367</v>
      </c>
      <c r="D54" s="50">
        <v>6702</v>
      </c>
      <c r="E54" s="50">
        <v>7781</v>
      </c>
      <c r="F54" s="68">
        <v>0.15</v>
      </c>
      <c r="G54" s="50">
        <v>9154</v>
      </c>
      <c r="H54" s="61">
        <f t="shared" si="2"/>
        <v>9201846</v>
      </c>
      <c r="I54" s="56">
        <f t="shared" si="3"/>
        <v>7361476.8000000007</v>
      </c>
      <c r="J54" s="92">
        <f>I54/8900</f>
        <v>827.13222471910126</v>
      </c>
    </row>
    <row r="55" spans="1:10">
      <c r="A55" s="70"/>
      <c r="B55" s="71"/>
      <c r="C55" s="71"/>
      <c r="D55" s="71"/>
      <c r="E55" s="71"/>
      <c r="F55" s="71"/>
      <c r="G55" s="71"/>
      <c r="H55" s="71"/>
      <c r="I55" s="71"/>
      <c r="J55" s="105">
        <v>827.13222471910126</v>
      </c>
    </row>
    <row r="56" spans="1:10">
      <c r="A56" s="54" t="s">
        <v>297</v>
      </c>
      <c r="B56" s="102" t="s">
        <v>55</v>
      </c>
      <c r="C56" s="103" t="s">
        <v>369</v>
      </c>
      <c r="D56" s="55">
        <v>675</v>
      </c>
      <c r="E56" s="55">
        <v>4973</v>
      </c>
      <c r="F56" s="68">
        <v>0.15</v>
      </c>
      <c r="G56" s="50">
        <v>5850</v>
      </c>
      <c r="H56" s="61">
        <f t="shared" si="2"/>
        <v>591975</v>
      </c>
      <c r="I56" s="56">
        <f t="shared" si="3"/>
        <v>473580</v>
      </c>
      <c r="J56" s="92">
        <f>I56/8900</f>
        <v>53.211235955056182</v>
      </c>
    </row>
    <row r="57" spans="1:10">
      <c r="A57" s="70"/>
      <c r="B57" s="71"/>
      <c r="C57" s="71"/>
      <c r="D57" s="71"/>
      <c r="E57" s="71"/>
      <c r="F57" s="71"/>
      <c r="G57" s="71"/>
      <c r="H57" s="71"/>
      <c r="I57" s="71"/>
      <c r="J57" s="105">
        <v>53.211235955056182</v>
      </c>
    </row>
    <row r="58" spans="1:10">
      <c r="A58" s="54" t="s">
        <v>391</v>
      </c>
      <c r="B58" s="50" t="s">
        <v>392</v>
      </c>
      <c r="C58" s="50" t="s">
        <v>231</v>
      </c>
      <c r="D58" s="50">
        <v>1296</v>
      </c>
      <c r="E58" s="50">
        <v>9154</v>
      </c>
      <c r="F58" s="67">
        <v>0.15</v>
      </c>
      <c r="G58" s="50">
        <v>7781</v>
      </c>
      <c r="H58" s="51">
        <f>D58*(E58-G58)</f>
        <v>1779408</v>
      </c>
      <c r="I58" s="51">
        <f t="shared" si="3"/>
        <v>1423526.4000000001</v>
      </c>
      <c r="J58" s="90">
        <f>I58/9200</f>
        <v>154.73113043478261</v>
      </c>
    </row>
    <row r="59" spans="1:10">
      <c r="A59" s="54"/>
      <c r="B59" s="60" t="s">
        <v>191</v>
      </c>
      <c r="C59" s="60"/>
      <c r="D59" s="60"/>
      <c r="E59" s="60"/>
      <c r="F59" s="68"/>
      <c r="G59" s="60"/>
      <c r="H59" s="61"/>
      <c r="I59" s="61"/>
      <c r="J59" s="93"/>
    </row>
    <row r="60" spans="1:10">
      <c r="A60" s="70"/>
      <c r="B60" s="71"/>
      <c r="C60" s="71"/>
      <c r="D60" s="71"/>
      <c r="E60" s="71"/>
      <c r="F60" s="71"/>
      <c r="G60" s="71"/>
      <c r="H60" s="71"/>
      <c r="I60" s="71"/>
      <c r="J60" s="105">
        <v>154.73113043478261</v>
      </c>
    </row>
    <row r="61" spans="1:10">
      <c r="A61" s="54" t="s">
        <v>384</v>
      </c>
      <c r="B61" s="55" t="s">
        <v>232</v>
      </c>
      <c r="C61" s="55" t="s">
        <v>23</v>
      </c>
      <c r="D61" s="55">
        <v>5900</v>
      </c>
      <c r="E61" s="55">
        <v>8005</v>
      </c>
      <c r="F61" s="91">
        <v>0.2</v>
      </c>
      <c r="G61" s="55">
        <v>6404</v>
      </c>
      <c r="H61" s="51">
        <f>D61*(E61-G61)</f>
        <v>9445900</v>
      </c>
      <c r="I61" s="51">
        <f>H61*0.8</f>
        <v>7556720</v>
      </c>
      <c r="J61" s="90">
        <f>I61/9200</f>
        <v>821.38260869565215</v>
      </c>
    </row>
    <row r="62" spans="1:10">
      <c r="A62" s="54"/>
      <c r="B62" s="55"/>
      <c r="C62" s="55" t="s">
        <v>24</v>
      </c>
      <c r="D62" s="55"/>
      <c r="E62" s="55"/>
      <c r="F62" s="91"/>
      <c r="G62" s="55"/>
      <c r="H62" s="56"/>
      <c r="I62" s="56"/>
      <c r="J62" s="92"/>
    </row>
    <row r="63" spans="1:10">
      <c r="A63" s="70"/>
      <c r="B63" s="71"/>
      <c r="C63" s="71"/>
      <c r="D63" s="71"/>
      <c r="E63" s="71"/>
      <c r="F63" s="71"/>
      <c r="G63" s="71"/>
      <c r="H63" s="71"/>
      <c r="I63" s="71"/>
      <c r="J63" s="105">
        <v>821.38260869565215</v>
      </c>
    </row>
    <row r="64" spans="1:10">
      <c r="A64" s="54" t="s">
        <v>396</v>
      </c>
      <c r="B64" s="55" t="s">
        <v>106</v>
      </c>
      <c r="C64" s="55" t="s">
        <v>155</v>
      </c>
      <c r="D64" s="55">
        <v>630</v>
      </c>
      <c r="E64" s="55">
        <v>7451</v>
      </c>
      <c r="F64" s="91">
        <v>0.15</v>
      </c>
      <c r="G64" s="55">
        <v>6334</v>
      </c>
      <c r="H64" s="56">
        <f>D64*(E64-G64)</f>
        <v>703710</v>
      </c>
      <c r="I64" s="56">
        <f t="shared" ref="I64:I71" si="4">H64*0.8</f>
        <v>562968</v>
      </c>
      <c r="J64" s="92">
        <f>I64/9200</f>
        <v>61.192173913043476</v>
      </c>
    </row>
    <row r="65" spans="1:10">
      <c r="A65" s="54"/>
      <c r="B65" s="55"/>
      <c r="C65" s="55" t="s">
        <v>154</v>
      </c>
      <c r="D65" s="55">
        <v>615</v>
      </c>
      <c r="E65" s="55">
        <v>5850</v>
      </c>
      <c r="F65" s="91">
        <v>0.15</v>
      </c>
      <c r="G65" s="55">
        <v>4973</v>
      </c>
      <c r="H65" s="56">
        <f>D65*(E65-G65)</f>
        <v>539355</v>
      </c>
      <c r="I65" s="56">
        <f t="shared" si="4"/>
        <v>431484</v>
      </c>
      <c r="J65" s="92">
        <f>I65/9200</f>
        <v>46.900434782608698</v>
      </c>
    </row>
    <row r="66" spans="1:10">
      <c r="A66" s="54"/>
      <c r="B66" s="55"/>
      <c r="C66" s="55" t="s">
        <v>183</v>
      </c>
      <c r="D66" s="55">
        <v>600</v>
      </c>
      <c r="E66" s="55">
        <v>10135</v>
      </c>
      <c r="F66" s="91">
        <v>0.15</v>
      </c>
      <c r="G66" s="55">
        <v>8579</v>
      </c>
      <c r="H66" s="56">
        <f>D66*(E66-G66)</f>
        <v>933600</v>
      </c>
      <c r="I66" s="56">
        <f t="shared" si="4"/>
        <v>746880</v>
      </c>
      <c r="J66" s="92">
        <f>I66/9200</f>
        <v>81.182608695652178</v>
      </c>
    </row>
    <row r="67" spans="1:10">
      <c r="A67" s="70"/>
      <c r="B67" s="71"/>
      <c r="C67" s="71"/>
      <c r="D67" s="71"/>
      <c r="E67" s="71"/>
      <c r="F67" s="71"/>
      <c r="G67" s="71"/>
      <c r="H67" s="71"/>
      <c r="I67" s="71"/>
      <c r="J67" s="105">
        <f>SUM(J64:J66)</f>
        <v>189.27521739130435</v>
      </c>
    </row>
    <row r="68" spans="1:10">
      <c r="A68" s="54" t="s">
        <v>438</v>
      </c>
      <c r="B68" s="55" t="s">
        <v>439</v>
      </c>
      <c r="C68" s="55" t="s">
        <v>231</v>
      </c>
      <c r="D68" s="55">
        <v>108</v>
      </c>
      <c r="E68" s="55">
        <v>9671</v>
      </c>
      <c r="F68" s="91">
        <v>0.15</v>
      </c>
      <c r="G68" s="55">
        <v>8220</v>
      </c>
      <c r="H68" s="56">
        <f>D68*(E68-G68)</f>
        <v>156708</v>
      </c>
      <c r="I68" s="56">
        <f t="shared" si="4"/>
        <v>125366.40000000001</v>
      </c>
      <c r="J68" s="180">
        <f>I68/9400</f>
        <v>13.336851063829789</v>
      </c>
    </row>
    <row r="69" spans="1:10">
      <c r="A69" s="70"/>
      <c r="B69" s="71"/>
      <c r="C69" s="71"/>
      <c r="D69" s="71"/>
      <c r="E69" s="71"/>
      <c r="F69" s="71"/>
      <c r="G69" s="71"/>
      <c r="H69" s="71"/>
      <c r="I69" s="71"/>
      <c r="J69" s="105">
        <f>SUM(J68)</f>
        <v>13.336851063829789</v>
      </c>
    </row>
    <row r="70" spans="1:10">
      <c r="A70" s="54" t="s">
        <v>426</v>
      </c>
      <c r="B70" s="55" t="s">
        <v>265</v>
      </c>
      <c r="C70" s="55" t="s">
        <v>263</v>
      </c>
      <c r="D70" s="55">
        <v>10140</v>
      </c>
      <c r="E70" s="55">
        <v>8633</v>
      </c>
      <c r="F70" s="91">
        <v>0.15</v>
      </c>
      <c r="G70" s="55">
        <v>7338</v>
      </c>
      <c r="H70" s="56">
        <f>D70*(E70-G70)</f>
        <v>13131300</v>
      </c>
      <c r="I70" s="56">
        <f t="shared" si="4"/>
        <v>10505040</v>
      </c>
      <c r="J70" s="180">
        <f>I70/9400</f>
        <v>1117.5574468085106</v>
      </c>
    </row>
    <row r="71" spans="1:10">
      <c r="A71" s="54"/>
      <c r="B71" s="55" t="s">
        <v>264</v>
      </c>
      <c r="C71" s="55" t="s">
        <v>436</v>
      </c>
      <c r="D71" s="55">
        <v>4464</v>
      </c>
      <c r="E71" s="55">
        <v>8789</v>
      </c>
      <c r="F71" s="91">
        <v>0.16500000000000001</v>
      </c>
      <c r="G71" s="55">
        <v>7338</v>
      </c>
      <c r="H71" s="56">
        <f>D71*(E71-G71)</f>
        <v>6477264</v>
      </c>
      <c r="I71" s="56">
        <f t="shared" si="4"/>
        <v>5181811.2</v>
      </c>
      <c r="J71" s="180">
        <f>I71/9400</f>
        <v>551.25651063829787</v>
      </c>
    </row>
    <row r="72" spans="1:10">
      <c r="A72" s="54"/>
      <c r="B72" s="55" t="s">
        <v>395</v>
      </c>
      <c r="C72" s="55"/>
      <c r="D72" s="55"/>
      <c r="E72" s="55"/>
      <c r="F72" s="91"/>
      <c r="G72" s="55"/>
      <c r="H72" s="56"/>
      <c r="I72" s="56"/>
      <c r="J72" s="92"/>
    </row>
    <row r="73" spans="1:10">
      <c r="A73" s="54"/>
      <c r="B73" s="55" t="s">
        <v>266</v>
      </c>
      <c r="C73" s="55"/>
      <c r="D73" s="55"/>
      <c r="E73" s="55"/>
      <c r="F73" s="91"/>
      <c r="G73" s="55"/>
      <c r="H73" s="56"/>
      <c r="I73" s="56"/>
      <c r="J73" s="92"/>
    </row>
    <row r="74" spans="1:10">
      <c r="A74" s="54"/>
      <c r="B74" s="55" t="s">
        <v>267</v>
      </c>
      <c r="C74" s="55"/>
      <c r="D74" s="55"/>
      <c r="E74" s="55"/>
      <c r="F74" s="91"/>
      <c r="G74" s="55"/>
      <c r="H74" s="56"/>
      <c r="I74" s="56"/>
      <c r="J74" s="92"/>
    </row>
    <row r="75" spans="1:10">
      <c r="A75" s="54"/>
      <c r="B75" s="55" t="s">
        <v>268</v>
      </c>
      <c r="C75" s="55"/>
      <c r="D75" s="55"/>
      <c r="E75" s="55"/>
      <c r="F75" s="91"/>
      <c r="G75" s="55"/>
      <c r="H75" s="56"/>
      <c r="I75" s="56"/>
      <c r="J75" s="92"/>
    </row>
    <row r="76" spans="1:10">
      <c r="A76" s="54"/>
      <c r="B76" s="55" t="s">
        <v>269</v>
      </c>
      <c r="C76" s="55"/>
      <c r="D76" s="55"/>
      <c r="E76" s="55"/>
      <c r="F76" s="91"/>
      <c r="G76" s="55"/>
      <c r="H76" s="56"/>
      <c r="I76" s="56"/>
      <c r="J76" s="92"/>
    </row>
    <row r="77" spans="1:10">
      <c r="A77" s="70"/>
      <c r="B77" s="71"/>
      <c r="C77" s="71"/>
      <c r="D77" s="71"/>
      <c r="E77" s="71"/>
      <c r="F77" s="71"/>
      <c r="G77" s="71"/>
      <c r="H77" s="71"/>
      <c r="I77" s="71"/>
      <c r="J77" s="105">
        <v>1668.8139574468084</v>
      </c>
    </row>
    <row r="78" spans="1:10">
      <c r="A78" s="54" t="s">
        <v>504</v>
      </c>
      <c r="B78" s="55" t="s">
        <v>460</v>
      </c>
      <c r="C78" s="55" t="s">
        <v>183</v>
      </c>
      <c r="D78" s="55">
        <v>1665</v>
      </c>
      <c r="E78" s="55">
        <v>10087</v>
      </c>
      <c r="F78" s="91">
        <v>0.1</v>
      </c>
      <c r="G78" s="55">
        <v>9078</v>
      </c>
      <c r="H78" s="56">
        <f>D78*(E78-G78)</f>
        <v>1679985</v>
      </c>
      <c r="I78" s="56">
        <f t="shared" ref="I78:I90" si="5">H78*0.8</f>
        <v>1343988</v>
      </c>
      <c r="J78" s="92">
        <f>I78/9550</f>
        <v>140.7317277486911</v>
      </c>
    </row>
    <row r="79" spans="1:10">
      <c r="A79" s="54"/>
      <c r="B79" s="55"/>
      <c r="C79" s="55" t="s">
        <v>452</v>
      </c>
      <c r="D79" s="55">
        <v>774</v>
      </c>
      <c r="E79" s="55">
        <v>5375</v>
      </c>
      <c r="F79" s="91">
        <v>0.1</v>
      </c>
      <c r="G79" s="55">
        <v>4837</v>
      </c>
      <c r="H79" s="56">
        <f>D79*(E79-G79)</f>
        <v>416412</v>
      </c>
      <c r="I79" s="56">
        <f t="shared" si="5"/>
        <v>333129.60000000003</v>
      </c>
      <c r="J79" s="92">
        <f>I79/9550</f>
        <v>34.882680628272254</v>
      </c>
    </row>
    <row r="80" spans="1:10">
      <c r="A80" s="186"/>
      <c r="B80" s="187"/>
      <c r="C80" s="187"/>
      <c r="D80" s="187"/>
      <c r="E80" s="187"/>
      <c r="F80" s="188"/>
      <c r="G80" s="187"/>
      <c r="H80" s="189"/>
      <c r="I80" s="189"/>
      <c r="J80" s="190">
        <v>175.61440837696335</v>
      </c>
    </row>
    <row r="81" spans="1:10">
      <c r="A81" s="54" t="s">
        <v>505</v>
      </c>
      <c r="B81" s="55" t="s">
        <v>106</v>
      </c>
      <c r="C81" s="55" t="s">
        <v>183</v>
      </c>
      <c r="D81" s="55">
        <v>950</v>
      </c>
      <c r="E81" s="55">
        <v>10591</v>
      </c>
      <c r="F81" s="91">
        <v>0.15</v>
      </c>
      <c r="G81" s="55">
        <v>9002</v>
      </c>
      <c r="H81" s="56">
        <f t="shared" ref="H81:H90" si="6">D81*(E81-G81)</f>
        <v>1509550</v>
      </c>
      <c r="I81" s="56">
        <f t="shared" si="5"/>
        <v>1207640</v>
      </c>
      <c r="J81" s="92">
        <f>I81/9550</f>
        <v>126.45445026178011</v>
      </c>
    </row>
    <row r="82" spans="1:10">
      <c r="A82" s="54"/>
      <c r="B82" s="55"/>
      <c r="C82" s="55" t="s">
        <v>452</v>
      </c>
      <c r="D82" s="55">
        <v>250</v>
      </c>
      <c r="E82" s="55">
        <v>5645</v>
      </c>
      <c r="F82" s="91">
        <v>0.15</v>
      </c>
      <c r="G82" s="55">
        <v>4798</v>
      </c>
      <c r="H82" s="56">
        <f t="shared" si="6"/>
        <v>211750</v>
      </c>
      <c r="I82" s="56">
        <f t="shared" si="5"/>
        <v>169400</v>
      </c>
      <c r="J82" s="92">
        <f>I82/9550</f>
        <v>17.738219895287958</v>
      </c>
    </row>
    <row r="83" spans="1:10">
      <c r="A83" s="186"/>
      <c r="B83" s="187"/>
      <c r="C83" s="187"/>
      <c r="D83" s="187"/>
      <c r="E83" s="187"/>
      <c r="F83" s="188"/>
      <c r="G83" s="187"/>
      <c r="H83" s="189"/>
      <c r="I83" s="189"/>
      <c r="J83" s="190">
        <f>J81+J82</f>
        <v>144.19267015706808</v>
      </c>
    </row>
    <row r="84" spans="1:10">
      <c r="A84" s="54" t="s">
        <v>506</v>
      </c>
      <c r="B84" s="55" t="s">
        <v>445</v>
      </c>
      <c r="C84" s="55" t="s">
        <v>22</v>
      </c>
      <c r="D84" s="55">
        <v>60</v>
      </c>
      <c r="E84" s="55">
        <v>13674</v>
      </c>
      <c r="F84" s="91">
        <v>0.15</v>
      </c>
      <c r="G84" s="55">
        <v>11623</v>
      </c>
      <c r="H84" s="56">
        <f t="shared" si="6"/>
        <v>123060</v>
      </c>
      <c r="I84" s="56">
        <f t="shared" si="5"/>
        <v>98448</v>
      </c>
      <c r="J84" s="92">
        <f>I84/9550</f>
        <v>10.308691099476439</v>
      </c>
    </row>
    <row r="85" spans="1:10">
      <c r="A85" s="54"/>
      <c r="B85" s="55"/>
      <c r="C85" s="55" t="s">
        <v>23</v>
      </c>
      <c r="D85" s="55">
        <v>50</v>
      </c>
      <c r="E85" s="55">
        <v>8365</v>
      </c>
      <c r="F85" s="91">
        <v>0.15</v>
      </c>
      <c r="G85" s="55">
        <v>7110</v>
      </c>
      <c r="H85" s="56">
        <f t="shared" si="6"/>
        <v>62750</v>
      </c>
      <c r="I85" s="56">
        <f t="shared" si="5"/>
        <v>50200</v>
      </c>
      <c r="J85" s="92">
        <f>I85/9550</f>
        <v>5.2565445026178015</v>
      </c>
    </row>
    <row r="86" spans="1:10">
      <c r="A86" s="186"/>
      <c r="B86" s="187"/>
      <c r="C86" s="187"/>
      <c r="D86" s="187"/>
      <c r="E86" s="187"/>
      <c r="F86" s="188"/>
      <c r="G86" s="187"/>
      <c r="H86" s="189"/>
      <c r="I86" s="189"/>
      <c r="J86" s="190">
        <f>SUM(J84:J85)</f>
        <v>15.565235602094241</v>
      </c>
    </row>
    <row r="87" spans="1:10">
      <c r="A87" s="54" t="s">
        <v>527</v>
      </c>
      <c r="B87" s="55" t="s">
        <v>114</v>
      </c>
      <c r="C87" s="55" t="s">
        <v>153</v>
      </c>
      <c r="D87" s="55">
        <v>550</v>
      </c>
      <c r="E87" s="55">
        <v>6326</v>
      </c>
      <c r="F87" s="91">
        <v>0.15</v>
      </c>
      <c r="G87" s="55">
        <v>5377</v>
      </c>
      <c r="H87" s="56">
        <f t="shared" si="6"/>
        <v>521950</v>
      </c>
      <c r="I87" s="56">
        <f t="shared" si="5"/>
        <v>417560</v>
      </c>
      <c r="J87" s="92">
        <f>I87/9650</f>
        <v>43.270466321243525</v>
      </c>
    </row>
    <row r="88" spans="1:10">
      <c r="A88" s="186"/>
      <c r="B88" s="187"/>
      <c r="C88" s="187"/>
      <c r="D88" s="187"/>
      <c r="E88" s="187"/>
      <c r="F88" s="188"/>
      <c r="G88" s="187"/>
      <c r="H88" s="189"/>
      <c r="I88" s="189"/>
      <c r="J88" s="190">
        <f>SUM(J87)</f>
        <v>43.270466321243525</v>
      </c>
    </row>
    <row r="89" spans="1:10">
      <c r="A89" s="54" t="s">
        <v>484</v>
      </c>
      <c r="B89" s="55" t="s">
        <v>106</v>
      </c>
      <c r="C89" s="55" t="s">
        <v>487</v>
      </c>
      <c r="D89" s="55">
        <v>1200</v>
      </c>
      <c r="E89" s="55">
        <v>2774</v>
      </c>
      <c r="F89" s="91">
        <v>0.15</v>
      </c>
      <c r="G89" s="55">
        <v>2358</v>
      </c>
      <c r="H89" s="56">
        <f t="shared" si="6"/>
        <v>499200</v>
      </c>
      <c r="I89" s="56">
        <f t="shared" si="5"/>
        <v>399360</v>
      </c>
      <c r="J89" s="92">
        <f>I89/9650</f>
        <v>41.384455958549225</v>
      </c>
    </row>
    <row r="90" spans="1:10">
      <c r="A90" s="54"/>
      <c r="B90" s="55"/>
      <c r="C90" s="55" t="s">
        <v>528</v>
      </c>
      <c r="D90" s="55">
        <v>2400</v>
      </c>
      <c r="E90" s="55">
        <v>5148</v>
      </c>
      <c r="F90" s="91">
        <v>0.15</v>
      </c>
      <c r="G90" s="55">
        <v>4376</v>
      </c>
      <c r="H90" s="56">
        <f t="shared" si="6"/>
        <v>1852800</v>
      </c>
      <c r="I90" s="56">
        <f t="shared" si="5"/>
        <v>1482240</v>
      </c>
      <c r="J90" s="92">
        <f>I90/9650</f>
        <v>153.6</v>
      </c>
    </row>
    <row r="91" spans="1:10">
      <c r="A91" s="186"/>
      <c r="B91" s="187"/>
      <c r="C91" s="187"/>
      <c r="D91" s="187"/>
      <c r="E91" s="187"/>
      <c r="F91" s="188"/>
      <c r="G91" s="187"/>
      <c r="H91" s="189"/>
      <c r="I91" s="189"/>
      <c r="J91" s="190">
        <f>SUM(J89:J90)</f>
        <v>194.98445595854923</v>
      </c>
    </row>
    <row r="92" spans="1:10">
      <c r="A92" s="54" t="s">
        <v>529</v>
      </c>
      <c r="B92" s="55" t="s">
        <v>530</v>
      </c>
      <c r="C92" s="55" t="s">
        <v>154</v>
      </c>
      <c r="D92" s="55">
        <v>1780</v>
      </c>
      <c r="E92" s="55">
        <v>0.47</v>
      </c>
      <c r="F92" s="91">
        <v>1</v>
      </c>
      <c r="G92" s="55">
        <v>0</v>
      </c>
      <c r="H92" s="56"/>
      <c r="I92" s="56"/>
      <c r="J92" s="92">
        <f>D92*E92</f>
        <v>836.59999999999991</v>
      </c>
    </row>
    <row r="93" spans="1:10">
      <c r="A93" s="186"/>
      <c r="B93" s="187"/>
      <c r="C93" s="187"/>
      <c r="D93" s="187"/>
      <c r="E93" s="187"/>
      <c r="F93" s="188"/>
      <c r="G93" s="187"/>
      <c r="H93" s="189"/>
      <c r="I93" s="189"/>
      <c r="J93" s="190">
        <f>SUM(J92)</f>
        <v>836.59999999999991</v>
      </c>
    </row>
    <row r="94" spans="1:10">
      <c r="A94" s="54" t="s">
        <v>565</v>
      </c>
      <c r="B94" s="55" t="s">
        <v>445</v>
      </c>
      <c r="C94" s="55" t="s">
        <v>22</v>
      </c>
      <c r="D94" s="55">
        <v>60</v>
      </c>
      <c r="E94" s="55">
        <v>13674</v>
      </c>
      <c r="F94" s="91">
        <v>0.15</v>
      </c>
      <c r="G94" s="55">
        <v>11623</v>
      </c>
      <c r="H94" s="56">
        <f t="shared" ref="H94:H101" si="7">D94*(E94-G94)</f>
        <v>123060</v>
      </c>
      <c r="I94" s="56">
        <f t="shared" ref="I94:I99" si="8">H94*0.8</f>
        <v>98448</v>
      </c>
      <c r="J94" s="92">
        <f>I94/9550</f>
        <v>10.308691099476439</v>
      </c>
    </row>
    <row r="95" spans="1:10">
      <c r="A95" s="54"/>
      <c r="B95" s="55"/>
      <c r="C95" s="55" t="s">
        <v>23</v>
      </c>
      <c r="D95" s="55">
        <v>100</v>
      </c>
      <c r="E95" s="55">
        <v>8365</v>
      </c>
      <c r="F95" s="91">
        <v>0.15</v>
      </c>
      <c r="G95" s="55">
        <v>7110</v>
      </c>
      <c r="H95" s="56">
        <f t="shared" si="7"/>
        <v>125500</v>
      </c>
      <c r="I95" s="56">
        <f t="shared" si="8"/>
        <v>100400</v>
      </c>
      <c r="J95" s="92">
        <f>I95/9550</f>
        <v>10.513089005235603</v>
      </c>
    </row>
    <row r="96" spans="1:10">
      <c r="A96" s="186"/>
      <c r="B96" s="187"/>
      <c r="C96" s="187"/>
      <c r="D96" s="187"/>
      <c r="E96" s="187"/>
      <c r="F96" s="188"/>
      <c r="G96" s="187"/>
      <c r="H96" s="189"/>
      <c r="I96" s="189"/>
      <c r="J96" s="190">
        <f>SUM(J94:J95)</f>
        <v>20.82178010471204</v>
      </c>
    </row>
    <row r="97" spans="1:10">
      <c r="A97" s="54" t="s">
        <v>677</v>
      </c>
      <c r="B97" s="55" t="s">
        <v>202</v>
      </c>
      <c r="C97" s="55" t="s">
        <v>263</v>
      </c>
      <c r="D97" s="55">
        <v>3167</v>
      </c>
      <c r="E97" s="55">
        <v>9535</v>
      </c>
      <c r="F97" s="91">
        <v>0.16</v>
      </c>
      <c r="G97" s="55">
        <v>8010</v>
      </c>
      <c r="H97" s="56">
        <f t="shared" si="7"/>
        <v>4829675</v>
      </c>
      <c r="I97" s="56">
        <f t="shared" si="8"/>
        <v>3863740</v>
      </c>
      <c r="J97" s="92">
        <f>I97/9930</f>
        <v>389.09768378650551</v>
      </c>
    </row>
    <row r="98" spans="1:10" ht="15.75" thickBot="1">
      <c r="A98" s="186"/>
      <c r="B98" s="187"/>
      <c r="C98" s="187"/>
      <c r="D98" s="187"/>
      <c r="E98" s="187"/>
      <c r="F98" s="188"/>
      <c r="G98" s="187"/>
      <c r="H98" s="189"/>
      <c r="I98" s="189"/>
      <c r="J98" s="190">
        <f>SUM(J97)</f>
        <v>389.09768378650551</v>
      </c>
    </row>
    <row r="99" spans="1:10" ht="15.75" thickTop="1">
      <c r="A99" s="333" t="s">
        <v>678</v>
      </c>
      <c r="B99" s="55" t="s">
        <v>679</v>
      </c>
      <c r="C99" s="55" t="s">
        <v>231</v>
      </c>
      <c r="D99" s="55">
        <v>300</v>
      </c>
      <c r="E99" s="55">
        <v>10200</v>
      </c>
      <c r="F99" s="91">
        <v>0.15</v>
      </c>
      <c r="G99" s="55">
        <v>8670</v>
      </c>
      <c r="H99" s="56">
        <f t="shared" si="7"/>
        <v>459000</v>
      </c>
      <c r="I99" s="56">
        <f t="shared" si="8"/>
        <v>367200</v>
      </c>
      <c r="J99" s="92">
        <f>I99/9930</f>
        <v>36.978851963746223</v>
      </c>
    </row>
    <row r="100" spans="1:10" ht="15.75" thickBot="1">
      <c r="A100" s="186"/>
      <c r="B100" s="187"/>
      <c r="C100" s="187"/>
      <c r="D100" s="187"/>
      <c r="E100" s="187"/>
      <c r="F100" s="188"/>
      <c r="G100" s="187"/>
      <c r="H100" s="189"/>
      <c r="I100" s="189"/>
      <c r="J100" s="190">
        <f>SUM(J99)</f>
        <v>36.978851963746223</v>
      </c>
    </row>
    <row r="101" spans="1:10" ht="15.75" thickTop="1">
      <c r="A101" s="333" t="s">
        <v>680</v>
      </c>
      <c r="B101" s="55" t="s">
        <v>106</v>
      </c>
      <c r="C101" s="55" t="s">
        <v>155</v>
      </c>
      <c r="D101" s="55">
        <v>715</v>
      </c>
      <c r="E101" s="55">
        <v>7786</v>
      </c>
      <c r="F101" s="91">
        <v>0.15</v>
      </c>
      <c r="G101" s="55">
        <v>6619</v>
      </c>
      <c r="H101" s="56">
        <f t="shared" si="7"/>
        <v>834405</v>
      </c>
      <c r="I101" s="56">
        <f>H101*0.8</f>
        <v>667524</v>
      </c>
      <c r="J101" s="92">
        <f>I101/9930</f>
        <v>67.222960725075524</v>
      </c>
    </row>
    <row r="102" spans="1:10" ht="15.75" thickBot="1">
      <c r="A102" s="186"/>
      <c r="B102" s="187"/>
      <c r="C102" s="187"/>
      <c r="D102" s="187"/>
      <c r="E102" s="187"/>
      <c r="F102" s="188"/>
      <c r="G102" s="187"/>
      <c r="H102" s="189"/>
      <c r="I102" s="189"/>
      <c r="J102" s="190">
        <f>SUM(J101)</f>
        <v>67.222960725075524</v>
      </c>
    </row>
    <row r="103" spans="1:10" ht="15.75" thickTop="1">
      <c r="A103" s="333" t="s">
        <v>681</v>
      </c>
      <c r="B103" s="55" t="s">
        <v>232</v>
      </c>
      <c r="C103" s="55" t="s">
        <v>263</v>
      </c>
      <c r="D103" s="334">
        <v>4980</v>
      </c>
      <c r="E103" s="55">
        <v>9000</v>
      </c>
      <c r="F103" s="91">
        <v>0.15</v>
      </c>
      <c r="G103" s="55">
        <v>7650</v>
      </c>
      <c r="H103" s="56">
        <f t="shared" ref="H103:H125" si="9">D103*(E103-G103)</f>
        <v>6723000</v>
      </c>
      <c r="I103" s="56">
        <f t="shared" ref="I103:I121" si="10">H103*0.8</f>
        <v>5378400</v>
      </c>
      <c r="J103" s="92">
        <f>I103/9930</f>
        <v>541.63141993957709</v>
      </c>
    </row>
    <row r="104" spans="1:10">
      <c r="A104" s="54"/>
      <c r="B104" s="55"/>
      <c r="C104" s="55" t="s">
        <v>682</v>
      </c>
      <c r="D104" s="334">
        <v>8420</v>
      </c>
      <c r="E104" s="55">
        <v>5148</v>
      </c>
      <c r="F104" s="91">
        <v>0.15</v>
      </c>
      <c r="G104" s="55">
        <v>4376</v>
      </c>
      <c r="H104" s="56">
        <f t="shared" si="9"/>
        <v>6500240</v>
      </c>
      <c r="I104" s="56">
        <f t="shared" si="10"/>
        <v>5200192</v>
      </c>
      <c r="J104" s="92">
        <f>I104/9930</f>
        <v>523.68499496475329</v>
      </c>
    </row>
    <row r="105" spans="1:10">
      <c r="A105" s="186"/>
      <c r="B105" s="187"/>
      <c r="C105" s="187"/>
      <c r="D105" s="187"/>
      <c r="E105" s="187"/>
      <c r="F105" s="188"/>
      <c r="G105" s="187"/>
      <c r="H105" s="189"/>
      <c r="I105" s="189"/>
      <c r="J105" s="190">
        <f>SUM(J103:J104)</f>
        <v>1065.3164149043305</v>
      </c>
    </row>
    <row r="106" spans="1:10">
      <c r="A106" s="54" t="s">
        <v>762</v>
      </c>
      <c r="B106" s="335" t="s">
        <v>761</v>
      </c>
      <c r="C106" s="55" t="s">
        <v>763</v>
      </c>
      <c r="D106" s="55">
        <v>6930</v>
      </c>
      <c r="E106" s="55">
        <v>2123</v>
      </c>
      <c r="F106" s="91">
        <v>0.2</v>
      </c>
      <c r="G106" s="55">
        <v>1698</v>
      </c>
      <c r="H106" s="56">
        <f t="shared" si="9"/>
        <v>2945250</v>
      </c>
      <c r="I106" s="56">
        <f t="shared" si="10"/>
        <v>2356200</v>
      </c>
      <c r="J106" s="92">
        <f>I106/10080</f>
        <v>233.75</v>
      </c>
    </row>
    <row r="107" spans="1:10">
      <c r="A107" s="186"/>
      <c r="B107" s="187"/>
      <c r="C107" s="187"/>
      <c r="D107" s="187"/>
      <c r="E107" s="187"/>
      <c r="F107" s="188"/>
      <c r="G107" s="187"/>
      <c r="H107" s="189"/>
      <c r="I107" s="189"/>
      <c r="J107" s="190">
        <f>SUM(J106)</f>
        <v>233.75</v>
      </c>
    </row>
    <row r="108" spans="1:10">
      <c r="A108" s="54" t="s">
        <v>764</v>
      </c>
      <c r="B108" s="55" t="s">
        <v>202</v>
      </c>
      <c r="C108" s="55" t="s">
        <v>231</v>
      </c>
      <c r="D108" s="55">
        <v>2472</v>
      </c>
      <c r="E108" s="55">
        <v>10806</v>
      </c>
      <c r="F108" s="91">
        <v>0.16</v>
      </c>
      <c r="G108" s="55">
        <v>9077</v>
      </c>
      <c r="H108" s="56">
        <f t="shared" si="9"/>
        <v>4274088</v>
      </c>
      <c r="I108" s="56">
        <f t="shared" si="10"/>
        <v>3419270.4000000004</v>
      </c>
      <c r="J108" s="92">
        <f>I108/10080</f>
        <v>339.21333333333337</v>
      </c>
    </row>
    <row r="109" spans="1:10">
      <c r="A109" s="186"/>
      <c r="B109" s="187"/>
      <c r="C109" s="187"/>
      <c r="D109" s="187"/>
      <c r="E109" s="187"/>
      <c r="F109" s="188"/>
      <c r="G109" s="187"/>
      <c r="H109" s="189"/>
      <c r="I109" s="189"/>
      <c r="J109" s="190">
        <f>SUM(J108)</f>
        <v>339.21333333333337</v>
      </c>
    </row>
    <row r="110" spans="1:10">
      <c r="A110" s="54" t="s">
        <v>765</v>
      </c>
      <c r="B110" s="55" t="s">
        <v>114</v>
      </c>
      <c r="C110" s="55" t="s">
        <v>155</v>
      </c>
      <c r="D110" s="55">
        <v>855</v>
      </c>
      <c r="E110" s="55">
        <v>8156</v>
      </c>
      <c r="F110" s="91">
        <v>0.19</v>
      </c>
      <c r="G110" s="55">
        <v>6617</v>
      </c>
      <c r="H110" s="56">
        <f>D110*(E110-G110)</f>
        <v>1315845</v>
      </c>
      <c r="I110" s="56">
        <f t="shared" si="10"/>
        <v>1052676</v>
      </c>
      <c r="J110" s="92">
        <f t="shared" ref="J110:J117" si="11">I110/10080</f>
        <v>104.43214285714286</v>
      </c>
    </row>
    <row r="111" spans="1:10">
      <c r="A111" s="54"/>
      <c r="B111" s="55"/>
      <c r="C111" s="55" t="s">
        <v>183</v>
      </c>
      <c r="D111" s="55">
        <v>1130</v>
      </c>
      <c r="E111" s="55">
        <v>11096</v>
      </c>
      <c r="F111" s="91">
        <v>0.19</v>
      </c>
      <c r="G111" s="55">
        <v>9002</v>
      </c>
      <c r="H111" s="56">
        <f t="shared" si="9"/>
        <v>2366220</v>
      </c>
      <c r="I111" s="56">
        <f t="shared" si="10"/>
        <v>1892976</v>
      </c>
      <c r="J111" s="92">
        <f t="shared" si="11"/>
        <v>187.79523809523809</v>
      </c>
    </row>
    <row r="112" spans="1:10">
      <c r="A112" s="186"/>
      <c r="B112" s="187"/>
      <c r="C112" s="187"/>
      <c r="D112" s="187"/>
      <c r="E112" s="187"/>
      <c r="F112" s="188"/>
      <c r="G112" s="187"/>
      <c r="H112" s="189"/>
      <c r="I112" s="189"/>
      <c r="J112" s="190">
        <f>SUM(J110:J111)</f>
        <v>292.22738095238094</v>
      </c>
    </row>
    <row r="113" spans="1:10">
      <c r="A113" s="54" t="s">
        <v>766</v>
      </c>
      <c r="B113" s="55" t="s">
        <v>106</v>
      </c>
      <c r="C113" s="55" t="s">
        <v>767</v>
      </c>
      <c r="D113" s="55">
        <v>462</v>
      </c>
      <c r="E113" s="55">
        <v>6704</v>
      </c>
      <c r="F113" s="91">
        <v>0.15</v>
      </c>
      <c r="G113" s="55">
        <v>5699</v>
      </c>
      <c r="H113" s="56">
        <f t="shared" si="9"/>
        <v>464310</v>
      </c>
      <c r="I113" s="56">
        <f t="shared" si="10"/>
        <v>371448</v>
      </c>
      <c r="J113" s="92">
        <f t="shared" si="11"/>
        <v>36.85</v>
      </c>
    </row>
    <row r="114" spans="1:10" ht="15.75" thickBot="1">
      <c r="A114" s="186"/>
      <c r="B114" s="187"/>
      <c r="C114" s="187"/>
      <c r="D114" s="187"/>
      <c r="E114" s="187"/>
      <c r="F114" s="188"/>
      <c r="G114" s="187"/>
      <c r="H114" s="189"/>
      <c r="I114" s="189"/>
      <c r="J114" s="190">
        <f>SUM(J113)</f>
        <v>36.85</v>
      </c>
    </row>
    <row r="115" spans="1:10" ht="15.75" thickTop="1">
      <c r="A115" s="333" t="s">
        <v>768</v>
      </c>
      <c r="B115" s="55" t="s">
        <v>106</v>
      </c>
      <c r="C115" s="55" t="s">
        <v>22</v>
      </c>
      <c r="D115" s="55">
        <v>170</v>
      </c>
      <c r="E115" s="55">
        <v>15042</v>
      </c>
      <c r="F115" s="91">
        <v>0.15</v>
      </c>
      <c r="G115" s="55">
        <v>12786</v>
      </c>
      <c r="H115" s="56">
        <f t="shared" si="9"/>
        <v>383520</v>
      </c>
      <c r="I115" s="56">
        <f t="shared" si="10"/>
        <v>306816</v>
      </c>
      <c r="J115" s="92">
        <f t="shared" si="11"/>
        <v>30.438095238095237</v>
      </c>
    </row>
    <row r="116" spans="1:10">
      <c r="A116" s="54"/>
      <c r="B116" s="55"/>
      <c r="C116" s="55" t="s">
        <v>641</v>
      </c>
      <c r="D116" s="55">
        <v>122</v>
      </c>
      <c r="E116" s="55">
        <v>9202</v>
      </c>
      <c r="F116" s="91">
        <v>0.15</v>
      </c>
      <c r="G116" s="55">
        <v>7822</v>
      </c>
      <c r="H116" s="56">
        <f t="shared" si="9"/>
        <v>168360</v>
      </c>
      <c r="I116" s="56">
        <f t="shared" si="10"/>
        <v>134688</v>
      </c>
      <c r="J116" s="92">
        <f t="shared" si="11"/>
        <v>13.361904761904762</v>
      </c>
    </row>
    <row r="117" spans="1:10">
      <c r="A117" s="54"/>
      <c r="B117" s="55"/>
      <c r="C117" s="55" t="s">
        <v>151</v>
      </c>
      <c r="D117" s="55">
        <v>340</v>
      </c>
      <c r="E117" s="55">
        <v>9202</v>
      </c>
      <c r="F117" s="91">
        <v>0.15</v>
      </c>
      <c r="G117" s="55">
        <v>7822</v>
      </c>
      <c r="H117" s="56">
        <f t="shared" si="9"/>
        <v>469200</v>
      </c>
      <c r="I117" s="56">
        <f t="shared" si="10"/>
        <v>375360</v>
      </c>
      <c r="J117" s="92">
        <f t="shared" si="11"/>
        <v>37.238095238095241</v>
      </c>
    </row>
    <row r="118" spans="1:10">
      <c r="A118" s="186"/>
      <c r="B118" s="187"/>
      <c r="C118" s="187"/>
      <c r="D118" s="187"/>
      <c r="E118" s="187"/>
      <c r="F118" s="188"/>
      <c r="G118" s="187"/>
      <c r="H118" s="189"/>
      <c r="I118" s="189"/>
      <c r="J118" s="190">
        <f>SUM(J115:J117)</f>
        <v>81.038095238095238</v>
      </c>
    </row>
    <row r="119" spans="1:10">
      <c r="A119" s="54" t="s">
        <v>780</v>
      </c>
      <c r="B119" s="55" t="s">
        <v>679</v>
      </c>
      <c r="C119" s="55" t="s">
        <v>781</v>
      </c>
      <c r="D119" s="55">
        <v>4450</v>
      </c>
      <c r="E119" s="55">
        <v>2162</v>
      </c>
      <c r="F119" s="91">
        <v>0.1</v>
      </c>
      <c r="G119" s="55">
        <v>1946</v>
      </c>
      <c r="H119" s="56">
        <f t="shared" si="9"/>
        <v>961200</v>
      </c>
      <c r="I119" s="56">
        <f t="shared" si="10"/>
        <v>768960</v>
      </c>
      <c r="J119" s="92">
        <f>I119/10150</f>
        <v>75.759605911330056</v>
      </c>
    </row>
    <row r="120" spans="1:10">
      <c r="A120" s="186"/>
      <c r="B120" s="187"/>
      <c r="C120" s="187"/>
      <c r="D120" s="187"/>
      <c r="E120" s="187"/>
      <c r="F120" s="188"/>
      <c r="G120" s="187"/>
      <c r="H120" s="189"/>
      <c r="I120" s="189"/>
      <c r="J120" s="190">
        <f>SUM(J119)</f>
        <v>75.759605911330056</v>
      </c>
    </row>
    <row r="121" spans="1:10">
      <c r="A121" s="54" t="s">
        <v>783</v>
      </c>
      <c r="B121" s="55" t="s">
        <v>782</v>
      </c>
      <c r="C121" s="55" t="s">
        <v>231</v>
      </c>
      <c r="D121" s="55">
        <v>16152</v>
      </c>
      <c r="E121" s="55">
        <v>11490</v>
      </c>
      <c r="F121" s="91">
        <v>0.15</v>
      </c>
      <c r="G121" s="55">
        <v>9767</v>
      </c>
      <c r="H121" s="56">
        <f t="shared" si="9"/>
        <v>27829896</v>
      </c>
      <c r="I121" s="56">
        <f t="shared" si="10"/>
        <v>22263916.800000001</v>
      </c>
      <c r="J121" s="92">
        <f>I121/10150</f>
        <v>2193.4893399014777</v>
      </c>
    </row>
    <row r="122" spans="1:10">
      <c r="A122" s="186"/>
      <c r="B122" s="187"/>
      <c r="C122" s="187"/>
      <c r="D122" s="187"/>
      <c r="E122" s="187"/>
      <c r="F122" s="188"/>
      <c r="G122" s="187"/>
      <c r="H122" s="189"/>
      <c r="I122" s="189"/>
      <c r="J122" s="190">
        <f>SUM(J121)</f>
        <v>2193.4893399014777</v>
      </c>
    </row>
    <row r="123" spans="1:10">
      <c r="A123" s="54" t="s">
        <v>784</v>
      </c>
      <c r="B123" s="55" t="s">
        <v>715</v>
      </c>
      <c r="C123" s="55" t="s">
        <v>436</v>
      </c>
      <c r="D123" s="55">
        <v>120</v>
      </c>
      <c r="E123" s="55">
        <v>9642</v>
      </c>
      <c r="F123" s="91">
        <v>0.2</v>
      </c>
      <c r="G123" s="55">
        <v>7714</v>
      </c>
      <c r="H123" s="56">
        <f t="shared" si="9"/>
        <v>231360</v>
      </c>
      <c r="I123" s="56">
        <f>H123*0.8</f>
        <v>185088</v>
      </c>
      <c r="J123" s="92">
        <f>I123/10150</f>
        <v>18.235270935960592</v>
      </c>
    </row>
    <row r="124" spans="1:10">
      <c r="A124" s="186"/>
      <c r="B124" s="187"/>
      <c r="C124" s="187"/>
      <c r="D124" s="187"/>
      <c r="E124" s="187"/>
      <c r="F124" s="188"/>
      <c r="G124" s="187"/>
      <c r="H124" s="189"/>
      <c r="I124" s="189"/>
      <c r="J124" s="190">
        <f>SUM(J123)</f>
        <v>18.235270935960592</v>
      </c>
    </row>
    <row r="125" spans="1:10">
      <c r="A125" s="99" t="s">
        <v>846</v>
      </c>
      <c r="B125" s="100" t="s">
        <v>334</v>
      </c>
      <c r="C125" s="100" t="s">
        <v>847</v>
      </c>
      <c r="D125" s="100">
        <v>30816</v>
      </c>
      <c r="E125" s="100">
        <v>6385</v>
      </c>
      <c r="F125" s="101">
        <v>0.2</v>
      </c>
      <c r="G125" s="100">
        <v>5225</v>
      </c>
      <c r="H125" s="276">
        <f t="shared" si="9"/>
        <v>35746560</v>
      </c>
      <c r="I125" s="276">
        <f>H125*0.8</f>
        <v>28597248</v>
      </c>
      <c r="J125" s="47">
        <f>I125/10250</f>
        <v>2789.9754146341465</v>
      </c>
    </row>
    <row r="126" spans="1:10">
      <c r="A126" s="181"/>
      <c r="B126" s="182"/>
      <c r="C126" s="182"/>
      <c r="D126" s="182"/>
      <c r="E126" s="182"/>
      <c r="F126" s="183"/>
      <c r="G126" s="182"/>
      <c r="H126" s="184"/>
      <c r="I126" s="184"/>
      <c r="J126" s="185">
        <f>SUM(J125)</f>
        <v>2789.9754146341465</v>
      </c>
    </row>
    <row r="127" spans="1:10">
      <c r="A127" s="99" t="s">
        <v>848</v>
      </c>
      <c r="B127" s="100" t="s">
        <v>116</v>
      </c>
      <c r="C127" s="100" t="s">
        <v>436</v>
      </c>
      <c r="D127" s="100">
        <v>2431</v>
      </c>
      <c r="E127" s="100">
        <v>9757</v>
      </c>
      <c r="F127" s="101">
        <v>0.2</v>
      </c>
      <c r="G127" s="100">
        <v>7806</v>
      </c>
      <c r="H127" s="276">
        <f>D127*(E127-G127)</f>
        <v>4742881</v>
      </c>
      <c r="I127" s="276">
        <f>H127*0.8</f>
        <v>3794304.8000000003</v>
      </c>
      <c r="J127" s="47">
        <f>I127/10250</f>
        <v>370.17607804878054</v>
      </c>
    </row>
    <row r="128" spans="1:10">
      <c r="A128" s="181"/>
      <c r="B128" s="182"/>
      <c r="C128" s="182"/>
      <c r="D128" s="182"/>
      <c r="E128" s="182"/>
      <c r="F128" s="183"/>
      <c r="G128" s="182"/>
      <c r="H128" s="184"/>
      <c r="I128" s="184"/>
      <c r="J128" s="185">
        <f>SUM(J127)</f>
        <v>370.17607804878054</v>
      </c>
    </row>
    <row r="129" spans="1:10">
      <c r="A129" s="99" t="s">
        <v>913</v>
      </c>
      <c r="B129" s="100" t="s">
        <v>200</v>
      </c>
      <c r="C129" s="100" t="s">
        <v>623</v>
      </c>
      <c r="D129" s="100">
        <v>12297</v>
      </c>
      <c r="E129" s="100">
        <v>17712</v>
      </c>
      <c r="F129" s="101">
        <v>0.17</v>
      </c>
      <c r="G129" s="100">
        <v>14688</v>
      </c>
      <c r="H129" s="276">
        <f t="shared" ref="H129:H139" si="12">D129*(E129-G129)</f>
        <v>37186128</v>
      </c>
      <c r="I129" s="276">
        <f t="shared" ref="I129:I139" si="13">H129*0.8</f>
        <v>29748902.400000002</v>
      </c>
      <c r="J129" s="47">
        <f>I129/10250</f>
        <v>2902.3319414634148</v>
      </c>
    </row>
    <row r="130" spans="1:10">
      <c r="A130" s="99"/>
      <c r="B130" s="100"/>
      <c r="C130" s="100" t="s">
        <v>624</v>
      </c>
      <c r="D130" s="100">
        <v>25338</v>
      </c>
      <c r="E130" s="100">
        <v>1889</v>
      </c>
      <c r="F130" s="101">
        <v>0.17</v>
      </c>
      <c r="G130" s="100">
        <v>1566</v>
      </c>
      <c r="H130" s="276">
        <f t="shared" si="12"/>
        <v>8184174</v>
      </c>
      <c r="I130" s="276">
        <f t="shared" si="13"/>
        <v>6547339.2000000002</v>
      </c>
      <c r="J130" s="47">
        <f>I130/10250</f>
        <v>638.76480000000004</v>
      </c>
    </row>
    <row r="131" spans="1:10">
      <c r="A131" s="181"/>
      <c r="B131" s="182"/>
      <c r="C131" s="182"/>
      <c r="D131" s="182"/>
      <c r="E131" s="182"/>
      <c r="F131" s="183"/>
      <c r="G131" s="182"/>
      <c r="H131" s="184"/>
      <c r="I131" s="184"/>
      <c r="J131" s="185">
        <f>J129+J130</f>
        <v>3541.0967414634147</v>
      </c>
    </row>
    <row r="132" spans="1:10">
      <c r="A132" s="99" t="s">
        <v>912</v>
      </c>
      <c r="B132" s="100" t="s">
        <v>679</v>
      </c>
      <c r="C132" s="100" t="s">
        <v>623</v>
      </c>
      <c r="D132" s="100">
        <v>2184</v>
      </c>
      <c r="E132" s="100">
        <v>5771</v>
      </c>
      <c r="F132" s="101">
        <v>0.1</v>
      </c>
      <c r="G132" s="100">
        <v>5194</v>
      </c>
      <c r="H132" s="276">
        <f t="shared" si="12"/>
        <v>1260168</v>
      </c>
      <c r="I132" s="276">
        <f t="shared" si="13"/>
        <v>1008134.4</v>
      </c>
      <c r="J132" s="47">
        <f>I132/10450</f>
        <v>96.472191387559818</v>
      </c>
    </row>
    <row r="133" spans="1:10">
      <c r="A133" s="99"/>
      <c r="B133" s="100"/>
      <c r="C133" s="100" t="s">
        <v>914</v>
      </c>
      <c r="D133" s="100">
        <v>2255</v>
      </c>
      <c r="E133" s="100">
        <v>18049</v>
      </c>
      <c r="F133" s="101">
        <v>0.1</v>
      </c>
      <c r="G133" s="100">
        <v>16244</v>
      </c>
      <c r="H133" s="276">
        <f t="shared" si="12"/>
        <v>4070275</v>
      </c>
      <c r="I133" s="276">
        <f t="shared" si="13"/>
        <v>3256220</v>
      </c>
      <c r="J133" s="47">
        <f>I133/10450</f>
        <v>311.60000000000002</v>
      </c>
    </row>
    <row r="134" spans="1:10">
      <c r="A134" s="181"/>
      <c r="B134" s="182"/>
      <c r="C134" s="182"/>
      <c r="D134" s="182"/>
      <c r="E134" s="182"/>
      <c r="F134" s="183"/>
      <c r="G134" s="182"/>
      <c r="H134" s="184"/>
      <c r="I134" s="184"/>
      <c r="J134" s="185">
        <f>J132+J133</f>
        <v>408.07219138755983</v>
      </c>
    </row>
    <row r="135" spans="1:10">
      <c r="A135" s="99" t="s">
        <v>915</v>
      </c>
      <c r="B135" s="100" t="s">
        <v>916</v>
      </c>
      <c r="C135" s="100" t="s">
        <v>623</v>
      </c>
      <c r="D135" s="100">
        <v>12801</v>
      </c>
      <c r="E135" s="100">
        <v>17885</v>
      </c>
      <c r="F135" s="101">
        <v>0.15</v>
      </c>
      <c r="G135" s="100">
        <v>15202</v>
      </c>
      <c r="H135" s="276">
        <f t="shared" si="12"/>
        <v>34345083</v>
      </c>
      <c r="I135" s="276">
        <f t="shared" si="13"/>
        <v>27476066.400000002</v>
      </c>
      <c r="J135" s="47">
        <f>I135/10450</f>
        <v>2629.2886507177036</v>
      </c>
    </row>
    <row r="136" spans="1:10">
      <c r="A136" s="181"/>
      <c r="B136" s="182"/>
      <c r="C136" s="182"/>
      <c r="D136" s="182"/>
      <c r="E136" s="182"/>
      <c r="F136" s="183"/>
      <c r="G136" s="182"/>
      <c r="H136" s="184"/>
      <c r="I136" s="184"/>
      <c r="J136" s="185">
        <f>J135</f>
        <v>2629.2886507177036</v>
      </c>
    </row>
    <row r="137" spans="1:10">
      <c r="A137" s="99" t="s">
        <v>917</v>
      </c>
      <c r="B137" s="100" t="s">
        <v>232</v>
      </c>
      <c r="C137" s="100" t="s">
        <v>149</v>
      </c>
      <c r="D137" s="100">
        <v>5600</v>
      </c>
      <c r="E137" s="100">
        <v>4778</v>
      </c>
      <c r="F137" s="101">
        <v>0.2</v>
      </c>
      <c r="G137" s="100">
        <v>3823</v>
      </c>
      <c r="H137" s="276">
        <f t="shared" si="12"/>
        <v>5348000</v>
      </c>
      <c r="I137" s="276">
        <f t="shared" si="13"/>
        <v>4278400</v>
      </c>
      <c r="J137" s="47">
        <f>I137/10450</f>
        <v>409.41626794258372</v>
      </c>
    </row>
    <row r="138" spans="1:10">
      <c r="A138" s="99"/>
      <c r="B138" s="100"/>
      <c r="C138" s="100" t="s">
        <v>150</v>
      </c>
      <c r="D138" s="100">
        <v>5030</v>
      </c>
      <c r="E138" s="100">
        <v>5131</v>
      </c>
      <c r="F138" s="101">
        <v>0.2</v>
      </c>
      <c r="G138" s="100">
        <v>4105</v>
      </c>
      <c r="H138" s="276">
        <f t="shared" si="12"/>
        <v>5160780</v>
      </c>
      <c r="I138" s="276">
        <f t="shared" si="13"/>
        <v>4128624</v>
      </c>
      <c r="J138" s="47">
        <f>I138/10450</f>
        <v>395.08363636363634</v>
      </c>
    </row>
    <row r="139" spans="1:10">
      <c r="A139" s="99"/>
      <c r="B139" s="100"/>
      <c r="C139" s="100" t="s">
        <v>914</v>
      </c>
      <c r="D139" s="100">
        <v>8990</v>
      </c>
      <c r="E139" s="100">
        <v>5663</v>
      </c>
      <c r="F139" s="101">
        <v>0.2</v>
      </c>
      <c r="G139" s="100">
        <v>4530</v>
      </c>
      <c r="H139" s="276">
        <f t="shared" si="12"/>
        <v>10185670</v>
      </c>
      <c r="I139" s="276">
        <f t="shared" si="13"/>
        <v>8148536</v>
      </c>
      <c r="J139" s="47">
        <f>I139/10450</f>
        <v>779.76421052631576</v>
      </c>
    </row>
    <row r="140" spans="1:10">
      <c r="A140" s="181"/>
      <c r="B140" s="182"/>
      <c r="C140" s="182"/>
      <c r="D140" s="182"/>
      <c r="E140" s="182"/>
      <c r="F140" s="183"/>
      <c r="G140" s="182"/>
      <c r="H140" s="184"/>
      <c r="I140" s="184"/>
      <c r="J140" s="185">
        <f>SUM(J137:J139)</f>
        <v>1584.2641148325358</v>
      </c>
    </row>
    <row r="141" spans="1:10">
      <c r="A141" s="99" t="s">
        <v>951</v>
      </c>
      <c r="B141" s="100" t="s">
        <v>916</v>
      </c>
      <c r="C141" s="100" t="s">
        <v>952</v>
      </c>
      <c r="D141" s="100">
        <v>16860</v>
      </c>
      <c r="E141" s="100">
        <v>2143</v>
      </c>
      <c r="F141" s="101">
        <v>0.15</v>
      </c>
      <c r="G141" s="100">
        <v>1822</v>
      </c>
      <c r="H141" s="276">
        <f>D141*(E141-G141)</f>
        <v>5412060</v>
      </c>
      <c r="I141" s="276">
        <f>H141*0.8</f>
        <v>4329648</v>
      </c>
      <c r="J141" s="47">
        <f>I141/10550</f>
        <v>410.39317535545024</v>
      </c>
    </row>
    <row r="142" spans="1:10">
      <c r="A142" s="181"/>
      <c r="B142" s="182"/>
      <c r="C142" s="182"/>
      <c r="D142" s="182"/>
      <c r="E142" s="182"/>
      <c r="F142" s="183"/>
      <c r="G142" s="182"/>
      <c r="H142" s="184"/>
      <c r="I142" s="184"/>
      <c r="J142" s="185">
        <f>SUM(J141)</f>
        <v>410.39317535545024</v>
      </c>
    </row>
    <row r="143" spans="1:10">
      <c r="A143" s="99" t="s">
        <v>1015</v>
      </c>
      <c r="B143" s="100" t="s">
        <v>200</v>
      </c>
      <c r="C143" s="100" t="s">
        <v>623</v>
      </c>
      <c r="D143" s="100">
        <v>19994</v>
      </c>
      <c r="E143" s="100">
        <v>19129</v>
      </c>
      <c r="F143" s="101">
        <v>0.17499999999999999</v>
      </c>
      <c r="G143" s="100">
        <v>15990</v>
      </c>
      <c r="H143" s="276">
        <f>D143*(E143-G143)</f>
        <v>62761166</v>
      </c>
      <c r="I143" s="276">
        <f>H143*0.8</f>
        <v>50208932.800000004</v>
      </c>
      <c r="J143" s="47">
        <f>I143/10650</f>
        <v>4714.4537840375588</v>
      </c>
    </row>
    <row r="144" spans="1:10">
      <c r="A144" s="181"/>
      <c r="B144" s="182"/>
      <c r="C144" s="182"/>
      <c r="D144" s="182"/>
      <c r="E144" s="182"/>
      <c r="F144" s="183"/>
      <c r="G144" s="182"/>
      <c r="H144" s="184"/>
      <c r="I144" s="184"/>
      <c r="J144" s="185">
        <f>SUM(J143)</f>
        <v>4714.4537840375588</v>
      </c>
    </row>
    <row r="145" spans="1:10">
      <c r="A145" s="99" t="s">
        <v>1016</v>
      </c>
      <c r="B145" s="100" t="s">
        <v>679</v>
      </c>
      <c r="C145" s="100" t="s">
        <v>906</v>
      </c>
      <c r="D145" s="100">
        <v>2160</v>
      </c>
      <c r="E145" s="100">
        <v>6972</v>
      </c>
      <c r="F145" s="101">
        <v>0.1</v>
      </c>
      <c r="G145" s="100">
        <v>6275</v>
      </c>
      <c r="H145" s="276">
        <f>D145*(E145-G145)</f>
        <v>1505520</v>
      </c>
      <c r="I145" s="276">
        <f>H145*0.8</f>
        <v>1204416</v>
      </c>
      <c r="J145" s="47">
        <f>I145/10650</f>
        <v>113.09070422535211</v>
      </c>
    </row>
    <row r="146" spans="1:10">
      <c r="A146" s="181"/>
      <c r="B146" s="182"/>
      <c r="C146" s="182"/>
      <c r="D146" s="182"/>
      <c r="E146" s="182"/>
      <c r="F146" s="183"/>
      <c r="G146" s="182"/>
      <c r="H146" s="184"/>
      <c r="I146" s="184"/>
      <c r="J146" s="185">
        <f>SUM(J145)</f>
        <v>113.09070422535211</v>
      </c>
    </row>
    <row r="147" spans="1:10">
      <c r="A147" s="99"/>
      <c r="B147" s="100"/>
      <c r="C147" s="100"/>
      <c r="D147" s="100"/>
      <c r="E147" s="100"/>
      <c r="F147" s="101"/>
      <c r="G147" s="100"/>
      <c r="H147" s="38"/>
      <c r="I147" s="38"/>
      <c r="J147" s="47"/>
    </row>
    <row r="148" spans="1:10">
      <c r="A148" s="99"/>
      <c r="B148" s="100"/>
      <c r="C148" s="100"/>
      <c r="D148" s="100"/>
      <c r="E148" s="100"/>
      <c r="F148" s="101"/>
      <c r="G148" s="100"/>
      <c r="H148" s="38"/>
      <c r="I148" s="38"/>
      <c r="J148" s="47"/>
    </row>
    <row r="149" spans="1:10">
      <c r="A149" s="99"/>
      <c r="B149" s="100"/>
      <c r="C149" s="100"/>
      <c r="D149" s="100"/>
      <c r="E149" s="100"/>
      <c r="F149" s="101"/>
      <c r="G149" s="100"/>
      <c r="H149" s="38"/>
      <c r="I149" s="38"/>
      <c r="J149" s="47"/>
    </row>
    <row r="150" spans="1:10">
      <c r="A150" s="99"/>
      <c r="B150" s="100"/>
      <c r="C150" s="100"/>
      <c r="D150" s="100"/>
      <c r="E150" s="100"/>
      <c r="F150" s="101"/>
      <c r="G150" s="100"/>
      <c r="H150" s="38"/>
      <c r="I150" s="38"/>
      <c r="J150" s="47"/>
    </row>
    <row r="151" spans="1:10">
      <c r="A151" s="99"/>
      <c r="B151" s="100"/>
      <c r="C151" s="100"/>
      <c r="D151" s="100"/>
      <c r="E151" s="100"/>
      <c r="F151" s="101"/>
      <c r="G151" s="100"/>
      <c r="H151" s="38"/>
      <c r="I151" s="38"/>
      <c r="J151" s="47"/>
    </row>
    <row r="152" spans="1:10">
      <c r="A152" s="99"/>
      <c r="B152" s="100"/>
      <c r="C152" s="100"/>
      <c r="D152" s="100"/>
      <c r="E152" s="100"/>
      <c r="F152" s="101"/>
      <c r="G152" s="100"/>
      <c r="H152" s="38"/>
      <c r="I152" s="38"/>
      <c r="J152" s="47"/>
    </row>
    <row r="153" spans="1:10">
      <c r="A153" s="99"/>
      <c r="B153" s="100"/>
      <c r="C153" s="100"/>
      <c r="D153" s="100"/>
      <c r="E153" s="100"/>
      <c r="F153" s="101"/>
      <c r="G153" s="100"/>
      <c r="H153" s="38"/>
      <c r="I153" s="38"/>
      <c r="J153" s="47"/>
    </row>
    <row r="154" spans="1:10">
      <c r="A154" s="99"/>
      <c r="B154" s="100"/>
      <c r="C154" s="100"/>
      <c r="D154" s="100"/>
      <c r="E154" s="100"/>
      <c r="F154" s="101"/>
      <c r="G154" s="100"/>
      <c r="H154" s="38"/>
      <c r="I154" s="38"/>
      <c r="J154" s="47"/>
    </row>
    <row r="155" spans="1:10">
      <c r="A155" s="99"/>
      <c r="B155" s="100"/>
      <c r="C155" s="100"/>
      <c r="D155" s="100"/>
      <c r="E155" s="100"/>
      <c r="F155" s="101"/>
      <c r="G155" s="100"/>
      <c r="H155" s="38"/>
      <c r="I155" s="38"/>
      <c r="J155" s="47"/>
    </row>
    <row r="156" spans="1:10">
      <c r="A156" s="99"/>
      <c r="B156" s="100"/>
      <c r="C156" s="100"/>
      <c r="D156" s="100"/>
      <c r="E156" s="100"/>
      <c r="F156" s="101"/>
      <c r="G156" s="100"/>
      <c r="H156" s="38"/>
      <c r="I156" s="38"/>
      <c r="J156" s="47"/>
    </row>
    <row r="157" spans="1:10">
      <c r="A157" s="99"/>
      <c r="B157" s="100"/>
      <c r="C157" s="100"/>
      <c r="D157" s="100"/>
      <c r="E157" s="100"/>
      <c r="F157" s="101"/>
      <c r="G157" s="100"/>
      <c r="H157" s="38"/>
      <c r="I157" s="38"/>
      <c r="J157" s="47"/>
    </row>
    <row r="158" spans="1:10">
      <c r="A158" s="99"/>
      <c r="B158" s="100"/>
      <c r="C158" s="100"/>
      <c r="D158" s="100"/>
      <c r="E158" s="100"/>
      <c r="F158" s="101"/>
      <c r="G158" s="100"/>
      <c r="H158" s="38"/>
      <c r="I158" s="38"/>
      <c r="J158" s="47"/>
    </row>
    <row r="159" spans="1:10">
      <c r="A159" s="99"/>
      <c r="B159" s="100"/>
      <c r="C159" s="100"/>
      <c r="D159" s="100"/>
      <c r="E159" s="100"/>
      <c r="F159" s="101"/>
      <c r="G159" s="100"/>
      <c r="H159" s="38"/>
      <c r="I159" s="38"/>
      <c r="J159" s="47"/>
    </row>
    <row r="160" spans="1:10">
      <c r="A160" s="99"/>
      <c r="B160" s="100"/>
      <c r="C160" s="100"/>
      <c r="D160" s="100"/>
      <c r="E160" s="100"/>
      <c r="F160" s="101"/>
      <c r="G160" s="100"/>
      <c r="H160" s="38"/>
      <c r="I160" s="38"/>
      <c r="J160" s="47"/>
    </row>
    <row r="161" spans="1:10">
      <c r="A161" s="99"/>
      <c r="B161" s="100"/>
      <c r="C161" s="100"/>
      <c r="D161" s="100"/>
      <c r="E161" s="100"/>
      <c r="F161" s="101"/>
      <c r="G161" s="100"/>
      <c r="H161" s="38"/>
      <c r="I161" s="38"/>
      <c r="J161" s="47"/>
    </row>
    <row r="162" spans="1:10">
      <c r="A162" s="99"/>
      <c r="B162" s="100"/>
      <c r="C162" s="100"/>
      <c r="D162" s="100"/>
      <c r="E162" s="100"/>
      <c r="F162" s="101"/>
      <c r="G162" s="100"/>
      <c r="H162" s="38"/>
      <c r="I162" s="38"/>
      <c r="J162" s="47"/>
    </row>
    <row r="163" spans="1:10">
      <c r="A163" s="99"/>
      <c r="B163" s="100"/>
      <c r="C163" s="100"/>
      <c r="D163" s="100"/>
      <c r="E163" s="100"/>
      <c r="F163" s="101"/>
      <c r="G163" s="100"/>
      <c r="H163" s="38"/>
      <c r="I163" s="38"/>
      <c r="J163" s="47"/>
    </row>
    <row r="164" spans="1:10">
      <c r="A164" s="99"/>
      <c r="B164" s="100"/>
      <c r="C164" s="100"/>
      <c r="D164" s="100"/>
      <c r="E164" s="100"/>
      <c r="F164" s="101"/>
      <c r="G164" s="100"/>
      <c r="H164" s="38"/>
      <c r="I164" s="38"/>
      <c r="J164" s="47"/>
    </row>
    <row r="165" spans="1:10">
      <c r="A165" s="99"/>
      <c r="B165" s="100"/>
      <c r="C165" s="100"/>
      <c r="D165" s="100"/>
      <c r="E165" s="100"/>
      <c r="F165" s="101"/>
      <c r="G165" s="100"/>
      <c r="H165" s="38"/>
      <c r="I165" s="38"/>
      <c r="J165" s="47"/>
    </row>
    <row r="166" spans="1:10">
      <c r="A166" s="99"/>
      <c r="B166" s="100"/>
      <c r="C166" s="100"/>
      <c r="D166" s="100"/>
      <c r="E166" s="100"/>
      <c r="F166" s="101"/>
      <c r="G166" s="100"/>
      <c r="H166" s="38"/>
      <c r="I166" s="38"/>
      <c r="J166" s="47"/>
    </row>
    <row r="167" spans="1:10">
      <c r="A167" s="99"/>
      <c r="B167" s="100"/>
      <c r="C167" s="100"/>
      <c r="D167" s="100"/>
      <c r="E167" s="100"/>
      <c r="F167" s="101"/>
      <c r="G167" s="100"/>
      <c r="H167" s="38"/>
      <c r="I167" s="38"/>
      <c r="J167" s="47"/>
    </row>
    <row r="168" spans="1:10">
      <c r="A168" s="99"/>
      <c r="B168" s="100"/>
      <c r="C168" s="100"/>
      <c r="D168" s="100"/>
      <c r="E168" s="100"/>
      <c r="F168" s="101"/>
      <c r="G168" s="100"/>
      <c r="H168" s="38"/>
      <c r="I168" s="38"/>
      <c r="J168" s="47"/>
    </row>
    <row r="169" spans="1:10">
      <c r="A169" s="99"/>
      <c r="B169" s="100"/>
      <c r="C169" s="100"/>
      <c r="D169" s="100"/>
      <c r="E169" s="100"/>
      <c r="F169" s="101"/>
      <c r="G169" s="100"/>
      <c r="H169" s="38"/>
      <c r="I169" s="38"/>
      <c r="J169" s="47"/>
    </row>
    <row r="170" spans="1:10">
      <c r="A170" s="99"/>
      <c r="B170" s="100"/>
      <c r="C170" s="100"/>
      <c r="D170" s="100"/>
      <c r="E170" s="100"/>
      <c r="F170" s="101"/>
      <c r="G170" s="100"/>
      <c r="H170" s="38"/>
      <c r="I170" s="38"/>
      <c r="J170" s="47"/>
    </row>
    <row r="171" spans="1:10">
      <c r="A171" s="99"/>
      <c r="B171" s="100"/>
      <c r="C171" s="100"/>
      <c r="D171" s="100"/>
      <c r="E171" s="100"/>
      <c r="F171" s="101"/>
      <c r="G171" s="100"/>
      <c r="H171" s="38"/>
      <c r="I171" s="38"/>
      <c r="J171" s="47"/>
    </row>
    <row r="172" spans="1:10">
      <c r="A172" s="99"/>
      <c r="B172" s="100"/>
      <c r="C172" s="100"/>
      <c r="D172" s="100"/>
      <c r="E172" s="100"/>
      <c r="F172" s="101"/>
      <c r="G172" s="100"/>
      <c r="H172" s="38"/>
      <c r="I172" s="38"/>
      <c r="J172" s="47"/>
    </row>
    <row r="173" spans="1:10">
      <c r="A173" s="99"/>
      <c r="B173" s="100"/>
      <c r="C173" s="100"/>
      <c r="D173" s="100"/>
      <c r="E173" s="100"/>
      <c r="F173" s="101"/>
      <c r="G173" s="100"/>
      <c r="H173" s="38"/>
      <c r="I173" s="38"/>
      <c r="J173" s="47"/>
    </row>
    <row r="174" spans="1:10">
      <c r="A174" s="99"/>
      <c r="B174" s="100"/>
      <c r="C174" s="100"/>
      <c r="D174" s="100"/>
      <c r="E174" s="100"/>
      <c r="F174" s="101"/>
      <c r="G174" s="100"/>
      <c r="H174" s="38"/>
      <c r="I174" s="38"/>
      <c r="J174" s="47"/>
    </row>
    <row r="175" spans="1:10">
      <c r="A175" s="99"/>
      <c r="B175" s="100"/>
      <c r="C175" s="100"/>
      <c r="D175" s="100"/>
      <c r="E175" s="100"/>
      <c r="F175" s="101"/>
      <c r="G175" s="100"/>
      <c r="H175" s="38"/>
      <c r="I175" s="38"/>
      <c r="J175" s="47"/>
    </row>
    <row r="176" spans="1:10">
      <c r="A176" s="99"/>
      <c r="B176" s="100"/>
      <c r="C176" s="100"/>
      <c r="D176" s="100"/>
      <c r="E176" s="100"/>
      <c r="F176" s="101"/>
      <c r="G176" s="100"/>
      <c r="H176" s="38"/>
      <c r="I176" s="38"/>
      <c r="J176" s="47"/>
    </row>
    <row r="177" spans="1:10">
      <c r="A177" s="99"/>
      <c r="B177" s="100"/>
      <c r="C177" s="100"/>
      <c r="D177" s="100"/>
      <c r="E177" s="100"/>
      <c r="F177" s="101"/>
      <c r="G177" s="100"/>
      <c r="H177" s="38"/>
      <c r="I177" s="38"/>
      <c r="J177" s="47"/>
    </row>
    <row r="178" spans="1:10">
      <c r="A178" s="99"/>
      <c r="B178" s="100"/>
      <c r="C178" s="100"/>
      <c r="D178" s="100"/>
      <c r="E178" s="100"/>
      <c r="F178" s="101"/>
      <c r="G178" s="100"/>
      <c r="H178" s="38"/>
      <c r="I178" s="38"/>
      <c r="J178" s="47"/>
    </row>
    <row r="179" spans="1:10">
      <c r="A179" s="99"/>
      <c r="B179" s="100"/>
      <c r="C179" s="100"/>
      <c r="D179" s="100"/>
      <c r="E179" s="100"/>
      <c r="F179" s="101"/>
      <c r="G179" s="100"/>
      <c r="H179" s="38"/>
      <c r="I179" s="38"/>
      <c r="J179" s="47"/>
    </row>
    <row r="180" spans="1:10">
      <c r="A180" s="99"/>
      <c r="B180" s="100"/>
      <c r="C180" s="100"/>
      <c r="D180" s="100"/>
      <c r="E180" s="100"/>
      <c r="F180" s="101"/>
      <c r="G180" s="100"/>
      <c r="H180" s="38"/>
      <c r="I180" s="38"/>
      <c r="J180" s="47"/>
    </row>
    <row r="181" spans="1:10">
      <c r="A181" s="99"/>
      <c r="B181" s="100"/>
      <c r="C181" s="100"/>
      <c r="D181" s="100"/>
      <c r="E181" s="100"/>
      <c r="F181" s="101"/>
      <c r="G181" s="100"/>
      <c r="H181" s="38"/>
      <c r="I181" s="38"/>
      <c r="J181" s="47"/>
    </row>
    <row r="182" spans="1:10">
      <c r="A182" s="99"/>
      <c r="B182" s="100"/>
      <c r="C182" s="100"/>
      <c r="D182" s="100"/>
      <c r="E182" s="100"/>
      <c r="F182" s="101"/>
      <c r="G182" s="100"/>
      <c r="H182" s="38"/>
      <c r="I182" s="38"/>
      <c r="J182" s="47"/>
    </row>
    <row r="183" spans="1:10">
      <c r="A183" s="99"/>
      <c r="B183" s="100"/>
      <c r="C183" s="100"/>
      <c r="D183" s="100"/>
      <c r="E183" s="100"/>
      <c r="F183" s="101"/>
      <c r="G183" s="100"/>
      <c r="H183" s="38"/>
      <c r="I183" s="38"/>
      <c r="J183" s="47"/>
    </row>
    <row r="184" spans="1:10">
      <c r="A184" s="99"/>
      <c r="B184" s="100"/>
      <c r="C184" s="100"/>
      <c r="D184" s="100"/>
      <c r="E184" s="100"/>
      <c r="F184" s="101"/>
      <c r="G184" s="100"/>
      <c r="H184" s="38"/>
      <c r="I184" s="38"/>
      <c r="J184" s="47"/>
    </row>
    <row r="185" spans="1:10">
      <c r="A185" s="99"/>
      <c r="B185" s="100"/>
      <c r="C185" s="100"/>
      <c r="D185" s="100"/>
      <c r="E185" s="100"/>
      <c r="F185" s="101"/>
      <c r="G185" s="100"/>
      <c r="H185" s="38"/>
      <c r="I185" s="38"/>
      <c r="J185" s="47"/>
    </row>
    <row r="186" spans="1:10">
      <c r="A186" s="99"/>
      <c r="B186" s="100"/>
      <c r="C186" s="100"/>
      <c r="D186" s="100"/>
      <c r="E186" s="100"/>
      <c r="F186" s="101"/>
      <c r="G186" s="100"/>
      <c r="H186" s="38"/>
      <c r="I186" s="38"/>
      <c r="J186" s="47"/>
    </row>
    <row r="187" spans="1:10">
      <c r="A187" s="99"/>
      <c r="B187" s="100"/>
      <c r="C187" s="100"/>
      <c r="D187" s="100"/>
      <c r="E187" s="100"/>
      <c r="F187" s="101"/>
      <c r="G187" s="100"/>
      <c r="H187" s="38"/>
      <c r="I187" s="38"/>
      <c r="J187" s="47"/>
    </row>
    <row r="188" spans="1:10">
      <c r="A188" s="99"/>
      <c r="B188" s="100"/>
      <c r="C188" s="100"/>
      <c r="D188" s="100"/>
      <c r="E188" s="100"/>
      <c r="F188" s="101"/>
      <c r="G188" s="100"/>
      <c r="H188" s="38"/>
      <c r="I188" s="38"/>
      <c r="J188" s="47"/>
    </row>
    <row r="189" spans="1:10">
      <c r="A189" s="99"/>
      <c r="B189" s="100"/>
      <c r="C189" s="100"/>
      <c r="D189" s="100"/>
      <c r="E189" s="100"/>
      <c r="F189" s="101"/>
      <c r="G189" s="100"/>
      <c r="H189" s="38"/>
      <c r="I189" s="38"/>
      <c r="J189" s="47"/>
    </row>
    <row r="190" spans="1:10">
      <c r="A190" s="99"/>
      <c r="B190" s="100"/>
      <c r="C190" s="100"/>
      <c r="D190" s="100"/>
      <c r="E190" s="100"/>
      <c r="F190" s="101"/>
      <c r="G190" s="100"/>
      <c r="H190" s="38"/>
      <c r="I190" s="38"/>
      <c r="J190" s="47"/>
    </row>
    <row r="191" spans="1:10">
      <c r="A191" s="99"/>
      <c r="B191" s="100"/>
      <c r="C191" s="100"/>
      <c r="D191" s="100"/>
      <c r="E191" s="100"/>
      <c r="F191" s="101"/>
      <c r="G191" s="100"/>
      <c r="H191" s="38"/>
      <c r="I191" s="38"/>
      <c r="J191" s="47"/>
    </row>
    <row r="192" spans="1:10">
      <c r="A192" s="99"/>
      <c r="B192" s="100"/>
      <c r="C192" s="100"/>
      <c r="D192" s="100"/>
      <c r="E192" s="100"/>
      <c r="F192" s="101"/>
      <c r="G192" s="100"/>
      <c r="H192" s="38"/>
      <c r="I192" s="38"/>
      <c r="J192" s="47"/>
    </row>
    <row r="193" spans="1:10">
      <c r="A193" s="99"/>
      <c r="B193" s="100"/>
      <c r="C193" s="100"/>
      <c r="D193" s="100"/>
      <c r="E193" s="100"/>
      <c r="F193" s="101"/>
      <c r="G193" s="100"/>
      <c r="H193" s="38"/>
      <c r="I193" s="38"/>
      <c r="J193" s="47"/>
    </row>
    <row r="194" spans="1:10">
      <c r="A194" s="99"/>
      <c r="B194" s="100"/>
      <c r="C194" s="100"/>
      <c r="D194" s="100"/>
      <c r="E194" s="100"/>
      <c r="F194" s="101"/>
      <c r="G194" s="100"/>
      <c r="H194" s="38"/>
      <c r="I194" s="38"/>
      <c r="J194" s="47"/>
    </row>
    <row r="195" spans="1:10">
      <c r="A195" s="99"/>
      <c r="B195" s="100"/>
      <c r="C195" s="100"/>
      <c r="D195" s="100"/>
      <c r="E195" s="100"/>
      <c r="F195" s="101"/>
      <c r="G195" s="100"/>
      <c r="H195" s="38"/>
      <c r="I195" s="38"/>
      <c r="J195" s="47"/>
    </row>
    <row r="196" spans="1:10">
      <c r="A196" s="99"/>
      <c r="B196" s="100"/>
      <c r="C196" s="100"/>
      <c r="D196" s="100"/>
      <c r="E196" s="100"/>
      <c r="F196" s="101"/>
      <c r="G196" s="100"/>
      <c r="H196" s="38"/>
      <c r="I196" s="38"/>
      <c r="J196" s="47"/>
    </row>
    <row r="197" spans="1:10">
      <c r="A197" s="99"/>
      <c r="B197" s="100"/>
      <c r="C197" s="100"/>
      <c r="D197" s="100"/>
      <c r="E197" s="100"/>
      <c r="F197" s="101"/>
      <c r="G197" s="100"/>
      <c r="H197" s="38"/>
      <c r="I197" s="38"/>
      <c r="J197" s="47"/>
    </row>
    <row r="198" spans="1:10">
      <c r="A198" s="99"/>
      <c r="B198" s="100"/>
      <c r="C198" s="100"/>
      <c r="D198" s="100"/>
      <c r="E198" s="100"/>
      <c r="F198" s="101"/>
      <c r="G198" s="100"/>
      <c r="H198" s="38"/>
      <c r="I198" s="38"/>
      <c r="J198" s="47"/>
    </row>
    <row r="199" spans="1:10">
      <c r="A199" s="99"/>
      <c r="B199" s="100"/>
      <c r="C199" s="100"/>
      <c r="D199" s="100"/>
      <c r="E199" s="100"/>
      <c r="F199" s="101"/>
      <c r="G199" s="100"/>
      <c r="H199" s="38"/>
      <c r="I199" s="38"/>
      <c r="J199" s="47"/>
    </row>
    <row r="200" spans="1:10">
      <c r="A200" s="99"/>
      <c r="B200" s="100"/>
      <c r="C200" s="100"/>
      <c r="D200" s="100"/>
      <c r="E200" s="100"/>
      <c r="F200" s="101"/>
      <c r="G200" s="100"/>
      <c r="H200" s="38"/>
      <c r="I200" s="38"/>
      <c r="J200" s="47"/>
    </row>
    <row r="201" spans="1:10">
      <c r="A201" s="99"/>
      <c r="B201" s="100"/>
      <c r="C201" s="100"/>
      <c r="D201" s="100"/>
      <c r="E201" s="100"/>
      <c r="F201" s="101"/>
      <c r="G201" s="100"/>
      <c r="H201" s="38"/>
      <c r="I201" s="38"/>
      <c r="J201" s="47"/>
    </row>
    <row r="202" spans="1:10">
      <c r="A202" s="99"/>
      <c r="B202" s="100"/>
      <c r="C202" s="100"/>
      <c r="D202" s="100"/>
      <c r="E202" s="100"/>
      <c r="F202" s="101"/>
      <c r="G202" s="100"/>
      <c r="H202" s="38"/>
      <c r="I202" s="38"/>
      <c r="J202" s="47"/>
    </row>
    <row r="203" spans="1:10">
      <c r="A203" s="99"/>
      <c r="B203" s="100"/>
      <c r="C203" s="100"/>
      <c r="D203" s="100"/>
      <c r="E203" s="100"/>
      <c r="F203" s="101"/>
      <c r="G203" s="100"/>
      <c r="H203" s="38"/>
      <c r="I203" s="38"/>
      <c r="J203" s="47"/>
    </row>
    <row r="204" spans="1:10">
      <c r="A204" s="99"/>
      <c r="B204" s="100"/>
      <c r="C204" s="100"/>
      <c r="D204" s="100"/>
      <c r="E204" s="100"/>
      <c r="F204" s="101"/>
      <c r="G204" s="100"/>
      <c r="H204" s="38"/>
      <c r="I204" s="38"/>
      <c r="J204" s="47"/>
    </row>
    <row r="205" spans="1:10">
      <c r="A205" s="99"/>
      <c r="B205" s="100"/>
      <c r="C205" s="100"/>
      <c r="D205" s="100"/>
      <c r="E205" s="100"/>
      <c r="F205" s="101"/>
      <c r="G205" s="100"/>
      <c r="H205" s="38"/>
      <c r="I205" s="38"/>
      <c r="J205" s="47"/>
    </row>
    <row r="206" spans="1:10">
      <c r="A206" s="99"/>
      <c r="B206" s="100"/>
      <c r="C206" s="100"/>
      <c r="D206" s="100"/>
      <c r="E206" s="100"/>
      <c r="F206" s="101"/>
      <c r="G206" s="100"/>
      <c r="H206" s="38"/>
      <c r="I206" s="38"/>
      <c r="J206" s="47"/>
    </row>
    <row r="207" spans="1:10">
      <c r="A207" s="99"/>
      <c r="B207" s="100"/>
      <c r="C207" s="100"/>
      <c r="D207" s="100"/>
      <c r="E207" s="100"/>
      <c r="F207" s="101"/>
      <c r="G207" s="100"/>
      <c r="H207" s="38"/>
      <c r="I207" s="38"/>
      <c r="J207" s="47"/>
    </row>
    <row r="208" spans="1:10">
      <c r="A208" s="99"/>
      <c r="B208" s="100"/>
      <c r="C208" s="100"/>
      <c r="D208" s="100"/>
      <c r="E208" s="100"/>
      <c r="F208" s="101"/>
      <c r="G208" s="100"/>
      <c r="H208" s="38"/>
      <c r="I208" s="38"/>
      <c r="J208" s="47"/>
    </row>
    <row r="209" spans="1:10">
      <c r="A209" s="99"/>
      <c r="B209" s="100"/>
      <c r="C209" s="100"/>
      <c r="D209" s="100"/>
      <c r="E209" s="100"/>
      <c r="F209" s="101"/>
      <c r="G209" s="100"/>
      <c r="H209" s="38"/>
      <c r="I209" s="38"/>
      <c r="J209" s="47"/>
    </row>
    <row r="210" spans="1:10">
      <c r="A210" s="99"/>
      <c r="B210" s="100"/>
      <c r="C210" s="100"/>
      <c r="D210" s="100"/>
      <c r="E210" s="100"/>
      <c r="F210" s="101"/>
      <c r="G210" s="100"/>
      <c r="H210" s="38"/>
      <c r="I210" s="38"/>
      <c r="J210" s="47"/>
    </row>
    <row r="211" spans="1:10">
      <c r="A211" s="99"/>
      <c r="B211" s="100"/>
      <c r="C211" s="100"/>
      <c r="D211" s="100"/>
      <c r="E211" s="100"/>
      <c r="F211" s="101"/>
      <c r="G211" s="100"/>
      <c r="H211" s="38"/>
      <c r="I211" s="38"/>
      <c r="J211" s="47"/>
    </row>
    <row r="212" spans="1:10">
      <c r="A212" s="99"/>
      <c r="B212" s="100"/>
      <c r="C212" s="100"/>
      <c r="D212" s="100"/>
      <c r="E212" s="100"/>
      <c r="F212" s="101"/>
      <c r="G212" s="100"/>
      <c r="H212" s="38"/>
      <c r="I212" s="38"/>
      <c r="J212" s="47"/>
    </row>
    <row r="213" spans="1:10">
      <c r="A213" s="99"/>
      <c r="B213" s="100"/>
      <c r="C213" s="100"/>
      <c r="D213" s="100"/>
      <c r="E213" s="100"/>
      <c r="F213" s="101"/>
      <c r="G213" s="100"/>
      <c r="H213" s="38"/>
      <c r="I213" s="38"/>
      <c r="J213" s="47"/>
    </row>
    <row r="214" spans="1:10">
      <c r="A214" s="99"/>
      <c r="B214" s="100"/>
      <c r="C214" s="100"/>
      <c r="D214" s="100"/>
      <c r="E214" s="100"/>
      <c r="F214" s="101"/>
      <c r="G214" s="100"/>
      <c r="H214" s="38"/>
      <c r="I214" s="38"/>
      <c r="J214" s="47"/>
    </row>
    <row r="215" spans="1:10">
      <c r="A215" s="99"/>
      <c r="B215" s="100"/>
      <c r="C215" s="100"/>
      <c r="D215" s="100"/>
      <c r="E215" s="100"/>
      <c r="F215" s="101"/>
      <c r="G215" s="100"/>
      <c r="H215" s="38"/>
      <c r="I215" s="38"/>
      <c r="J215" s="47"/>
    </row>
    <row r="216" spans="1:10">
      <c r="A216" s="99"/>
      <c r="B216" s="100"/>
      <c r="C216" s="100"/>
      <c r="D216" s="100"/>
      <c r="E216" s="100"/>
      <c r="F216" s="101"/>
      <c r="G216" s="100"/>
      <c r="H216" s="38"/>
      <c r="I216" s="38"/>
      <c r="J216" s="47"/>
    </row>
    <row r="217" spans="1:10">
      <c r="A217" s="99"/>
      <c r="B217" s="100"/>
      <c r="C217" s="100"/>
      <c r="D217" s="100"/>
      <c r="E217" s="100"/>
      <c r="F217" s="101"/>
      <c r="G217" s="100"/>
      <c r="H217" s="38"/>
      <c r="I217" s="38"/>
      <c r="J217" s="47"/>
    </row>
    <row r="218" spans="1:10">
      <c r="A218" s="99"/>
      <c r="B218" s="100"/>
      <c r="C218" s="100"/>
      <c r="D218" s="100"/>
      <c r="E218" s="100"/>
      <c r="F218" s="101"/>
      <c r="G218" s="100"/>
      <c r="H218" s="38"/>
      <c r="I218" s="38"/>
      <c r="J218" s="47"/>
    </row>
    <row r="219" spans="1:10">
      <c r="A219" s="99"/>
      <c r="B219" s="100"/>
      <c r="C219" s="100"/>
      <c r="D219" s="100"/>
      <c r="E219" s="100"/>
      <c r="F219" s="101"/>
      <c r="G219" s="100"/>
      <c r="H219" s="38"/>
      <c r="I219" s="38"/>
      <c r="J219" s="47"/>
    </row>
    <row r="220" spans="1:10">
      <c r="A220" s="99"/>
      <c r="B220" s="100"/>
      <c r="C220" s="100"/>
      <c r="D220" s="100"/>
      <c r="E220" s="100"/>
      <c r="F220" s="101"/>
      <c r="G220" s="100"/>
      <c r="H220" s="38"/>
      <c r="I220" s="38"/>
      <c r="J220" s="47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590"/>
  <sheetViews>
    <sheetView showGridLines="0" workbookViewId="0">
      <pane xSplit="1" ySplit="1" topLeftCell="B2152" activePane="bottomRight" state="frozen"/>
      <selection pane="topRight" activeCell="B1" sqref="B1"/>
      <selection pane="bottomLeft" activeCell="A2" sqref="A2"/>
      <selection pane="bottomRight" activeCell="F2332" sqref="F2332"/>
    </sheetView>
  </sheetViews>
  <sheetFormatPr defaultRowHeight="15"/>
  <cols>
    <col min="1" max="5" width="36.7109375" customWidth="1"/>
    <col min="6" max="6" width="28.28515625" customWidth="1"/>
    <col min="7" max="7" width="32.7109375" customWidth="1"/>
    <col min="8" max="8" width="11.28515625" bestFit="1" customWidth="1"/>
    <col min="9" max="9" width="9.85546875" bestFit="1" customWidth="1"/>
  </cols>
  <sheetData>
    <row r="1" spans="1:7" ht="15.75" thickTop="1">
      <c r="A1" s="42" t="s">
        <v>0</v>
      </c>
      <c r="B1" s="43" t="s">
        <v>1</v>
      </c>
      <c r="C1" s="43" t="s">
        <v>102</v>
      </c>
      <c r="D1" s="43" t="s">
        <v>162</v>
      </c>
      <c r="E1" s="43" t="s">
        <v>163</v>
      </c>
      <c r="F1" s="43" t="s">
        <v>164</v>
      </c>
      <c r="G1" s="44" t="s">
        <v>165</v>
      </c>
    </row>
    <row r="2" spans="1:7" hidden="1">
      <c r="A2" s="45">
        <v>41365</v>
      </c>
      <c r="B2" s="1" t="s">
        <v>166</v>
      </c>
      <c r="C2" s="1" t="s">
        <v>171</v>
      </c>
      <c r="D2" s="1" t="s">
        <v>128</v>
      </c>
      <c r="E2" s="18">
        <v>9996000</v>
      </c>
      <c r="F2" s="1" t="s">
        <v>167</v>
      </c>
      <c r="G2" s="2"/>
    </row>
    <row r="3" spans="1:7" hidden="1">
      <c r="A3" s="46">
        <v>41334</v>
      </c>
      <c r="B3" s="31" t="s">
        <v>166</v>
      </c>
      <c r="C3" s="31" t="s">
        <v>171</v>
      </c>
      <c r="D3" s="31" t="s">
        <v>128</v>
      </c>
      <c r="E3" s="360">
        <v>1521500</v>
      </c>
      <c r="F3" s="31" t="s">
        <v>169</v>
      </c>
      <c r="G3" s="2"/>
    </row>
    <row r="4" spans="1:7" hidden="1">
      <c r="A4" s="45">
        <v>41365</v>
      </c>
      <c r="B4" s="1" t="s">
        <v>49</v>
      </c>
      <c r="C4" s="1" t="s">
        <v>171</v>
      </c>
      <c r="D4" s="1" t="s">
        <v>128</v>
      </c>
      <c r="E4" s="18">
        <v>5100000</v>
      </c>
      <c r="F4" s="1" t="s">
        <v>168</v>
      </c>
      <c r="G4" s="2"/>
    </row>
    <row r="5" spans="1:7" hidden="1">
      <c r="A5" s="46">
        <v>41334</v>
      </c>
      <c r="B5" s="31" t="s">
        <v>49</v>
      </c>
      <c r="C5" s="31" t="s">
        <v>171</v>
      </c>
      <c r="D5" s="31" t="s">
        <v>128</v>
      </c>
      <c r="E5" s="360">
        <v>654500</v>
      </c>
      <c r="F5" s="31" t="s">
        <v>170</v>
      </c>
      <c r="G5" s="2"/>
    </row>
    <row r="6" spans="1:7" hidden="1">
      <c r="A6" s="45">
        <v>41365</v>
      </c>
      <c r="B6" s="1" t="s">
        <v>172</v>
      </c>
      <c r="C6" s="1" t="s">
        <v>103</v>
      </c>
      <c r="D6" s="1" t="s">
        <v>128</v>
      </c>
      <c r="E6" s="18">
        <v>3610800</v>
      </c>
      <c r="F6" s="1" t="s">
        <v>173</v>
      </c>
      <c r="G6" s="2"/>
    </row>
    <row r="7" spans="1:7" hidden="1">
      <c r="A7" s="45">
        <v>41365</v>
      </c>
      <c r="B7" s="1" t="s">
        <v>172</v>
      </c>
      <c r="C7" s="1" t="s">
        <v>171</v>
      </c>
      <c r="D7" s="1" t="s">
        <v>128</v>
      </c>
      <c r="E7" s="18">
        <v>4672800</v>
      </c>
      <c r="F7" s="1" t="s">
        <v>174</v>
      </c>
      <c r="G7" s="2"/>
    </row>
    <row r="8" spans="1:7" hidden="1">
      <c r="A8" s="46">
        <v>41334</v>
      </c>
      <c r="B8" s="31" t="s">
        <v>172</v>
      </c>
      <c r="C8" s="31" t="s">
        <v>104</v>
      </c>
      <c r="D8" s="31" t="s">
        <v>128</v>
      </c>
      <c r="E8" s="360">
        <v>1168200</v>
      </c>
      <c r="F8" s="31" t="s">
        <v>175</v>
      </c>
      <c r="G8" s="2"/>
    </row>
    <row r="9" spans="1:7" hidden="1">
      <c r="A9" s="46">
        <v>41334</v>
      </c>
      <c r="B9" s="31" t="s">
        <v>172</v>
      </c>
      <c r="C9" s="31" t="s">
        <v>103</v>
      </c>
      <c r="D9" s="31" t="s">
        <v>128</v>
      </c>
      <c r="E9" s="360">
        <v>424800</v>
      </c>
      <c r="F9" s="31" t="s">
        <v>175</v>
      </c>
      <c r="G9" s="2"/>
    </row>
    <row r="10" spans="1:7" hidden="1">
      <c r="A10" s="46">
        <v>41334</v>
      </c>
      <c r="B10" s="31" t="s">
        <v>172</v>
      </c>
      <c r="C10" s="31" t="s">
        <v>171</v>
      </c>
      <c r="D10" s="31" t="s">
        <v>128</v>
      </c>
      <c r="E10" s="360">
        <v>849600</v>
      </c>
      <c r="F10" s="31" t="s">
        <v>175</v>
      </c>
      <c r="G10" s="2"/>
    </row>
    <row r="11" spans="1:7" hidden="1">
      <c r="A11" s="45">
        <v>41365</v>
      </c>
      <c r="B11" s="1" t="s">
        <v>6</v>
      </c>
      <c r="C11" s="1" t="s">
        <v>103</v>
      </c>
      <c r="D11" s="1" t="s">
        <v>92</v>
      </c>
      <c r="E11" s="18">
        <v>1000020</v>
      </c>
      <c r="F11" s="1" t="s">
        <v>192</v>
      </c>
      <c r="G11" s="2"/>
    </row>
    <row r="12" spans="1:7" hidden="1">
      <c r="A12" s="45">
        <v>41395</v>
      </c>
      <c r="B12" s="1" t="s">
        <v>6</v>
      </c>
      <c r="C12" s="1" t="s">
        <v>171</v>
      </c>
      <c r="D12" s="1" t="s">
        <v>92</v>
      </c>
      <c r="E12" s="18">
        <v>300000</v>
      </c>
      <c r="F12" s="1" t="s">
        <v>198</v>
      </c>
      <c r="G12" s="2"/>
    </row>
    <row r="13" spans="1:7" hidden="1">
      <c r="A13" s="45">
        <v>41365</v>
      </c>
      <c r="B13" s="1" t="s">
        <v>55</v>
      </c>
      <c r="C13" s="1" t="s">
        <v>171</v>
      </c>
      <c r="D13" s="1" t="s">
        <v>128</v>
      </c>
      <c r="E13" s="18">
        <v>319200</v>
      </c>
      <c r="F13" s="1" t="s">
        <v>203</v>
      </c>
      <c r="G13" s="2"/>
    </row>
    <row r="14" spans="1:7" hidden="1">
      <c r="A14" s="45">
        <v>41395</v>
      </c>
      <c r="B14" s="1" t="s">
        <v>55</v>
      </c>
      <c r="C14" s="1" t="s">
        <v>171</v>
      </c>
      <c r="D14" s="1" t="s">
        <v>128</v>
      </c>
      <c r="E14" s="18">
        <v>319200</v>
      </c>
      <c r="F14" s="1" t="s">
        <v>203</v>
      </c>
      <c r="G14" s="2"/>
    </row>
    <row r="15" spans="1:7" hidden="1">
      <c r="A15" s="45">
        <v>41395</v>
      </c>
      <c r="B15" s="1" t="s">
        <v>55</v>
      </c>
      <c r="C15" s="1" t="s">
        <v>171</v>
      </c>
      <c r="D15" s="1" t="s">
        <v>128</v>
      </c>
      <c r="E15" s="18">
        <v>3168000</v>
      </c>
      <c r="F15" s="1" t="s">
        <v>204</v>
      </c>
      <c r="G15" s="2"/>
    </row>
    <row r="16" spans="1:7" hidden="1">
      <c r="A16" s="45">
        <v>41395</v>
      </c>
      <c r="B16" s="1" t="s">
        <v>55</v>
      </c>
      <c r="C16" s="1" t="s">
        <v>103</v>
      </c>
      <c r="D16" s="1" t="s">
        <v>128</v>
      </c>
      <c r="E16" s="18">
        <v>4492800</v>
      </c>
      <c r="F16" s="1" t="s">
        <v>205</v>
      </c>
      <c r="G16" s="2"/>
    </row>
    <row r="17" spans="1:7" hidden="1">
      <c r="A17" s="45">
        <v>41365</v>
      </c>
      <c r="B17" s="1" t="s">
        <v>208</v>
      </c>
      <c r="C17" s="1" t="s">
        <v>171</v>
      </c>
      <c r="D17" s="1" t="s">
        <v>128</v>
      </c>
      <c r="E17" s="18">
        <v>420000</v>
      </c>
      <c r="F17" s="1" t="s">
        <v>209</v>
      </c>
      <c r="G17" s="2"/>
    </row>
    <row r="18" spans="1:7" hidden="1">
      <c r="A18" s="45">
        <v>41365</v>
      </c>
      <c r="B18" s="1" t="s">
        <v>208</v>
      </c>
      <c r="C18" s="1" t="s">
        <v>171</v>
      </c>
      <c r="D18" s="1" t="s">
        <v>128</v>
      </c>
      <c r="E18" s="18">
        <v>840000</v>
      </c>
      <c r="F18" s="1" t="s">
        <v>210</v>
      </c>
      <c r="G18" s="2"/>
    </row>
    <row r="19" spans="1:7" hidden="1">
      <c r="A19" s="45">
        <v>41365</v>
      </c>
      <c r="B19" s="1" t="s">
        <v>211</v>
      </c>
      <c r="C19" s="1" t="s">
        <v>171</v>
      </c>
      <c r="D19" s="1" t="s">
        <v>128</v>
      </c>
      <c r="E19" s="18">
        <v>5925600</v>
      </c>
      <c r="F19" s="1" t="s">
        <v>212</v>
      </c>
      <c r="G19" s="2"/>
    </row>
    <row r="20" spans="1:7" hidden="1">
      <c r="A20" s="45">
        <v>41365</v>
      </c>
      <c r="B20" s="1" t="s">
        <v>100</v>
      </c>
      <c r="C20" s="1" t="s">
        <v>104</v>
      </c>
      <c r="D20" s="1" t="s">
        <v>96</v>
      </c>
      <c r="E20" s="18">
        <v>990004</v>
      </c>
      <c r="F20" s="1" t="s">
        <v>213</v>
      </c>
      <c r="G20" s="2"/>
    </row>
    <row r="21" spans="1:7" hidden="1">
      <c r="A21" s="78">
        <v>41395</v>
      </c>
      <c r="B21" s="37" t="s">
        <v>214</v>
      </c>
      <c r="C21" s="37" t="s">
        <v>215</v>
      </c>
      <c r="D21" s="37" t="s">
        <v>92</v>
      </c>
      <c r="E21" s="361">
        <v>2700000</v>
      </c>
      <c r="F21" s="37" t="s">
        <v>222</v>
      </c>
      <c r="G21" s="79"/>
    </row>
    <row r="22" spans="1:7" hidden="1">
      <c r="A22" s="78">
        <v>41365</v>
      </c>
      <c r="B22" s="37" t="s">
        <v>216</v>
      </c>
      <c r="C22" s="1" t="s">
        <v>104</v>
      </c>
      <c r="D22" s="37" t="s">
        <v>92</v>
      </c>
      <c r="E22" s="361">
        <v>54787</v>
      </c>
      <c r="F22" s="37" t="s">
        <v>222</v>
      </c>
      <c r="G22" s="79"/>
    </row>
    <row r="23" spans="1:7" hidden="1">
      <c r="A23" s="78">
        <v>41365</v>
      </c>
      <c r="B23" s="37" t="s">
        <v>218</v>
      </c>
      <c r="C23" s="1" t="s">
        <v>104</v>
      </c>
      <c r="D23" s="37" t="s">
        <v>92</v>
      </c>
      <c r="E23" s="361">
        <v>513427</v>
      </c>
      <c r="F23" s="37" t="s">
        <v>222</v>
      </c>
      <c r="G23" s="79"/>
    </row>
    <row r="24" spans="1:7" hidden="1">
      <c r="A24" s="78">
        <v>41365</v>
      </c>
      <c r="B24" s="37" t="s">
        <v>217</v>
      </c>
      <c r="C24" s="1" t="s">
        <v>104</v>
      </c>
      <c r="D24" s="37" t="s">
        <v>92</v>
      </c>
      <c r="E24" s="361">
        <v>174455</v>
      </c>
      <c r="F24" s="37" t="s">
        <v>222</v>
      </c>
      <c r="G24" s="79"/>
    </row>
    <row r="25" spans="1:7" hidden="1">
      <c r="A25" s="78">
        <v>41365</v>
      </c>
      <c r="B25" s="37" t="s">
        <v>109</v>
      </c>
      <c r="C25" s="1" t="s">
        <v>104</v>
      </c>
      <c r="D25" s="37" t="s">
        <v>92</v>
      </c>
      <c r="E25" s="361">
        <v>1199947</v>
      </c>
      <c r="F25" s="37" t="s">
        <v>222</v>
      </c>
      <c r="G25" s="79"/>
    </row>
    <row r="26" spans="1:7" hidden="1">
      <c r="A26" s="78">
        <v>41365</v>
      </c>
      <c r="B26" s="37" t="s">
        <v>219</v>
      </c>
      <c r="C26" s="1" t="s">
        <v>104</v>
      </c>
      <c r="D26" s="37" t="s">
        <v>92</v>
      </c>
      <c r="E26" s="361">
        <v>601784</v>
      </c>
      <c r="F26" s="37" t="s">
        <v>222</v>
      </c>
      <c r="G26" s="79"/>
    </row>
    <row r="27" spans="1:7" hidden="1">
      <c r="A27" s="78">
        <v>41365</v>
      </c>
      <c r="B27" s="37" t="s">
        <v>220</v>
      </c>
      <c r="C27" s="1" t="s">
        <v>104</v>
      </c>
      <c r="D27" s="37" t="s">
        <v>92</v>
      </c>
      <c r="E27" s="361">
        <v>1407839</v>
      </c>
      <c r="F27" s="37" t="s">
        <v>222</v>
      </c>
      <c r="G27" s="79"/>
    </row>
    <row r="28" spans="1:7" hidden="1">
      <c r="A28" s="78">
        <v>41365</v>
      </c>
      <c r="B28" s="37" t="s">
        <v>221</v>
      </c>
      <c r="C28" s="1" t="s">
        <v>104</v>
      </c>
      <c r="D28" s="37" t="s">
        <v>92</v>
      </c>
      <c r="E28" s="361">
        <v>117148</v>
      </c>
      <c r="F28" s="37" t="s">
        <v>222</v>
      </c>
      <c r="G28" s="79"/>
    </row>
    <row r="29" spans="1:7" hidden="1">
      <c r="A29" s="80">
        <v>41365</v>
      </c>
      <c r="B29" s="81" t="s">
        <v>172</v>
      </c>
      <c r="C29" s="81" t="s">
        <v>104</v>
      </c>
      <c r="D29" s="81" t="s">
        <v>128</v>
      </c>
      <c r="E29" s="361">
        <v>1380000</v>
      </c>
      <c r="F29" s="37" t="s">
        <v>175</v>
      </c>
      <c r="G29" s="79"/>
    </row>
    <row r="30" spans="1:7" hidden="1">
      <c r="A30" s="80">
        <v>41365</v>
      </c>
      <c r="B30" s="81" t="s">
        <v>172</v>
      </c>
      <c r="C30" s="81" t="s">
        <v>103</v>
      </c>
      <c r="D30" s="81" t="s">
        <v>128</v>
      </c>
      <c r="E30" s="361">
        <v>212400</v>
      </c>
      <c r="F30" s="37" t="s">
        <v>175</v>
      </c>
      <c r="G30" s="79"/>
    </row>
    <row r="31" spans="1:7" hidden="1">
      <c r="A31" s="80">
        <v>41365</v>
      </c>
      <c r="B31" s="81" t="s">
        <v>172</v>
      </c>
      <c r="C31" s="81" t="s">
        <v>171</v>
      </c>
      <c r="D31" s="81" t="s">
        <v>128</v>
      </c>
      <c r="E31" s="361">
        <v>743400</v>
      </c>
      <c r="F31" s="37" t="s">
        <v>175</v>
      </c>
      <c r="G31" s="79"/>
    </row>
    <row r="32" spans="1:7" hidden="1">
      <c r="A32" s="45">
        <v>41395</v>
      </c>
      <c r="B32" s="1" t="s">
        <v>172</v>
      </c>
      <c r="C32" s="1" t="s">
        <v>103</v>
      </c>
      <c r="D32" s="1" t="s">
        <v>128</v>
      </c>
      <c r="E32" s="18">
        <v>3717000</v>
      </c>
      <c r="F32" s="1" t="s">
        <v>223</v>
      </c>
      <c r="G32" s="79"/>
    </row>
    <row r="33" spans="1:7" hidden="1">
      <c r="A33" s="45">
        <v>41395</v>
      </c>
      <c r="B33" s="1" t="s">
        <v>172</v>
      </c>
      <c r="C33" s="1" t="s">
        <v>103</v>
      </c>
      <c r="D33" s="1" t="s">
        <v>128</v>
      </c>
      <c r="E33" s="18">
        <v>1044000</v>
      </c>
      <c r="F33" s="1" t="s">
        <v>224</v>
      </c>
      <c r="G33" s="79"/>
    </row>
    <row r="34" spans="1:7" hidden="1">
      <c r="A34" s="78">
        <v>41395</v>
      </c>
      <c r="B34" s="37" t="s">
        <v>172</v>
      </c>
      <c r="C34" s="37" t="s">
        <v>171</v>
      </c>
      <c r="D34" s="37" t="s">
        <v>128</v>
      </c>
      <c r="E34" s="361">
        <v>4690800</v>
      </c>
      <c r="F34" s="37" t="s">
        <v>225</v>
      </c>
      <c r="G34" s="79"/>
    </row>
    <row r="35" spans="1:7" hidden="1">
      <c r="A35" s="45">
        <v>41395</v>
      </c>
      <c r="B35" s="1" t="s">
        <v>129</v>
      </c>
      <c r="C35" s="1" t="s">
        <v>171</v>
      </c>
      <c r="D35" s="1" t="s">
        <v>128</v>
      </c>
      <c r="E35" s="18">
        <v>15552000</v>
      </c>
      <c r="F35" s="1" t="s">
        <v>233</v>
      </c>
      <c r="G35" s="2"/>
    </row>
    <row r="36" spans="1:7" hidden="1">
      <c r="A36" s="45">
        <v>41395</v>
      </c>
      <c r="B36" s="1" t="s">
        <v>234</v>
      </c>
      <c r="C36" s="1" t="s">
        <v>171</v>
      </c>
      <c r="D36" s="1" t="s">
        <v>128</v>
      </c>
      <c r="E36" s="18">
        <v>576000</v>
      </c>
      <c r="F36" s="1" t="s">
        <v>235</v>
      </c>
      <c r="G36" s="2"/>
    </row>
    <row r="37" spans="1:7" ht="15.75" hidden="1" thickTop="1">
      <c r="A37" s="82">
        <v>41365</v>
      </c>
      <c r="B37" s="1" t="s">
        <v>241</v>
      </c>
      <c r="C37" s="1" t="s">
        <v>171</v>
      </c>
      <c r="D37" s="1" t="s">
        <v>92</v>
      </c>
      <c r="E37" s="18">
        <v>56160</v>
      </c>
      <c r="F37" s="1" t="s">
        <v>242</v>
      </c>
      <c r="G37" s="2"/>
    </row>
    <row r="38" spans="1:7" hidden="1">
      <c r="A38" s="45">
        <v>41030</v>
      </c>
      <c r="B38" s="1" t="s">
        <v>211</v>
      </c>
      <c r="C38" s="1" t="s">
        <v>171</v>
      </c>
      <c r="D38" s="1" t="s">
        <v>128</v>
      </c>
      <c r="E38" s="18">
        <v>10108800</v>
      </c>
      <c r="F38" s="1" t="s">
        <v>212</v>
      </c>
      <c r="G38" s="2"/>
    </row>
    <row r="39" spans="1:7" hidden="1">
      <c r="A39" s="45">
        <v>41061</v>
      </c>
      <c r="B39" s="1" t="s">
        <v>55</v>
      </c>
      <c r="C39" s="1" t="s">
        <v>171</v>
      </c>
      <c r="D39" s="1" t="s">
        <v>128</v>
      </c>
      <c r="E39" s="18">
        <v>3132000</v>
      </c>
      <c r="F39" s="1" t="s">
        <v>247</v>
      </c>
      <c r="G39" s="2"/>
    </row>
    <row r="40" spans="1:7" hidden="1">
      <c r="A40" s="45">
        <v>41061</v>
      </c>
      <c r="B40" s="1" t="s">
        <v>55</v>
      </c>
      <c r="C40" s="37" t="s">
        <v>103</v>
      </c>
      <c r="D40" s="1" t="s">
        <v>128</v>
      </c>
      <c r="E40" s="361">
        <v>3654000</v>
      </c>
      <c r="F40" s="37" t="s">
        <v>248</v>
      </c>
      <c r="G40" s="2"/>
    </row>
    <row r="41" spans="1:7" hidden="1">
      <c r="A41" s="45">
        <v>41061</v>
      </c>
      <c r="B41" s="1" t="s">
        <v>55</v>
      </c>
      <c r="C41" s="37" t="s">
        <v>103</v>
      </c>
      <c r="D41" s="1" t="s">
        <v>128</v>
      </c>
      <c r="E41" s="361">
        <v>874800</v>
      </c>
      <c r="F41" s="37" t="s">
        <v>249</v>
      </c>
      <c r="G41" s="2"/>
    </row>
    <row r="42" spans="1:7" hidden="1">
      <c r="A42" s="45">
        <v>41030</v>
      </c>
      <c r="B42" s="1" t="s">
        <v>214</v>
      </c>
      <c r="C42" s="37" t="s">
        <v>215</v>
      </c>
      <c r="D42" s="37" t="s">
        <v>92</v>
      </c>
      <c r="E42" s="361">
        <v>2340000</v>
      </c>
      <c r="F42" s="37" t="s">
        <v>222</v>
      </c>
      <c r="G42" s="2"/>
    </row>
    <row r="43" spans="1:7" hidden="1">
      <c r="A43" s="45">
        <v>41061</v>
      </c>
      <c r="B43" s="1" t="s">
        <v>55</v>
      </c>
      <c r="C43" s="1" t="s">
        <v>171</v>
      </c>
      <c r="D43" s="1" t="s">
        <v>128</v>
      </c>
      <c r="E43" s="361">
        <v>319200</v>
      </c>
      <c r="F43" s="37" t="s">
        <v>251</v>
      </c>
      <c r="G43" s="2"/>
    </row>
    <row r="44" spans="1:7" hidden="1">
      <c r="A44" s="45">
        <v>41030</v>
      </c>
      <c r="B44" s="1" t="s">
        <v>98</v>
      </c>
      <c r="C44" s="37"/>
      <c r="D44" s="1" t="s">
        <v>128</v>
      </c>
      <c r="E44" s="361">
        <v>990000</v>
      </c>
      <c r="F44" s="37" t="s">
        <v>215</v>
      </c>
      <c r="G44" s="2"/>
    </row>
    <row r="45" spans="1:7" hidden="1">
      <c r="A45" s="45">
        <v>41395</v>
      </c>
      <c r="B45" s="81" t="s">
        <v>172</v>
      </c>
      <c r="C45" s="81" t="s">
        <v>171</v>
      </c>
      <c r="D45" s="81" t="s">
        <v>128</v>
      </c>
      <c r="E45" s="361">
        <v>4681000</v>
      </c>
      <c r="F45" s="37" t="s">
        <v>252</v>
      </c>
      <c r="G45" s="2"/>
    </row>
    <row r="46" spans="1:7" hidden="1">
      <c r="A46" s="45">
        <v>41395</v>
      </c>
      <c r="B46" s="81" t="s">
        <v>172</v>
      </c>
      <c r="C46" s="81" t="s">
        <v>103</v>
      </c>
      <c r="D46" s="81" t="s">
        <v>128</v>
      </c>
      <c r="E46" s="361">
        <v>1053000</v>
      </c>
      <c r="F46" s="37" t="s">
        <v>253</v>
      </c>
      <c r="G46" s="2"/>
    </row>
    <row r="47" spans="1:7" hidden="1">
      <c r="A47" s="45">
        <v>41395</v>
      </c>
      <c r="B47" s="81" t="s">
        <v>172</v>
      </c>
      <c r="C47" s="81" t="s">
        <v>103</v>
      </c>
      <c r="D47" s="81" t="s">
        <v>128</v>
      </c>
      <c r="E47" s="361">
        <v>318600</v>
      </c>
      <c r="F47" s="37" t="s">
        <v>255</v>
      </c>
      <c r="G47" s="2"/>
    </row>
    <row r="48" spans="1:7" hidden="1">
      <c r="A48" s="45">
        <v>41395</v>
      </c>
      <c r="B48" s="81" t="s">
        <v>172</v>
      </c>
      <c r="C48" s="81" t="s">
        <v>103</v>
      </c>
      <c r="D48" s="81" t="s">
        <v>128</v>
      </c>
      <c r="E48" s="18">
        <v>3610800</v>
      </c>
      <c r="F48" s="1" t="s">
        <v>254</v>
      </c>
      <c r="G48" s="2"/>
    </row>
    <row r="49" spans="1:7" hidden="1">
      <c r="A49" s="45">
        <v>41395</v>
      </c>
      <c r="B49" s="81" t="s">
        <v>172</v>
      </c>
      <c r="C49" s="81" t="s">
        <v>256</v>
      </c>
      <c r="D49" s="81" t="s">
        <v>128</v>
      </c>
      <c r="E49" s="18">
        <v>849600</v>
      </c>
      <c r="F49" s="1" t="s">
        <v>257</v>
      </c>
      <c r="G49" s="2"/>
    </row>
    <row r="50" spans="1:7" hidden="1">
      <c r="A50" s="45">
        <v>41395</v>
      </c>
      <c r="B50" s="81" t="s">
        <v>172</v>
      </c>
      <c r="C50" s="1" t="s">
        <v>104</v>
      </c>
      <c r="D50" s="81" t="s">
        <v>128</v>
      </c>
      <c r="E50" s="18">
        <v>743400</v>
      </c>
      <c r="F50" s="1" t="s">
        <v>258</v>
      </c>
      <c r="G50" s="2"/>
    </row>
    <row r="51" spans="1:7" hidden="1">
      <c r="A51" s="45">
        <v>41395</v>
      </c>
      <c r="B51" s="94" t="s">
        <v>259</v>
      </c>
      <c r="C51" s="37" t="s">
        <v>171</v>
      </c>
      <c r="D51" s="94" t="s">
        <v>96</v>
      </c>
      <c r="E51" s="361">
        <v>7200000</v>
      </c>
      <c r="F51" s="37" t="s">
        <v>260</v>
      </c>
      <c r="G51" s="79"/>
    </row>
    <row r="52" spans="1:7" hidden="1">
      <c r="A52" s="78">
        <v>41395</v>
      </c>
      <c r="B52" s="37" t="s">
        <v>216</v>
      </c>
      <c r="C52" s="1" t="s">
        <v>104</v>
      </c>
      <c r="D52" s="37" t="s">
        <v>96</v>
      </c>
      <c r="E52" s="361">
        <f>126867+75876</f>
        <v>202743</v>
      </c>
      <c r="F52" s="37" t="s">
        <v>222</v>
      </c>
      <c r="G52" s="79" t="s">
        <v>279</v>
      </c>
    </row>
    <row r="53" spans="1:7" hidden="1">
      <c r="A53" s="78">
        <v>41395</v>
      </c>
      <c r="B53" s="37" t="s">
        <v>218</v>
      </c>
      <c r="C53" s="1" t="s">
        <v>104</v>
      </c>
      <c r="D53" s="37" t="s">
        <v>96</v>
      </c>
      <c r="E53" s="361">
        <v>608876</v>
      </c>
      <c r="F53" s="37" t="s">
        <v>222</v>
      </c>
      <c r="G53" s="79" t="s">
        <v>276</v>
      </c>
    </row>
    <row r="54" spans="1:7" hidden="1">
      <c r="A54" s="78">
        <v>41395</v>
      </c>
      <c r="B54" s="37" t="s">
        <v>217</v>
      </c>
      <c r="C54" s="1" t="s">
        <v>104</v>
      </c>
      <c r="D54" s="37" t="s">
        <v>96</v>
      </c>
      <c r="E54" s="361">
        <f>96639+85307</f>
        <v>181946</v>
      </c>
      <c r="F54" s="37" t="s">
        <v>222</v>
      </c>
      <c r="G54" s="79" t="s">
        <v>275</v>
      </c>
    </row>
    <row r="55" spans="1:7" hidden="1">
      <c r="A55" s="78">
        <v>41395</v>
      </c>
      <c r="B55" s="37" t="s">
        <v>109</v>
      </c>
      <c r="C55" s="1" t="s">
        <v>104</v>
      </c>
      <c r="D55" s="37" t="s">
        <v>96</v>
      </c>
      <c r="E55" s="361">
        <f>2244705+970220</f>
        <v>3214925</v>
      </c>
      <c r="F55" s="37" t="s">
        <v>222</v>
      </c>
      <c r="G55" s="79" t="s">
        <v>277</v>
      </c>
    </row>
    <row r="56" spans="1:7" hidden="1">
      <c r="A56" s="78">
        <v>41395</v>
      </c>
      <c r="B56" s="37" t="s">
        <v>219</v>
      </c>
      <c r="C56" s="1" t="s">
        <v>104</v>
      </c>
      <c r="D56" s="37" t="s">
        <v>96</v>
      </c>
      <c r="E56" s="361">
        <f>777626+278243</f>
        <v>1055869</v>
      </c>
      <c r="F56" s="37" t="s">
        <v>222</v>
      </c>
      <c r="G56" s="79" t="s">
        <v>278</v>
      </c>
    </row>
    <row r="57" spans="1:7" hidden="1">
      <c r="A57" s="78">
        <v>41395</v>
      </c>
      <c r="B57" s="37" t="s">
        <v>220</v>
      </c>
      <c r="C57" s="1" t="s">
        <v>104</v>
      </c>
      <c r="D57" s="37" t="s">
        <v>96</v>
      </c>
      <c r="E57" s="361">
        <f>1365894+901226</f>
        <v>2267120</v>
      </c>
      <c r="F57" s="37" t="s">
        <v>222</v>
      </c>
      <c r="G57" s="79" t="s">
        <v>281</v>
      </c>
    </row>
    <row r="58" spans="1:7" hidden="1">
      <c r="A58" s="78">
        <v>41395</v>
      </c>
      <c r="B58" s="37" t="s">
        <v>221</v>
      </c>
      <c r="C58" s="1" t="s">
        <v>104</v>
      </c>
      <c r="D58" s="37" t="s">
        <v>96</v>
      </c>
      <c r="E58" s="361">
        <f>354874+77626</f>
        <v>432500</v>
      </c>
      <c r="F58" s="37" t="s">
        <v>222</v>
      </c>
      <c r="G58" s="79" t="s">
        <v>280</v>
      </c>
    </row>
    <row r="59" spans="1:7" hidden="1">
      <c r="A59" s="78">
        <v>41395</v>
      </c>
      <c r="B59" s="37" t="s">
        <v>109</v>
      </c>
      <c r="C59" s="1" t="s">
        <v>104</v>
      </c>
      <c r="D59" s="37" t="s">
        <v>96</v>
      </c>
      <c r="E59" s="361">
        <v>1389894</v>
      </c>
      <c r="F59" s="37" t="s">
        <v>282</v>
      </c>
      <c r="G59" s="79"/>
    </row>
    <row r="60" spans="1:7" hidden="1">
      <c r="A60" s="78">
        <v>41395</v>
      </c>
      <c r="B60" s="37" t="s">
        <v>241</v>
      </c>
      <c r="C60" s="1" t="s">
        <v>171</v>
      </c>
      <c r="D60" s="37" t="s">
        <v>92</v>
      </c>
      <c r="E60" s="361">
        <v>140400</v>
      </c>
      <c r="F60" s="37" t="s">
        <v>242</v>
      </c>
      <c r="G60" s="79"/>
    </row>
    <row r="61" spans="1:7" hidden="1">
      <c r="A61" s="45">
        <v>41395</v>
      </c>
      <c r="B61" s="1" t="s">
        <v>6</v>
      </c>
      <c r="C61" s="1" t="s">
        <v>104</v>
      </c>
      <c r="D61" s="1" t="s">
        <v>92</v>
      </c>
      <c r="E61" s="18">
        <v>1000020</v>
      </c>
      <c r="F61" s="1" t="s">
        <v>283</v>
      </c>
      <c r="G61" s="79"/>
    </row>
    <row r="62" spans="1:7" hidden="1">
      <c r="A62" s="78">
        <v>41395</v>
      </c>
      <c r="B62" s="37" t="s">
        <v>208</v>
      </c>
      <c r="C62" s="1" t="s">
        <v>171</v>
      </c>
      <c r="D62" s="37" t="s">
        <v>128</v>
      </c>
      <c r="E62" s="361">
        <v>360000</v>
      </c>
      <c r="F62" s="37" t="s">
        <v>209</v>
      </c>
      <c r="G62" s="79"/>
    </row>
    <row r="63" spans="1:7" hidden="1">
      <c r="A63" s="78">
        <v>41426</v>
      </c>
      <c r="B63" s="1" t="s">
        <v>55</v>
      </c>
      <c r="C63" s="1" t="s">
        <v>171</v>
      </c>
      <c r="D63" s="37" t="s">
        <v>128</v>
      </c>
      <c r="E63" s="361">
        <v>342000</v>
      </c>
      <c r="F63" s="37" t="s">
        <v>287</v>
      </c>
      <c r="G63" s="79"/>
    </row>
    <row r="64" spans="1:7" hidden="1">
      <c r="A64" s="78">
        <v>41426</v>
      </c>
      <c r="B64" s="1" t="s">
        <v>55</v>
      </c>
      <c r="C64" s="1" t="s">
        <v>171</v>
      </c>
      <c r="D64" s="37" t="s">
        <v>128</v>
      </c>
      <c r="E64" s="361">
        <v>2767800</v>
      </c>
      <c r="F64" s="37" t="s">
        <v>288</v>
      </c>
      <c r="G64" s="79"/>
    </row>
    <row r="65" spans="1:7" hidden="1">
      <c r="A65" s="78">
        <v>41426</v>
      </c>
      <c r="B65" s="1" t="s">
        <v>55</v>
      </c>
      <c r="C65" s="1" t="s">
        <v>103</v>
      </c>
      <c r="D65" s="37" t="s">
        <v>128</v>
      </c>
      <c r="E65" s="361">
        <v>4437000</v>
      </c>
      <c r="F65" s="37" t="s">
        <v>289</v>
      </c>
      <c r="G65" s="79"/>
    </row>
    <row r="66" spans="1:7" hidden="1">
      <c r="A66" s="78">
        <v>41426</v>
      </c>
      <c r="B66" s="37" t="s">
        <v>241</v>
      </c>
      <c r="C66" s="1" t="s">
        <v>171</v>
      </c>
      <c r="D66" s="37" t="s">
        <v>92</v>
      </c>
      <c r="E66" s="361">
        <v>56160</v>
      </c>
      <c r="F66" s="37" t="s">
        <v>242</v>
      </c>
      <c r="G66" s="79"/>
    </row>
    <row r="67" spans="1:7" hidden="1">
      <c r="A67" s="78">
        <v>41426</v>
      </c>
      <c r="B67" s="37" t="s">
        <v>216</v>
      </c>
      <c r="C67" s="1" t="s">
        <v>104</v>
      </c>
      <c r="D67" s="37" t="s">
        <v>96</v>
      </c>
      <c r="E67" s="361">
        <v>47416</v>
      </c>
      <c r="F67" s="37" t="s">
        <v>222</v>
      </c>
      <c r="G67" s="79"/>
    </row>
    <row r="68" spans="1:7" hidden="1">
      <c r="A68" s="78">
        <v>41426</v>
      </c>
      <c r="B68" s="37" t="s">
        <v>218</v>
      </c>
      <c r="C68" s="1" t="s">
        <v>104</v>
      </c>
      <c r="D68" s="37" t="s">
        <v>96</v>
      </c>
      <c r="E68" s="361">
        <v>369040</v>
      </c>
      <c r="F68" s="37" t="s">
        <v>222</v>
      </c>
      <c r="G68" s="79"/>
    </row>
    <row r="69" spans="1:7" hidden="1">
      <c r="A69" s="78">
        <v>41426</v>
      </c>
      <c r="B69" s="37" t="s">
        <v>217</v>
      </c>
      <c r="C69" s="1" t="s">
        <v>104</v>
      </c>
      <c r="D69" s="37" t="s">
        <v>96</v>
      </c>
      <c r="E69" s="361">
        <v>64889</v>
      </c>
      <c r="F69" s="37" t="s">
        <v>222</v>
      </c>
      <c r="G69" s="79"/>
    </row>
    <row r="70" spans="1:7" hidden="1">
      <c r="A70" s="78">
        <v>41426</v>
      </c>
      <c r="B70" s="37" t="s">
        <v>109</v>
      </c>
      <c r="C70" s="1" t="s">
        <v>104</v>
      </c>
      <c r="D70" s="37" t="s">
        <v>96</v>
      </c>
      <c r="E70" s="361">
        <v>656642</v>
      </c>
      <c r="F70" s="37" t="s">
        <v>222</v>
      </c>
      <c r="G70" s="79"/>
    </row>
    <row r="71" spans="1:7" hidden="1">
      <c r="A71" s="78">
        <v>41426</v>
      </c>
      <c r="B71" s="37" t="s">
        <v>219</v>
      </c>
      <c r="C71" s="1" t="s">
        <v>104</v>
      </c>
      <c r="D71" s="37" t="s">
        <v>96</v>
      </c>
      <c r="E71" s="361">
        <v>361786</v>
      </c>
      <c r="F71" s="37" t="s">
        <v>222</v>
      </c>
      <c r="G71" s="79"/>
    </row>
    <row r="72" spans="1:7" hidden="1">
      <c r="A72" s="78">
        <v>41426</v>
      </c>
      <c r="B72" s="37" t="s">
        <v>220</v>
      </c>
      <c r="C72" s="1" t="s">
        <v>104</v>
      </c>
      <c r="D72" s="37" t="s">
        <v>96</v>
      </c>
      <c r="E72" s="361">
        <v>570911</v>
      </c>
      <c r="F72" s="37" t="s">
        <v>222</v>
      </c>
      <c r="G72" s="79"/>
    </row>
    <row r="73" spans="1:7" hidden="1">
      <c r="A73" s="78">
        <v>41426</v>
      </c>
      <c r="B73" s="37" t="s">
        <v>221</v>
      </c>
      <c r="C73" s="1" t="s">
        <v>104</v>
      </c>
      <c r="D73" s="37" t="s">
        <v>96</v>
      </c>
      <c r="E73" s="361">
        <v>100945</v>
      </c>
      <c r="F73" s="37" t="s">
        <v>222</v>
      </c>
      <c r="G73" s="79"/>
    </row>
    <row r="74" spans="1:7" hidden="1">
      <c r="A74" s="78">
        <v>41426</v>
      </c>
      <c r="B74" s="37" t="s">
        <v>208</v>
      </c>
      <c r="C74" s="1" t="s">
        <v>171</v>
      </c>
      <c r="D74" s="37" t="s">
        <v>128</v>
      </c>
      <c r="E74" s="361">
        <v>1680000</v>
      </c>
      <c r="F74" s="37" t="s">
        <v>288</v>
      </c>
      <c r="G74" s="79"/>
    </row>
    <row r="75" spans="1:7" hidden="1">
      <c r="A75" s="78">
        <v>41426</v>
      </c>
      <c r="B75" s="37" t="s">
        <v>208</v>
      </c>
      <c r="C75" s="1" t="s">
        <v>171</v>
      </c>
      <c r="D75" s="37" t="s">
        <v>128</v>
      </c>
      <c r="E75" s="361">
        <v>360000</v>
      </c>
      <c r="F75" s="37" t="s">
        <v>209</v>
      </c>
      <c r="G75" s="79"/>
    </row>
    <row r="76" spans="1:7" hidden="1">
      <c r="A76" s="78">
        <v>41426</v>
      </c>
      <c r="B76" s="37" t="s">
        <v>299</v>
      </c>
      <c r="C76" s="1" t="s">
        <v>104</v>
      </c>
      <c r="D76" s="37" t="s">
        <v>92</v>
      </c>
      <c r="E76" s="361">
        <v>6574075</v>
      </c>
      <c r="F76" s="37" t="s">
        <v>222</v>
      </c>
      <c r="G76" s="79"/>
    </row>
    <row r="77" spans="1:7" hidden="1">
      <c r="A77" s="78">
        <v>41426</v>
      </c>
      <c r="B77" s="1" t="s">
        <v>214</v>
      </c>
      <c r="C77" s="37" t="s">
        <v>215</v>
      </c>
      <c r="D77" s="37" t="s">
        <v>92</v>
      </c>
      <c r="E77" s="361">
        <v>4680000</v>
      </c>
      <c r="F77" s="37" t="s">
        <v>222</v>
      </c>
      <c r="G77" s="79"/>
    </row>
    <row r="78" spans="1:7" hidden="1">
      <c r="A78" s="78">
        <v>41426</v>
      </c>
      <c r="B78" s="37" t="s">
        <v>211</v>
      </c>
      <c r="C78" s="37" t="s">
        <v>171</v>
      </c>
      <c r="D78" s="94" t="s">
        <v>128</v>
      </c>
      <c r="E78" s="361">
        <v>3463200</v>
      </c>
      <c r="F78" s="37" t="s">
        <v>212</v>
      </c>
      <c r="G78" s="79"/>
    </row>
    <row r="79" spans="1:7" hidden="1">
      <c r="A79" s="78">
        <v>41426</v>
      </c>
      <c r="B79" s="37" t="s">
        <v>259</v>
      </c>
      <c r="C79" s="37" t="s">
        <v>171</v>
      </c>
      <c r="D79" s="37" t="s">
        <v>96</v>
      </c>
      <c r="E79" s="361">
        <v>1592114</v>
      </c>
      <c r="F79" s="37" t="s">
        <v>300</v>
      </c>
      <c r="G79" s="79"/>
    </row>
    <row r="80" spans="1:7" hidden="1">
      <c r="A80" s="78">
        <v>41426</v>
      </c>
      <c r="B80" s="81" t="s">
        <v>172</v>
      </c>
      <c r="C80" s="1" t="s">
        <v>103</v>
      </c>
      <c r="D80" s="94" t="s">
        <v>128</v>
      </c>
      <c r="E80" s="18">
        <v>3717000</v>
      </c>
      <c r="F80" s="1" t="s">
        <v>254</v>
      </c>
      <c r="G80" s="79"/>
    </row>
    <row r="81" spans="1:7" hidden="1">
      <c r="A81" s="78">
        <v>41426</v>
      </c>
      <c r="B81" s="81" t="s">
        <v>172</v>
      </c>
      <c r="C81" s="1" t="s">
        <v>103</v>
      </c>
      <c r="D81" s="94" t="s">
        <v>128</v>
      </c>
      <c r="E81" s="361">
        <v>1056000</v>
      </c>
      <c r="F81" s="1" t="s">
        <v>304</v>
      </c>
      <c r="G81" s="79"/>
    </row>
    <row r="82" spans="1:7" hidden="1">
      <c r="A82" s="78">
        <v>41426</v>
      </c>
      <c r="B82" s="81" t="s">
        <v>172</v>
      </c>
      <c r="C82" s="1" t="s">
        <v>171</v>
      </c>
      <c r="D82" s="94" t="s">
        <v>128</v>
      </c>
      <c r="E82" s="361">
        <v>4785000</v>
      </c>
      <c r="F82" s="37" t="s">
        <v>305</v>
      </c>
      <c r="G82" s="79"/>
    </row>
    <row r="83" spans="1:7" hidden="1">
      <c r="A83" s="78">
        <v>41426</v>
      </c>
      <c r="B83" s="81" t="s">
        <v>172</v>
      </c>
      <c r="C83" s="1" t="s">
        <v>104</v>
      </c>
      <c r="D83" s="94" t="s">
        <v>128</v>
      </c>
      <c r="E83" s="18">
        <v>1486800</v>
      </c>
      <c r="F83" s="1" t="s">
        <v>258</v>
      </c>
      <c r="G83" s="79"/>
    </row>
    <row r="84" spans="1:7" hidden="1">
      <c r="A84" s="78">
        <v>41426</v>
      </c>
      <c r="B84" s="81" t="s">
        <v>172</v>
      </c>
      <c r="C84" s="1" t="s">
        <v>171</v>
      </c>
      <c r="D84" s="94" t="s">
        <v>128</v>
      </c>
      <c r="E84" s="361">
        <v>1486800</v>
      </c>
      <c r="F84" s="1" t="s">
        <v>306</v>
      </c>
      <c r="G84" s="79"/>
    </row>
    <row r="85" spans="1:7" hidden="1">
      <c r="A85" s="78">
        <v>41426</v>
      </c>
      <c r="B85" s="81" t="s">
        <v>172</v>
      </c>
      <c r="C85" s="1" t="s">
        <v>103</v>
      </c>
      <c r="D85" s="94" t="s">
        <v>128</v>
      </c>
      <c r="E85" s="361">
        <v>212400</v>
      </c>
      <c r="F85" s="1" t="s">
        <v>307</v>
      </c>
      <c r="G85" s="79"/>
    </row>
    <row r="86" spans="1:7" hidden="1">
      <c r="A86" s="78">
        <v>41426</v>
      </c>
      <c r="B86" s="81" t="s">
        <v>172</v>
      </c>
      <c r="C86" s="1" t="s">
        <v>104</v>
      </c>
      <c r="D86" s="94" t="s">
        <v>128</v>
      </c>
      <c r="E86" s="361">
        <v>531000</v>
      </c>
      <c r="F86" s="37" t="s">
        <v>308</v>
      </c>
      <c r="G86" s="79"/>
    </row>
    <row r="87" spans="1:7" hidden="1">
      <c r="A87" s="78">
        <v>41426</v>
      </c>
      <c r="B87" s="81" t="s">
        <v>172</v>
      </c>
      <c r="C87" s="1" t="s">
        <v>103</v>
      </c>
      <c r="D87" s="94" t="s">
        <v>128</v>
      </c>
      <c r="E87" s="361">
        <v>531000</v>
      </c>
      <c r="F87" s="37" t="s">
        <v>308</v>
      </c>
      <c r="G87" s="79"/>
    </row>
    <row r="88" spans="1:7" hidden="1">
      <c r="A88" s="78">
        <v>41456</v>
      </c>
      <c r="B88" s="37" t="s">
        <v>241</v>
      </c>
      <c r="C88" s="1" t="s">
        <v>171</v>
      </c>
      <c r="D88" s="37" t="s">
        <v>92</v>
      </c>
      <c r="E88" s="361">
        <v>140400</v>
      </c>
      <c r="F88" s="37" t="s">
        <v>242</v>
      </c>
      <c r="G88" s="79"/>
    </row>
    <row r="89" spans="1:7" hidden="1">
      <c r="A89" s="78">
        <v>41487</v>
      </c>
      <c r="B89" s="37" t="s">
        <v>241</v>
      </c>
      <c r="C89" s="1" t="s">
        <v>171</v>
      </c>
      <c r="D89" s="37" t="s">
        <v>92</v>
      </c>
      <c r="E89" s="361">
        <v>56160</v>
      </c>
      <c r="F89" s="37" t="s">
        <v>242</v>
      </c>
      <c r="G89" s="79"/>
    </row>
    <row r="90" spans="1:7" hidden="1">
      <c r="A90" s="78">
        <v>41487</v>
      </c>
      <c r="B90" s="1" t="s">
        <v>55</v>
      </c>
      <c r="C90" s="1" t="s">
        <v>171</v>
      </c>
      <c r="D90" s="37" t="s">
        <v>128</v>
      </c>
      <c r="E90" s="361">
        <v>342000</v>
      </c>
      <c r="F90" s="37" t="s">
        <v>315</v>
      </c>
      <c r="G90" s="79"/>
    </row>
    <row r="91" spans="1:7" hidden="1">
      <c r="A91" s="78">
        <v>41487</v>
      </c>
      <c r="B91" s="1" t="s">
        <v>55</v>
      </c>
      <c r="C91" s="1" t="s">
        <v>103</v>
      </c>
      <c r="D91" s="37" t="s">
        <v>128</v>
      </c>
      <c r="E91" s="361">
        <v>500000</v>
      </c>
      <c r="F91" s="37" t="s">
        <v>316</v>
      </c>
      <c r="G91" s="79"/>
    </row>
    <row r="92" spans="1:7" hidden="1">
      <c r="A92" s="78">
        <v>41487</v>
      </c>
      <c r="B92" s="1" t="s">
        <v>55</v>
      </c>
      <c r="C92" s="1" t="s">
        <v>103</v>
      </c>
      <c r="D92" s="37" t="s">
        <v>128</v>
      </c>
      <c r="E92" s="361">
        <v>4437000</v>
      </c>
      <c r="F92" s="37" t="s">
        <v>317</v>
      </c>
      <c r="G92" s="79"/>
    </row>
    <row r="93" spans="1:7" hidden="1">
      <c r="A93" s="78">
        <v>41487</v>
      </c>
      <c r="B93" s="1" t="s">
        <v>55</v>
      </c>
      <c r="C93" s="1" t="s">
        <v>171</v>
      </c>
      <c r="D93" s="37" t="s">
        <v>128</v>
      </c>
      <c r="E93" s="361">
        <v>2769400</v>
      </c>
      <c r="F93" s="37" t="s">
        <v>288</v>
      </c>
      <c r="G93" s="79"/>
    </row>
    <row r="94" spans="1:7" hidden="1">
      <c r="A94" s="106">
        <v>41456</v>
      </c>
      <c r="B94" s="31" t="s">
        <v>55</v>
      </c>
      <c r="C94" s="31" t="s">
        <v>318</v>
      </c>
      <c r="D94" s="107" t="s">
        <v>128</v>
      </c>
      <c r="E94" s="362">
        <v>6406800</v>
      </c>
      <c r="F94" s="107" t="s">
        <v>319</v>
      </c>
      <c r="G94" s="79"/>
    </row>
    <row r="95" spans="1:7" hidden="1">
      <c r="A95" s="106">
        <v>41456</v>
      </c>
      <c r="B95" s="107" t="s">
        <v>320</v>
      </c>
      <c r="C95" s="31" t="s">
        <v>318</v>
      </c>
      <c r="D95" s="107" t="s">
        <v>128</v>
      </c>
      <c r="E95" s="362">
        <v>120000</v>
      </c>
      <c r="F95" s="107" t="s">
        <v>319</v>
      </c>
      <c r="G95" s="79"/>
    </row>
    <row r="96" spans="1:7" hidden="1">
      <c r="A96" s="106">
        <v>41456</v>
      </c>
      <c r="B96" s="107" t="s">
        <v>172</v>
      </c>
      <c r="C96" s="31" t="s">
        <v>318</v>
      </c>
      <c r="D96" s="107"/>
      <c r="E96" s="362">
        <v>106200</v>
      </c>
      <c r="F96" s="107" t="s">
        <v>319</v>
      </c>
      <c r="G96" s="79"/>
    </row>
    <row r="97" spans="1:7" hidden="1">
      <c r="A97" s="106">
        <v>41456</v>
      </c>
      <c r="B97" s="107" t="s">
        <v>172</v>
      </c>
      <c r="C97" s="31" t="s">
        <v>318</v>
      </c>
      <c r="D97" s="107"/>
      <c r="E97" s="362">
        <v>5310000</v>
      </c>
      <c r="F97" s="107" t="s">
        <v>319</v>
      </c>
      <c r="G97" s="79"/>
    </row>
    <row r="98" spans="1:7" hidden="1">
      <c r="A98" s="78">
        <v>41487</v>
      </c>
      <c r="B98" s="37" t="s">
        <v>214</v>
      </c>
      <c r="C98" s="1" t="s">
        <v>215</v>
      </c>
      <c r="D98" s="37" t="s">
        <v>92</v>
      </c>
      <c r="E98" s="361">
        <v>5130000</v>
      </c>
      <c r="F98" s="37" t="s">
        <v>335</v>
      </c>
      <c r="G98" s="79"/>
    </row>
    <row r="99" spans="1:7" hidden="1">
      <c r="A99" s="78">
        <v>41456</v>
      </c>
      <c r="B99" s="37" t="s">
        <v>217</v>
      </c>
      <c r="C99" s="1" t="s">
        <v>215</v>
      </c>
      <c r="D99" s="37" t="s">
        <v>96</v>
      </c>
      <c r="E99" s="361">
        <v>1399986</v>
      </c>
      <c r="F99" s="37" t="s">
        <v>335</v>
      </c>
      <c r="G99" s="79"/>
    </row>
    <row r="100" spans="1:7" hidden="1">
      <c r="A100" s="78">
        <v>41456</v>
      </c>
      <c r="B100" s="37" t="s">
        <v>217</v>
      </c>
      <c r="C100" s="1" t="s">
        <v>215</v>
      </c>
      <c r="D100" s="37" t="s">
        <v>96</v>
      </c>
      <c r="E100" s="361">
        <v>2704805</v>
      </c>
      <c r="F100" s="37" t="s">
        <v>335</v>
      </c>
      <c r="G100" s="79"/>
    </row>
    <row r="101" spans="1:7" hidden="1">
      <c r="A101" s="78">
        <v>41456</v>
      </c>
      <c r="B101" s="37" t="s">
        <v>218</v>
      </c>
      <c r="C101" s="1" t="s">
        <v>215</v>
      </c>
      <c r="D101" s="37" t="s">
        <v>96</v>
      </c>
      <c r="E101" s="361">
        <v>197119</v>
      </c>
      <c r="F101" s="37" t="s">
        <v>335</v>
      </c>
      <c r="G101" s="79"/>
    </row>
    <row r="102" spans="1:7" hidden="1">
      <c r="A102" s="78">
        <v>41456</v>
      </c>
      <c r="B102" s="37" t="s">
        <v>211</v>
      </c>
      <c r="C102" s="1" t="s">
        <v>171</v>
      </c>
      <c r="D102" s="37" t="s">
        <v>96</v>
      </c>
      <c r="E102" s="361">
        <v>5594400</v>
      </c>
      <c r="F102" s="37" t="s">
        <v>344</v>
      </c>
      <c r="G102" s="79"/>
    </row>
    <row r="103" spans="1:7" hidden="1">
      <c r="A103" s="78">
        <v>41456</v>
      </c>
      <c r="B103" s="37" t="s">
        <v>345</v>
      </c>
      <c r="C103" s="1" t="s">
        <v>171</v>
      </c>
      <c r="D103" s="37" t="s">
        <v>96</v>
      </c>
      <c r="E103" s="361">
        <v>747861</v>
      </c>
      <c r="F103" s="37" t="s">
        <v>344</v>
      </c>
      <c r="G103" s="79"/>
    </row>
    <row r="104" spans="1:7" hidden="1">
      <c r="A104" s="78">
        <v>41456</v>
      </c>
      <c r="B104" s="37" t="s">
        <v>345</v>
      </c>
      <c r="C104" s="1" t="s">
        <v>171</v>
      </c>
      <c r="D104" s="37" t="s">
        <v>96</v>
      </c>
      <c r="E104" s="361">
        <v>1620000</v>
      </c>
      <c r="F104" s="37" t="s">
        <v>282</v>
      </c>
      <c r="G104" s="79"/>
    </row>
    <row r="105" spans="1:7" hidden="1">
      <c r="A105" s="78">
        <v>41456</v>
      </c>
      <c r="B105" s="37" t="s">
        <v>345</v>
      </c>
      <c r="C105" s="1" t="s">
        <v>171</v>
      </c>
      <c r="D105" s="37" t="s">
        <v>96</v>
      </c>
      <c r="E105" s="361">
        <v>1125000</v>
      </c>
      <c r="F105" s="37" t="s">
        <v>346</v>
      </c>
      <c r="G105" s="79"/>
    </row>
    <row r="106" spans="1:7" hidden="1">
      <c r="A106" s="78">
        <v>41456</v>
      </c>
      <c r="B106" s="37" t="s">
        <v>345</v>
      </c>
      <c r="C106" s="1" t="s">
        <v>171</v>
      </c>
      <c r="D106" s="37" t="s">
        <v>96</v>
      </c>
      <c r="E106" s="361">
        <v>495000</v>
      </c>
      <c r="F106" s="37" t="s">
        <v>347</v>
      </c>
      <c r="G106" s="79"/>
    </row>
    <row r="107" spans="1:7" hidden="1">
      <c r="A107" s="78">
        <v>41456</v>
      </c>
      <c r="B107" s="37" t="s">
        <v>348</v>
      </c>
      <c r="C107" s="1" t="s">
        <v>171</v>
      </c>
      <c r="D107" s="37" t="s">
        <v>128</v>
      </c>
      <c r="E107" s="361">
        <v>4779000</v>
      </c>
      <c r="F107" s="37" t="s">
        <v>349</v>
      </c>
      <c r="G107" s="79"/>
    </row>
    <row r="108" spans="1:7" hidden="1">
      <c r="A108" s="78">
        <v>41456</v>
      </c>
      <c r="B108" s="37" t="s">
        <v>348</v>
      </c>
      <c r="C108" s="1" t="s">
        <v>103</v>
      </c>
      <c r="D108" s="37" t="s">
        <v>128</v>
      </c>
      <c r="E108" s="361">
        <v>1062000</v>
      </c>
      <c r="F108" s="37" t="s">
        <v>349</v>
      </c>
      <c r="G108" s="79"/>
    </row>
    <row r="109" spans="1:7" hidden="1">
      <c r="A109" s="78">
        <v>41456</v>
      </c>
      <c r="B109" s="37" t="s">
        <v>348</v>
      </c>
      <c r="C109" s="1" t="s">
        <v>171</v>
      </c>
      <c r="D109" s="37" t="s">
        <v>128</v>
      </c>
      <c r="E109" s="361">
        <v>4248000</v>
      </c>
      <c r="F109" s="37" t="s">
        <v>350</v>
      </c>
      <c r="G109" s="79"/>
    </row>
    <row r="110" spans="1:7" hidden="1">
      <c r="A110" s="78">
        <v>41456</v>
      </c>
      <c r="B110" s="37" t="s">
        <v>348</v>
      </c>
      <c r="C110" s="1" t="s">
        <v>104</v>
      </c>
      <c r="D110" s="37" t="s">
        <v>128</v>
      </c>
      <c r="E110" s="361">
        <v>531000</v>
      </c>
      <c r="F110" s="37" t="s">
        <v>351</v>
      </c>
      <c r="G110" s="79"/>
    </row>
    <row r="111" spans="1:7" hidden="1">
      <c r="A111" s="78">
        <v>41456</v>
      </c>
      <c r="B111" s="37" t="s">
        <v>348</v>
      </c>
      <c r="C111" s="1" t="s">
        <v>103</v>
      </c>
      <c r="D111" s="37" t="s">
        <v>128</v>
      </c>
      <c r="E111" s="361">
        <v>3717000</v>
      </c>
      <c r="F111" s="37" t="s">
        <v>349</v>
      </c>
      <c r="G111" s="79"/>
    </row>
    <row r="112" spans="1:7" hidden="1">
      <c r="A112" s="78">
        <v>41456</v>
      </c>
      <c r="B112" s="37" t="s">
        <v>208</v>
      </c>
      <c r="C112" s="1" t="s">
        <v>171</v>
      </c>
      <c r="D112" s="37" t="s">
        <v>128</v>
      </c>
      <c r="E112" s="361">
        <v>360000</v>
      </c>
      <c r="F112" s="37" t="s">
        <v>349</v>
      </c>
      <c r="G112" s="79"/>
    </row>
    <row r="113" spans="1:7" hidden="1">
      <c r="A113" s="78">
        <v>41456</v>
      </c>
      <c r="B113" s="37" t="s">
        <v>208</v>
      </c>
      <c r="C113" s="1" t="s">
        <v>171</v>
      </c>
      <c r="D113" s="37" t="s">
        <v>128</v>
      </c>
      <c r="E113" s="361">
        <v>840000</v>
      </c>
      <c r="F113" s="37" t="s">
        <v>363</v>
      </c>
      <c r="G113" s="79"/>
    </row>
    <row r="114" spans="1:7" hidden="1">
      <c r="A114" s="78">
        <v>41487</v>
      </c>
      <c r="B114" s="37" t="s">
        <v>348</v>
      </c>
      <c r="C114" s="1" t="s">
        <v>104</v>
      </c>
      <c r="D114" s="37" t="s">
        <v>128</v>
      </c>
      <c r="E114" s="361">
        <v>1805400</v>
      </c>
      <c r="F114" s="37" t="s">
        <v>364</v>
      </c>
      <c r="G114" s="79"/>
    </row>
    <row r="115" spans="1:7" hidden="1">
      <c r="A115" s="78">
        <v>41487</v>
      </c>
      <c r="B115" s="37" t="s">
        <v>348</v>
      </c>
      <c r="C115" s="1" t="s">
        <v>171</v>
      </c>
      <c r="D115" s="37" t="s">
        <v>128</v>
      </c>
      <c r="E115" s="361">
        <v>1593000</v>
      </c>
      <c r="F115" s="37" t="s">
        <v>364</v>
      </c>
      <c r="G115" s="79"/>
    </row>
    <row r="116" spans="1:7" hidden="1">
      <c r="A116" s="78">
        <v>41487</v>
      </c>
      <c r="B116" s="37" t="s">
        <v>348</v>
      </c>
      <c r="C116" s="1" t="s">
        <v>103</v>
      </c>
      <c r="D116" s="37" t="s">
        <v>128</v>
      </c>
      <c r="E116" s="361">
        <v>424800</v>
      </c>
      <c r="F116" s="37" t="s">
        <v>364</v>
      </c>
      <c r="G116" s="79"/>
    </row>
    <row r="117" spans="1:7" hidden="1">
      <c r="A117" s="78">
        <v>41487</v>
      </c>
      <c r="B117" s="37" t="s">
        <v>217</v>
      </c>
      <c r="C117" s="1" t="s">
        <v>215</v>
      </c>
      <c r="D117" s="37" t="s">
        <v>96</v>
      </c>
      <c r="E117" s="361">
        <v>6285629</v>
      </c>
      <c r="F117" s="37" t="s">
        <v>372</v>
      </c>
      <c r="G117" s="79"/>
    </row>
    <row r="118" spans="1:7" hidden="1">
      <c r="A118" s="78">
        <v>41487</v>
      </c>
      <c r="B118" s="37" t="s">
        <v>218</v>
      </c>
      <c r="C118" s="1" t="s">
        <v>215</v>
      </c>
      <c r="D118" s="37" t="s">
        <v>96</v>
      </c>
      <c r="E118" s="361">
        <v>829957</v>
      </c>
      <c r="F118" s="37" t="s">
        <v>372</v>
      </c>
      <c r="G118" s="79"/>
    </row>
    <row r="119" spans="1:7" hidden="1">
      <c r="A119" s="78">
        <v>41487</v>
      </c>
      <c r="B119" s="37" t="s">
        <v>216</v>
      </c>
      <c r="C119" s="1" t="s">
        <v>215</v>
      </c>
      <c r="D119" s="37" t="s">
        <v>96</v>
      </c>
      <c r="E119" s="361">
        <v>118980</v>
      </c>
      <c r="F119" s="37" t="s">
        <v>372</v>
      </c>
      <c r="G119" s="79"/>
    </row>
    <row r="120" spans="1:7" hidden="1">
      <c r="A120" s="78">
        <v>41487</v>
      </c>
      <c r="B120" s="37" t="s">
        <v>217</v>
      </c>
      <c r="C120" s="1" t="s">
        <v>104</v>
      </c>
      <c r="D120" s="37" t="s">
        <v>96</v>
      </c>
      <c r="E120" s="361">
        <v>2148906</v>
      </c>
      <c r="F120" s="37" t="s">
        <v>373</v>
      </c>
      <c r="G120" s="79"/>
    </row>
    <row r="121" spans="1:7" hidden="1">
      <c r="A121" s="78">
        <v>41487</v>
      </c>
      <c r="B121" s="37" t="s">
        <v>218</v>
      </c>
      <c r="C121" s="1" t="s">
        <v>104</v>
      </c>
      <c r="D121" s="37" t="s">
        <v>96</v>
      </c>
      <c r="E121" s="361">
        <v>264726</v>
      </c>
      <c r="F121" s="37" t="s">
        <v>373</v>
      </c>
      <c r="G121" s="79"/>
    </row>
    <row r="122" spans="1:7" hidden="1">
      <c r="A122" s="78">
        <v>41487</v>
      </c>
      <c r="B122" s="37" t="s">
        <v>216</v>
      </c>
      <c r="C122" s="1" t="s">
        <v>104</v>
      </c>
      <c r="D122" s="37" t="s">
        <v>96</v>
      </c>
      <c r="E122" s="361">
        <v>67317</v>
      </c>
      <c r="F122" s="37" t="s">
        <v>373</v>
      </c>
      <c r="G122" s="79"/>
    </row>
    <row r="123" spans="1:7" hidden="1">
      <c r="A123" s="78">
        <v>41518</v>
      </c>
      <c r="B123" s="37" t="s">
        <v>241</v>
      </c>
      <c r="C123" s="1" t="s">
        <v>171</v>
      </c>
      <c r="D123" s="37" t="s">
        <v>92</v>
      </c>
      <c r="E123" s="361">
        <v>168480</v>
      </c>
      <c r="F123" s="37" t="s">
        <v>242</v>
      </c>
      <c r="G123" s="79" t="s">
        <v>418</v>
      </c>
    </row>
    <row r="124" spans="1:7" hidden="1">
      <c r="A124" s="78">
        <v>41518</v>
      </c>
      <c r="B124" s="37" t="s">
        <v>55</v>
      </c>
      <c r="C124" s="1" t="s">
        <v>171</v>
      </c>
      <c r="D124" s="37" t="s">
        <v>128</v>
      </c>
      <c r="E124" s="361">
        <v>3565200</v>
      </c>
      <c r="F124" s="37" t="s">
        <v>288</v>
      </c>
      <c r="G124" s="79"/>
    </row>
    <row r="125" spans="1:7" hidden="1">
      <c r="A125" s="78">
        <v>41518</v>
      </c>
      <c r="B125" s="37" t="s">
        <v>55</v>
      </c>
      <c r="C125" s="1" t="s">
        <v>103</v>
      </c>
      <c r="D125" s="37" t="s">
        <v>128</v>
      </c>
      <c r="E125" s="361">
        <v>3822000</v>
      </c>
      <c r="F125" s="37" t="s">
        <v>317</v>
      </c>
      <c r="G125" s="79"/>
    </row>
    <row r="126" spans="1:7" hidden="1">
      <c r="A126" s="78">
        <v>41518</v>
      </c>
      <c r="B126" s="37" t="s">
        <v>55</v>
      </c>
      <c r="C126" s="1" t="s">
        <v>171</v>
      </c>
      <c r="D126" s="37" t="s">
        <v>128</v>
      </c>
      <c r="E126" s="361">
        <v>6370000</v>
      </c>
      <c r="F126" s="37" t="s">
        <v>370</v>
      </c>
      <c r="G126" s="79"/>
    </row>
    <row r="127" spans="1:7" hidden="1">
      <c r="A127" s="78">
        <v>41518</v>
      </c>
      <c r="B127" s="37" t="s">
        <v>55</v>
      </c>
      <c r="C127" s="1" t="s">
        <v>336</v>
      </c>
      <c r="D127" s="37" t="s">
        <v>128</v>
      </c>
      <c r="E127" s="361">
        <v>4551200</v>
      </c>
      <c r="F127" s="37" t="s">
        <v>371</v>
      </c>
      <c r="G127" s="79"/>
    </row>
    <row r="128" spans="1:7" hidden="1">
      <c r="A128" s="78">
        <v>41518</v>
      </c>
      <c r="B128" s="37" t="s">
        <v>55</v>
      </c>
      <c r="C128" s="1" t="s">
        <v>103</v>
      </c>
      <c r="D128" s="37" t="s">
        <v>128</v>
      </c>
      <c r="E128" s="361">
        <v>342000</v>
      </c>
      <c r="F128" s="37" t="s">
        <v>374</v>
      </c>
      <c r="G128" s="79"/>
    </row>
    <row r="129" spans="1:7" hidden="1">
      <c r="A129" s="78">
        <v>41487</v>
      </c>
      <c r="B129" s="37" t="s">
        <v>299</v>
      </c>
      <c r="C129" s="1" t="s">
        <v>104</v>
      </c>
      <c r="D129" s="37" t="s">
        <v>92</v>
      </c>
      <c r="E129" s="361">
        <v>7723520</v>
      </c>
      <c r="F129" s="37" t="s">
        <v>376</v>
      </c>
      <c r="G129" s="79"/>
    </row>
    <row r="130" spans="1:7" hidden="1">
      <c r="A130" s="78">
        <v>41487</v>
      </c>
      <c r="B130" s="37" t="s">
        <v>299</v>
      </c>
      <c r="C130" s="1" t="s">
        <v>104</v>
      </c>
      <c r="D130" s="37" t="s">
        <v>92</v>
      </c>
      <c r="E130" s="361">
        <v>2562775</v>
      </c>
      <c r="F130" s="37" t="s">
        <v>377</v>
      </c>
      <c r="G130" s="79"/>
    </row>
    <row r="131" spans="1:7" hidden="1">
      <c r="A131" s="78">
        <v>41518</v>
      </c>
      <c r="B131" s="37" t="s">
        <v>55</v>
      </c>
      <c r="C131" s="1" t="s">
        <v>336</v>
      </c>
      <c r="D131" s="37" t="s">
        <v>128</v>
      </c>
      <c r="E131" s="361">
        <v>2288000</v>
      </c>
      <c r="F131" s="37" t="s">
        <v>378</v>
      </c>
      <c r="G131" s="79"/>
    </row>
    <row r="132" spans="1:7" hidden="1">
      <c r="A132" s="78">
        <v>41518</v>
      </c>
      <c r="B132" s="37" t="s">
        <v>55</v>
      </c>
      <c r="C132" s="1" t="s">
        <v>171</v>
      </c>
      <c r="D132" s="37" t="s">
        <v>128</v>
      </c>
      <c r="E132" s="361">
        <v>1747200</v>
      </c>
      <c r="F132" s="37" t="s">
        <v>379</v>
      </c>
      <c r="G132" s="79"/>
    </row>
    <row r="133" spans="1:7" hidden="1">
      <c r="A133" s="78">
        <v>41518</v>
      </c>
      <c r="B133" s="37" t="s">
        <v>6</v>
      </c>
      <c r="C133" s="1" t="s">
        <v>171</v>
      </c>
      <c r="D133" s="37" t="s">
        <v>92</v>
      </c>
      <c r="E133" s="361">
        <v>100020</v>
      </c>
      <c r="F133" s="37" t="s">
        <v>380</v>
      </c>
      <c r="G133" s="79"/>
    </row>
    <row r="134" spans="1:7" hidden="1">
      <c r="A134" s="78">
        <v>41518</v>
      </c>
      <c r="B134" s="37" t="s">
        <v>6</v>
      </c>
      <c r="C134" s="1" t="s">
        <v>171</v>
      </c>
      <c r="D134" s="37" t="s">
        <v>92</v>
      </c>
      <c r="E134" s="361">
        <v>40020</v>
      </c>
      <c r="F134" s="37" t="s">
        <v>381</v>
      </c>
      <c r="G134" s="79"/>
    </row>
    <row r="135" spans="1:7" hidden="1">
      <c r="A135" s="78">
        <v>41487</v>
      </c>
      <c r="B135" s="37" t="s">
        <v>211</v>
      </c>
      <c r="C135" s="1" t="s">
        <v>171</v>
      </c>
      <c r="D135" s="37" t="s">
        <v>128</v>
      </c>
      <c r="E135" s="361">
        <v>9014400</v>
      </c>
      <c r="F135" s="37" t="s">
        <v>375</v>
      </c>
      <c r="G135" s="79"/>
    </row>
    <row r="136" spans="1:7" hidden="1">
      <c r="A136" s="78">
        <v>41518</v>
      </c>
      <c r="B136" s="37" t="s">
        <v>241</v>
      </c>
      <c r="C136" s="1" t="s">
        <v>171</v>
      </c>
      <c r="D136" s="37" t="s">
        <v>92</v>
      </c>
      <c r="E136" s="361">
        <v>300000</v>
      </c>
      <c r="F136" s="37" t="s">
        <v>382</v>
      </c>
      <c r="G136" s="79"/>
    </row>
    <row r="137" spans="1:7" hidden="1">
      <c r="A137" s="78">
        <v>41518</v>
      </c>
      <c r="B137" s="37" t="s">
        <v>241</v>
      </c>
      <c r="C137" s="1" t="s">
        <v>171</v>
      </c>
      <c r="D137" s="37" t="s">
        <v>92</v>
      </c>
      <c r="E137" s="361">
        <v>56160</v>
      </c>
      <c r="F137" s="37" t="s">
        <v>382</v>
      </c>
      <c r="G137" s="79"/>
    </row>
    <row r="138" spans="1:7" hidden="1">
      <c r="A138" s="78">
        <v>41518</v>
      </c>
      <c r="B138" s="37" t="s">
        <v>241</v>
      </c>
      <c r="C138" s="1" t="s">
        <v>171</v>
      </c>
      <c r="D138" s="37" t="s">
        <v>92</v>
      </c>
      <c r="E138" s="361">
        <v>2889900</v>
      </c>
      <c r="F138" s="37" t="s">
        <v>382</v>
      </c>
      <c r="G138" s="79"/>
    </row>
    <row r="139" spans="1:7" hidden="1">
      <c r="A139" s="78">
        <v>41487</v>
      </c>
      <c r="B139" s="37" t="s">
        <v>259</v>
      </c>
      <c r="C139" s="1" t="s">
        <v>171</v>
      </c>
      <c r="D139" s="37" t="s">
        <v>96</v>
      </c>
      <c r="E139" s="361">
        <v>1648275</v>
      </c>
      <c r="F139" s="37" t="s">
        <v>383</v>
      </c>
      <c r="G139" s="79"/>
    </row>
    <row r="140" spans="1:7" hidden="1">
      <c r="A140" s="78">
        <v>41518</v>
      </c>
      <c r="B140" s="37" t="s">
        <v>214</v>
      </c>
      <c r="C140" s="1" t="s">
        <v>215</v>
      </c>
      <c r="D140" s="37" t="s">
        <v>92</v>
      </c>
      <c r="E140" s="361">
        <v>5400000</v>
      </c>
      <c r="F140" s="37" t="s">
        <v>335</v>
      </c>
      <c r="G140" s="79"/>
    </row>
    <row r="141" spans="1:7" hidden="1">
      <c r="A141" s="78">
        <v>41487</v>
      </c>
      <c r="B141" s="37" t="s">
        <v>208</v>
      </c>
      <c r="C141" s="1" t="s">
        <v>171</v>
      </c>
      <c r="D141" s="37" t="s">
        <v>128</v>
      </c>
      <c r="E141" s="361">
        <v>180000</v>
      </c>
      <c r="F141" s="37" t="s">
        <v>335</v>
      </c>
      <c r="G141" s="79"/>
    </row>
    <row r="142" spans="1:7" hidden="1">
      <c r="A142" s="78">
        <v>41487</v>
      </c>
      <c r="B142" s="37" t="s">
        <v>208</v>
      </c>
      <c r="C142" s="1" t="s">
        <v>171</v>
      </c>
      <c r="D142" s="37" t="s">
        <v>128</v>
      </c>
      <c r="E142" s="361">
        <v>840000</v>
      </c>
      <c r="F142" s="37" t="s">
        <v>335</v>
      </c>
      <c r="G142" s="79"/>
    </row>
    <row r="143" spans="1:7" hidden="1">
      <c r="A143" s="78">
        <v>41548</v>
      </c>
      <c r="B143" s="37" t="s">
        <v>241</v>
      </c>
      <c r="C143" s="1" t="s">
        <v>171</v>
      </c>
      <c r="D143" s="37" t="s">
        <v>92</v>
      </c>
      <c r="E143" s="361">
        <v>273780</v>
      </c>
      <c r="F143" s="37" t="s">
        <v>382</v>
      </c>
      <c r="G143" s="79"/>
    </row>
    <row r="144" spans="1:7" hidden="1">
      <c r="A144" s="78">
        <v>41518</v>
      </c>
      <c r="B144" s="37" t="s">
        <v>348</v>
      </c>
      <c r="C144" s="1" t="s">
        <v>215</v>
      </c>
      <c r="D144" s="37" t="s">
        <v>128</v>
      </c>
      <c r="E144" s="361">
        <v>4779000</v>
      </c>
      <c r="F144" s="37" t="s">
        <v>364</v>
      </c>
      <c r="G144" s="79"/>
    </row>
    <row r="145" spans="1:7" hidden="1">
      <c r="A145" s="78">
        <v>41518</v>
      </c>
      <c r="B145" s="37" t="s">
        <v>348</v>
      </c>
      <c r="C145" s="1" t="s">
        <v>103</v>
      </c>
      <c r="D145" s="37" t="s">
        <v>128</v>
      </c>
      <c r="E145" s="361">
        <v>3823200</v>
      </c>
      <c r="F145" s="37" t="s">
        <v>401</v>
      </c>
      <c r="G145" s="79"/>
    </row>
    <row r="146" spans="1:7" hidden="1">
      <c r="A146" s="78">
        <v>41518</v>
      </c>
      <c r="B146" s="37" t="s">
        <v>348</v>
      </c>
      <c r="C146" s="1" t="s">
        <v>171</v>
      </c>
      <c r="D146" s="37" t="s">
        <v>128</v>
      </c>
      <c r="E146" s="361">
        <v>4885200</v>
      </c>
      <c r="F146" s="37" t="s">
        <v>402</v>
      </c>
      <c r="G146" s="79"/>
    </row>
    <row r="147" spans="1:7" hidden="1">
      <c r="A147" s="78">
        <v>41518</v>
      </c>
      <c r="B147" s="37" t="s">
        <v>348</v>
      </c>
      <c r="C147" s="1" t="s">
        <v>171</v>
      </c>
      <c r="D147" s="37" t="s">
        <v>128</v>
      </c>
      <c r="E147" s="361">
        <v>531000</v>
      </c>
      <c r="F147" s="37" t="s">
        <v>403</v>
      </c>
      <c r="G147" s="79"/>
    </row>
    <row r="148" spans="1:7" hidden="1">
      <c r="A148" s="78">
        <v>41518</v>
      </c>
      <c r="B148" s="37" t="s">
        <v>348</v>
      </c>
      <c r="C148" s="1" t="s">
        <v>171</v>
      </c>
      <c r="D148" s="37" t="s">
        <v>128</v>
      </c>
      <c r="E148" s="361">
        <v>4354200</v>
      </c>
      <c r="F148" s="37" t="s">
        <v>404</v>
      </c>
      <c r="G148" s="79"/>
    </row>
    <row r="149" spans="1:7" hidden="1">
      <c r="A149" s="78">
        <v>41518</v>
      </c>
      <c r="B149" s="37" t="s">
        <v>299</v>
      </c>
      <c r="C149" s="1" t="s">
        <v>104</v>
      </c>
      <c r="D149" s="37" t="s">
        <v>92</v>
      </c>
      <c r="E149" s="361">
        <v>11416091</v>
      </c>
      <c r="F149" s="37" t="s">
        <v>376</v>
      </c>
      <c r="G149" s="79"/>
    </row>
    <row r="150" spans="1:7" hidden="1">
      <c r="A150" s="78">
        <v>41518</v>
      </c>
      <c r="B150" s="37" t="s">
        <v>259</v>
      </c>
      <c r="C150" s="1" t="s">
        <v>171</v>
      </c>
      <c r="D150" s="37" t="s">
        <v>96</v>
      </c>
      <c r="E150" s="361">
        <v>240000</v>
      </c>
      <c r="F150" s="37" t="s">
        <v>383</v>
      </c>
      <c r="G150" s="79"/>
    </row>
    <row r="151" spans="1:7" hidden="1">
      <c r="A151" s="78">
        <v>41518</v>
      </c>
      <c r="B151" s="37" t="s">
        <v>259</v>
      </c>
      <c r="C151" s="1" t="s">
        <v>171</v>
      </c>
      <c r="D151" s="37" t="s">
        <v>96</v>
      </c>
      <c r="E151" s="361">
        <v>840000</v>
      </c>
      <c r="F151" s="37" t="s">
        <v>383</v>
      </c>
      <c r="G151" s="79"/>
    </row>
    <row r="152" spans="1:7" hidden="1">
      <c r="A152" s="78">
        <v>41548</v>
      </c>
      <c r="B152" s="37" t="s">
        <v>259</v>
      </c>
      <c r="C152" s="1" t="s">
        <v>171</v>
      </c>
      <c r="D152" s="37" t="s">
        <v>96</v>
      </c>
      <c r="E152" s="361">
        <v>713530</v>
      </c>
      <c r="F152" s="37" t="s">
        <v>383</v>
      </c>
      <c r="G152" s="79"/>
    </row>
    <row r="153" spans="1:7" hidden="1">
      <c r="A153" s="78">
        <v>41548</v>
      </c>
      <c r="B153" s="37" t="s">
        <v>55</v>
      </c>
      <c r="C153" s="1"/>
      <c r="D153" s="37" t="s">
        <v>408</v>
      </c>
      <c r="E153" s="361">
        <v>342000</v>
      </c>
      <c r="F153" s="37" t="s">
        <v>374</v>
      </c>
      <c r="G153" s="79"/>
    </row>
    <row r="154" spans="1:7" hidden="1">
      <c r="A154" s="78">
        <v>41548</v>
      </c>
      <c r="B154" s="37" t="s">
        <v>55</v>
      </c>
      <c r="C154" s="1" t="s">
        <v>171</v>
      </c>
      <c r="D154" s="37" t="s">
        <v>408</v>
      </c>
      <c r="E154" s="361">
        <v>3348000</v>
      </c>
      <c r="F154" s="37" t="s">
        <v>419</v>
      </c>
      <c r="G154" s="79"/>
    </row>
    <row r="155" spans="1:7" hidden="1">
      <c r="A155" s="78">
        <v>41548</v>
      </c>
      <c r="B155" s="37" t="s">
        <v>55</v>
      </c>
      <c r="C155" s="1" t="s">
        <v>103</v>
      </c>
      <c r="D155" s="37" t="s">
        <v>408</v>
      </c>
      <c r="E155" s="361">
        <v>4198800</v>
      </c>
      <c r="F155" s="37" t="s">
        <v>420</v>
      </c>
      <c r="G155" s="79"/>
    </row>
    <row r="156" spans="1:7" hidden="1">
      <c r="A156" s="78">
        <v>41548</v>
      </c>
      <c r="B156" s="37" t="s">
        <v>55</v>
      </c>
      <c r="C156" s="1" t="s">
        <v>171</v>
      </c>
      <c r="D156" s="37" t="s">
        <v>408</v>
      </c>
      <c r="E156" s="361">
        <v>6696000</v>
      </c>
      <c r="F156" s="37"/>
      <c r="G156" s="79"/>
    </row>
    <row r="157" spans="1:7" hidden="1">
      <c r="A157" s="78">
        <v>41548</v>
      </c>
      <c r="B157" s="37" t="s">
        <v>55</v>
      </c>
      <c r="C157" s="1" t="s">
        <v>421</v>
      </c>
      <c r="D157" s="37" t="s">
        <v>408</v>
      </c>
      <c r="E157" s="361">
        <v>4476000</v>
      </c>
      <c r="F157" s="37"/>
      <c r="G157" s="79"/>
    </row>
    <row r="158" spans="1:7" hidden="1">
      <c r="A158" s="78">
        <v>41518</v>
      </c>
      <c r="B158" s="37" t="s">
        <v>211</v>
      </c>
      <c r="C158" s="1" t="s">
        <v>171</v>
      </c>
      <c r="D158" s="37"/>
      <c r="E158" s="361">
        <v>11598000</v>
      </c>
      <c r="F158" s="37" t="s">
        <v>422</v>
      </c>
      <c r="G158" s="79"/>
    </row>
    <row r="159" spans="1:7" hidden="1">
      <c r="A159" s="78">
        <v>41518</v>
      </c>
      <c r="B159" s="37" t="s">
        <v>423</v>
      </c>
      <c r="C159" s="1" t="s">
        <v>104</v>
      </c>
      <c r="D159" s="37" t="s">
        <v>96</v>
      </c>
      <c r="E159" s="361">
        <v>993975</v>
      </c>
      <c r="F159" s="37" t="s">
        <v>424</v>
      </c>
      <c r="G159" s="79"/>
    </row>
    <row r="160" spans="1:7" hidden="1">
      <c r="A160" s="78">
        <v>41518</v>
      </c>
      <c r="B160" s="37" t="s">
        <v>217</v>
      </c>
      <c r="C160" s="1" t="s">
        <v>104</v>
      </c>
      <c r="D160" s="37" t="s">
        <v>96</v>
      </c>
      <c r="E160" s="361">
        <v>5659328</v>
      </c>
      <c r="F160" s="37" t="s">
        <v>424</v>
      </c>
      <c r="G160" s="79"/>
    </row>
    <row r="161" spans="1:7" hidden="1">
      <c r="A161" s="78">
        <v>41548</v>
      </c>
      <c r="B161" s="37" t="s">
        <v>214</v>
      </c>
      <c r="C161" s="1" t="s">
        <v>215</v>
      </c>
      <c r="D161" s="37" t="s">
        <v>92</v>
      </c>
      <c r="E161" s="361">
        <v>6930000</v>
      </c>
      <c r="F161" s="37" t="s">
        <v>335</v>
      </c>
      <c r="G161" s="79"/>
    </row>
    <row r="162" spans="1:7" hidden="1">
      <c r="A162" s="78">
        <v>41548</v>
      </c>
      <c r="B162" s="37" t="s">
        <v>348</v>
      </c>
      <c r="C162" s="1" t="s">
        <v>171</v>
      </c>
      <c r="D162" s="37" t="s">
        <v>408</v>
      </c>
      <c r="E162" s="361">
        <v>4566600</v>
      </c>
      <c r="F162" s="37" t="s">
        <v>428</v>
      </c>
      <c r="G162" s="79"/>
    </row>
    <row r="163" spans="1:7" hidden="1">
      <c r="A163" s="78">
        <v>41548</v>
      </c>
      <c r="B163" s="37" t="s">
        <v>348</v>
      </c>
      <c r="C163" s="1" t="s">
        <v>171</v>
      </c>
      <c r="D163" s="37" t="s">
        <v>408</v>
      </c>
      <c r="E163" s="361">
        <v>5310000</v>
      </c>
      <c r="F163" s="37" t="s">
        <v>419</v>
      </c>
      <c r="G163" s="79"/>
    </row>
    <row r="164" spans="1:7" hidden="1">
      <c r="A164" s="78">
        <v>41548</v>
      </c>
      <c r="B164" s="37" t="s">
        <v>348</v>
      </c>
      <c r="C164" s="1" t="s">
        <v>215</v>
      </c>
      <c r="D164" s="37" t="s">
        <v>408</v>
      </c>
      <c r="E164" s="361">
        <v>5734800</v>
      </c>
      <c r="F164" s="37" t="s">
        <v>364</v>
      </c>
      <c r="G164" s="79"/>
    </row>
    <row r="165" spans="1:7" hidden="1">
      <c r="A165" s="78">
        <v>41548</v>
      </c>
      <c r="B165" s="37" t="s">
        <v>348</v>
      </c>
      <c r="C165" s="1" t="s">
        <v>103</v>
      </c>
      <c r="D165" s="37" t="s">
        <v>408</v>
      </c>
      <c r="E165" s="361">
        <v>4035000</v>
      </c>
      <c r="F165" s="37" t="s">
        <v>429</v>
      </c>
      <c r="G165" s="79"/>
    </row>
    <row r="166" spans="1:7" hidden="1">
      <c r="A166" s="78">
        <v>41548</v>
      </c>
      <c r="B166" s="37" t="s">
        <v>348</v>
      </c>
      <c r="C166" s="1" t="s">
        <v>104</v>
      </c>
      <c r="D166" s="37" t="s">
        <v>408</v>
      </c>
      <c r="E166" s="361">
        <v>531000</v>
      </c>
      <c r="F166" s="37" t="s">
        <v>430</v>
      </c>
      <c r="G166" s="79"/>
    </row>
    <row r="167" spans="1:7" hidden="1">
      <c r="A167" s="78">
        <v>41548</v>
      </c>
      <c r="B167" s="37" t="s">
        <v>241</v>
      </c>
      <c r="C167" s="1" t="s">
        <v>171</v>
      </c>
      <c r="D167" s="37" t="s">
        <v>92</v>
      </c>
      <c r="E167" s="361">
        <v>3257280</v>
      </c>
      <c r="F167" s="37" t="s">
        <v>382</v>
      </c>
      <c r="G167" s="79"/>
    </row>
    <row r="168" spans="1:7" hidden="1">
      <c r="A168" s="78">
        <v>41518</v>
      </c>
      <c r="B168" s="37" t="s">
        <v>432</v>
      </c>
      <c r="C168" s="1" t="s">
        <v>215</v>
      </c>
      <c r="D168" s="37" t="s">
        <v>408</v>
      </c>
      <c r="E168" s="361">
        <v>3349388</v>
      </c>
      <c r="F168" s="37" t="s">
        <v>335</v>
      </c>
      <c r="G168" s="79"/>
    </row>
    <row r="169" spans="1:7" hidden="1">
      <c r="A169" s="78">
        <v>41518</v>
      </c>
      <c r="B169" s="37" t="s">
        <v>433</v>
      </c>
      <c r="C169" s="1" t="s">
        <v>215</v>
      </c>
      <c r="D169" s="37" t="s">
        <v>408</v>
      </c>
      <c r="E169" s="361">
        <v>9753210</v>
      </c>
      <c r="F169" s="37" t="s">
        <v>335</v>
      </c>
      <c r="G169" s="79"/>
    </row>
    <row r="170" spans="1:7" hidden="1">
      <c r="A170" s="78">
        <v>41548</v>
      </c>
      <c r="B170" s="37" t="s">
        <v>6</v>
      </c>
      <c r="C170" s="1" t="s">
        <v>171</v>
      </c>
      <c r="D170" s="37" t="s">
        <v>92</v>
      </c>
      <c r="E170" s="361">
        <v>400020</v>
      </c>
      <c r="F170" s="37" t="s">
        <v>434</v>
      </c>
      <c r="G170" s="79"/>
    </row>
    <row r="171" spans="1:7" hidden="1">
      <c r="A171" s="78">
        <v>41548</v>
      </c>
      <c r="B171" s="37" t="s">
        <v>211</v>
      </c>
      <c r="C171" s="1" t="s">
        <v>171</v>
      </c>
      <c r="D171" s="37" t="s">
        <v>408</v>
      </c>
      <c r="E171" s="361">
        <v>23088000</v>
      </c>
      <c r="F171" s="37" t="s">
        <v>435</v>
      </c>
      <c r="G171" s="79"/>
    </row>
    <row r="172" spans="1:7" hidden="1">
      <c r="A172" s="78">
        <v>41548</v>
      </c>
      <c r="B172" s="37" t="s">
        <v>423</v>
      </c>
      <c r="C172" s="1" t="s">
        <v>215</v>
      </c>
      <c r="D172" s="37" t="s">
        <v>96</v>
      </c>
      <c r="E172" s="361">
        <v>120209</v>
      </c>
      <c r="F172" s="37" t="s">
        <v>175</v>
      </c>
      <c r="G172" s="79"/>
    </row>
    <row r="173" spans="1:7" hidden="1">
      <c r="A173" s="78">
        <v>41548</v>
      </c>
      <c r="B173" s="37" t="s">
        <v>217</v>
      </c>
      <c r="C173" s="1" t="s">
        <v>215</v>
      </c>
      <c r="D173" s="37" t="s">
        <v>96</v>
      </c>
      <c r="E173" s="361">
        <v>2516557</v>
      </c>
      <c r="F173" s="37" t="s">
        <v>175</v>
      </c>
      <c r="G173" s="79"/>
    </row>
    <row r="174" spans="1:7" hidden="1">
      <c r="A174" s="78">
        <v>41548</v>
      </c>
      <c r="B174" s="37" t="s">
        <v>216</v>
      </c>
      <c r="C174" s="1" t="s">
        <v>215</v>
      </c>
      <c r="D174" s="37" t="s">
        <v>96</v>
      </c>
      <c r="E174" s="361">
        <v>110026</v>
      </c>
      <c r="F174" s="37" t="s">
        <v>175</v>
      </c>
      <c r="G174" s="79"/>
    </row>
    <row r="175" spans="1:7" hidden="1">
      <c r="A175" s="78">
        <v>41548</v>
      </c>
      <c r="B175" s="37" t="s">
        <v>6</v>
      </c>
      <c r="C175" s="1" t="s">
        <v>171</v>
      </c>
      <c r="D175" s="37" t="s">
        <v>92</v>
      </c>
      <c r="E175" s="361">
        <v>5187065</v>
      </c>
      <c r="F175" s="37" t="s">
        <v>335</v>
      </c>
      <c r="G175" s="79"/>
    </row>
    <row r="176" spans="1:7" hidden="1">
      <c r="A176" s="78">
        <v>41579</v>
      </c>
      <c r="B176" s="37" t="s">
        <v>55</v>
      </c>
      <c r="C176" s="1" t="s">
        <v>171</v>
      </c>
      <c r="D176" s="37" t="s">
        <v>408</v>
      </c>
      <c r="E176" s="361">
        <v>342000</v>
      </c>
      <c r="F176" s="37" t="s">
        <v>441</v>
      </c>
      <c r="G176" s="79"/>
    </row>
    <row r="177" spans="1:7" hidden="1">
      <c r="A177" s="78">
        <v>41579</v>
      </c>
      <c r="B177" s="37" t="s">
        <v>55</v>
      </c>
      <c r="C177" s="1" t="s">
        <v>336</v>
      </c>
      <c r="D177" s="37" t="s">
        <v>408</v>
      </c>
      <c r="E177" s="361">
        <v>4514400</v>
      </c>
      <c r="F177" s="37" t="s">
        <v>401</v>
      </c>
      <c r="G177" s="79"/>
    </row>
    <row r="178" spans="1:7" hidden="1">
      <c r="A178" s="78">
        <v>41579</v>
      </c>
      <c r="B178" s="37" t="s">
        <v>55</v>
      </c>
      <c r="C178" s="1" t="s">
        <v>171</v>
      </c>
      <c r="D178" s="37" t="s">
        <v>408</v>
      </c>
      <c r="E178" s="361">
        <v>3514700</v>
      </c>
      <c r="F178" s="37" t="s">
        <v>349</v>
      </c>
      <c r="G178" s="79"/>
    </row>
    <row r="179" spans="1:7" hidden="1">
      <c r="A179" s="78">
        <v>41579</v>
      </c>
      <c r="B179" s="37" t="s">
        <v>55</v>
      </c>
      <c r="C179" s="1" t="s">
        <v>103</v>
      </c>
      <c r="D179" s="37" t="s">
        <v>408</v>
      </c>
      <c r="E179" s="361">
        <v>4100500</v>
      </c>
      <c r="F179" s="37" t="s">
        <v>349</v>
      </c>
      <c r="G179" s="79"/>
    </row>
    <row r="180" spans="1:7" hidden="1">
      <c r="A180" s="78">
        <v>41579</v>
      </c>
      <c r="B180" s="37" t="s">
        <v>214</v>
      </c>
      <c r="C180" s="1" t="s">
        <v>215</v>
      </c>
      <c r="D180" s="37" t="s">
        <v>92</v>
      </c>
      <c r="E180" s="361">
        <v>4590000</v>
      </c>
      <c r="F180" s="37" t="s">
        <v>335</v>
      </c>
      <c r="G180" s="79"/>
    </row>
    <row r="181" spans="1:7" hidden="1">
      <c r="A181" s="78">
        <v>41548</v>
      </c>
      <c r="B181" s="1" t="s">
        <v>299</v>
      </c>
      <c r="C181" s="1" t="s">
        <v>215</v>
      </c>
      <c r="D181" s="37" t="s">
        <v>92</v>
      </c>
      <c r="E181" s="361">
        <v>23121933</v>
      </c>
      <c r="F181" s="37" t="s">
        <v>442</v>
      </c>
      <c r="G181" s="79"/>
    </row>
    <row r="182" spans="1:7" hidden="1">
      <c r="A182" s="78">
        <v>41548</v>
      </c>
      <c r="B182" s="1" t="s">
        <v>299</v>
      </c>
      <c r="C182" s="1" t="s">
        <v>215</v>
      </c>
      <c r="D182" s="37" t="s">
        <v>92</v>
      </c>
      <c r="E182" s="361">
        <v>947113</v>
      </c>
      <c r="F182" s="37" t="s">
        <v>443</v>
      </c>
      <c r="G182" s="79"/>
    </row>
    <row r="183" spans="1:7" hidden="1">
      <c r="A183" s="78">
        <v>41548</v>
      </c>
      <c r="B183" s="37" t="s">
        <v>208</v>
      </c>
      <c r="C183" s="1" t="s">
        <v>171</v>
      </c>
      <c r="D183" s="37" t="s">
        <v>408</v>
      </c>
      <c r="E183" s="361">
        <v>756000</v>
      </c>
      <c r="F183" s="37" t="s">
        <v>335</v>
      </c>
      <c r="G183" s="79"/>
    </row>
    <row r="184" spans="1:7" hidden="1">
      <c r="A184" s="78">
        <v>41579</v>
      </c>
      <c r="B184" s="37" t="s">
        <v>55</v>
      </c>
      <c r="C184" s="37" t="s">
        <v>103</v>
      </c>
      <c r="D184" s="37" t="s">
        <v>408</v>
      </c>
      <c r="E184" s="361">
        <v>91200</v>
      </c>
      <c r="F184" s="37" t="s">
        <v>446</v>
      </c>
      <c r="G184" s="79"/>
    </row>
    <row r="185" spans="1:7" hidden="1">
      <c r="A185" s="78">
        <v>41579</v>
      </c>
      <c r="B185" s="37" t="s">
        <v>348</v>
      </c>
      <c r="C185" s="1" t="s">
        <v>171</v>
      </c>
      <c r="D185" s="37" t="s">
        <v>408</v>
      </c>
      <c r="E185" s="361">
        <v>5097600</v>
      </c>
      <c r="F185" s="37" t="s">
        <v>447</v>
      </c>
      <c r="G185" s="79"/>
    </row>
    <row r="186" spans="1:7" hidden="1">
      <c r="A186" s="78">
        <v>41579</v>
      </c>
      <c r="B186" s="37" t="s">
        <v>348</v>
      </c>
      <c r="C186" s="1" t="s">
        <v>103</v>
      </c>
      <c r="D186" s="37" t="s">
        <v>408</v>
      </c>
      <c r="E186" s="361">
        <v>4035600</v>
      </c>
      <c r="F186" s="37" t="s">
        <v>448</v>
      </c>
      <c r="G186" s="79"/>
    </row>
    <row r="187" spans="1:7" hidden="1">
      <c r="A187" s="78">
        <v>41579</v>
      </c>
      <c r="B187" s="37" t="s">
        <v>348</v>
      </c>
      <c r="C187" s="1" t="s">
        <v>171</v>
      </c>
      <c r="D187" s="37" t="s">
        <v>408</v>
      </c>
      <c r="E187" s="361">
        <v>4566600</v>
      </c>
      <c r="F187" s="37" t="s">
        <v>428</v>
      </c>
      <c r="G187" s="79"/>
    </row>
    <row r="188" spans="1:7" hidden="1">
      <c r="A188" s="78">
        <v>41579</v>
      </c>
      <c r="B188" s="37" t="s">
        <v>348</v>
      </c>
      <c r="C188" s="1" t="s">
        <v>215</v>
      </c>
      <c r="D188" s="37" t="s">
        <v>408</v>
      </c>
      <c r="E188" s="361">
        <v>3610800</v>
      </c>
      <c r="F188" s="37" t="s">
        <v>364</v>
      </c>
      <c r="G188" s="79"/>
    </row>
    <row r="189" spans="1:7" hidden="1">
      <c r="A189" s="78">
        <v>41579</v>
      </c>
      <c r="B189" s="37" t="s">
        <v>259</v>
      </c>
      <c r="C189" s="1" t="s">
        <v>171</v>
      </c>
      <c r="D189" s="37" t="s">
        <v>96</v>
      </c>
      <c r="E189" s="361">
        <v>2208705</v>
      </c>
      <c r="F189" s="37" t="s">
        <v>449</v>
      </c>
      <c r="G189" s="79"/>
    </row>
    <row r="190" spans="1:7" hidden="1">
      <c r="A190" s="78">
        <v>41548</v>
      </c>
      <c r="B190" s="37" t="s">
        <v>208</v>
      </c>
      <c r="C190" s="1" t="s">
        <v>171</v>
      </c>
      <c r="D190" s="37" t="s">
        <v>408</v>
      </c>
      <c r="E190" s="361">
        <v>1992000</v>
      </c>
      <c r="F190" s="37" t="s">
        <v>454</v>
      </c>
      <c r="G190" s="79"/>
    </row>
    <row r="191" spans="1:7" hidden="1">
      <c r="A191" s="78">
        <v>41579</v>
      </c>
      <c r="B191" s="37" t="s">
        <v>241</v>
      </c>
      <c r="C191" s="1" t="s">
        <v>215</v>
      </c>
      <c r="D191" s="37" t="s">
        <v>92</v>
      </c>
      <c r="E191" s="361">
        <v>3285360</v>
      </c>
      <c r="F191" s="37" t="s">
        <v>454</v>
      </c>
      <c r="G191" s="79"/>
    </row>
    <row r="192" spans="1:7" hidden="1">
      <c r="A192" s="78">
        <v>41609</v>
      </c>
      <c r="B192" s="37" t="s">
        <v>55</v>
      </c>
      <c r="C192" s="1" t="s">
        <v>336</v>
      </c>
      <c r="D192" s="37" t="s">
        <v>408</v>
      </c>
      <c r="E192" s="361">
        <v>4560000</v>
      </c>
      <c r="F192" s="37" t="s">
        <v>401</v>
      </c>
      <c r="G192" s="79"/>
    </row>
    <row r="193" spans="1:7" hidden="1">
      <c r="A193" s="78">
        <v>41609</v>
      </c>
      <c r="B193" s="37" t="s">
        <v>55</v>
      </c>
      <c r="C193" s="1" t="s">
        <v>171</v>
      </c>
      <c r="D193" s="37" t="s">
        <v>408</v>
      </c>
      <c r="E193" s="361">
        <v>6270000</v>
      </c>
      <c r="F193" s="37" t="s">
        <v>349</v>
      </c>
      <c r="G193" s="79"/>
    </row>
    <row r="194" spans="1:7" hidden="1">
      <c r="A194" s="78">
        <v>41609</v>
      </c>
      <c r="B194" s="37" t="s">
        <v>55</v>
      </c>
      <c r="C194" s="1" t="s">
        <v>171</v>
      </c>
      <c r="D194" s="37" t="s">
        <v>408</v>
      </c>
      <c r="E194" s="361">
        <v>342000</v>
      </c>
      <c r="F194" s="37" t="s">
        <v>374</v>
      </c>
      <c r="G194" s="79"/>
    </row>
    <row r="195" spans="1:7" hidden="1">
      <c r="A195" s="78">
        <v>41548</v>
      </c>
      <c r="B195" s="37" t="s">
        <v>432</v>
      </c>
      <c r="C195" s="1" t="s">
        <v>215</v>
      </c>
      <c r="D195" s="37" t="s">
        <v>408</v>
      </c>
      <c r="E195" s="361">
        <v>3234404</v>
      </c>
      <c r="F195" s="37" t="s">
        <v>335</v>
      </c>
      <c r="G195" s="79"/>
    </row>
    <row r="196" spans="1:7" hidden="1">
      <c r="A196" s="78">
        <v>41548</v>
      </c>
      <c r="B196" s="37" t="s">
        <v>433</v>
      </c>
      <c r="C196" s="1" t="s">
        <v>215</v>
      </c>
      <c r="D196" s="37" t="s">
        <v>408</v>
      </c>
      <c r="E196" s="361">
        <v>5915555</v>
      </c>
      <c r="F196" s="37" t="s">
        <v>335</v>
      </c>
      <c r="G196" s="79"/>
    </row>
    <row r="197" spans="1:7" hidden="1">
      <c r="A197" s="78">
        <v>41609</v>
      </c>
      <c r="B197" s="37" t="s">
        <v>455</v>
      </c>
      <c r="C197" s="1" t="s">
        <v>103</v>
      </c>
      <c r="D197" s="37" t="s">
        <v>92</v>
      </c>
      <c r="E197" s="361">
        <v>1440000</v>
      </c>
      <c r="F197" s="37" t="s">
        <v>349</v>
      </c>
      <c r="G197" s="79"/>
    </row>
    <row r="198" spans="1:7" hidden="1">
      <c r="A198" s="78">
        <v>41518</v>
      </c>
      <c r="B198" s="37" t="s">
        <v>456</v>
      </c>
      <c r="C198" s="1" t="s">
        <v>171</v>
      </c>
      <c r="D198" s="37" t="s">
        <v>92</v>
      </c>
      <c r="E198" s="361">
        <v>2344548</v>
      </c>
      <c r="F198" s="37" t="s">
        <v>457</v>
      </c>
      <c r="G198" s="79"/>
    </row>
    <row r="199" spans="1:7" hidden="1">
      <c r="A199" s="78">
        <v>41214</v>
      </c>
      <c r="B199" s="37" t="s">
        <v>218</v>
      </c>
      <c r="C199" s="1" t="s">
        <v>215</v>
      </c>
      <c r="D199" s="37" t="s">
        <v>96</v>
      </c>
      <c r="E199" s="361">
        <v>594072</v>
      </c>
      <c r="F199" s="37" t="s">
        <v>462</v>
      </c>
      <c r="G199" s="79"/>
    </row>
    <row r="200" spans="1:7" hidden="1">
      <c r="A200" s="78">
        <v>41214</v>
      </c>
      <c r="B200" s="37" t="s">
        <v>216</v>
      </c>
      <c r="C200" s="1" t="s">
        <v>215</v>
      </c>
      <c r="D200" s="37" t="s">
        <v>96</v>
      </c>
      <c r="E200" s="361">
        <v>163047</v>
      </c>
      <c r="F200" s="37" t="s">
        <v>462</v>
      </c>
      <c r="G200" s="79"/>
    </row>
    <row r="201" spans="1:7" hidden="1">
      <c r="A201" s="78">
        <v>41214</v>
      </c>
      <c r="B201" s="37" t="s">
        <v>217</v>
      </c>
      <c r="C201" s="1" t="s">
        <v>215</v>
      </c>
      <c r="D201" s="37" t="s">
        <v>96</v>
      </c>
      <c r="E201" s="361">
        <v>6378349</v>
      </c>
      <c r="F201" s="37" t="s">
        <v>462</v>
      </c>
      <c r="G201" s="79"/>
    </row>
    <row r="202" spans="1:7" hidden="1">
      <c r="A202" s="78">
        <v>41214</v>
      </c>
      <c r="B202" s="37" t="s">
        <v>218</v>
      </c>
      <c r="C202" s="1" t="s">
        <v>215</v>
      </c>
      <c r="D202" s="37" t="s">
        <v>96</v>
      </c>
      <c r="E202" s="361">
        <v>1192354</v>
      </c>
      <c r="F202" s="37" t="s">
        <v>463</v>
      </c>
      <c r="G202" s="79"/>
    </row>
    <row r="203" spans="1:7" hidden="1">
      <c r="A203" s="78">
        <v>41214</v>
      </c>
      <c r="B203" s="37" t="s">
        <v>216</v>
      </c>
      <c r="C203" s="1" t="s">
        <v>215</v>
      </c>
      <c r="D203" s="37" t="s">
        <v>96</v>
      </c>
      <c r="E203" s="361">
        <v>187423</v>
      </c>
      <c r="F203" s="37" t="s">
        <v>463</v>
      </c>
      <c r="G203" s="79"/>
    </row>
    <row r="204" spans="1:7" hidden="1">
      <c r="A204" s="78">
        <v>41214</v>
      </c>
      <c r="B204" s="37" t="s">
        <v>217</v>
      </c>
      <c r="C204" s="1" t="s">
        <v>215</v>
      </c>
      <c r="D204" s="37" t="s">
        <v>96</v>
      </c>
      <c r="E204" s="361">
        <v>3229594</v>
      </c>
      <c r="F204" s="37" t="s">
        <v>463</v>
      </c>
      <c r="G204" s="79"/>
    </row>
    <row r="205" spans="1:7" hidden="1">
      <c r="A205" s="78">
        <v>41579</v>
      </c>
      <c r="B205" s="37" t="s">
        <v>211</v>
      </c>
      <c r="C205" s="1" t="s">
        <v>171</v>
      </c>
      <c r="D205" s="37" t="s">
        <v>408</v>
      </c>
      <c r="E205" s="361">
        <v>5808000</v>
      </c>
      <c r="F205" s="37" t="s">
        <v>466</v>
      </c>
      <c r="G205" s="79"/>
    </row>
    <row r="206" spans="1:7" hidden="1">
      <c r="A206" s="78">
        <v>41214</v>
      </c>
      <c r="B206" s="37" t="s">
        <v>208</v>
      </c>
      <c r="C206" s="1" t="s">
        <v>171</v>
      </c>
      <c r="D206" s="37" t="s">
        <v>408</v>
      </c>
      <c r="E206" s="361">
        <v>924000</v>
      </c>
      <c r="F206" s="37" t="s">
        <v>467</v>
      </c>
      <c r="G206" s="79"/>
    </row>
    <row r="207" spans="1:7" hidden="1">
      <c r="A207" s="78">
        <v>41214</v>
      </c>
      <c r="B207" s="37" t="s">
        <v>208</v>
      </c>
      <c r="C207" s="1" t="s">
        <v>171</v>
      </c>
      <c r="D207" s="37" t="s">
        <v>408</v>
      </c>
      <c r="E207" s="361">
        <v>840000</v>
      </c>
      <c r="F207" s="37" t="s">
        <v>419</v>
      </c>
      <c r="G207" s="79"/>
    </row>
    <row r="208" spans="1:7" hidden="1">
      <c r="A208" s="78">
        <v>41214</v>
      </c>
      <c r="B208" s="1" t="s">
        <v>299</v>
      </c>
      <c r="C208" s="1" t="s">
        <v>215</v>
      </c>
      <c r="D208" s="37" t="s">
        <v>92</v>
      </c>
      <c r="E208" s="361">
        <v>14347004</v>
      </c>
      <c r="F208" s="37" t="s">
        <v>442</v>
      </c>
      <c r="G208" s="79"/>
    </row>
    <row r="209" spans="1:7" hidden="1">
      <c r="A209" s="78">
        <v>41609</v>
      </c>
      <c r="B209" s="37" t="s">
        <v>241</v>
      </c>
      <c r="C209" s="1" t="s">
        <v>104</v>
      </c>
      <c r="D209" s="37" t="s">
        <v>92</v>
      </c>
      <c r="E209" s="361">
        <v>91260</v>
      </c>
      <c r="F209" s="37" t="s">
        <v>477</v>
      </c>
      <c r="G209" s="79"/>
    </row>
    <row r="210" spans="1:7" hidden="1">
      <c r="A210" s="78">
        <v>41609</v>
      </c>
      <c r="B210" s="37" t="s">
        <v>214</v>
      </c>
      <c r="C210" s="1" t="s">
        <v>215</v>
      </c>
      <c r="D210" s="37" t="s">
        <v>92</v>
      </c>
      <c r="E210" s="361">
        <v>5490000</v>
      </c>
      <c r="F210" s="37" t="s">
        <v>478</v>
      </c>
      <c r="G210" s="79"/>
    </row>
    <row r="211" spans="1:7" hidden="1">
      <c r="A211" s="78">
        <v>41609</v>
      </c>
      <c r="B211" s="37" t="s">
        <v>479</v>
      </c>
      <c r="C211" s="1" t="s">
        <v>171</v>
      </c>
      <c r="D211" s="37" t="s">
        <v>96</v>
      </c>
      <c r="E211" s="361">
        <v>7680000</v>
      </c>
      <c r="F211" s="37" t="s">
        <v>480</v>
      </c>
      <c r="G211" s="79"/>
    </row>
    <row r="212" spans="1:7" hidden="1">
      <c r="A212" s="78">
        <v>41609</v>
      </c>
      <c r="B212" s="37" t="s">
        <v>479</v>
      </c>
      <c r="C212" s="1" t="s">
        <v>171</v>
      </c>
      <c r="D212" s="37" t="s">
        <v>96</v>
      </c>
      <c r="E212" s="361">
        <v>6961181</v>
      </c>
      <c r="F212" s="37" t="s">
        <v>335</v>
      </c>
      <c r="G212" s="79"/>
    </row>
    <row r="213" spans="1:7" hidden="1">
      <c r="A213" s="78">
        <v>41609</v>
      </c>
      <c r="B213" s="37" t="s">
        <v>217</v>
      </c>
      <c r="C213" s="1" t="s">
        <v>104</v>
      </c>
      <c r="D213" s="37" t="s">
        <v>96</v>
      </c>
      <c r="E213" s="361">
        <v>1399986</v>
      </c>
      <c r="F213" s="37" t="s">
        <v>351</v>
      </c>
      <c r="G213" s="79"/>
    </row>
    <row r="214" spans="1:7" hidden="1">
      <c r="A214" s="78">
        <v>41214</v>
      </c>
      <c r="B214" s="1" t="s">
        <v>98</v>
      </c>
      <c r="C214" s="1" t="s">
        <v>104</v>
      </c>
      <c r="D214" s="37" t="s">
        <v>96</v>
      </c>
      <c r="E214" s="361">
        <v>2500000</v>
      </c>
      <c r="F214" s="37" t="s">
        <v>351</v>
      </c>
      <c r="G214" s="79"/>
    </row>
    <row r="215" spans="1:7" hidden="1">
      <c r="A215" s="78">
        <v>41609</v>
      </c>
      <c r="B215" s="37" t="s">
        <v>241</v>
      </c>
      <c r="C215" s="1" t="s">
        <v>215</v>
      </c>
      <c r="D215" s="37" t="s">
        <v>92</v>
      </c>
      <c r="E215" s="361">
        <v>1656720</v>
      </c>
      <c r="F215" s="37" t="s">
        <v>454</v>
      </c>
      <c r="G215" s="79"/>
    </row>
    <row r="216" spans="1:7" hidden="1">
      <c r="A216" s="78">
        <v>41609</v>
      </c>
      <c r="B216" s="37" t="s">
        <v>241</v>
      </c>
      <c r="C216" s="1" t="s">
        <v>171</v>
      </c>
      <c r="D216" s="37" t="s">
        <v>92</v>
      </c>
      <c r="E216" s="361">
        <v>91260</v>
      </c>
      <c r="F216" s="37" t="s">
        <v>454</v>
      </c>
      <c r="G216" s="79"/>
    </row>
    <row r="217" spans="1:7" hidden="1">
      <c r="A217" s="78">
        <v>41640</v>
      </c>
      <c r="B217" s="37" t="s">
        <v>482</v>
      </c>
      <c r="C217" s="1" t="s">
        <v>103</v>
      </c>
      <c r="D217" s="37" t="s">
        <v>92</v>
      </c>
      <c r="E217" s="361">
        <v>3120000</v>
      </c>
      <c r="F217" s="37" t="s">
        <v>483</v>
      </c>
      <c r="G217" s="79"/>
    </row>
    <row r="218" spans="1:7" hidden="1">
      <c r="A218" s="78">
        <v>41609</v>
      </c>
      <c r="B218" s="37" t="s">
        <v>172</v>
      </c>
      <c r="C218" s="1" t="s">
        <v>171</v>
      </c>
      <c r="D218" s="37" t="s">
        <v>408</v>
      </c>
      <c r="E218" s="361">
        <v>4566600</v>
      </c>
      <c r="F218" s="37" t="s">
        <v>428</v>
      </c>
      <c r="G218" s="79"/>
    </row>
    <row r="219" spans="1:7" hidden="1">
      <c r="A219" s="78">
        <v>41609</v>
      </c>
      <c r="B219" s="37" t="s">
        <v>172</v>
      </c>
      <c r="C219" s="1" t="s">
        <v>104</v>
      </c>
      <c r="D219" s="37" t="s">
        <v>408</v>
      </c>
      <c r="E219" s="361">
        <v>531000</v>
      </c>
      <c r="F219" s="37" t="s">
        <v>494</v>
      </c>
      <c r="G219" s="79"/>
    </row>
    <row r="220" spans="1:7" hidden="1">
      <c r="A220" s="78">
        <v>41609</v>
      </c>
      <c r="B220" s="37" t="s">
        <v>172</v>
      </c>
      <c r="C220" s="1" t="s">
        <v>171</v>
      </c>
      <c r="D220" s="37" t="s">
        <v>408</v>
      </c>
      <c r="E220" s="361">
        <v>5097600</v>
      </c>
      <c r="F220" s="37" t="s">
        <v>402</v>
      </c>
      <c r="G220" s="79"/>
    </row>
    <row r="221" spans="1:7" hidden="1">
      <c r="A221" s="78">
        <v>41609</v>
      </c>
      <c r="B221" s="37" t="s">
        <v>172</v>
      </c>
      <c r="C221" s="1" t="s">
        <v>215</v>
      </c>
      <c r="D221" s="37" t="s">
        <v>408</v>
      </c>
      <c r="E221" s="361">
        <v>3929400</v>
      </c>
      <c r="F221" s="37" t="s">
        <v>495</v>
      </c>
      <c r="G221" s="79"/>
    </row>
    <row r="222" spans="1:7" hidden="1">
      <c r="A222" s="78">
        <v>41609</v>
      </c>
      <c r="B222" s="37" t="s">
        <v>172</v>
      </c>
      <c r="C222" s="1" t="s">
        <v>103</v>
      </c>
      <c r="D222" s="37" t="s">
        <v>408</v>
      </c>
      <c r="E222" s="361">
        <v>3929400</v>
      </c>
      <c r="F222" s="37" t="s">
        <v>248</v>
      </c>
      <c r="G222" s="79"/>
    </row>
    <row r="223" spans="1:7" hidden="1">
      <c r="A223" s="78">
        <v>41609</v>
      </c>
      <c r="B223" s="37" t="s">
        <v>208</v>
      </c>
      <c r="C223" s="1" t="s">
        <v>171</v>
      </c>
      <c r="D223" s="179" t="s">
        <v>408</v>
      </c>
      <c r="E223" s="361">
        <v>840000</v>
      </c>
      <c r="F223" s="37" t="s">
        <v>204</v>
      </c>
      <c r="G223" s="79"/>
    </row>
    <row r="224" spans="1:7" hidden="1">
      <c r="A224" s="78">
        <v>41609</v>
      </c>
      <c r="B224" s="37" t="s">
        <v>208</v>
      </c>
      <c r="C224" s="1" t="s">
        <v>171</v>
      </c>
      <c r="D224" s="179" t="s">
        <v>408</v>
      </c>
      <c r="E224" s="361">
        <v>1260000</v>
      </c>
      <c r="F224" s="37" t="s">
        <v>335</v>
      </c>
      <c r="G224" s="79"/>
    </row>
    <row r="225" spans="1:8" hidden="1">
      <c r="A225" s="78">
        <v>41640</v>
      </c>
      <c r="B225" s="37" t="s">
        <v>55</v>
      </c>
      <c r="C225" s="1" t="s">
        <v>103</v>
      </c>
      <c r="D225" s="179" t="s">
        <v>408</v>
      </c>
      <c r="E225" s="361">
        <v>6475200</v>
      </c>
      <c r="F225" s="37" t="s">
        <v>496</v>
      </c>
      <c r="G225" s="79"/>
    </row>
    <row r="226" spans="1:8" hidden="1">
      <c r="A226" s="78">
        <v>41640</v>
      </c>
      <c r="B226" s="37" t="s">
        <v>55</v>
      </c>
      <c r="C226" s="1" t="s">
        <v>103</v>
      </c>
      <c r="D226" s="179" t="s">
        <v>408</v>
      </c>
      <c r="E226" s="361">
        <v>592800</v>
      </c>
      <c r="F226" s="37" t="s">
        <v>249</v>
      </c>
      <c r="G226" s="79"/>
    </row>
    <row r="227" spans="1:8" hidden="1">
      <c r="A227" s="78">
        <v>41609</v>
      </c>
      <c r="B227" s="37" t="s">
        <v>211</v>
      </c>
      <c r="C227" s="1" t="s">
        <v>171</v>
      </c>
      <c r="D227" s="179" t="s">
        <v>408</v>
      </c>
      <c r="E227" s="361">
        <v>7824000</v>
      </c>
      <c r="F227" s="37" t="s">
        <v>497</v>
      </c>
      <c r="G227" s="79"/>
    </row>
    <row r="228" spans="1:8" hidden="1">
      <c r="A228" s="78">
        <v>41609</v>
      </c>
      <c r="B228" s="37" t="s">
        <v>6</v>
      </c>
      <c r="C228" s="1" t="s">
        <v>215</v>
      </c>
      <c r="D228" s="179" t="s">
        <v>92</v>
      </c>
      <c r="E228" s="361">
        <v>3417016</v>
      </c>
      <c r="F228" s="37" t="s">
        <v>335</v>
      </c>
      <c r="G228" s="79"/>
    </row>
    <row r="229" spans="1:8" hidden="1">
      <c r="A229" s="78">
        <v>41609</v>
      </c>
      <c r="B229" s="37" t="s">
        <v>6</v>
      </c>
      <c r="C229" s="1" t="s">
        <v>171</v>
      </c>
      <c r="D229" s="179" t="s">
        <v>92</v>
      </c>
      <c r="E229" s="361">
        <v>1000020</v>
      </c>
      <c r="F229" s="37" t="s">
        <v>403</v>
      </c>
      <c r="G229" s="79"/>
    </row>
    <row r="230" spans="1:8" hidden="1">
      <c r="A230" s="78">
        <v>41609</v>
      </c>
      <c r="B230" s="37" t="s">
        <v>299</v>
      </c>
      <c r="C230" s="1" t="s">
        <v>215</v>
      </c>
      <c r="D230" s="37" t="s">
        <v>92</v>
      </c>
      <c r="E230" s="361">
        <v>21084835</v>
      </c>
      <c r="F230" s="37" t="s">
        <v>335</v>
      </c>
      <c r="G230" s="79">
        <f>E230*0.816</f>
        <v>17205225.359999999</v>
      </c>
      <c r="H230">
        <f>G230+G265</f>
        <v>27365959.439999998</v>
      </c>
    </row>
    <row r="231" spans="1:8" hidden="1">
      <c r="A231" s="78">
        <v>41609</v>
      </c>
      <c r="B231" s="37" t="s">
        <v>217</v>
      </c>
      <c r="C231" s="1" t="s">
        <v>215</v>
      </c>
      <c r="D231" s="37" t="s">
        <v>96</v>
      </c>
      <c r="E231" s="361">
        <v>2358708</v>
      </c>
      <c r="F231" s="37" t="s">
        <v>498</v>
      </c>
      <c r="G231" s="79"/>
    </row>
    <row r="232" spans="1:8" hidden="1">
      <c r="A232" s="78">
        <v>41609</v>
      </c>
      <c r="B232" s="37" t="s">
        <v>218</v>
      </c>
      <c r="C232" s="1" t="s">
        <v>215</v>
      </c>
      <c r="D232" s="37" t="s">
        <v>96</v>
      </c>
      <c r="E232" s="361">
        <v>284309</v>
      </c>
      <c r="F232" s="37" t="s">
        <v>498</v>
      </c>
      <c r="G232" s="79"/>
    </row>
    <row r="233" spans="1:8" hidden="1">
      <c r="A233" s="78">
        <v>41609</v>
      </c>
      <c r="B233" s="37" t="s">
        <v>259</v>
      </c>
      <c r="C233" s="1" t="s">
        <v>171</v>
      </c>
      <c r="D233" s="37" t="s">
        <v>96</v>
      </c>
      <c r="E233" s="361">
        <v>6219460</v>
      </c>
      <c r="F233" s="37" t="s">
        <v>335</v>
      </c>
      <c r="G233" s="79"/>
    </row>
    <row r="234" spans="1:8" hidden="1">
      <c r="A234" s="78">
        <v>41640</v>
      </c>
      <c r="B234" s="37" t="s">
        <v>259</v>
      </c>
      <c r="C234" s="1" t="s">
        <v>171</v>
      </c>
      <c r="D234" s="37" t="s">
        <v>96</v>
      </c>
      <c r="E234" s="362">
        <v>1800000</v>
      </c>
      <c r="F234" s="37" t="s">
        <v>500</v>
      </c>
      <c r="G234" s="79"/>
    </row>
    <row r="235" spans="1:8" hidden="1">
      <c r="A235" s="78">
        <v>41640</v>
      </c>
      <c r="B235" s="37" t="s">
        <v>259</v>
      </c>
      <c r="C235" s="1" t="s">
        <v>171</v>
      </c>
      <c r="D235" s="37" t="s">
        <v>96</v>
      </c>
      <c r="E235" s="362">
        <v>13500000</v>
      </c>
      <c r="F235" s="37" t="s">
        <v>499</v>
      </c>
      <c r="G235" s="79"/>
    </row>
    <row r="236" spans="1:8" hidden="1">
      <c r="A236" s="78">
        <v>41609</v>
      </c>
      <c r="B236" s="37" t="s">
        <v>214</v>
      </c>
      <c r="C236" s="1" t="s">
        <v>215</v>
      </c>
      <c r="D236" s="37" t="s">
        <v>92</v>
      </c>
      <c r="E236" s="361">
        <v>3780000</v>
      </c>
      <c r="F236" s="37" t="s">
        <v>335</v>
      </c>
      <c r="G236" s="79"/>
    </row>
    <row r="237" spans="1:8" hidden="1">
      <c r="A237" s="78">
        <v>41640</v>
      </c>
      <c r="B237" s="37" t="s">
        <v>55</v>
      </c>
      <c r="C237" s="1" t="s">
        <v>336</v>
      </c>
      <c r="D237" s="37" t="s">
        <v>408</v>
      </c>
      <c r="E237" s="361">
        <v>4696800</v>
      </c>
      <c r="F237" s="37" t="s">
        <v>401</v>
      </c>
      <c r="G237" s="79"/>
    </row>
    <row r="238" spans="1:8" hidden="1">
      <c r="A238" s="78">
        <v>41640</v>
      </c>
      <c r="B238" s="37" t="s">
        <v>55</v>
      </c>
      <c r="C238" s="1" t="s">
        <v>336</v>
      </c>
      <c r="D238" s="37" t="s">
        <v>408</v>
      </c>
      <c r="E238" s="361">
        <v>364800</v>
      </c>
      <c r="F238" s="37" t="s">
        <v>374</v>
      </c>
      <c r="G238" s="79"/>
    </row>
    <row r="239" spans="1:8" hidden="1">
      <c r="A239" s="78">
        <v>41579</v>
      </c>
      <c r="B239" s="37" t="s">
        <v>502</v>
      </c>
      <c r="C239" s="1" t="s">
        <v>104</v>
      </c>
      <c r="D239" s="37" t="s">
        <v>408</v>
      </c>
      <c r="E239" s="361">
        <v>8861916</v>
      </c>
      <c r="F239" s="37" t="s">
        <v>335</v>
      </c>
      <c r="G239" s="79"/>
    </row>
    <row r="240" spans="1:8" hidden="1">
      <c r="A240" s="78">
        <v>41579</v>
      </c>
      <c r="B240" s="37" t="s">
        <v>502</v>
      </c>
      <c r="C240" s="1" t="s">
        <v>171</v>
      </c>
      <c r="D240" s="37" t="s">
        <v>408</v>
      </c>
      <c r="E240" s="361">
        <v>619421</v>
      </c>
      <c r="F240" s="37" t="s">
        <v>335</v>
      </c>
      <c r="G240" s="79"/>
    </row>
    <row r="241" spans="1:7" hidden="1">
      <c r="A241" s="78">
        <v>41579</v>
      </c>
      <c r="B241" s="37" t="s">
        <v>503</v>
      </c>
      <c r="C241" s="1" t="s">
        <v>104</v>
      </c>
      <c r="D241" s="37" t="s">
        <v>408</v>
      </c>
      <c r="E241" s="361">
        <v>18125477</v>
      </c>
      <c r="F241" s="37" t="s">
        <v>335</v>
      </c>
      <c r="G241" s="79"/>
    </row>
    <row r="242" spans="1:7" hidden="1">
      <c r="A242" s="78">
        <v>41579</v>
      </c>
      <c r="B242" s="37" t="s">
        <v>503</v>
      </c>
      <c r="C242" s="1" t="s">
        <v>171</v>
      </c>
      <c r="D242" s="37" t="s">
        <v>408</v>
      </c>
      <c r="E242" s="361">
        <v>619421</v>
      </c>
      <c r="F242" s="37" t="s">
        <v>335</v>
      </c>
      <c r="G242" s="79"/>
    </row>
    <row r="243" spans="1:7" hidden="1">
      <c r="A243" s="78">
        <v>41579</v>
      </c>
      <c r="B243" s="37" t="s">
        <v>6</v>
      </c>
      <c r="C243" s="1" t="s">
        <v>215</v>
      </c>
      <c r="D243" s="179" t="s">
        <v>92</v>
      </c>
      <c r="E243" s="361">
        <v>3854561</v>
      </c>
      <c r="F243" s="37" t="s">
        <v>335</v>
      </c>
      <c r="G243" s="79"/>
    </row>
    <row r="244" spans="1:7" hidden="1">
      <c r="A244" s="78">
        <v>41640</v>
      </c>
      <c r="B244" s="37" t="s">
        <v>172</v>
      </c>
      <c r="C244" s="1" t="s">
        <v>171</v>
      </c>
      <c r="D244" s="37" t="s">
        <v>408</v>
      </c>
      <c r="E244" s="362">
        <v>4566600</v>
      </c>
      <c r="F244" s="37" t="s">
        <v>404</v>
      </c>
      <c r="G244" s="79" t="s">
        <v>418</v>
      </c>
    </row>
    <row r="245" spans="1:7" hidden="1">
      <c r="A245" s="78">
        <v>41640</v>
      </c>
      <c r="B245" s="37" t="s">
        <v>172</v>
      </c>
      <c r="C245" s="1" t="s">
        <v>104</v>
      </c>
      <c r="D245" s="37" t="s">
        <v>408</v>
      </c>
      <c r="E245" s="361">
        <v>531000</v>
      </c>
      <c r="F245" s="37" t="s">
        <v>494</v>
      </c>
      <c r="G245" s="79"/>
    </row>
    <row r="246" spans="1:7" hidden="1">
      <c r="A246" s="78">
        <v>41640</v>
      </c>
      <c r="B246" s="37" t="s">
        <v>172</v>
      </c>
      <c r="C246" s="1" t="s">
        <v>215</v>
      </c>
      <c r="D246" s="37" t="s">
        <v>408</v>
      </c>
      <c r="E246" s="363">
        <v>13593600</v>
      </c>
      <c r="F246" s="37" t="s">
        <v>363</v>
      </c>
      <c r="G246" s="79" t="s">
        <v>418</v>
      </c>
    </row>
    <row r="247" spans="1:7" hidden="1">
      <c r="A247" s="78">
        <v>41640</v>
      </c>
      <c r="B247" s="37" t="s">
        <v>172</v>
      </c>
      <c r="C247" s="1" t="s">
        <v>103</v>
      </c>
      <c r="D247" s="37" t="s">
        <v>408</v>
      </c>
      <c r="E247" s="361">
        <v>6478200</v>
      </c>
      <c r="F247" s="37" t="s">
        <v>483</v>
      </c>
      <c r="G247" s="79"/>
    </row>
    <row r="248" spans="1:7" hidden="1">
      <c r="A248" s="78">
        <v>41640</v>
      </c>
      <c r="B248" s="37" t="s">
        <v>172</v>
      </c>
      <c r="C248" s="1" t="s">
        <v>171</v>
      </c>
      <c r="D248" s="37" t="s">
        <v>408</v>
      </c>
      <c r="E248" s="362">
        <v>5203800</v>
      </c>
      <c r="F248" s="37" t="s">
        <v>402</v>
      </c>
      <c r="G248" s="79" t="s">
        <v>418</v>
      </c>
    </row>
    <row r="249" spans="1:7" hidden="1">
      <c r="A249" s="78">
        <v>41640</v>
      </c>
      <c r="B249" s="37" t="s">
        <v>241</v>
      </c>
      <c r="C249" s="1" t="s">
        <v>171</v>
      </c>
      <c r="D249" s="37" t="s">
        <v>92</v>
      </c>
      <c r="E249" s="362">
        <v>168480</v>
      </c>
      <c r="F249" s="37" t="s">
        <v>370</v>
      </c>
      <c r="G249" s="79"/>
    </row>
    <row r="250" spans="1:7" hidden="1">
      <c r="A250" s="78">
        <v>41640</v>
      </c>
      <c r="B250" s="37" t="s">
        <v>241</v>
      </c>
      <c r="C250" s="1" t="s">
        <v>171</v>
      </c>
      <c r="D250" s="37" t="s">
        <v>92</v>
      </c>
      <c r="E250" s="362">
        <v>1673100</v>
      </c>
      <c r="F250" s="37" t="s">
        <v>370</v>
      </c>
      <c r="G250" s="79"/>
    </row>
    <row r="251" spans="1:7" hidden="1">
      <c r="A251" s="78">
        <v>41640</v>
      </c>
      <c r="B251" s="37" t="s">
        <v>515</v>
      </c>
      <c r="C251" s="1" t="s">
        <v>171</v>
      </c>
      <c r="D251" s="37"/>
      <c r="E251" s="364">
        <v>2002726</v>
      </c>
      <c r="F251" s="37" t="s">
        <v>204</v>
      </c>
      <c r="G251" s="79"/>
    </row>
    <row r="252" spans="1:7" hidden="1">
      <c r="A252" s="78">
        <v>41640</v>
      </c>
      <c r="B252" s="37" t="s">
        <v>502</v>
      </c>
      <c r="C252" s="1" t="s">
        <v>104</v>
      </c>
      <c r="D252" s="37" t="s">
        <v>408</v>
      </c>
      <c r="E252" s="361">
        <v>9677028</v>
      </c>
      <c r="F252" s="37" t="s">
        <v>335</v>
      </c>
      <c r="G252" s="79"/>
    </row>
    <row r="253" spans="1:7" hidden="1">
      <c r="A253" s="78">
        <v>41640</v>
      </c>
      <c r="B253" s="37" t="s">
        <v>502</v>
      </c>
      <c r="C253" s="1" t="s">
        <v>171</v>
      </c>
      <c r="D253" s="37" t="s">
        <v>408</v>
      </c>
      <c r="E253" s="362">
        <v>809049</v>
      </c>
      <c r="F253" s="37" t="s">
        <v>335</v>
      </c>
      <c r="G253" s="79"/>
    </row>
    <row r="254" spans="1:7" hidden="1">
      <c r="A254" s="78">
        <v>41640</v>
      </c>
      <c r="B254" s="37" t="s">
        <v>503</v>
      </c>
      <c r="C254" s="1" t="s">
        <v>104</v>
      </c>
      <c r="D254" s="37" t="s">
        <v>408</v>
      </c>
      <c r="E254" s="361">
        <v>8788571</v>
      </c>
      <c r="F254" s="37" t="s">
        <v>335</v>
      </c>
      <c r="G254" s="79"/>
    </row>
    <row r="255" spans="1:7" hidden="1">
      <c r="A255" s="78">
        <v>41640</v>
      </c>
      <c r="B255" s="37" t="s">
        <v>503</v>
      </c>
      <c r="C255" s="1" t="s">
        <v>171</v>
      </c>
      <c r="D255" s="37" t="s">
        <v>408</v>
      </c>
      <c r="E255" s="362">
        <v>2734443</v>
      </c>
      <c r="F255" s="37" t="s">
        <v>335</v>
      </c>
      <c r="G255" s="79"/>
    </row>
    <row r="256" spans="1:7" hidden="1">
      <c r="A256" s="78">
        <v>41640</v>
      </c>
      <c r="B256" s="37" t="s">
        <v>208</v>
      </c>
      <c r="C256" s="1" t="s">
        <v>171</v>
      </c>
      <c r="D256" s="37" t="s">
        <v>408</v>
      </c>
      <c r="E256" s="362">
        <v>840000</v>
      </c>
      <c r="F256" s="37" t="s">
        <v>419</v>
      </c>
      <c r="G256" s="79"/>
    </row>
    <row r="257" spans="1:8" hidden="1">
      <c r="A257" s="78">
        <v>41640</v>
      </c>
      <c r="B257" s="37" t="s">
        <v>208</v>
      </c>
      <c r="C257" s="1" t="s">
        <v>171</v>
      </c>
      <c r="D257" s="37" t="s">
        <v>408</v>
      </c>
      <c r="E257" s="362">
        <v>1092000</v>
      </c>
      <c r="F257" s="37" t="s">
        <v>335</v>
      </c>
      <c r="G257" s="79"/>
    </row>
    <row r="258" spans="1:8" hidden="1">
      <c r="A258" s="78">
        <v>41640</v>
      </c>
      <c r="B258" s="37" t="s">
        <v>523</v>
      </c>
      <c r="C258" s="1" t="s">
        <v>215</v>
      </c>
      <c r="D258" s="37" t="s">
        <v>92</v>
      </c>
      <c r="E258" s="361">
        <v>4857371</v>
      </c>
      <c r="F258" s="37" t="s">
        <v>335</v>
      </c>
      <c r="G258" s="79"/>
    </row>
    <row r="259" spans="1:8" hidden="1">
      <c r="A259" s="78">
        <v>41640</v>
      </c>
      <c r="B259" s="37" t="s">
        <v>259</v>
      </c>
      <c r="C259" s="1" t="s">
        <v>171</v>
      </c>
      <c r="D259" s="37" t="s">
        <v>96</v>
      </c>
      <c r="E259" s="362">
        <v>11477606</v>
      </c>
      <c r="F259" s="37" t="s">
        <v>335</v>
      </c>
      <c r="G259" s="79"/>
    </row>
    <row r="260" spans="1:8" hidden="1">
      <c r="A260" s="78">
        <v>41671</v>
      </c>
      <c r="B260" s="37" t="s">
        <v>55</v>
      </c>
      <c r="C260" s="1" t="s">
        <v>336</v>
      </c>
      <c r="D260" s="37" t="s">
        <v>408</v>
      </c>
      <c r="E260" s="361">
        <v>4696800</v>
      </c>
      <c r="F260" s="37" t="s">
        <v>524</v>
      </c>
      <c r="G260" s="79"/>
    </row>
    <row r="261" spans="1:8" hidden="1">
      <c r="A261" s="78">
        <v>41671</v>
      </c>
      <c r="B261" s="37" t="s">
        <v>55</v>
      </c>
      <c r="C261" s="1" t="s">
        <v>171</v>
      </c>
      <c r="D261" s="37" t="s">
        <v>408</v>
      </c>
      <c r="E261" s="362">
        <v>364800</v>
      </c>
      <c r="F261" s="37" t="s">
        <v>525</v>
      </c>
      <c r="G261" s="79"/>
    </row>
    <row r="262" spans="1:8" hidden="1">
      <c r="A262" s="78">
        <v>41671</v>
      </c>
      <c r="B262" s="37" t="s">
        <v>55</v>
      </c>
      <c r="C262" s="1" t="s">
        <v>171</v>
      </c>
      <c r="D262" s="37" t="s">
        <v>408</v>
      </c>
      <c r="E262" s="362">
        <v>4938480</v>
      </c>
      <c r="F262" s="37" t="s">
        <v>419</v>
      </c>
      <c r="G262" s="79"/>
    </row>
    <row r="263" spans="1:8" hidden="1">
      <c r="A263" s="78">
        <v>41671</v>
      </c>
      <c r="B263" s="37" t="s">
        <v>55</v>
      </c>
      <c r="C263" s="1" t="s">
        <v>103</v>
      </c>
      <c r="D263" s="37" t="s">
        <v>408</v>
      </c>
      <c r="E263" s="361">
        <v>3292320</v>
      </c>
      <c r="F263" s="37" t="s">
        <v>429</v>
      </c>
      <c r="G263" s="79"/>
    </row>
    <row r="264" spans="1:8" hidden="1">
      <c r="A264" s="78">
        <v>41671</v>
      </c>
      <c r="B264" s="37" t="s">
        <v>55</v>
      </c>
      <c r="C264" s="1" t="s">
        <v>103</v>
      </c>
      <c r="D264" s="37" t="s">
        <v>408</v>
      </c>
      <c r="E264" s="361">
        <v>478800</v>
      </c>
      <c r="F264" s="37" t="s">
        <v>526</v>
      </c>
      <c r="G264" s="79"/>
    </row>
    <row r="265" spans="1:8" hidden="1">
      <c r="A265" s="78">
        <v>41640</v>
      </c>
      <c r="B265" s="37" t="s">
        <v>299</v>
      </c>
      <c r="C265" s="1" t="s">
        <v>215</v>
      </c>
      <c r="D265" s="37" t="s">
        <v>92</v>
      </c>
      <c r="E265" s="361">
        <v>10368096</v>
      </c>
      <c r="F265" s="37" t="s">
        <v>335</v>
      </c>
      <c r="G265" s="79">
        <f>E265*0.98</f>
        <v>10160734.08</v>
      </c>
      <c r="H265">
        <f>H230/13600</f>
        <v>2012.2028999999998</v>
      </c>
    </row>
    <row r="266" spans="1:8" hidden="1">
      <c r="A266" s="78">
        <v>41640</v>
      </c>
      <c r="B266" s="37" t="s">
        <v>217</v>
      </c>
      <c r="C266" s="1" t="s">
        <v>215</v>
      </c>
      <c r="D266" s="37" t="s">
        <v>96</v>
      </c>
      <c r="E266" s="361">
        <v>2307938</v>
      </c>
      <c r="F266" s="37" t="s">
        <v>335</v>
      </c>
      <c r="G266" s="79"/>
    </row>
    <row r="267" spans="1:8" hidden="1">
      <c r="A267" s="78">
        <v>41640</v>
      </c>
      <c r="B267" s="37" t="s">
        <v>218</v>
      </c>
      <c r="C267" s="1" t="s">
        <v>215</v>
      </c>
      <c r="D267" s="37" t="s">
        <v>96</v>
      </c>
      <c r="E267" s="361">
        <v>178828</v>
      </c>
      <c r="F267" s="37" t="s">
        <v>335</v>
      </c>
      <c r="G267" s="79"/>
    </row>
    <row r="268" spans="1:8" hidden="1">
      <c r="A268" s="78">
        <v>41640</v>
      </c>
      <c r="B268" s="37" t="s">
        <v>214</v>
      </c>
      <c r="C268" s="1" t="s">
        <v>215</v>
      </c>
      <c r="D268" s="37" t="s">
        <v>92</v>
      </c>
      <c r="E268" s="361">
        <v>3960000</v>
      </c>
      <c r="F268" s="37" t="s">
        <v>335</v>
      </c>
      <c r="G268" s="79"/>
    </row>
    <row r="269" spans="1:8" hidden="1">
      <c r="A269" s="78">
        <v>41640</v>
      </c>
      <c r="B269" s="37" t="s">
        <v>98</v>
      </c>
      <c r="C269" s="1" t="s">
        <v>104</v>
      </c>
      <c r="D269" s="37" t="s">
        <v>96</v>
      </c>
      <c r="E269" s="361">
        <v>1666666</v>
      </c>
      <c r="F269" s="37" t="s">
        <v>531</v>
      </c>
      <c r="G269" s="79"/>
    </row>
    <row r="270" spans="1:8" hidden="1">
      <c r="A270" s="78">
        <v>41640</v>
      </c>
      <c r="B270" s="37" t="s">
        <v>211</v>
      </c>
      <c r="C270" s="1" t="s">
        <v>171</v>
      </c>
      <c r="D270" s="37" t="s">
        <v>408</v>
      </c>
      <c r="E270" s="361">
        <v>4926604</v>
      </c>
      <c r="F270" s="37" t="s">
        <v>532</v>
      </c>
      <c r="G270" s="79" t="s">
        <v>418</v>
      </c>
    </row>
    <row r="271" spans="1:8" hidden="1">
      <c r="A271" s="78">
        <v>41640</v>
      </c>
      <c r="B271" s="37" t="s">
        <v>211</v>
      </c>
      <c r="C271" s="1" t="s">
        <v>171</v>
      </c>
      <c r="D271" s="37" t="s">
        <v>408</v>
      </c>
      <c r="E271" s="361">
        <v>7121396</v>
      </c>
      <c r="F271" s="37" t="s">
        <v>335</v>
      </c>
      <c r="G271" s="79" t="s">
        <v>418</v>
      </c>
    </row>
    <row r="272" spans="1:8" hidden="1">
      <c r="A272" s="78">
        <v>41640</v>
      </c>
      <c r="B272" s="37" t="s">
        <v>502</v>
      </c>
      <c r="C272" s="1" t="s">
        <v>104</v>
      </c>
      <c r="D272" s="37" t="s">
        <v>408</v>
      </c>
      <c r="E272" s="361">
        <v>966959</v>
      </c>
      <c r="F272" s="37" t="s">
        <v>533</v>
      </c>
      <c r="G272" s="79"/>
    </row>
    <row r="273" spans="1:7" hidden="1">
      <c r="A273" s="78">
        <v>41640</v>
      </c>
      <c r="B273" s="37" t="s">
        <v>503</v>
      </c>
      <c r="C273" s="1" t="s">
        <v>104</v>
      </c>
      <c r="D273" s="37" t="s">
        <v>408</v>
      </c>
      <c r="E273" s="361">
        <v>296000</v>
      </c>
      <c r="F273" s="37" t="s">
        <v>533</v>
      </c>
      <c r="G273" s="79"/>
    </row>
    <row r="274" spans="1:7" hidden="1">
      <c r="A274" s="78">
        <v>41640</v>
      </c>
      <c r="B274" s="37" t="s">
        <v>503</v>
      </c>
      <c r="C274" s="1" t="s">
        <v>104</v>
      </c>
      <c r="D274" s="37" t="s">
        <v>408</v>
      </c>
      <c r="E274" s="361">
        <v>2424144</v>
      </c>
      <c r="F274" s="37" t="s">
        <v>533</v>
      </c>
      <c r="G274" s="79"/>
    </row>
    <row r="275" spans="1:7" hidden="1">
      <c r="A275" s="78">
        <v>41671</v>
      </c>
      <c r="B275" s="37" t="s">
        <v>241</v>
      </c>
      <c r="C275" s="1" t="s">
        <v>171</v>
      </c>
      <c r="D275" s="37" t="s">
        <v>92</v>
      </c>
      <c r="E275" s="362">
        <v>1825200</v>
      </c>
      <c r="F275" s="37" t="s">
        <v>370</v>
      </c>
      <c r="G275" s="79"/>
    </row>
    <row r="276" spans="1:7" hidden="1">
      <c r="A276" s="78">
        <v>41671</v>
      </c>
      <c r="B276" s="37" t="s">
        <v>6</v>
      </c>
      <c r="C276" s="1" t="s">
        <v>104</v>
      </c>
      <c r="D276" s="37" t="s">
        <v>92</v>
      </c>
      <c r="E276" s="361">
        <v>1000005</v>
      </c>
      <c r="F276" s="37" t="s">
        <v>282</v>
      </c>
      <c r="G276" s="79"/>
    </row>
    <row r="277" spans="1:7" hidden="1">
      <c r="A277" s="78">
        <v>41671</v>
      </c>
      <c r="B277" s="37" t="s">
        <v>6</v>
      </c>
      <c r="C277" s="1" t="s">
        <v>171</v>
      </c>
      <c r="D277" s="37" t="s">
        <v>92</v>
      </c>
      <c r="E277" s="361">
        <v>1000005</v>
      </c>
      <c r="F277" s="37" t="s">
        <v>282</v>
      </c>
      <c r="G277" s="79"/>
    </row>
    <row r="278" spans="1:7" hidden="1">
      <c r="A278" s="78">
        <v>41640</v>
      </c>
      <c r="B278" s="37" t="s">
        <v>211</v>
      </c>
      <c r="C278" s="1" t="s">
        <v>171</v>
      </c>
      <c r="D278" s="37" t="s">
        <v>408</v>
      </c>
      <c r="E278" s="361">
        <v>5904000</v>
      </c>
      <c r="F278" s="37" t="s">
        <v>428</v>
      </c>
      <c r="G278" s="79" t="s">
        <v>418</v>
      </c>
    </row>
    <row r="279" spans="1:7" hidden="1">
      <c r="A279" s="78">
        <v>41671</v>
      </c>
      <c r="B279" s="37" t="s">
        <v>217</v>
      </c>
      <c r="C279" s="1" t="s">
        <v>104</v>
      </c>
      <c r="D279" s="37" t="s">
        <v>96</v>
      </c>
      <c r="E279" s="361">
        <v>2916000</v>
      </c>
      <c r="F279" s="37" t="s">
        <v>557</v>
      </c>
      <c r="G279" s="79"/>
    </row>
    <row r="280" spans="1:7" hidden="1">
      <c r="A280" s="78">
        <v>41699</v>
      </c>
      <c r="B280" s="37" t="s">
        <v>55</v>
      </c>
      <c r="C280" s="1" t="s">
        <v>103</v>
      </c>
      <c r="D280" s="37" t="s">
        <v>408</v>
      </c>
      <c r="E280" s="361">
        <v>478800</v>
      </c>
      <c r="F280" s="37" t="s">
        <v>558</v>
      </c>
      <c r="G280" s="79"/>
    </row>
    <row r="281" spans="1:7" hidden="1">
      <c r="A281" s="78">
        <v>41699</v>
      </c>
      <c r="B281" s="37" t="s">
        <v>55</v>
      </c>
      <c r="C281" s="1" t="s">
        <v>103</v>
      </c>
      <c r="D281" s="37" t="s">
        <v>408</v>
      </c>
      <c r="E281" s="361">
        <v>5950800</v>
      </c>
      <c r="F281" s="37" t="s">
        <v>560</v>
      </c>
      <c r="G281" s="79"/>
    </row>
    <row r="282" spans="1:7" hidden="1">
      <c r="A282" s="78">
        <v>41671</v>
      </c>
      <c r="B282" s="37" t="s">
        <v>172</v>
      </c>
      <c r="C282" s="1" t="s">
        <v>171</v>
      </c>
      <c r="D282" s="37" t="s">
        <v>408</v>
      </c>
      <c r="E282" s="361">
        <v>4672800</v>
      </c>
      <c r="F282" s="37" t="s">
        <v>559</v>
      </c>
      <c r="G282" s="79" t="s">
        <v>418</v>
      </c>
    </row>
    <row r="283" spans="1:7" hidden="1">
      <c r="A283" s="78">
        <v>41671</v>
      </c>
      <c r="B283" s="37" t="s">
        <v>172</v>
      </c>
      <c r="C283" s="1" t="s">
        <v>215</v>
      </c>
      <c r="D283" s="37" t="s">
        <v>408</v>
      </c>
      <c r="E283" s="363">
        <v>11151000</v>
      </c>
      <c r="F283" s="37" t="s">
        <v>363</v>
      </c>
      <c r="G283" s="79" t="s">
        <v>418</v>
      </c>
    </row>
    <row r="284" spans="1:7" hidden="1">
      <c r="A284" s="78">
        <v>41671</v>
      </c>
      <c r="B284" s="37" t="s">
        <v>502</v>
      </c>
      <c r="C284" s="1" t="s">
        <v>171</v>
      </c>
      <c r="D284" s="37" t="s">
        <v>408</v>
      </c>
      <c r="E284" s="361">
        <v>5437600</v>
      </c>
      <c r="F284" s="37" t="s">
        <v>561</v>
      </c>
      <c r="G284" s="79" t="s">
        <v>418</v>
      </c>
    </row>
    <row r="285" spans="1:7" hidden="1">
      <c r="A285" s="78">
        <v>41671</v>
      </c>
      <c r="B285" s="37" t="s">
        <v>503</v>
      </c>
      <c r="C285" s="1" t="s">
        <v>171</v>
      </c>
      <c r="D285" s="37" t="s">
        <v>408</v>
      </c>
      <c r="E285" s="361">
        <f>2*5437600</f>
        <v>10875200</v>
      </c>
      <c r="F285" s="37" t="s">
        <v>561</v>
      </c>
      <c r="G285" s="79" t="s">
        <v>418</v>
      </c>
    </row>
    <row r="286" spans="1:7" hidden="1">
      <c r="A286" s="78">
        <v>41640</v>
      </c>
      <c r="B286" s="37" t="s">
        <v>502</v>
      </c>
      <c r="C286" s="1" t="s">
        <v>171</v>
      </c>
      <c r="D286" s="37" t="s">
        <v>408</v>
      </c>
      <c r="E286" s="361">
        <v>975933</v>
      </c>
      <c r="F286" s="37" t="s">
        <v>562</v>
      </c>
      <c r="G286" s="79" t="s">
        <v>418</v>
      </c>
    </row>
    <row r="287" spans="1:7" hidden="1">
      <c r="A287" s="78">
        <v>41640</v>
      </c>
      <c r="B287" s="37" t="s">
        <v>503</v>
      </c>
      <c r="C287" s="1" t="s">
        <v>171</v>
      </c>
      <c r="D287" s="37" t="s">
        <v>408</v>
      </c>
      <c r="E287" s="361">
        <v>1587481</v>
      </c>
      <c r="F287" s="37" t="s">
        <v>562</v>
      </c>
      <c r="G287" s="79" t="s">
        <v>418</v>
      </c>
    </row>
    <row r="288" spans="1:7" hidden="1">
      <c r="A288" s="78">
        <v>41640</v>
      </c>
      <c r="B288" s="37" t="s">
        <v>566</v>
      </c>
      <c r="C288" s="1" t="s">
        <v>171</v>
      </c>
      <c r="D288" s="37" t="s">
        <v>92</v>
      </c>
      <c r="E288" s="361">
        <v>19200000</v>
      </c>
      <c r="F288" s="37" t="s">
        <v>567</v>
      </c>
      <c r="G288" s="79"/>
    </row>
    <row r="289" spans="1:7" hidden="1">
      <c r="A289" s="78">
        <v>41671</v>
      </c>
      <c r="B289" s="37" t="s">
        <v>566</v>
      </c>
      <c r="C289" s="1" t="s">
        <v>171</v>
      </c>
      <c r="D289" s="37" t="s">
        <v>92</v>
      </c>
      <c r="E289" s="361">
        <v>19200000</v>
      </c>
      <c r="F289" s="37" t="s">
        <v>568</v>
      </c>
      <c r="G289" s="79"/>
    </row>
    <row r="290" spans="1:7" hidden="1">
      <c r="A290" s="78">
        <v>41671</v>
      </c>
      <c r="B290" s="37" t="s">
        <v>211</v>
      </c>
      <c r="C290" s="1" t="s">
        <v>171</v>
      </c>
      <c r="D290" s="37" t="s">
        <v>408</v>
      </c>
      <c r="E290" s="361">
        <v>11328000</v>
      </c>
      <c r="F290" s="37" t="s">
        <v>569</v>
      </c>
      <c r="G290" s="79" t="s">
        <v>418</v>
      </c>
    </row>
    <row r="291" spans="1:7" hidden="1">
      <c r="A291" s="78">
        <v>41671</v>
      </c>
      <c r="B291" s="37" t="s">
        <v>208</v>
      </c>
      <c r="C291" s="1" t="s">
        <v>171</v>
      </c>
      <c r="D291" s="37" t="s">
        <v>408</v>
      </c>
      <c r="E291" s="362">
        <v>1848000</v>
      </c>
      <c r="F291" s="37" t="s">
        <v>335</v>
      </c>
      <c r="G291" s="79"/>
    </row>
    <row r="292" spans="1:7" hidden="1">
      <c r="A292" s="78">
        <v>41671</v>
      </c>
      <c r="B292" s="37" t="s">
        <v>172</v>
      </c>
      <c r="C292" s="1" t="s">
        <v>171</v>
      </c>
      <c r="D292" s="37" t="s">
        <v>408</v>
      </c>
      <c r="E292" s="361">
        <v>5841000</v>
      </c>
      <c r="F292" s="37" t="s">
        <v>402</v>
      </c>
      <c r="G292" s="79" t="s">
        <v>418</v>
      </c>
    </row>
    <row r="293" spans="1:7" hidden="1">
      <c r="A293" s="78">
        <v>41671</v>
      </c>
      <c r="B293" s="37" t="s">
        <v>172</v>
      </c>
      <c r="C293" s="1" t="s">
        <v>103</v>
      </c>
      <c r="D293" s="37" t="s">
        <v>408</v>
      </c>
      <c r="E293" s="361">
        <v>6159600</v>
      </c>
      <c r="F293" s="37" t="s">
        <v>570</v>
      </c>
      <c r="G293" s="79"/>
    </row>
    <row r="294" spans="1:7" hidden="1">
      <c r="A294" s="78">
        <v>41671</v>
      </c>
      <c r="B294" s="37" t="s">
        <v>6</v>
      </c>
      <c r="C294" s="1" t="s">
        <v>215</v>
      </c>
      <c r="D294" s="37"/>
      <c r="E294" s="361">
        <v>4848066</v>
      </c>
      <c r="F294" s="37" t="s">
        <v>335</v>
      </c>
      <c r="G294" s="79"/>
    </row>
    <row r="295" spans="1:7" hidden="1">
      <c r="A295" s="78">
        <v>41671</v>
      </c>
      <c r="B295" s="37" t="s">
        <v>479</v>
      </c>
      <c r="C295" s="1" t="s">
        <v>171</v>
      </c>
      <c r="D295" s="37" t="s">
        <v>96</v>
      </c>
      <c r="E295" s="361">
        <v>31251856</v>
      </c>
      <c r="F295" s="37" t="s">
        <v>578</v>
      </c>
      <c r="G295" s="79"/>
    </row>
    <row r="296" spans="1:7" hidden="1">
      <c r="A296" s="78">
        <v>41671</v>
      </c>
      <c r="B296" s="37" t="s">
        <v>479</v>
      </c>
      <c r="C296" s="1" t="s">
        <v>336</v>
      </c>
      <c r="D296" s="37" t="s">
        <v>96</v>
      </c>
      <c r="E296" s="361">
        <v>1975999</v>
      </c>
      <c r="F296" s="37" t="s">
        <v>577</v>
      </c>
      <c r="G296" s="79"/>
    </row>
    <row r="297" spans="1:7" hidden="1">
      <c r="A297" s="78">
        <v>41699</v>
      </c>
      <c r="B297" s="37" t="s">
        <v>566</v>
      </c>
      <c r="C297" s="1" t="s">
        <v>171</v>
      </c>
      <c r="D297" s="37" t="s">
        <v>92</v>
      </c>
      <c r="E297" s="361">
        <v>19200000</v>
      </c>
      <c r="F297" s="37" t="s">
        <v>579</v>
      </c>
      <c r="G297" s="79"/>
    </row>
    <row r="298" spans="1:7" hidden="1">
      <c r="A298" s="78">
        <v>41699</v>
      </c>
      <c r="B298" s="37" t="s">
        <v>55</v>
      </c>
      <c r="C298" s="1" t="s">
        <v>318</v>
      </c>
      <c r="D298" s="37" t="s">
        <v>408</v>
      </c>
      <c r="E298" s="361">
        <v>4765200</v>
      </c>
      <c r="F298" s="37" t="s">
        <v>401</v>
      </c>
      <c r="G298" s="79"/>
    </row>
    <row r="299" spans="1:7" hidden="1">
      <c r="A299" s="78">
        <v>41671</v>
      </c>
      <c r="B299" s="37" t="s">
        <v>214</v>
      </c>
      <c r="C299" s="1" t="s">
        <v>215</v>
      </c>
      <c r="D299" s="37" t="s">
        <v>92</v>
      </c>
      <c r="E299" s="361">
        <v>4500000</v>
      </c>
      <c r="F299" s="37" t="s">
        <v>335</v>
      </c>
      <c r="G299" s="79"/>
    </row>
    <row r="300" spans="1:7" hidden="1">
      <c r="A300" s="78">
        <v>41671</v>
      </c>
      <c r="B300" s="37" t="s">
        <v>502</v>
      </c>
      <c r="C300" s="1" t="s">
        <v>171</v>
      </c>
      <c r="D300" s="37" t="s">
        <v>408</v>
      </c>
      <c r="E300" s="361">
        <v>3135026</v>
      </c>
      <c r="F300" s="37" t="s">
        <v>344</v>
      </c>
      <c r="G300" s="79" t="s">
        <v>418</v>
      </c>
    </row>
    <row r="301" spans="1:7" hidden="1">
      <c r="A301" s="78">
        <v>41671</v>
      </c>
      <c r="B301" s="37" t="s">
        <v>503</v>
      </c>
      <c r="C301" s="1" t="s">
        <v>171</v>
      </c>
      <c r="D301" s="37" t="s">
        <v>408</v>
      </c>
      <c r="E301" s="361">
        <v>575347</v>
      </c>
      <c r="F301" s="37" t="s">
        <v>344</v>
      </c>
      <c r="G301" s="79" t="s">
        <v>418</v>
      </c>
    </row>
    <row r="302" spans="1:7" hidden="1">
      <c r="A302" s="78">
        <v>41699</v>
      </c>
      <c r="B302" s="37" t="s">
        <v>172</v>
      </c>
      <c r="C302" s="1" t="s">
        <v>171</v>
      </c>
      <c r="D302" s="37" t="s">
        <v>408</v>
      </c>
      <c r="E302" s="361">
        <v>1168200</v>
      </c>
      <c r="F302" s="37" t="s">
        <v>419</v>
      </c>
      <c r="G302" s="79" t="s">
        <v>418</v>
      </c>
    </row>
    <row r="303" spans="1:7" hidden="1">
      <c r="A303" s="78">
        <v>41699</v>
      </c>
      <c r="B303" s="37" t="s">
        <v>172</v>
      </c>
      <c r="C303" s="1" t="s">
        <v>587</v>
      </c>
      <c r="D303" s="37" t="s">
        <v>408</v>
      </c>
      <c r="E303" s="363">
        <v>1486800</v>
      </c>
      <c r="F303" s="37" t="s">
        <v>586</v>
      </c>
      <c r="G303" s="79" t="s">
        <v>418</v>
      </c>
    </row>
    <row r="304" spans="1:7" hidden="1">
      <c r="A304" s="78">
        <v>41699</v>
      </c>
      <c r="B304" s="37" t="s">
        <v>172</v>
      </c>
      <c r="C304" s="1" t="s">
        <v>103</v>
      </c>
      <c r="D304" s="37" t="s">
        <v>408</v>
      </c>
      <c r="E304" s="361">
        <v>5841000</v>
      </c>
      <c r="F304" s="37" t="s">
        <v>429</v>
      </c>
      <c r="G304" s="79"/>
    </row>
    <row r="305" spans="1:7" hidden="1">
      <c r="A305" s="78">
        <v>41699</v>
      </c>
      <c r="B305" s="37" t="s">
        <v>172</v>
      </c>
      <c r="C305" s="1" t="s">
        <v>171</v>
      </c>
      <c r="D305" s="37" t="s">
        <v>408</v>
      </c>
      <c r="E305" s="361">
        <v>4672800</v>
      </c>
      <c r="F305" s="37" t="s">
        <v>559</v>
      </c>
      <c r="G305" s="79" t="s">
        <v>418</v>
      </c>
    </row>
    <row r="306" spans="1:7" hidden="1">
      <c r="A306" s="78">
        <v>41699</v>
      </c>
      <c r="B306" s="37" t="s">
        <v>172</v>
      </c>
      <c r="C306" s="1" t="s">
        <v>171</v>
      </c>
      <c r="D306" s="37" t="s">
        <v>408</v>
      </c>
      <c r="E306" s="361">
        <v>11151000</v>
      </c>
      <c r="F306" s="37" t="s">
        <v>419</v>
      </c>
      <c r="G306" s="79" t="s">
        <v>418</v>
      </c>
    </row>
    <row r="307" spans="1:7" hidden="1">
      <c r="A307" s="78">
        <v>41699</v>
      </c>
      <c r="B307" s="37" t="s">
        <v>172</v>
      </c>
      <c r="C307" s="1" t="s">
        <v>103</v>
      </c>
      <c r="D307" s="37" t="s">
        <v>408</v>
      </c>
      <c r="E307" s="361">
        <v>637200</v>
      </c>
      <c r="F307" s="37" t="s">
        <v>588</v>
      </c>
      <c r="G307" s="79"/>
    </row>
    <row r="308" spans="1:7" hidden="1">
      <c r="A308" s="78">
        <v>41699</v>
      </c>
      <c r="B308" s="37" t="s">
        <v>172</v>
      </c>
      <c r="C308" s="1" t="s">
        <v>104</v>
      </c>
      <c r="D308" s="37" t="s">
        <v>408</v>
      </c>
      <c r="E308" s="361">
        <v>5097600</v>
      </c>
      <c r="F308" s="37" t="s">
        <v>588</v>
      </c>
      <c r="G308" s="79"/>
    </row>
    <row r="309" spans="1:7" hidden="1">
      <c r="A309" s="78">
        <v>41699</v>
      </c>
      <c r="B309" s="37" t="s">
        <v>172</v>
      </c>
      <c r="C309" s="1" t="s">
        <v>104</v>
      </c>
      <c r="D309" s="37" t="s">
        <v>408</v>
      </c>
      <c r="E309" s="361">
        <v>1168200</v>
      </c>
      <c r="F309" s="37" t="s">
        <v>589</v>
      </c>
      <c r="G309" s="79"/>
    </row>
    <row r="310" spans="1:7" hidden="1">
      <c r="A310" s="78">
        <v>41699</v>
      </c>
      <c r="B310" s="37" t="s">
        <v>241</v>
      </c>
      <c r="C310" s="1" t="s">
        <v>171</v>
      </c>
      <c r="D310" s="37" t="s">
        <v>92</v>
      </c>
      <c r="E310" s="361">
        <v>112320</v>
      </c>
      <c r="F310" s="37" t="s">
        <v>590</v>
      </c>
      <c r="G310" s="79"/>
    </row>
    <row r="311" spans="1:7" hidden="1">
      <c r="A311" s="78">
        <v>41699</v>
      </c>
      <c r="B311" s="37" t="s">
        <v>241</v>
      </c>
      <c r="C311" s="1" t="s">
        <v>171</v>
      </c>
      <c r="D311" s="37" t="s">
        <v>92</v>
      </c>
      <c r="E311" s="361">
        <v>1946880</v>
      </c>
      <c r="F311" s="37" t="s">
        <v>591</v>
      </c>
      <c r="G311" s="79"/>
    </row>
    <row r="312" spans="1:7" hidden="1">
      <c r="A312" s="78">
        <v>41730</v>
      </c>
      <c r="B312" s="37" t="s">
        <v>241</v>
      </c>
      <c r="C312" s="1" t="s">
        <v>171</v>
      </c>
      <c r="D312" s="37" t="s">
        <v>92</v>
      </c>
      <c r="E312" s="361">
        <v>1946880</v>
      </c>
      <c r="F312" s="37" t="s">
        <v>591</v>
      </c>
      <c r="G312" s="79"/>
    </row>
    <row r="313" spans="1:7" hidden="1">
      <c r="A313" s="78">
        <v>41699</v>
      </c>
      <c r="B313" s="37" t="s">
        <v>6</v>
      </c>
      <c r="C313" s="1" t="s">
        <v>215</v>
      </c>
      <c r="D313" s="37" t="s">
        <v>92</v>
      </c>
      <c r="E313" s="361">
        <v>4992604</v>
      </c>
      <c r="F313" s="37" t="s">
        <v>616</v>
      </c>
      <c r="G313" s="79"/>
    </row>
    <row r="314" spans="1:7" hidden="1">
      <c r="A314" s="78">
        <v>41699</v>
      </c>
      <c r="B314" s="37" t="s">
        <v>299</v>
      </c>
      <c r="C314" s="1" t="s">
        <v>215</v>
      </c>
      <c r="D314" s="37" t="s">
        <v>92</v>
      </c>
      <c r="E314" s="361">
        <v>24183194</v>
      </c>
      <c r="F314" s="37" t="s">
        <v>741</v>
      </c>
      <c r="G314" s="79"/>
    </row>
    <row r="315" spans="1:7" hidden="1">
      <c r="A315" s="78">
        <v>41699</v>
      </c>
      <c r="B315" s="37" t="s">
        <v>211</v>
      </c>
      <c r="C315" s="1" t="s">
        <v>103</v>
      </c>
      <c r="D315" s="37" t="s">
        <v>408</v>
      </c>
      <c r="E315" s="361">
        <v>6900000</v>
      </c>
      <c r="F315" s="37" t="s">
        <v>618</v>
      </c>
      <c r="G315" s="79"/>
    </row>
    <row r="316" spans="1:7" hidden="1">
      <c r="A316" s="78">
        <v>41699</v>
      </c>
      <c r="B316" s="37" t="s">
        <v>619</v>
      </c>
      <c r="C316" s="1" t="s">
        <v>171</v>
      </c>
      <c r="D316" s="37" t="s">
        <v>92</v>
      </c>
      <c r="E316" s="361">
        <v>5712000</v>
      </c>
      <c r="F316" s="37" t="s">
        <v>620</v>
      </c>
      <c r="G316" s="79"/>
    </row>
    <row r="317" spans="1:7" hidden="1">
      <c r="A317" s="78">
        <v>41699</v>
      </c>
      <c r="B317" s="37" t="s">
        <v>619</v>
      </c>
      <c r="C317" s="1" t="s">
        <v>171</v>
      </c>
      <c r="D317" s="37" t="s">
        <v>92</v>
      </c>
      <c r="E317" s="361">
        <v>2038428</v>
      </c>
      <c r="F317" s="37" t="s">
        <v>316</v>
      </c>
      <c r="G317" s="79"/>
    </row>
    <row r="318" spans="1:7" hidden="1">
      <c r="A318" s="78">
        <v>41699</v>
      </c>
      <c r="B318" s="37" t="s">
        <v>621</v>
      </c>
      <c r="C318" s="1" t="s">
        <v>104</v>
      </c>
      <c r="D318" s="37" t="s">
        <v>92</v>
      </c>
      <c r="E318" s="361">
        <v>2000000</v>
      </c>
      <c r="F318" s="37" t="s">
        <v>282</v>
      </c>
      <c r="G318" s="79"/>
    </row>
    <row r="319" spans="1:7" hidden="1">
      <c r="A319" s="78">
        <v>41730</v>
      </c>
      <c r="B319" s="37" t="s">
        <v>629</v>
      </c>
      <c r="C319" s="1" t="s">
        <v>171</v>
      </c>
      <c r="D319" s="37" t="s">
        <v>96</v>
      </c>
      <c r="E319" s="361">
        <v>16668230</v>
      </c>
      <c r="F319" s="37" t="s">
        <v>620</v>
      </c>
      <c r="G319" s="79"/>
    </row>
    <row r="320" spans="1:7" hidden="1">
      <c r="A320" s="78">
        <v>41730</v>
      </c>
      <c r="B320" s="37" t="s">
        <v>629</v>
      </c>
      <c r="C320" s="1" t="s">
        <v>171</v>
      </c>
      <c r="D320" s="37" t="s">
        <v>96</v>
      </c>
      <c r="E320" s="361">
        <v>2415000</v>
      </c>
      <c r="F320" s="37" t="s">
        <v>630</v>
      </c>
      <c r="G320" s="79"/>
    </row>
    <row r="321" spans="1:7" hidden="1">
      <c r="A321" s="78">
        <v>41730</v>
      </c>
      <c r="B321" s="37" t="s">
        <v>629</v>
      </c>
      <c r="C321" s="1" t="s">
        <v>336</v>
      </c>
      <c r="D321" s="37" t="s">
        <v>96</v>
      </c>
      <c r="E321" s="361">
        <v>3990000</v>
      </c>
      <c r="F321" s="37" t="s">
        <v>282</v>
      </c>
      <c r="G321" s="79"/>
    </row>
    <row r="322" spans="1:7" hidden="1">
      <c r="A322" s="78">
        <v>41730</v>
      </c>
      <c r="B322" s="37" t="s">
        <v>55</v>
      </c>
      <c r="C322" s="1" t="s">
        <v>103</v>
      </c>
      <c r="D322" s="37" t="s">
        <v>408</v>
      </c>
      <c r="E322" s="361">
        <v>5996400</v>
      </c>
      <c r="F322" s="37" t="s">
        <v>349</v>
      </c>
      <c r="G322" s="79"/>
    </row>
    <row r="323" spans="1:7" hidden="1">
      <c r="A323" s="78">
        <v>41730</v>
      </c>
      <c r="B323" s="37" t="s">
        <v>55</v>
      </c>
      <c r="C323" s="1" t="s">
        <v>103</v>
      </c>
      <c r="D323" s="37" t="s">
        <v>408</v>
      </c>
      <c r="E323" s="361">
        <v>478800</v>
      </c>
      <c r="F323" s="37" t="s">
        <v>349</v>
      </c>
      <c r="G323" s="79"/>
    </row>
    <row r="324" spans="1:7" hidden="1">
      <c r="A324" s="78">
        <v>41730</v>
      </c>
      <c r="B324" s="37" t="s">
        <v>55</v>
      </c>
      <c r="C324" s="1" t="s">
        <v>631</v>
      </c>
      <c r="D324" s="37" t="s">
        <v>408</v>
      </c>
      <c r="E324" s="361">
        <v>4810800</v>
      </c>
      <c r="F324" s="37" t="s">
        <v>401</v>
      </c>
      <c r="G324" s="79"/>
    </row>
    <row r="325" spans="1:7" hidden="1">
      <c r="A325" s="78">
        <v>41730</v>
      </c>
      <c r="B325" s="37" t="s">
        <v>6</v>
      </c>
      <c r="C325" s="1" t="s">
        <v>215</v>
      </c>
      <c r="D325" s="37" t="s">
        <v>92</v>
      </c>
      <c r="E325" s="361">
        <v>5940000</v>
      </c>
      <c r="F325" s="37" t="s">
        <v>632</v>
      </c>
      <c r="G325" s="79"/>
    </row>
    <row r="326" spans="1:7" hidden="1">
      <c r="A326" s="78">
        <v>41699</v>
      </c>
      <c r="B326" s="37" t="s">
        <v>502</v>
      </c>
      <c r="C326" s="1" t="s">
        <v>171</v>
      </c>
      <c r="D326" s="37" t="s">
        <v>408</v>
      </c>
      <c r="E326" s="361">
        <v>1572952</v>
      </c>
      <c r="F326" s="37" t="s">
        <v>633</v>
      </c>
      <c r="G326" s="79" t="s">
        <v>418</v>
      </c>
    </row>
    <row r="327" spans="1:7" hidden="1">
      <c r="A327" s="78">
        <v>41699</v>
      </c>
      <c r="B327" s="37" t="s">
        <v>503</v>
      </c>
      <c r="C327" s="1" t="s">
        <v>171</v>
      </c>
      <c r="D327" s="37" t="s">
        <v>408</v>
      </c>
      <c r="E327" s="361">
        <v>4481122</v>
      </c>
      <c r="F327" s="37" t="s">
        <v>633</v>
      </c>
      <c r="G327" s="79" t="s">
        <v>418</v>
      </c>
    </row>
    <row r="328" spans="1:7" hidden="1">
      <c r="A328" s="78">
        <v>41730</v>
      </c>
      <c r="B328" s="37" t="s">
        <v>217</v>
      </c>
      <c r="C328" s="1" t="s">
        <v>104</v>
      </c>
      <c r="D328" s="37" t="s">
        <v>96</v>
      </c>
      <c r="E328" s="361">
        <v>3976000</v>
      </c>
      <c r="F328" s="37" t="s">
        <v>282</v>
      </c>
      <c r="G328" s="79"/>
    </row>
    <row r="329" spans="1:7" hidden="1">
      <c r="A329" s="78">
        <v>41730</v>
      </c>
      <c r="B329" s="37" t="s">
        <v>619</v>
      </c>
      <c r="C329" s="1" t="s">
        <v>171</v>
      </c>
      <c r="D329" s="37" t="s">
        <v>92</v>
      </c>
      <c r="E329" s="361">
        <v>5544000</v>
      </c>
      <c r="F329" s="37" t="s">
        <v>651</v>
      </c>
      <c r="G329" s="79"/>
    </row>
    <row r="330" spans="1:7" hidden="1">
      <c r="A330" s="78">
        <v>41730</v>
      </c>
      <c r="B330" s="37" t="s">
        <v>172</v>
      </c>
      <c r="C330" s="1" t="s">
        <v>104</v>
      </c>
      <c r="D330" s="37" t="s">
        <v>408</v>
      </c>
      <c r="E330" s="361">
        <v>1168200</v>
      </c>
      <c r="F330" s="37" t="s">
        <v>652</v>
      </c>
      <c r="G330" s="79"/>
    </row>
    <row r="331" spans="1:7" hidden="1">
      <c r="A331" s="78">
        <v>41730</v>
      </c>
      <c r="B331" s="37" t="s">
        <v>172</v>
      </c>
      <c r="C331" s="1" t="s">
        <v>103</v>
      </c>
      <c r="D331" s="37" t="s">
        <v>408</v>
      </c>
      <c r="E331" s="361">
        <v>637200</v>
      </c>
      <c r="F331" s="37" t="s">
        <v>653</v>
      </c>
      <c r="G331" s="79"/>
    </row>
    <row r="332" spans="1:7" hidden="1">
      <c r="A332" s="78">
        <v>41730</v>
      </c>
      <c r="B332" s="37" t="s">
        <v>172</v>
      </c>
      <c r="C332" s="1" t="s">
        <v>171</v>
      </c>
      <c r="D332" s="37" t="s">
        <v>408</v>
      </c>
      <c r="E332" s="361">
        <v>1168200</v>
      </c>
      <c r="F332" s="37" t="s">
        <v>655</v>
      </c>
      <c r="G332" s="79" t="s">
        <v>418</v>
      </c>
    </row>
    <row r="333" spans="1:7" hidden="1">
      <c r="A333" s="78">
        <v>41730</v>
      </c>
      <c r="B333" s="37" t="s">
        <v>172</v>
      </c>
      <c r="C333" s="1" t="s">
        <v>103</v>
      </c>
      <c r="D333" s="37" t="s">
        <v>408</v>
      </c>
      <c r="E333" s="361">
        <v>637200</v>
      </c>
      <c r="F333" s="37" t="s">
        <v>654</v>
      </c>
      <c r="G333" s="79"/>
    </row>
    <row r="334" spans="1:7" hidden="1">
      <c r="A334" s="78">
        <v>41730</v>
      </c>
      <c r="B334" s="37" t="s">
        <v>172</v>
      </c>
      <c r="C334" s="1" t="s">
        <v>104</v>
      </c>
      <c r="D334" s="37" t="s">
        <v>408</v>
      </c>
      <c r="E334" s="361">
        <v>4779000</v>
      </c>
      <c r="F334" s="37" t="s">
        <v>651</v>
      </c>
      <c r="G334" s="79"/>
    </row>
    <row r="335" spans="1:7" hidden="1">
      <c r="A335" s="78">
        <v>41730</v>
      </c>
      <c r="B335" s="37" t="s">
        <v>172</v>
      </c>
      <c r="C335" s="1" t="s">
        <v>103</v>
      </c>
      <c r="D335" s="37" t="s">
        <v>408</v>
      </c>
      <c r="E335" s="361">
        <v>6053400</v>
      </c>
      <c r="F335" s="37" t="s">
        <v>349</v>
      </c>
      <c r="G335" s="79"/>
    </row>
    <row r="336" spans="1:7" hidden="1">
      <c r="A336" s="78">
        <v>41730</v>
      </c>
      <c r="B336" s="37" t="s">
        <v>172</v>
      </c>
      <c r="C336" s="1" t="s">
        <v>171</v>
      </c>
      <c r="D336" s="37" t="s">
        <v>408</v>
      </c>
      <c r="E336" s="361">
        <v>11363400</v>
      </c>
      <c r="F336" s="37" t="s">
        <v>657</v>
      </c>
      <c r="G336" s="79" t="s">
        <v>418</v>
      </c>
    </row>
    <row r="337" spans="1:7" hidden="1">
      <c r="A337" s="78">
        <v>41730</v>
      </c>
      <c r="B337" s="37" t="s">
        <v>172</v>
      </c>
      <c r="C337" s="1" t="s">
        <v>171</v>
      </c>
      <c r="D337" s="37" t="s">
        <v>408</v>
      </c>
      <c r="E337" s="361">
        <v>13593600</v>
      </c>
      <c r="F337" s="37" t="s">
        <v>656</v>
      </c>
      <c r="G337" s="79" t="s">
        <v>418</v>
      </c>
    </row>
    <row r="338" spans="1:7" hidden="1">
      <c r="A338" s="78">
        <v>41730</v>
      </c>
      <c r="B338" s="37" t="s">
        <v>172</v>
      </c>
      <c r="C338" s="1" t="s">
        <v>171</v>
      </c>
      <c r="D338" s="37" t="s">
        <v>408</v>
      </c>
      <c r="E338" s="362">
        <v>1699200</v>
      </c>
      <c r="F338" s="37" t="s">
        <v>659</v>
      </c>
      <c r="G338" s="79" t="s">
        <v>418</v>
      </c>
    </row>
    <row r="339" spans="1:7" hidden="1">
      <c r="A339" s="78">
        <v>41730</v>
      </c>
      <c r="B339" s="37" t="s">
        <v>172</v>
      </c>
      <c r="C339" s="1" t="s">
        <v>171</v>
      </c>
      <c r="D339" s="37" t="s">
        <v>408</v>
      </c>
      <c r="E339" s="362">
        <v>849600</v>
      </c>
      <c r="F339" s="37" t="s">
        <v>660</v>
      </c>
      <c r="G339" s="79" t="s">
        <v>418</v>
      </c>
    </row>
    <row r="340" spans="1:7" hidden="1">
      <c r="A340" s="78">
        <v>41760</v>
      </c>
      <c r="B340" s="37" t="s">
        <v>55</v>
      </c>
      <c r="C340" s="1" t="s">
        <v>103</v>
      </c>
      <c r="D340" s="37" t="s">
        <v>408</v>
      </c>
      <c r="E340" s="361">
        <v>1618000</v>
      </c>
      <c r="F340" s="37" t="s">
        <v>483</v>
      </c>
      <c r="G340" s="79"/>
    </row>
    <row r="341" spans="1:7" hidden="1">
      <c r="A341" s="78">
        <v>41699</v>
      </c>
      <c r="B341" s="37" t="s">
        <v>211</v>
      </c>
      <c r="C341" s="1" t="s">
        <v>171</v>
      </c>
      <c r="D341" s="37" t="s">
        <v>408</v>
      </c>
      <c r="E341" s="361">
        <v>20988000</v>
      </c>
      <c r="F341" s="37" t="s">
        <v>335</v>
      </c>
      <c r="G341" s="79" t="s">
        <v>418</v>
      </c>
    </row>
    <row r="342" spans="1:7" hidden="1">
      <c r="A342" s="78">
        <v>41760</v>
      </c>
      <c r="B342" s="37" t="s">
        <v>55</v>
      </c>
      <c r="C342" s="1" t="s">
        <v>336</v>
      </c>
      <c r="D342" s="37" t="s">
        <v>408</v>
      </c>
      <c r="E342" s="361">
        <v>4902000</v>
      </c>
      <c r="F342" s="37" t="s">
        <v>667</v>
      </c>
      <c r="G342" s="79"/>
    </row>
    <row r="343" spans="1:7" hidden="1">
      <c r="A343" s="78">
        <v>41760</v>
      </c>
      <c r="B343" s="37" t="s">
        <v>55</v>
      </c>
      <c r="C343" s="1" t="s">
        <v>103</v>
      </c>
      <c r="D343" s="37" t="s">
        <v>408</v>
      </c>
      <c r="E343" s="361">
        <v>7957200</v>
      </c>
      <c r="F343" s="37" t="s">
        <v>668</v>
      </c>
      <c r="G343" s="79"/>
    </row>
    <row r="344" spans="1:7" hidden="1">
      <c r="A344" s="78">
        <v>41760</v>
      </c>
      <c r="B344" s="37" t="s">
        <v>55</v>
      </c>
      <c r="C344" s="1" t="s">
        <v>103</v>
      </c>
      <c r="D344" s="37" t="s">
        <v>408</v>
      </c>
      <c r="E344" s="361">
        <v>501600</v>
      </c>
      <c r="F344" s="37" t="s">
        <v>669</v>
      </c>
      <c r="G344" s="79"/>
    </row>
    <row r="345" spans="1:7" hidden="1">
      <c r="A345" s="78">
        <v>41730</v>
      </c>
      <c r="B345" s="37" t="s">
        <v>217</v>
      </c>
      <c r="C345" s="1" t="s">
        <v>104</v>
      </c>
      <c r="D345" s="37" t="s">
        <v>96</v>
      </c>
      <c r="E345" s="361">
        <v>9513805</v>
      </c>
      <c r="F345" s="37" t="s">
        <v>670</v>
      </c>
      <c r="G345" s="79"/>
    </row>
    <row r="346" spans="1:7" hidden="1">
      <c r="A346" s="78">
        <v>41730</v>
      </c>
      <c r="B346" s="37" t="s">
        <v>216</v>
      </c>
      <c r="C346" s="1" t="s">
        <v>104</v>
      </c>
      <c r="D346" s="37" t="s">
        <v>96</v>
      </c>
      <c r="E346" s="361">
        <v>211582</v>
      </c>
      <c r="F346" s="37" t="s">
        <v>670</v>
      </c>
      <c r="G346" s="79"/>
    </row>
    <row r="347" spans="1:7" hidden="1">
      <c r="A347" s="78">
        <v>41730</v>
      </c>
      <c r="B347" s="37" t="s">
        <v>218</v>
      </c>
      <c r="C347" s="1" t="s">
        <v>104</v>
      </c>
      <c r="D347" s="37" t="s">
        <v>96</v>
      </c>
      <c r="E347" s="361">
        <v>1383452</v>
      </c>
      <c r="F347" s="37" t="s">
        <v>670</v>
      </c>
      <c r="G347" s="79"/>
    </row>
    <row r="348" spans="1:7" hidden="1">
      <c r="A348" s="78">
        <v>41730</v>
      </c>
      <c r="B348" s="37" t="s">
        <v>217</v>
      </c>
      <c r="C348" s="1" t="s">
        <v>104</v>
      </c>
      <c r="D348" s="37" t="s">
        <v>96</v>
      </c>
      <c r="E348" s="361">
        <v>5332899</v>
      </c>
      <c r="F348" s="37" t="s">
        <v>670</v>
      </c>
      <c r="G348" s="79"/>
    </row>
    <row r="349" spans="1:7" hidden="1">
      <c r="A349" s="78">
        <v>41730</v>
      </c>
      <c r="B349" s="37" t="s">
        <v>216</v>
      </c>
      <c r="C349" s="1" t="s">
        <v>104</v>
      </c>
      <c r="D349" s="37" t="s">
        <v>96</v>
      </c>
      <c r="E349" s="361">
        <v>50001</v>
      </c>
      <c r="F349" s="37" t="s">
        <v>670</v>
      </c>
      <c r="G349" s="79"/>
    </row>
    <row r="350" spans="1:7" hidden="1">
      <c r="A350" s="78">
        <v>41730</v>
      </c>
      <c r="B350" s="37" t="s">
        <v>218</v>
      </c>
      <c r="C350" s="1" t="s">
        <v>104</v>
      </c>
      <c r="D350" s="37" t="s">
        <v>96</v>
      </c>
      <c r="E350" s="361">
        <v>756868</v>
      </c>
      <c r="F350" s="37" t="s">
        <v>670</v>
      </c>
      <c r="G350" s="79"/>
    </row>
    <row r="351" spans="1:7" hidden="1">
      <c r="A351" s="78">
        <v>41760</v>
      </c>
      <c r="B351" s="37" t="s">
        <v>600</v>
      </c>
      <c r="C351" s="1" t="s">
        <v>171</v>
      </c>
      <c r="D351" s="37" t="s">
        <v>96</v>
      </c>
      <c r="E351" s="361">
        <v>10349425</v>
      </c>
      <c r="F351" s="37" t="s">
        <v>335</v>
      </c>
      <c r="G351" s="79"/>
    </row>
    <row r="352" spans="1:7" hidden="1">
      <c r="A352" s="78">
        <v>41730</v>
      </c>
      <c r="B352" s="37" t="s">
        <v>6</v>
      </c>
      <c r="C352" s="1" t="s">
        <v>672</v>
      </c>
      <c r="D352" s="37" t="s">
        <v>673</v>
      </c>
      <c r="E352" s="361">
        <v>5129375</v>
      </c>
      <c r="F352" s="37" t="s">
        <v>335</v>
      </c>
      <c r="G352" s="79"/>
    </row>
    <row r="353" spans="1:7" hidden="1">
      <c r="A353" s="78">
        <v>41760</v>
      </c>
      <c r="B353" s="37" t="s">
        <v>241</v>
      </c>
      <c r="C353" s="1" t="s">
        <v>171</v>
      </c>
      <c r="D353" s="37" t="s">
        <v>673</v>
      </c>
      <c r="E353" s="361">
        <v>2159820</v>
      </c>
      <c r="F353" s="37" t="s">
        <v>591</v>
      </c>
      <c r="G353" s="79"/>
    </row>
    <row r="354" spans="1:7" hidden="1">
      <c r="A354" s="78">
        <v>41760</v>
      </c>
      <c r="B354" s="37" t="s">
        <v>214</v>
      </c>
      <c r="C354" s="1" t="s">
        <v>215</v>
      </c>
      <c r="D354" s="37" t="s">
        <v>92</v>
      </c>
      <c r="E354" s="361">
        <v>3510000</v>
      </c>
      <c r="F354" s="37" t="s">
        <v>335</v>
      </c>
      <c r="G354" s="79"/>
    </row>
    <row r="355" spans="1:7" hidden="1">
      <c r="A355" s="78">
        <v>41730</v>
      </c>
      <c r="B355" s="37" t="s">
        <v>689</v>
      </c>
      <c r="C355" s="1" t="s">
        <v>171</v>
      </c>
      <c r="D355" s="37" t="s">
        <v>408</v>
      </c>
      <c r="E355" s="361">
        <v>432000</v>
      </c>
      <c r="F355" s="37" t="s">
        <v>690</v>
      </c>
      <c r="G355" s="79"/>
    </row>
    <row r="356" spans="1:7" hidden="1">
      <c r="A356" s="78">
        <v>41760</v>
      </c>
      <c r="B356" s="37" t="s">
        <v>172</v>
      </c>
      <c r="C356" s="1" t="s">
        <v>171</v>
      </c>
      <c r="D356" s="37" t="s">
        <v>408</v>
      </c>
      <c r="E356" s="363">
        <v>424800</v>
      </c>
      <c r="F356" s="37" t="s">
        <v>691</v>
      </c>
      <c r="G356" s="79" t="s">
        <v>418</v>
      </c>
    </row>
    <row r="357" spans="1:7" hidden="1">
      <c r="A357" s="78">
        <v>41760</v>
      </c>
      <c r="B357" s="37" t="s">
        <v>172</v>
      </c>
      <c r="C357" s="1" t="s">
        <v>171</v>
      </c>
      <c r="D357" s="37" t="s">
        <v>408</v>
      </c>
      <c r="E357" s="361">
        <v>11044800</v>
      </c>
      <c r="F357" s="37" t="s">
        <v>692</v>
      </c>
      <c r="G357" s="79" t="s">
        <v>418</v>
      </c>
    </row>
    <row r="358" spans="1:7" hidden="1">
      <c r="A358" s="78">
        <v>41760</v>
      </c>
      <c r="B358" s="37" t="s">
        <v>172</v>
      </c>
      <c r="C358" s="1" t="s">
        <v>171</v>
      </c>
      <c r="D358" s="37" t="s">
        <v>408</v>
      </c>
      <c r="E358" s="361">
        <v>1168200</v>
      </c>
      <c r="F358" s="37" t="s">
        <v>693</v>
      </c>
      <c r="G358" s="79" t="s">
        <v>418</v>
      </c>
    </row>
    <row r="359" spans="1:7" hidden="1">
      <c r="A359" s="78">
        <v>41760</v>
      </c>
      <c r="B359" s="37" t="s">
        <v>172</v>
      </c>
      <c r="C359" s="1" t="s">
        <v>171</v>
      </c>
      <c r="D359" s="37" t="s">
        <v>408</v>
      </c>
      <c r="E359" s="361">
        <v>11575800</v>
      </c>
      <c r="F359" s="37" t="s">
        <v>694</v>
      </c>
      <c r="G359" s="79" t="s">
        <v>418</v>
      </c>
    </row>
    <row r="360" spans="1:7" hidden="1">
      <c r="A360" s="78">
        <v>41760</v>
      </c>
      <c r="B360" s="37" t="s">
        <v>172</v>
      </c>
      <c r="C360" s="1" t="s">
        <v>103</v>
      </c>
      <c r="D360" s="37" t="s">
        <v>408</v>
      </c>
      <c r="E360" s="361">
        <v>6159600</v>
      </c>
      <c r="F360" s="37" t="s">
        <v>695</v>
      </c>
      <c r="G360" s="79"/>
    </row>
    <row r="361" spans="1:7" hidden="1">
      <c r="A361" s="78">
        <v>41760</v>
      </c>
      <c r="B361" s="37" t="s">
        <v>172</v>
      </c>
      <c r="C361" s="1" t="s">
        <v>103</v>
      </c>
      <c r="D361" s="37" t="s">
        <v>408</v>
      </c>
      <c r="E361" s="361">
        <v>637200</v>
      </c>
      <c r="F361" s="37" t="s">
        <v>654</v>
      </c>
      <c r="G361" s="79"/>
    </row>
    <row r="362" spans="1:7" hidden="1">
      <c r="A362" s="78">
        <v>41760</v>
      </c>
      <c r="B362" s="37" t="s">
        <v>172</v>
      </c>
      <c r="C362" s="1" t="s">
        <v>103</v>
      </c>
      <c r="D362" s="37" t="s">
        <v>408</v>
      </c>
      <c r="E362" s="361">
        <v>849600</v>
      </c>
      <c r="F362" s="37" t="s">
        <v>696</v>
      </c>
      <c r="G362" s="79"/>
    </row>
    <row r="363" spans="1:7" hidden="1">
      <c r="A363" s="78">
        <v>41760</v>
      </c>
      <c r="B363" s="37" t="s">
        <v>172</v>
      </c>
      <c r="C363" s="1" t="s">
        <v>104</v>
      </c>
      <c r="D363" s="37" t="s">
        <v>408</v>
      </c>
      <c r="E363" s="361">
        <v>637200</v>
      </c>
      <c r="F363" s="37" t="s">
        <v>351</v>
      </c>
      <c r="G363" s="79"/>
    </row>
    <row r="364" spans="1:7" hidden="1">
      <c r="A364" s="78">
        <v>41760</v>
      </c>
      <c r="B364" s="37" t="s">
        <v>172</v>
      </c>
      <c r="C364" s="1" t="s">
        <v>104</v>
      </c>
      <c r="D364" s="37" t="s">
        <v>408</v>
      </c>
      <c r="E364" s="361">
        <v>3504600</v>
      </c>
      <c r="F364" s="37" t="s">
        <v>698</v>
      </c>
      <c r="G364" s="79"/>
    </row>
    <row r="365" spans="1:7" hidden="1">
      <c r="A365" s="78">
        <v>41760</v>
      </c>
      <c r="B365" s="37" t="s">
        <v>172</v>
      </c>
      <c r="C365" s="1" t="s">
        <v>103</v>
      </c>
      <c r="D365" s="37" t="s">
        <v>408</v>
      </c>
      <c r="E365" s="361">
        <v>1699200</v>
      </c>
      <c r="F365" s="37" t="s">
        <v>699</v>
      </c>
      <c r="G365" s="79"/>
    </row>
    <row r="366" spans="1:7" hidden="1">
      <c r="A366" s="78">
        <v>41730</v>
      </c>
      <c r="B366" s="37" t="s">
        <v>49</v>
      </c>
      <c r="C366" s="1" t="s">
        <v>171</v>
      </c>
      <c r="D366" s="37" t="s">
        <v>408</v>
      </c>
      <c r="E366" s="361">
        <v>3665359</v>
      </c>
      <c r="F366" s="37" t="s">
        <v>335</v>
      </c>
      <c r="G366" s="79" t="s">
        <v>418</v>
      </c>
    </row>
    <row r="367" spans="1:7" hidden="1">
      <c r="A367" s="78">
        <v>41730</v>
      </c>
      <c r="B367" s="37" t="s">
        <v>166</v>
      </c>
      <c r="C367" s="1" t="s">
        <v>171</v>
      </c>
      <c r="D367" s="37" t="s">
        <v>408</v>
      </c>
      <c r="E367" s="361">
        <v>852717</v>
      </c>
      <c r="F367" s="37" t="s">
        <v>335</v>
      </c>
      <c r="G367" s="79" t="s">
        <v>418</v>
      </c>
    </row>
    <row r="368" spans="1:7" hidden="1">
      <c r="A368" s="78">
        <v>41760</v>
      </c>
      <c r="B368" s="37" t="s">
        <v>166</v>
      </c>
      <c r="C368" s="1" t="s">
        <v>171</v>
      </c>
      <c r="D368" s="37" t="s">
        <v>408</v>
      </c>
      <c r="E368" s="361">
        <f>5611200*3</f>
        <v>16833600</v>
      </c>
      <c r="F368" s="37" t="s">
        <v>700</v>
      </c>
      <c r="G368" s="79"/>
    </row>
    <row r="369" spans="1:7" hidden="1">
      <c r="A369" s="78">
        <v>41760</v>
      </c>
      <c r="B369" s="37" t="s">
        <v>166</v>
      </c>
      <c r="C369" s="1" t="s">
        <v>104</v>
      </c>
      <c r="D369" s="37" t="s">
        <v>408</v>
      </c>
      <c r="E369" s="361">
        <f>2*2805600</f>
        <v>5611200</v>
      </c>
      <c r="F369" s="37" t="s">
        <v>701</v>
      </c>
      <c r="G369" s="79"/>
    </row>
    <row r="370" spans="1:7" hidden="1">
      <c r="A370" s="78">
        <v>41760</v>
      </c>
      <c r="B370" s="37" t="s">
        <v>166</v>
      </c>
      <c r="C370" s="1" t="s">
        <v>103</v>
      </c>
      <c r="D370" s="37" t="s">
        <v>408</v>
      </c>
      <c r="E370" s="361">
        <f>3006000*3</f>
        <v>9018000</v>
      </c>
      <c r="F370" s="37" t="s">
        <v>700</v>
      </c>
      <c r="G370" s="79" t="s">
        <v>418</v>
      </c>
    </row>
    <row r="371" spans="1:7" hidden="1">
      <c r="A371" s="78">
        <v>41760</v>
      </c>
      <c r="B371" s="37" t="s">
        <v>166</v>
      </c>
      <c r="C371" s="1" t="s">
        <v>104</v>
      </c>
      <c r="D371" s="37" t="s">
        <v>408</v>
      </c>
      <c r="E371" s="361">
        <v>9619200</v>
      </c>
      <c r="F371" s="37" t="s">
        <v>651</v>
      </c>
      <c r="G371" s="79"/>
    </row>
    <row r="372" spans="1:7" hidden="1">
      <c r="A372" s="78">
        <v>41760</v>
      </c>
      <c r="B372" s="37" t="s">
        <v>49</v>
      </c>
      <c r="C372" s="1" t="s">
        <v>171</v>
      </c>
      <c r="D372" s="37" t="s">
        <v>408</v>
      </c>
      <c r="E372" s="361">
        <v>2003912</v>
      </c>
      <c r="F372" s="37" t="s">
        <v>344</v>
      </c>
      <c r="G372" s="79" t="s">
        <v>418</v>
      </c>
    </row>
    <row r="373" spans="1:7" hidden="1">
      <c r="A373" s="78">
        <v>41730</v>
      </c>
      <c r="B373" s="37" t="s">
        <v>299</v>
      </c>
      <c r="C373" s="1" t="s">
        <v>215</v>
      </c>
      <c r="D373" s="37" t="s">
        <v>92</v>
      </c>
      <c r="E373" s="361">
        <v>33990875</v>
      </c>
      <c r="F373" s="37" t="s">
        <v>617</v>
      </c>
      <c r="G373" s="79"/>
    </row>
    <row r="374" spans="1:7" hidden="1">
      <c r="A374" s="78">
        <v>41791</v>
      </c>
      <c r="B374" s="37" t="s">
        <v>55</v>
      </c>
      <c r="C374" s="1" t="s">
        <v>318</v>
      </c>
      <c r="D374" s="37" t="s">
        <v>408</v>
      </c>
      <c r="E374" s="361">
        <v>4902366</v>
      </c>
      <c r="F374" s="37" t="s">
        <v>717</v>
      </c>
      <c r="G374" s="79"/>
    </row>
    <row r="375" spans="1:7" hidden="1">
      <c r="A375" s="78">
        <v>41791</v>
      </c>
      <c r="B375" s="37" t="s">
        <v>55</v>
      </c>
      <c r="C375" s="1" t="s">
        <v>103</v>
      </c>
      <c r="D375" s="37" t="s">
        <v>408</v>
      </c>
      <c r="E375" s="361">
        <v>7954170</v>
      </c>
      <c r="F375" s="37" t="s">
        <v>718</v>
      </c>
      <c r="G375" s="79"/>
    </row>
    <row r="376" spans="1:7" hidden="1">
      <c r="A376" s="78">
        <v>41791</v>
      </c>
      <c r="B376" s="37" t="s">
        <v>55</v>
      </c>
      <c r="C376" s="1" t="s">
        <v>103</v>
      </c>
      <c r="D376" s="37" t="s">
        <v>408</v>
      </c>
      <c r="E376" s="361">
        <v>486990</v>
      </c>
      <c r="F376" s="37" t="s">
        <v>719</v>
      </c>
      <c r="G376" s="79"/>
    </row>
    <row r="377" spans="1:7" hidden="1">
      <c r="A377" s="78">
        <v>41791</v>
      </c>
      <c r="B377" s="37" t="s">
        <v>241</v>
      </c>
      <c r="C377" s="1" t="s">
        <v>171</v>
      </c>
      <c r="D377" s="37" t="s">
        <v>673</v>
      </c>
      <c r="E377" s="361">
        <v>1855620</v>
      </c>
      <c r="F377" s="37" t="s">
        <v>591</v>
      </c>
      <c r="G377" s="79"/>
    </row>
    <row r="378" spans="1:7" hidden="1">
      <c r="A378" s="78">
        <v>41760</v>
      </c>
      <c r="B378" s="37" t="s">
        <v>566</v>
      </c>
      <c r="C378" s="1" t="s">
        <v>171</v>
      </c>
      <c r="D378" s="37" t="s">
        <v>92</v>
      </c>
      <c r="E378" s="361">
        <v>2658000</v>
      </c>
      <c r="F378" s="37" t="s">
        <v>720</v>
      </c>
      <c r="G378" s="79"/>
    </row>
    <row r="379" spans="1:7" hidden="1">
      <c r="A379" s="78">
        <v>41760</v>
      </c>
      <c r="B379" s="37" t="s">
        <v>566</v>
      </c>
      <c r="C379" s="1" t="s">
        <v>171</v>
      </c>
      <c r="D379" s="37" t="s">
        <v>92</v>
      </c>
      <c r="E379" s="361">
        <v>38400000</v>
      </c>
      <c r="F379" s="37" t="s">
        <v>752</v>
      </c>
      <c r="G379" s="79"/>
    </row>
    <row r="380" spans="1:7" hidden="1">
      <c r="A380" s="78">
        <v>41820</v>
      </c>
      <c r="B380" s="37" t="s">
        <v>566</v>
      </c>
      <c r="C380" s="1" t="s">
        <v>171</v>
      </c>
      <c r="D380" s="37" t="s">
        <v>92</v>
      </c>
      <c r="E380" s="361">
        <v>28800000</v>
      </c>
      <c r="F380" s="37" t="s">
        <v>750</v>
      </c>
      <c r="G380" s="79"/>
    </row>
    <row r="381" spans="1:7" hidden="1">
      <c r="A381" s="78">
        <v>41820</v>
      </c>
      <c r="B381" s="37" t="s">
        <v>566</v>
      </c>
      <c r="C381" s="1" t="s">
        <v>171</v>
      </c>
      <c r="D381" s="37" t="s">
        <v>92</v>
      </c>
      <c r="E381" s="361">
        <v>9600000</v>
      </c>
      <c r="F381" s="37" t="s">
        <v>751</v>
      </c>
      <c r="G381" s="79"/>
    </row>
    <row r="382" spans="1:7" hidden="1">
      <c r="A382" s="78">
        <v>41760</v>
      </c>
      <c r="B382" s="37" t="s">
        <v>619</v>
      </c>
      <c r="C382" s="1" t="s">
        <v>171</v>
      </c>
      <c r="D382" s="37" t="s">
        <v>92</v>
      </c>
      <c r="E382" s="361">
        <v>6804000</v>
      </c>
      <c r="F382" s="37" t="s">
        <v>725</v>
      </c>
      <c r="G382" s="79"/>
    </row>
    <row r="383" spans="1:7" hidden="1">
      <c r="A383" s="106">
        <v>41820</v>
      </c>
      <c r="B383" s="107" t="s">
        <v>600</v>
      </c>
      <c r="C383" s="31" t="s">
        <v>171</v>
      </c>
      <c r="D383" s="107" t="s">
        <v>96</v>
      </c>
      <c r="E383" s="362">
        <v>3180000</v>
      </c>
      <c r="F383" s="107" t="s">
        <v>733</v>
      </c>
      <c r="G383" s="79"/>
    </row>
    <row r="384" spans="1:7" hidden="1">
      <c r="A384" s="106">
        <v>41820</v>
      </c>
      <c r="B384" s="107" t="s">
        <v>600</v>
      </c>
      <c r="C384" s="31" t="s">
        <v>171</v>
      </c>
      <c r="D384" s="107" t="s">
        <v>96</v>
      </c>
      <c r="E384" s="362">
        <v>2052000</v>
      </c>
      <c r="F384" s="107" t="s">
        <v>282</v>
      </c>
      <c r="G384" s="4220" t="s">
        <v>735</v>
      </c>
    </row>
    <row r="385" spans="1:8" hidden="1">
      <c r="A385" s="106">
        <v>41820</v>
      </c>
      <c r="B385" s="107" t="s">
        <v>600</v>
      </c>
      <c r="C385" s="31" t="s">
        <v>336</v>
      </c>
      <c r="D385" s="107" t="s">
        <v>96</v>
      </c>
      <c r="E385" s="362">
        <v>864000</v>
      </c>
      <c r="F385" s="107" t="s">
        <v>282</v>
      </c>
      <c r="G385" s="4221"/>
    </row>
    <row r="386" spans="1:8" hidden="1">
      <c r="A386" s="106">
        <v>41820</v>
      </c>
      <c r="B386" s="107" t="s">
        <v>600</v>
      </c>
      <c r="C386" s="31" t="s">
        <v>171</v>
      </c>
      <c r="D386" s="107" t="s">
        <v>96</v>
      </c>
      <c r="E386" s="362">
        <v>30945170</v>
      </c>
      <c r="F386" s="107" t="s">
        <v>734</v>
      </c>
      <c r="G386" s="4222"/>
    </row>
    <row r="387" spans="1:8" hidden="1">
      <c r="A387" s="78">
        <v>41791</v>
      </c>
      <c r="B387" s="37" t="s">
        <v>172</v>
      </c>
      <c r="C387" s="1" t="s">
        <v>171</v>
      </c>
      <c r="D387" s="37" t="s">
        <v>408</v>
      </c>
      <c r="E387" s="361">
        <v>531000</v>
      </c>
      <c r="F387" s="37" t="s">
        <v>691</v>
      </c>
      <c r="G387" s="79" t="s">
        <v>418</v>
      </c>
    </row>
    <row r="388" spans="1:8" hidden="1">
      <c r="A388" s="78">
        <v>41791</v>
      </c>
      <c r="B388" s="37" t="s">
        <v>172</v>
      </c>
      <c r="C388" s="1" t="s">
        <v>171</v>
      </c>
      <c r="D388" s="37" t="s">
        <v>408</v>
      </c>
      <c r="E388" s="361">
        <v>11044800</v>
      </c>
      <c r="F388" s="37" t="s">
        <v>692</v>
      </c>
      <c r="G388" s="79" t="s">
        <v>418</v>
      </c>
    </row>
    <row r="389" spans="1:8" hidden="1">
      <c r="A389" s="78">
        <v>41791</v>
      </c>
      <c r="B389" s="37" t="s">
        <v>172</v>
      </c>
      <c r="C389" s="1" t="s">
        <v>103</v>
      </c>
      <c r="D389" s="37" t="s">
        <v>408</v>
      </c>
      <c r="E389" s="361">
        <v>6159600</v>
      </c>
      <c r="F389" s="37" t="s">
        <v>695</v>
      </c>
      <c r="G389" s="79"/>
    </row>
    <row r="390" spans="1:8" hidden="1">
      <c r="A390" s="78">
        <v>41791</v>
      </c>
      <c r="B390" s="37" t="s">
        <v>172</v>
      </c>
      <c r="C390" s="1" t="s">
        <v>171</v>
      </c>
      <c r="D390" s="37" t="s">
        <v>408</v>
      </c>
      <c r="E390" s="361">
        <v>12850200</v>
      </c>
      <c r="F390" s="37" t="s">
        <v>694</v>
      </c>
      <c r="G390" s="79" t="s">
        <v>418</v>
      </c>
    </row>
    <row r="391" spans="1:8" hidden="1">
      <c r="A391" s="78">
        <v>41791</v>
      </c>
      <c r="B391" s="37" t="s">
        <v>172</v>
      </c>
      <c r="C391" s="1" t="s">
        <v>103</v>
      </c>
      <c r="D391" s="37" t="s">
        <v>408</v>
      </c>
      <c r="E391" s="361">
        <v>2973600</v>
      </c>
      <c r="F391" s="37" t="s">
        <v>736</v>
      </c>
      <c r="G391" s="79"/>
    </row>
    <row r="392" spans="1:8" hidden="1">
      <c r="A392" s="78">
        <v>41791</v>
      </c>
      <c r="B392" s="37" t="s">
        <v>172</v>
      </c>
      <c r="C392" s="1" t="s">
        <v>104</v>
      </c>
      <c r="D392" s="37" t="s">
        <v>408</v>
      </c>
      <c r="E392" s="361">
        <v>4354200</v>
      </c>
      <c r="F392" s="37" t="s">
        <v>737</v>
      </c>
      <c r="G392" s="79"/>
    </row>
    <row r="393" spans="1:8" hidden="1">
      <c r="A393" s="78">
        <v>41791</v>
      </c>
      <c r="B393" s="37" t="s">
        <v>172</v>
      </c>
      <c r="C393" s="1" t="s">
        <v>103</v>
      </c>
      <c r="D393" s="37" t="s">
        <v>408</v>
      </c>
      <c r="E393" s="361">
        <v>955800</v>
      </c>
      <c r="F393" s="37" t="s">
        <v>696</v>
      </c>
      <c r="G393" s="79"/>
    </row>
    <row r="394" spans="1:8" hidden="1">
      <c r="A394" s="78">
        <v>41791</v>
      </c>
      <c r="B394" s="37" t="s">
        <v>172</v>
      </c>
      <c r="C394" s="1" t="s">
        <v>103</v>
      </c>
      <c r="D394" s="37" t="s">
        <v>408</v>
      </c>
      <c r="E394" s="361">
        <v>2442600</v>
      </c>
      <c r="F394" s="37" t="s">
        <v>699</v>
      </c>
      <c r="G394" s="79"/>
      <c r="H394" s="337">
        <v>1746111</v>
      </c>
    </row>
    <row r="395" spans="1:8" hidden="1">
      <c r="A395" s="78">
        <v>41791</v>
      </c>
      <c r="B395" s="37" t="s">
        <v>214</v>
      </c>
      <c r="C395" s="1" t="s">
        <v>215</v>
      </c>
      <c r="D395" s="37" t="s">
        <v>408</v>
      </c>
      <c r="E395" s="361">
        <v>17230000</v>
      </c>
      <c r="F395" s="37" t="s">
        <v>738</v>
      </c>
      <c r="G395" s="79"/>
      <c r="H395">
        <f>H394/E394</f>
        <v>0.71485752886268727</v>
      </c>
    </row>
    <row r="396" spans="1:8" hidden="1">
      <c r="A396" s="78">
        <v>41791</v>
      </c>
      <c r="B396" s="37" t="s">
        <v>214</v>
      </c>
      <c r="C396" s="1" t="s">
        <v>104</v>
      </c>
      <c r="D396" s="37" t="s">
        <v>408</v>
      </c>
      <c r="E396" s="361">
        <v>1400000</v>
      </c>
      <c r="F396" s="37" t="s">
        <v>739</v>
      </c>
      <c r="G396" s="79"/>
    </row>
    <row r="397" spans="1:8" hidden="1">
      <c r="A397" s="78">
        <v>41760</v>
      </c>
      <c r="B397" s="37" t="s">
        <v>6</v>
      </c>
      <c r="C397" s="1" t="s">
        <v>215</v>
      </c>
      <c r="D397" s="37" t="s">
        <v>92</v>
      </c>
      <c r="E397" s="361">
        <v>3929892</v>
      </c>
      <c r="F397" s="37" t="s">
        <v>335</v>
      </c>
      <c r="G397" s="79"/>
    </row>
    <row r="398" spans="1:8" hidden="1">
      <c r="A398" s="78">
        <v>41760</v>
      </c>
      <c r="B398" s="37" t="s">
        <v>299</v>
      </c>
      <c r="C398" s="1" t="s">
        <v>215</v>
      </c>
      <c r="D398" s="37" t="s">
        <v>92</v>
      </c>
      <c r="E398" s="362">
        <v>14654199</v>
      </c>
      <c r="F398" s="37" t="s">
        <v>740</v>
      </c>
      <c r="G398" s="79" t="s">
        <v>976</v>
      </c>
    </row>
    <row r="399" spans="1:8" hidden="1">
      <c r="A399" s="78">
        <v>41760</v>
      </c>
      <c r="B399" s="37" t="s">
        <v>742</v>
      </c>
      <c r="C399" s="1" t="s">
        <v>171</v>
      </c>
      <c r="D399" s="37" t="s">
        <v>408</v>
      </c>
      <c r="E399" s="361">
        <v>5353411</v>
      </c>
      <c r="F399" s="37" t="s">
        <v>773</v>
      </c>
      <c r="G399" s="79"/>
    </row>
    <row r="400" spans="1:8" hidden="1">
      <c r="A400" s="78">
        <v>41760</v>
      </c>
      <c r="B400" s="37" t="s">
        <v>742</v>
      </c>
      <c r="C400" s="1" t="s">
        <v>104</v>
      </c>
      <c r="D400" s="37" t="s">
        <v>408</v>
      </c>
      <c r="E400" s="361">
        <v>34215650</v>
      </c>
      <c r="F400" s="37" t="s">
        <v>773</v>
      </c>
      <c r="G400" s="4220" t="s">
        <v>774</v>
      </c>
    </row>
    <row r="401" spans="1:7" hidden="1">
      <c r="A401" s="78">
        <v>41760</v>
      </c>
      <c r="B401" s="37" t="s">
        <v>742</v>
      </c>
      <c r="C401" s="1" t="s">
        <v>171</v>
      </c>
      <c r="D401" s="37" t="s">
        <v>408</v>
      </c>
      <c r="E401" s="361">
        <v>6090000</v>
      </c>
      <c r="F401" s="37" t="s">
        <v>751</v>
      </c>
      <c r="G401" s="4222"/>
    </row>
    <row r="402" spans="1:7" hidden="1">
      <c r="A402" s="78">
        <v>41760</v>
      </c>
      <c r="B402" s="37" t="s">
        <v>753</v>
      </c>
      <c r="C402" s="1" t="s">
        <v>215</v>
      </c>
      <c r="D402" s="37" t="s">
        <v>722</v>
      </c>
      <c r="E402" s="361">
        <v>21119616</v>
      </c>
      <c r="F402" s="37" t="s">
        <v>754</v>
      </c>
      <c r="G402" s="79"/>
    </row>
    <row r="403" spans="1:7" hidden="1">
      <c r="A403" s="78">
        <v>41760</v>
      </c>
      <c r="B403" s="37" t="s">
        <v>755</v>
      </c>
      <c r="C403" s="1" t="s">
        <v>215</v>
      </c>
      <c r="D403" s="37" t="s">
        <v>722</v>
      </c>
      <c r="E403" s="361">
        <v>4906656</v>
      </c>
      <c r="F403" s="37" t="s">
        <v>651</v>
      </c>
      <c r="G403" s="79"/>
    </row>
    <row r="404" spans="1:7" hidden="1">
      <c r="A404" s="78">
        <v>41791</v>
      </c>
      <c r="B404" s="37" t="s">
        <v>211</v>
      </c>
      <c r="C404" s="1" t="s">
        <v>171</v>
      </c>
      <c r="D404" s="37" t="s">
        <v>96</v>
      </c>
      <c r="E404" s="361">
        <v>32400000</v>
      </c>
      <c r="F404" s="37" t="s">
        <v>769</v>
      </c>
      <c r="G404" s="79"/>
    </row>
    <row r="405" spans="1:7" hidden="1">
      <c r="A405" s="78">
        <v>41791</v>
      </c>
      <c r="B405" s="37" t="s">
        <v>166</v>
      </c>
      <c r="C405" s="1" t="s">
        <v>103</v>
      </c>
      <c r="D405" s="37" t="s">
        <v>408</v>
      </c>
      <c r="E405" s="361">
        <v>9135000</v>
      </c>
      <c r="F405" s="37" t="s">
        <v>771</v>
      </c>
      <c r="G405" s="79"/>
    </row>
    <row r="406" spans="1:7" hidden="1">
      <c r="A406" s="78">
        <v>41791</v>
      </c>
      <c r="B406" s="37" t="s">
        <v>166</v>
      </c>
      <c r="C406" s="1" t="s">
        <v>104</v>
      </c>
      <c r="D406" s="37" t="s">
        <v>408</v>
      </c>
      <c r="E406" s="361">
        <v>12180000</v>
      </c>
      <c r="F406" s="37" t="s">
        <v>772</v>
      </c>
      <c r="G406" s="79"/>
    </row>
    <row r="407" spans="1:7" hidden="1">
      <c r="A407" s="78">
        <v>41791</v>
      </c>
      <c r="B407" s="37" t="s">
        <v>619</v>
      </c>
      <c r="C407" s="1" t="s">
        <v>171</v>
      </c>
      <c r="D407" s="37" t="s">
        <v>92</v>
      </c>
      <c r="E407" s="361">
        <v>6384000</v>
      </c>
      <c r="F407" s="37" t="s">
        <v>725</v>
      </c>
      <c r="G407" s="79"/>
    </row>
    <row r="408" spans="1:7" hidden="1">
      <c r="A408" s="78">
        <v>41791</v>
      </c>
      <c r="B408" s="37" t="s">
        <v>566</v>
      </c>
      <c r="C408" s="1" t="s">
        <v>171</v>
      </c>
      <c r="D408" s="37" t="s">
        <v>92</v>
      </c>
      <c r="E408" s="361">
        <v>2436000</v>
      </c>
      <c r="F408" s="37" t="s">
        <v>776</v>
      </c>
      <c r="G408" s="79"/>
    </row>
    <row r="409" spans="1:7" hidden="1">
      <c r="A409" s="78">
        <v>41791</v>
      </c>
      <c r="B409" s="37" t="s">
        <v>566</v>
      </c>
      <c r="C409" s="1" t="s">
        <v>171</v>
      </c>
      <c r="D409" s="37" t="s">
        <v>92</v>
      </c>
      <c r="E409" s="361">
        <v>1596000</v>
      </c>
      <c r="F409" s="37" t="s">
        <v>777</v>
      </c>
      <c r="G409" s="79"/>
    </row>
    <row r="410" spans="1:7" hidden="1">
      <c r="A410" s="78">
        <v>41821</v>
      </c>
      <c r="B410" s="37" t="s">
        <v>241</v>
      </c>
      <c r="C410" s="1" t="s">
        <v>171</v>
      </c>
      <c r="D410" s="37" t="s">
        <v>673</v>
      </c>
      <c r="E410" s="361">
        <v>121680</v>
      </c>
      <c r="F410" s="37" t="s">
        <v>335</v>
      </c>
      <c r="G410" s="79"/>
    </row>
    <row r="411" spans="1:7" hidden="1">
      <c r="A411" s="78">
        <v>41821</v>
      </c>
      <c r="B411" s="37" t="s">
        <v>55</v>
      </c>
      <c r="C411" s="1" t="s">
        <v>103</v>
      </c>
      <c r="D411" s="37" t="s">
        <v>408</v>
      </c>
      <c r="E411" s="361">
        <v>519456</v>
      </c>
      <c r="F411" s="37" t="s">
        <v>779</v>
      </c>
      <c r="G411" s="79"/>
    </row>
    <row r="412" spans="1:7" hidden="1">
      <c r="A412" s="78">
        <v>41821</v>
      </c>
      <c r="B412" s="37" t="s">
        <v>55</v>
      </c>
      <c r="C412" s="1" t="s">
        <v>103</v>
      </c>
      <c r="D412" s="37" t="s">
        <v>408</v>
      </c>
      <c r="E412" s="361">
        <v>8116500</v>
      </c>
      <c r="F412" s="37" t="s">
        <v>778</v>
      </c>
      <c r="G412" s="79"/>
    </row>
    <row r="413" spans="1:7" hidden="1">
      <c r="A413" s="78">
        <v>41791</v>
      </c>
      <c r="B413" s="37" t="s">
        <v>6</v>
      </c>
      <c r="C413" s="1" t="s">
        <v>215</v>
      </c>
      <c r="D413" s="37" t="s">
        <v>673</v>
      </c>
      <c r="E413" s="361">
        <v>1928017</v>
      </c>
      <c r="F413" s="37" t="s">
        <v>789</v>
      </c>
      <c r="G413" s="79"/>
    </row>
    <row r="414" spans="1:7" hidden="1">
      <c r="A414" s="78">
        <v>41821</v>
      </c>
      <c r="B414" s="37" t="s">
        <v>55</v>
      </c>
      <c r="C414" s="1" t="s">
        <v>336</v>
      </c>
      <c r="D414" s="37" t="s">
        <v>408</v>
      </c>
      <c r="E414" s="361">
        <v>4999764</v>
      </c>
      <c r="F414" s="37" t="s">
        <v>401</v>
      </c>
      <c r="G414" s="79"/>
    </row>
    <row r="415" spans="1:7" hidden="1">
      <c r="A415" s="78">
        <v>41791</v>
      </c>
      <c r="B415" s="37" t="s">
        <v>790</v>
      </c>
      <c r="C415" s="1" t="s">
        <v>104</v>
      </c>
      <c r="D415" s="37" t="s">
        <v>92</v>
      </c>
      <c r="E415" s="361">
        <v>6955923</v>
      </c>
      <c r="F415" s="37" t="s">
        <v>791</v>
      </c>
      <c r="G415" s="79"/>
    </row>
    <row r="416" spans="1:7" hidden="1">
      <c r="A416" s="78">
        <v>41821</v>
      </c>
      <c r="B416" s="37" t="s">
        <v>214</v>
      </c>
      <c r="C416" s="1" t="s">
        <v>215</v>
      </c>
      <c r="D416" s="37" t="s">
        <v>92</v>
      </c>
      <c r="E416" s="361">
        <v>20380000</v>
      </c>
      <c r="F416" s="37" t="s">
        <v>792</v>
      </c>
      <c r="G416" s="79">
        <f>E416*0.08</f>
        <v>1630400</v>
      </c>
    </row>
    <row r="417" spans="1:7" hidden="1">
      <c r="A417" s="78">
        <v>41821</v>
      </c>
      <c r="B417" s="37" t="s">
        <v>214</v>
      </c>
      <c r="C417" s="1" t="s">
        <v>103</v>
      </c>
      <c r="D417" s="37" t="s">
        <v>92</v>
      </c>
      <c r="E417" s="361">
        <v>1400000</v>
      </c>
      <c r="F417" s="37" t="s">
        <v>793</v>
      </c>
      <c r="G417" s="79"/>
    </row>
    <row r="418" spans="1:7" hidden="1">
      <c r="A418" s="78">
        <v>41791</v>
      </c>
      <c r="B418" s="37" t="s">
        <v>299</v>
      </c>
      <c r="C418" s="1" t="s">
        <v>215</v>
      </c>
      <c r="D418" s="37" t="s">
        <v>92</v>
      </c>
      <c r="E418" s="362">
        <v>18280215</v>
      </c>
      <c r="F418" s="37" t="s">
        <v>794</v>
      </c>
      <c r="G418" s="79" t="s">
        <v>976</v>
      </c>
    </row>
    <row r="419" spans="1:7" hidden="1">
      <c r="A419" s="78">
        <v>41791</v>
      </c>
      <c r="B419" s="37" t="s">
        <v>211</v>
      </c>
      <c r="C419" s="1" t="s">
        <v>171</v>
      </c>
      <c r="D419" s="37" t="s">
        <v>408</v>
      </c>
      <c r="E419" s="361">
        <v>7272000</v>
      </c>
      <c r="F419" s="37" t="s">
        <v>404</v>
      </c>
      <c r="G419" s="79"/>
    </row>
    <row r="420" spans="1:7" hidden="1">
      <c r="A420" s="78">
        <v>41821</v>
      </c>
      <c r="B420" s="37" t="s">
        <v>566</v>
      </c>
      <c r="C420" s="1" t="s">
        <v>171</v>
      </c>
      <c r="D420" s="37" t="s">
        <v>92</v>
      </c>
      <c r="E420" s="361">
        <v>38400000</v>
      </c>
      <c r="F420" s="37" t="s">
        <v>795</v>
      </c>
      <c r="G420" s="79"/>
    </row>
    <row r="421" spans="1:7" hidden="1">
      <c r="A421" s="78">
        <v>41821</v>
      </c>
      <c r="B421" s="37" t="s">
        <v>566</v>
      </c>
      <c r="C421" s="1" t="s">
        <v>171</v>
      </c>
      <c r="D421" s="37" t="s">
        <v>92</v>
      </c>
      <c r="E421" s="361">
        <v>3060000</v>
      </c>
      <c r="F421" s="37" t="s">
        <v>796</v>
      </c>
      <c r="G421" s="79"/>
    </row>
    <row r="422" spans="1:7" hidden="1">
      <c r="A422" s="78">
        <v>41821</v>
      </c>
      <c r="B422" s="37" t="s">
        <v>566</v>
      </c>
      <c r="C422" s="1" t="s">
        <v>171</v>
      </c>
      <c r="D422" s="37" t="s">
        <v>92</v>
      </c>
      <c r="E422" s="361">
        <v>1536000</v>
      </c>
      <c r="F422" s="37" t="s">
        <v>797</v>
      </c>
      <c r="G422" s="79"/>
    </row>
    <row r="423" spans="1:7" hidden="1">
      <c r="A423" s="78">
        <v>41821</v>
      </c>
      <c r="B423" s="37" t="s">
        <v>629</v>
      </c>
      <c r="C423" s="1" t="s">
        <v>171</v>
      </c>
      <c r="D423" s="37" t="s">
        <v>96</v>
      </c>
      <c r="E423" s="361">
        <v>19437826</v>
      </c>
      <c r="F423" s="37" t="s">
        <v>800</v>
      </c>
      <c r="G423" s="79"/>
    </row>
    <row r="424" spans="1:7" hidden="1">
      <c r="A424" s="78">
        <v>41821</v>
      </c>
      <c r="B424" s="37" t="s">
        <v>629</v>
      </c>
      <c r="C424" s="1" t="s">
        <v>171</v>
      </c>
      <c r="D424" s="37" t="s">
        <v>96</v>
      </c>
      <c r="E424" s="361">
        <v>2090000</v>
      </c>
      <c r="F424" s="37" t="s">
        <v>798</v>
      </c>
      <c r="G424" s="79"/>
    </row>
    <row r="425" spans="1:7" hidden="1">
      <c r="A425" s="78">
        <v>41821</v>
      </c>
      <c r="B425" s="37" t="s">
        <v>629</v>
      </c>
      <c r="C425" s="1" t="s">
        <v>171</v>
      </c>
      <c r="D425" s="37" t="s">
        <v>96</v>
      </c>
      <c r="E425" s="361">
        <v>2530000</v>
      </c>
      <c r="F425" s="37" t="s">
        <v>799</v>
      </c>
      <c r="G425" s="79"/>
    </row>
    <row r="426" spans="1:7" hidden="1">
      <c r="A426" s="78">
        <v>41791</v>
      </c>
      <c r="B426" s="37" t="s">
        <v>755</v>
      </c>
      <c r="C426" s="1" t="s">
        <v>215</v>
      </c>
      <c r="D426" s="37" t="s">
        <v>722</v>
      </c>
      <c r="E426" s="361">
        <v>4915429</v>
      </c>
      <c r="F426" s="37" t="s">
        <v>769</v>
      </c>
      <c r="G426" s="79"/>
    </row>
    <row r="427" spans="1:7" hidden="1">
      <c r="A427" s="78">
        <v>41791</v>
      </c>
      <c r="B427" s="37" t="s">
        <v>753</v>
      </c>
      <c r="C427" s="1" t="s">
        <v>215</v>
      </c>
      <c r="D427" s="37" t="s">
        <v>722</v>
      </c>
      <c r="E427" s="361">
        <v>21415104</v>
      </c>
      <c r="F427" s="37" t="s">
        <v>789</v>
      </c>
      <c r="G427" s="79"/>
    </row>
    <row r="428" spans="1:7" hidden="1">
      <c r="A428" s="78">
        <v>41821</v>
      </c>
      <c r="B428" s="37" t="s">
        <v>166</v>
      </c>
      <c r="C428" s="1" t="s">
        <v>171</v>
      </c>
      <c r="D428" s="37" t="s">
        <v>408</v>
      </c>
      <c r="E428" s="361">
        <v>9642806</v>
      </c>
      <c r="F428" s="37" t="s">
        <v>810</v>
      </c>
      <c r="G428" s="79"/>
    </row>
    <row r="429" spans="1:7" hidden="1">
      <c r="A429" s="78">
        <v>41821</v>
      </c>
      <c r="B429" s="37" t="s">
        <v>166</v>
      </c>
      <c r="C429" s="1" t="s">
        <v>103</v>
      </c>
      <c r="D429" s="37" t="s">
        <v>408</v>
      </c>
      <c r="E429" s="361">
        <f>3075000*3</f>
        <v>9225000</v>
      </c>
      <c r="F429" s="37" t="s">
        <v>813</v>
      </c>
      <c r="G429" s="79"/>
    </row>
    <row r="430" spans="1:7" hidden="1">
      <c r="A430" s="78">
        <v>41821</v>
      </c>
      <c r="B430" s="37" t="s">
        <v>166</v>
      </c>
      <c r="C430" s="1" t="s">
        <v>171</v>
      </c>
      <c r="D430" s="37" t="s">
        <v>408</v>
      </c>
      <c r="E430" s="361">
        <f>6150000*3</f>
        <v>18450000</v>
      </c>
      <c r="F430" s="37" t="s">
        <v>811</v>
      </c>
      <c r="G430" s="79"/>
    </row>
    <row r="431" spans="1:7" hidden="1">
      <c r="A431" s="78">
        <v>41821</v>
      </c>
      <c r="B431" s="37" t="s">
        <v>166</v>
      </c>
      <c r="C431" s="1" t="s">
        <v>104</v>
      </c>
      <c r="D431" s="37" t="s">
        <v>408</v>
      </c>
      <c r="E431" s="362">
        <v>28756004</v>
      </c>
      <c r="F431" s="37" t="s">
        <v>812</v>
      </c>
      <c r="G431" s="79"/>
    </row>
    <row r="432" spans="1:7" hidden="1">
      <c r="A432" s="78">
        <v>41821</v>
      </c>
      <c r="B432" s="37" t="s">
        <v>166</v>
      </c>
      <c r="C432" s="1" t="s">
        <v>103</v>
      </c>
      <c r="D432" s="37" t="s">
        <v>408</v>
      </c>
      <c r="E432" s="361">
        <f>2224636+5299636</f>
        <v>7524272</v>
      </c>
      <c r="F432" s="37" t="s">
        <v>814</v>
      </c>
      <c r="G432" s="79"/>
    </row>
    <row r="433" spans="1:7" hidden="1">
      <c r="A433" s="78">
        <v>41821</v>
      </c>
      <c r="B433" s="37" t="s">
        <v>172</v>
      </c>
      <c r="C433" s="1" t="s">
        <v>171</v>
      </c>
      <c r="D433" s="37" t="s">
        <v>408</v>
      </c>
      <c r="E433" s="361">
        <v>13062600</v>
      </c>
      <c r="F433" s="37" t="s">
        <v>815</v>
      </c>
      <c r="G433" s="79"/>
    </row>
    <row r="434" spans="1:7" hidden="1">
      <c r="A434" s="78">
        <v>41821</v>
      </c>
      <c r="B434" s="37" t="s">
        <v>172</v>
      </c>
      <c r="C434" s="1" t="s">
        <v>103</v>
      </c>
      <c r="D434" s="37" t="s">
        <v>408</v>
      </c>
      <c r="E434" s="361">
        <v>2442600</v>
      </c>
      <c r="F434" s="37" t="s">
        <v>816</v>
      </c>
      <c r="G434" s="79"/>
    </row>
    <row r="435" spans="1:7" hidden="1">
      <c r="A435" s="78">
        <v>41821</v>
      </c>
      <c r="B435" s="37" t="s">
        <v>172</v>
      </c>
      <c r="C435" s="1" t="s">
        <v>104</v>
      </c>
      <c r="D435" s="37" t="s">
        <v>408</v>
      </c>
      <c r="E435" s="362">
        <v>1274400</v>
      </c>
      <c r="F435" s="37" t="s">
        <v>817</v>
      </c>
      <c r="G435" s="79"/>
    </row>
    <row r="436" spans="1:7" hidden="1">
      <c r="A436" s="78">
        <v>41821</v>
      </c>
      <c r="B436" s="37" t="s">
        <v>172</v>
      </c>
      <c r="C436" s="1" t="s">
        <v>171</v>
      </c>
      <c r="D436" s="37" t="s">
        <v>408</v>
      </c>
      <c r="E436" s="361">
        <v>11257200</v>
      </c>
      <c r="F436" s="37" t="s">
        <v>818</v>
      </c>
      <c r="G436" s="79"/>
    </row>
    <row r="437" spans="1:7" hidden="1">
      <c r="A437" s="78">
        <v>41821</v>
      </c>
      <c r="B437" s="37" t="s">
        <v>172</v>
      </c>
      <c r="C437" s="1" t="s">
        <v>104</v>
      </c>
      <c r="D437" s="37" t="s">
        <v>408</v>
      </c>
      <c r="E437" s="362">
        <v>4991400</v>
      </c>
      <c r="F437" s="37" t="s">
        <v>819</v>
      </c>
      <c r="G437" s="79"/>
    </row>
    <row r="438" spans="1:7" hidden="1">
      <c r="A438" s="78">
        <v>41821</v>
      </c>
      <c r="B438" s="37" t="s">
        <v>172</v>
      </c>
      <c r="C438" s="1" t="s">
        <v>103</v>
      </c>
      <c r="D438" s="37" t="s">
        <v>408</v>
      </c>
      <c r="E438" s="361">
        <v>6265800</v>
      </c>
      <c r="F438" s="37" t="s">
        <v>820</v>
      </c>
      <c r="G438" s="79"/>
    </row>
    <row r="439" spans="1:7" hidden="1">
      <c r="A439" s="78">
        <v>41821</v>
      </c>
      <c r="B439" s="37" t="s">
        <v>172</v>
      </c>
      <c r="C439" s="1" t="s">
        <v>103</v>
      </c>
      <c r="D439" s="37" t="s">
        <v>408</v>
      </c>
      <c r="E439" s="361">
        <v>637200</v>
      </c>
      <c r="F439" s="37" t="s">
        <v>821</v>
      </c>
      <c r="G439" s="79"/>
    </row>
    <row r="440" spans="1:7" hidden="1">
      <c r="A440" s="78">
        <v>41821</v>
      </c>
      <c r="B440" s="37" t="s">
        <v>172</v>
      </c>
      <c r="C440" s="1" t="s">
        <v>822</v>
      </c>
      <c r="D440" s="37" t="s">
        <v>408</v>
      </c>
      <c r="E440" s="361">
        <v>2548800</v>
      </c>
      <c r="F440" s="37" t="s">
        <v>823</v>
      </c>
      <c r="G440" s="79"/>
    </row>
    <row r="441" spans="1:7" hidden="1">
      <c r="A441" s="78">
        <v>41821</v>
      </c>
      <c r="B441" s="37" t="s">
        <v>172</v>
      </c>
      <c r="C441" s="1" t="s">
        <v>824</v>
      </c>
      <c r="D441" s="37" t="s">
        <v>408</v>
      </c>
      <c r="E441" s="361">
        <v>531000</v>
      </c>
      <c r="F441" s="37" t="s">
        <v>825</v>
      </c>
      <c r="G441" s="79"/>
    </row>
    <row r="442" spans="1:7" hidden="1">
      <c r="A442" s="78">
        <v>41790</v>
      </c>
      <c r="B442" s="37" t="s">
        <v>826</v>
      </c>
      <c r="C442" s="1" t="s">
        <v>103</v>
      </c>
      <c r="D442" s="37" t="s">
        <v>827</v>
      </c>
      <c r="E442" s="361">
        <v>576000</v>
      </c>
      <c r="F442" s="37" t="s">
        <v>828</v>
      </c>
      <c r="G442" s="4220" t="s">
        <v>830</v>
      </c>
    </row>
    <row r="443" spans="1:7" hidden="1">
      <c r="A443" s="78">
        <v>41820</v>
      </c>
      <c r="B443" s="37" t="s">
        <v>826</v>
      </c>
      <c r="C443" s="1" t="s">
        <v>103</v>
      </c>
      <c r="D443" s="37" t="s">
        <v>827</v>
      </c>
      <c r="E443" s="361">
        <v>136000</v>
      </c>
      <c r="F443" s="37" t="s">
        <v>829</v>
      </c>
      <c r="G443" s="4222"/>
    </row>
    <row r="444" spans="1:7" hidden="1">
      <c r="A444" s="78">
        <v>41852</v>
      </c>
      <c r="B444" s="37" t="s">
        <v>241</v>
      </c>
      <c r="C444" s="1" t="s">
        <v>171</v>
      </c>
      <c r="D444" s="37" t="s">
        <v>673</v>
      </c>
      <c r="E444" s="361">
        <v>243360</v>
      </c>
      <c r="F444" s="37" t="s">
        <v>831</v>
      </c>
      <c r="G444" s="79"/>
    </row>
    <row r="445" spans="1:7" hidden="1">
      <c r="A445" s="78">
        <v>41852</v>
      </c>
      <c r="B445" s="37" t="s">
        <v>55</v>
      </c>
      <c r="C445" s="1" t="s">
        <v>336</v>
      </c>
      <c r="D445" s="37" t="s">
        <v>408</v>
      </c>
      <c r="E445" s="361">
        <v>5032230</v>
      </c>
      <c r="F445" s="37" t="s">
        <v>349</v>
      </c>
      <c r="G445" s="79"/>
    </row>
    <row r="446" spans="1:7" hidden="1">
      <c r="A446" s="78">
        <v>41852</v>
      </c>
      <c r="B446" s="37" t="s">
        <v>55</v>
      </c>
      <c r="C446" s="1" t="s">
        <v>103</v>
      </c>
      <c r="D446" s="37" t="s">
        <v>408</v>
      </c>
      <c r="E446" s="361">
        <v>8700888</v>
      </c>
      <c r="F446" s="37" t="s">
        <v>844</v>
      </c>
      <c r="G446" s="79"/>
    </row>
    <row r="447" spans="1:7" hidden="1">
      <c r="A447" s="78">
        <v>41821</v>
      </c>
      <c r="B447" s="37" t="s">
        <v>619</v>
      </c>
      <c r="C447" s="1" t="s">
        <v>171</v>
      </c>
      <c r="D447" s="37" t="s">
        <v>92</v>
      </c>
      <c r="E447" s="361">
        <v>4872000</v>
      </c>
      <c r="F447" s="37" t="s">
        <v>725</v>
      </c>
      <c r="G447" s="79"/>
    </row>
    <row r="448" spans="1:7" hidden="1">
      <c r="A448" s="78">
        <v>41852</v>
      </c>
      <c r="B448" s="37" t="s">
        <v>211</v>
      </c>
      <c r="C448" s="1" t="s">
        <v>103</v>
      </c>
      <c r="D448" s="37" t="s">
        <v>408</v>
      </c>
      <c r="E448" s="361">
        <v>6900000</v>
      </c>
      <c r="F448" s="37" t="s">
        <v>845</v>
      </c>
      <c r="G448" s="79"/>
    </row>
    <row r="449" spans="1:7" hidden="1">
      <c r="A449" s="78">
        <v>41821</v>
      </c>
      <c r="B449" s="37" t="s">
        <v>211</v>
      </c>
      <c r="C449" s="1" t="s">
        <v>861</v>
      </c>
      <c r="D449" s="37" t="s">
        <v>408</v>
      </c>
      <c r="E449" s="361">
        <v>5940000</v>
      </c>
      <c r="F449" s="37" t="s">
        <v>862</v>
      </c>
      <c r="G449" s="79"/>
    </row>
    <row r="450" spans="1:7" hidden="1">
      <c r="A450" s="78">
        <v>41852</v>
      </c>
      <c r="B450" s="37" t="s">
        <v>629</v>
      </c>
      <c r="C450" s="1" t="s">
        <v>171</v>
      </c>
      <c r="D450" s="37" t="s">
        <v>827</v>
      </c>
      <c r="E450" s="361">
        <v>17051967</v>
      </c>
      <c r="F450" s="37" t="s">
        <v>863</v>
      </c>
      <c r="G450" s="79"/>
    </row>
    <row r="451" spans="1:7" hidden="1">
      <c r="A451" s="78">
        <v>41821</v>
      </c>
      <c r="B451" s="37" t="s">
        <v>6</v>
      </c>
      <c r="C451" s="1" t="s">
        <v>171</v>
      </c>
      <c r="D451" s="37" t="s">
        <v>673</v>
      </c>
      <c r="E451" s="361">
        <v>1000020</v>
      </c>
      <c r="F451" s="37" t="s">
        <v>864</v>
      </c>
      <c r="G451" s="79"/>
    </row>
    <row r="452" spans="1:7" hidden="1">
      <c r="A452" s="78">
        <v>41821</v>
      </c>
      <c r="B452" s="37" t="s">
        <v>6</v>
      </c>
      <c r="C452" s="1" t="s">
        <v>215</v>
      </c>
      <c r="D452" s="37" t="s">
        <v>673</v>
      </c>
      <c r="E452" s="361">
        <v>4589838</v>
      </c>
      <c r="F452" s="37" t="s">
        <v>865</v>
      </c>
      <c r="G452" s="79"/>
    </row>
    <row r="453" spans="1:7" hidden="1">
      <c r="A453" s="78">
        <v>41850</v>
      </c>
      <c r="B453" s="37" t="s">
        <v>826</v>
      </c>
      <c r="C453" s="1" t="s">
        <v>103</v>
      </c>
      <c r="D453" s="37" t="s">
        <v>827</v>
      </c>
      <c r="E453" s="361">
        <v>200000</v>
      </c>
      <c r="F453" s="37" t="s">
        <v>829</v>
      </c>
      <c r="G453" s="79"/>
    </row>
    <row r="454" spans="1:7" hidden="1">
      <c r="A454" s="78">
        <v>41852</v>
      </c>
      <c r="B454" s="37" t="s">
        <v>98</v>
      </c>
      <c r="C454" s="1" t="s">
        <v>171</v>
      </c>
      <c r="D454" s="37" t="s">
        <v>92</v>
      </c>
      <c r="E454" s="361">
        <v>6240000</v>
      </c>
      <c r="F454" s="37" t="s">
        <v>874</v>
      </c>
      <c r="G454" s="79"/>
    </row>
    <row r="455" spans="1:7" hidden="1">
      <c r="A455" s="78">
        <v>41852</v>
      </c>
      <c r="B455" s="37" t="s">
        <v>214</v>
      </c>
      <c r="C455" s="1" t="s">
        <v>104</v>
      </c>
      <c r="D455" s="37" t="s">
        <v>92</v>
      </c>
      <c r="E455" s="362">
        <v>1400000</v>
      </c>
      <c r="F455" s="37" t="s">
        <v>557</v>
      </c>
      <c r="G455" s="4220" t="s">
        <v>735</v>
      </c>
    </row>
    <row r="456" spans="1:7" hidden="1">
      <c r="A456" s="78">
        <v>41852</v>
      </c>
      <c r="B456" s="37" t="s">
        <v>214</v>
      </c>
      <c r="C456" s="1" t="s">
        <v>215</v>
      </c>
      <c r="D456" s="37" t="s">
        <v>92</v>
      </c>
      <c r="E456" s="361">
        <v>12640000</v>
      </c>
      <c r="F456" s="37" t="s">
        <v>875</v>
      </c>
      <c r="G456" s="4222"/>
    </row>
    <row r="457" spans="1:7" hidden="1">
      <c r="A457" s="78">
        <v>41821</v>
      </c>
      <c r="B457" s="37" t="s">
        <v>876</v>
      </c>
      <c r="C457" s="1" t="s">
        <v>215</v>
      </c>
      <c r="D457" s="37" t="s">
        <v>722</v>
      </c>
      <c r="E457" s="361">
        <v>5220000</v>
      </c>
      <c r="F457" s="37" t="s">
        <v>878</v>
      </c>
      <c r="G457" s="79"/>
    </row>
    <row r="458" spans="1:7" hidden="1">
      <c r="A458" s="78">
        <v>41821</v>
      </c>
      <c r="B458" s="37" t="s">
        <v>877</v>
      </c>
      <c r="C458" s="1" t="s">
        <v>215</v>
      </c>
      <c r="D458" s="37" t="s">
        <v>722</v>
      </c>
      <c r="E458" s="361">
        <v>20349792</v>
      </c>
      <c r="F458" s="37" t="s">
        <v>878</v>
      </c>
      <c r="G458" s="79"/>
    </row>
    <row r="459" spans="1:7" hidden="1">
      <c r="A459" s="78">
        <v>41852</v>
      </c>
      <c r="B459" s="37" t="s">
        <v>879</v>
      </c>
      <c r="C459" s="1" t="s">
        <v>171</v>
      </c>
      <c r="D459" s="37" t="s">
        <v>408</v>
      </c>
      <c r="E459" s="361">
        <v>6429400</v>
      </c>
      <c r="F459" s="37" t="s">
        <v>428</v>
      </c>
      <c r="G459" s="79"/>
    </row>
    <row r="460" spans="1:7" hidden="1">
      <c r="A460" s="78">
        <v>41852</v>
      </c>
      <c r="B460" s="37" t="s">
        <v>879</v>
      </c>
      <c r="C460" s="1" t="s">
        <v>171</v>
      </c>
      <c r="D460" s="37" t="s">
        <v>408</v>
      </c>
      <c r="E460" s="361">
        <v>6429400</v>
      </c>
      <c r="F460" s="37" t="s">
        <v>428</v>
      </c>
      <c r="G460" s="79"/>
    </row>
    <row r="461" spans="1:7" hidden="1">
      <c r="A461" s="78">
        <v>41852</v>
      </c>
      <c r="B461" s="37" t="s">
        <v>879</v>
      </c>
      <c r="C461" s="1" t="s">
        <v>171</v>
      </c>
      <c r="D461" s="37" t="s">
        <v>408</v>
      </c>
      <c r="E461" s="361">
        <v>6429400</v>
      </c>
      <c r="F461" s="37" t="s">
        <v>428</v>
      </c>
      <c r="G461" s="79"/>
    </row>
    <row r="462" spans="1:7" hidden="1">
      <c r="A462" s="78">
        <v>41852</v>
      </c>
      <c r="B462" s="37" t="s">
        <v>879</v>
      </c>
      <c r="C462" s="1" t="s">
        <v>103</v>
      </c>
      <c r="D462" s="37" t="s">
        <v>408</v>
      </c>
      <c r="E462" s="361">
        <v>4313920</v>
      </c>
      <c r="F462" s="37" t="s">
        <v>880</v>
      </c>
      <c r="G462" s="79"/>
    </row>
    <row r="463" spans="1:7" hidden="1">
      <c r="A463" s="78">
        <v>41852</v>
      </c>
      <c r="B463" s="37" t="s">
        <v>879</v>
      </c>
      <c r="C463" s="1" t="s">
        <v>103</v>
      </c>
      <c r="D463" s="37" t="s">
        <v>408</v>
      </c>
      <c r="E463" s="361">
        <v>3111000</v>
      </c>
      <c r="F463" s="37" t="s">
        <v>880</v>
      </c>
      <c r="G463" s="79"/>
    </row>
    <row r="464" spans="1:7" hidden="1">
      <c r="A464" s="78">
        <v>41852</v>
      </c>
      <c r="B464" s="37" t="s">
        <v>879</v>
      </c>
      <c r="C464" s="1" t="s">
        <v>103</v>
      </c>
      <c r="D464" s="37" t="s">
        <v>408</v>
      </c>
      <c r="E464" s="361">
        <v>3111000</v>
      </c>
      <c r="F464" s="37" t="s">
        <v>880</v>
      </c>
      <c r="G464" s="79"/>
    </row>
    <row r="465" spans="1:7" hidden="1">
      <c r="A465" s="78">
        <v>41852</v>
      </c>
      <c r="B465" s="37" t="s">
        <v>879</v>
      </c>
      <c r="C465" s="1" t="s">
        <v>104</v>
      </c>
      <c r="D465" s="37" t="s">
        <v>408</v>
      </c>
      <c r="E465" s="362">
        <v>6429000</v>
      </c>
      <c r="F465" s="37" t="s">
        <v>881</v>
      </c>
      <c r="G465" s="79"/>
    </row>
    <row r="466" spans="1:7" hidden="1">
      <c r="A466" s="78">
        <v>41852</v>
      </c>
      <c r="B466" s="37" t="s">
        <v>879</v>
      </c>
      <c r="C466" s="1" t="s">
        <v>104</v>
      </c>
      <c r="D466" s="37" t="s">
        <v>408</v>
      </c>
      <c r="E466" s="362">
        <v>6429000</v>
      </c>
      <c r="F466" s="37" t="s">
        <v>881</v>
      </c>
      <c r="G466" s="79"/>
    </row>
    <row r="467" spans="1:7" hidden="1">
      <c r="A467" s="78">
        <v>41852</v>
      </c>
      <c r="B467" s="37" t="s">
        <v>879</v>
      </c>
      <c r="C467" s="1" t="s">
        <v>104</v>
      </c>
      <c r="D467" s="37" t="s">
        <v>408</v>
      </c>
      <c r="E467" s="362">
        <v>6429000</v>
      </c>
      <c r="F467" s="37" t="s">
        <v>881</v>
      </c>
      <c r="G467" s="79"/>
    </row>
    <row r="468" spans="1:7" hidden="1">
      <c r="A468" s="78">
        <v>41852</v>
      </c>
      <c r="B468" s="37" t="s">
        <v>879</v>
      </c>
      <c r="C468" s="1" t="s">
        <v>104</v>
      </c>
      <c r="D468" s="37" t="s">
        <v>408</v>
      </c>
      <c r="E468" s="362">
        <v>25531340</v>
      </c>
      <c r="F468" s="37" t="s">
        <v>883</v>
      </c>
      <c r="G468" s="79"/>
    </row>
    <row r="469" spans="1:7" hidden="1">
      <c r="A469" s="78">
        <v>41852</v>
      </c>
      <c r="B469" s="37" t="s">
        <v>879</v>
      </c>
      <c r="C469" s="1" t="s">
        <v>171</v>
      </c>
      <c r="D469" s="37" t="s">
        <v>408</v>
      </c>
      <c r="E469" s="361">
        <v>5491612</v>
      </c>
      <c r="F469" s="37" t="s">
        <v>882</v>
      </c>
      <c r="G469" s="79"/>
    </row>
    <row r="470" spans="1:7" hidden="1">
      <c r="A470" s="78">
        <v>41852</v>
      </c>
      <c r="B470" s="37" t="s">
        <v>172</v>
      </c>
      <c r="C470" s="1" t="s">
        <v>104</v>
      </c>
      <c r="D470" s="37" t="s">
        <v>408</v>
      </c>
      <c r="E470" s="362">
        <v>4141800</v>
      </c>
      <c r="F470" s="37" t="s">
        <v>885</v>
      </c>
      <c r="G470" s="79"/>
    </row>
    <row r="471" spans="1:7" hidden="1">
      <c r="A471" s="78">
        <v>41852</v>
      </c>
      <c r="B471" s="37" t="s">
        <v>172</v>
      </c>
      <c r="C471" s="1" t="s">
        <v>886</v>
      </c>
      <c r="D471" s="37" t="s">
        <v>408</v>
      </c>
      <c r="E471" s="361">
        <v>2442600</v>
      </c>
      <c r="F471" s="37" t="s">
        <v>887</v>
      </c>
      <c r="G471" s="79"/>
    </row>
    <row r="472" spans="1:7" hidden="1">
      <c r="A472" s="78">
        <v>41852</v>
      </c>
      <c r="B472" s="37" t="s">
        <v>172</v>
      </c>
      <c r="C472" s="1" t="s">
        <v>104</v>
      </c>
      <c r="D472" s="37" t="s">
        <v>408</v>
      </c>
      <c r="E472" s="362">
        <v>1274400</v>
      </c>
      <c r="F472" s="37" t="s">
        <v>351</v>
      </c>
      <c r="G472" s="79"/>
    </row>
    <row r="473" spans="1:7" hidden="1">
      <c r="A473" s="78">
        <v>41852</v>
      </c>
      <c r="B473" s="37" t="s">
        <v>172</v>
      </c>
      <c r="C473" s="1" t="s">
        <v>888</v>
      </c>
      <c r="D473" s="37" t="s">
        <v>408</v>
      </c>
      <c r="E473" s="361">
        <v>849600</v>
      </c>
      <c r="F473" s="37" t="s">
        <v>889</v>
      </c>
      <c r="G473" s="79"/>
    </row>
    <row r="474" spans="1:7" hidden="1">
      <c r="A474" s="78">
        <v>41852</v>
      </c>
      <c r="B474" s="37" t="s">
        <v>172</v>
      </c>
      <c r="C474" s="1" t="s">
        <v>103</v>
      </c>
      <c r="D474" s="37" t="s">
        <v>408</v>
      </c>
      <c r="E474" s="361">
        <v>6265800</v>
      </c>
      <c r="F474" s="37" t="s">
        <v>890</v>
      </c>
      <c r="G474" s="79"/>
    </row>
    <row r="475" spans="1:7" hidden="1">
      <c r="A475" s="78">
        <v>41852</v>
      </c>
      <c r="B475" s="37" t="s">
        <v>172</v>
      </c>
      <c r="C475" s="1" t="s">
        <v>171</v>
      </c>
      <c r="D475" s="37" t="s">
        <v>408</v>
      </c>
      <c r="E475" s="361">
        <v>11363400</v>
      </c>
      <c r="F475" s="37" t="s">
        <v>818</v>
      </c>
      <c r="G475" s="79"/>
    </row>
    <row r="476" spans="1:7" hidden="1">
      <c r="A476" s="78">
        <v>41852</v>
      </c>
      <c r="B476" s="37" t="s">
        <v>172</v>
      </c>
      <c r="C476" s="1" t="s">
        <v>103</v>
      </c>
      <c r="D476" s="37" t="s">
        <v>408</v>
      </c>
      <c r="E476" s="361">
        <v>2548800</v>
      </c>
      <c r="F476" s="37" t="s">
        <v>891</v>
      </c>
      <c r="G476" s="79"/>
    </row>
    <row r="477" spans="1:7" hidden="1">
      <c r="A477" s="78">
        <v>41852</v>
      </c>
      <c r="B477" s="37" t="s">
        <v>172</v>
      </c>
      <c r="C477" s="1" t="s">
        <v>171</v>
      </c>
      <c r="D477" s="37" t="s">
        <v>408</v>
      </c>
      <c r="E477" s="361">
        <v>13168800</v>
      </c>
      <c r="F477" s="37" t="s">
        <v>892</v>
      </c>
      <c r="G477" s="79"/>
    </row>
    <row r="478" spans="1:7" hidden="1">
      <c r="A478" s="78">
        <v>41883</v>
      </c>
      <c r="B478" s="37" t="s">
        <v>55</v>
      </c>
      <c r="C478" s="1" t="s">
        <v>103</v>
      </c>
      <c r="D478" s="37" t="s">
        <v>408</v>
      </c>
      <c r="E478" s="361">
        <v>8798286</v>
      </c>
      <c r="F478" s="37" t="s">
        <v>900</v>
      </c>
      <c r="G478" s="79"/>
    </row>
    <row r="479" spans="1:7" hidden="1">
      <c r="A479" s="78">
        <v>41883</v>
      </c>
      <c r="B479" s="37" t="s">
        <v>55</v>
      </c>
      <c r="C479" s="1" t="s">
        <v>336</v>
      </c>
      <c r="D479" s="37" t="s">
        <v>408</v>
      </c>
      <c r="E479" s="361">
        <v>5097162</v>
      </c>
      <c r="F479" s="37" t="s">
        <v>349</v>
      </c>
      <c r="G479" s="79"/>
    </row>
    <row r="480" spans="1:7" hidden="1">
      <c r="A480" s="78">
        <v>41852</v>
      </c>
      <c r="B480" s="37" t="s">
        <v>566</v>
      </c>
      <c r="C480" s="1" t="s">
        <v>171</v>
      </c>
      <c r="D480" s="37" t="s">
        <v>92</v>
      </c>
      <c r="E480" s="361">
        <v>1578000</v>
      </c>
      <c r="F480" s="37" t="s">
        <v>902</v>
      </c>
      <c r="G480" s="79"/>
    </row>
    <row r="481" spans="1:8" hidden="1">
      <c r="A481" s="78">
        <v>41852</v>
      </c>
      <c r="B481" s="37" t="s">
        <v>566</v>
      </c>
      <c r="C481" s="1" t="s">
        <v>171</v>
      </c>
      <c r="D481" s="37" t="s">
        <v>92</v>
      </c>
      <c r="E481" s="361">
        <v>2958000</v>
      </c>
      <c r="F481" s="37" t="s">
        <v>901</v>
      </c>
      <c r="G481" s="79"/>
    </row>
    <row r="482" spans="1:8" hidden="1">
      <c r="A482" s="78">
        <v>41852</v>
      </c>
      <c r="B482" s="37" t="s">
        <v>826</v>
      </c>
      <c r="C482" s="1" t="s">
        <v>103</v>
      </c>
      <c r="D482" s="37" t="s">
        <v>827</v>
      </c>
      <c r="E482" s="361">
        <v>200000</v>
      </c>
      <c r="F482" s="37" t="s">
        <v>234</v>
      </c>
      <c r="G482" s="79"/>
    </row>
    <row r="483" spans="1:8" hidden="1">
      <c r="A483" s="78">
        <v>41852</v>
      </c>
      <c r="B483" s="37" t="s">
        <v>619</v>
      </c>
      <c r="C483" s="1" t="s">
        <v>171</v>
      </c>
      <c r="D483" s="37" t="s">
        <v>92</v>
      </c>
      <c r="E483" s="361">
        <v>5712000</v>
      </c>
      <c r="F483" s="37" t="s">
        <v>910</v>
      </c>
      <c r="G483" s="79"/>
    </row>
    <row r="484" spans="1:8" hidden="1">
      <c r="A484" s="78">
        <v>41883</v>
      </c>
      <c r="B484" s="37" t="s">
        <v>214</v>
      </c>
      <c r="C484" s="1" t="s">
        <v>215</v>
      </c>
      <c r="D484" s="37" t="s">
        <v>92</v>
      </c>
      <c r="E484" s="361">
        <v>24750000</v>
      </c>
      <c r="F484" s="37" t="s">
        <v>910</v>
      </c>
      <c r="G484" s="79"/>
    </row>
    <row r="485" spans="1:8" hidden="1">
      <c r="A485" s="78">
        <v>41883</v>
      </c>
      <c r="B485" s="37" t="s">
        <v>98</v>
      </c>
      <c r="C485" s="1" t="s">
        <v>171</v>
      </c>
      <c r="D485" s="37" t="s">
        <v>92</v>
      </c>
      <c r="E485" s="365">
        <v>6240000</v>
      </c>
      <c r="F485" s="341" t="s">
        <v>428</v>
      </c>
      <c r="G485" s="79"/>
    </row>
    <row r="486" spans="1:8" hidden="1">
      <c r="A486" s="78">
        <v>41852</v>
      </c>
      <c r="B486" s="37" t="s">
        <v>6</v>
      </c>
      <c r="C486" s="1" t="s">
        <v>215</v>
      </c>
      <c r="D486" s="37" t="s">
        <v>673</v>
      </c>
      <c r="E486" s="361">
        <v>4649838</v>
      </c>
      <c r="F486" s="37" t="s">
        <v>335</v>
      </c>
      <c r="G486" s="79"/>
    </row>
    <row r="487" spans="1:8" hidden="1">
      <c r="A487" s="78">
        <v>41821</v>
      </c>
      <c r="B487" s="37" t="s">
        <v>790</v>
      </c>
      <c r="C487" s="1" t="s">
        <v>104</v>
      </c>
      <c r="D487" s="37" t="s">
        <v>92</v>
      </c>
      <c r="E487" s="362">
        <v>3229409</v>
      </c>
      <c r="F487" s="37" t="s">
        <v>911</v>
      </c>
      <c r="G487" s="79"/>
    </row>
    <row r="488" spans="1:8" hidden="1">
      <c r="A488" s="78">
        <v>41852</v>
      </c>
      <c r="B488" s="37" t="s">
        <v>790</v>
      </c>
      <c r="C488" s="1" t="s">
        <v>104</v>
      </c>
      <c r="D488" s="37" t="s">
        <v>92</v>
      </c>
      <c r="E488" s="362">
        <v>2549320</v>
      </c>
      <c r="F488" s="37" t="s">
        <v>911</v>
      </c>
      <c r="G488" s="79"/>
    </row>
    <row r="489" spans="1:8" hidden="1">
      <c r="A489" s="78">
        <v>41852</v>
      </c>
      <c r="B489" s="37" t="s">
        <v>755</v>
      </c>
      <c r="C489" s="1" t="s">
        <v>215</v>
      </c>
      <c r="D489" s="37" t="s">
        <v>722</v>
      </c>
      <c r="E489" s="361">
        <v>7602510</v>
      </c>
      <c r="F489" s="37" t="s">
        <v>335</v>
      </c>
      <c r="G489" s="79"/>
    </row>
    <row r="490" spans="1:8" hidden="1">
      <c r="A490" s="78">
        <v>41883</v>
      </c>
      <c r="B490" s="37" t="s">
        <v>479</v>
      </c>
      <c r="C490" s="1" t="s">
        <v>171</v>
      </c>
      <c r="D490" s="37" t="s">
        <v>827</v>
      </c>
      <c r="E490" s="365">
        <v>35414795</v>
      </c>
      <c r="F490" s="341" t="s">
        <v>925</v>
      </c>
      <c r="G490" s="79"/>
    </row>
    <row r="491" spans="1:8" hidden="1">
      <c r="A491" s="78">
        <v>41883</v>
      </c>
      <c r="B491" s="37" t="s">
        <v>479</v>
      </c>
      <c r="C491" s="1" t="s">
        <v>336</v>
      </c>
      <c r="D491" s="37" t="s">
        <v>827</v>
      </c>
      <c r="E491" s="365">
        <v>2156500</v>
      </c>
      <c r="F491" s="341" t="s">
        <v>282</v>
      </c>
      <c r="G491" s="79"/>
    </row>
    <row r="492" spans="1:8" hidden="1">
      <c r="A492" s="78">
        <v>41883</v>
      </c>
      <c r="B492" s="37" t="s">
        <v>566</v>
      </c>
      <c r="C492" s="1" t="s">
        <v>171</v>
      </c>
      <c r="D492" s="37" t="s">
        <v>92</v>
      </c>
      <c r="E492" s="365">
        <v>38400000</v>
      </c>
      <c r="F492" s="341" t="s">
        <v>926</v>
      </c>
      <c r="G492" s="79"/>
    </row>
    <row r="493" spans="1:8" hidden="1">
      <c r="A493" s="78">
        <v>41852</v>
      </c>
      <c r="B493" s="37" t="s">
        <v>211</v>
      </c>
      <c r="C493" s="1" t="s">
        <v>171</v>
      </c>
      <c r="D493" s="37" t="s">
        <v>408</v>
      </c>
      <c r="E493" s="362">
        <v>36240000</v>
      </c>
      <c r="F493" s="37" t="s">
        <v>316</v>
      </c>
      <c r="G493" s="4220" t="s">
        <v>942</v>
      </c>
      <c r="H493">
        <v>6040000</v>
      </c>
    </row>
    <row r="494" spans="1:8" hidden="1">
      <c r="A494" s="78">
        <v>41852</v>
      </c>
      <c r="B494" s="37" t="s">
        <v>211</v>
      </c>
      <c r="C494" s="1" t="s">
        <v>171</v>
      </c>
      <c r="D494" s="37" t="s">
        <v>408</v>
      </c>
      <c r="E494" s="362">
        <v>188676000</v>
      </c>
      <c r="F494" s="37" t="s">
        <v>941</v>
      </c>
      <c r="G494" s="4222"/>
      <c r="H494">
        <v>31446000</v>
      </c>
    </row>
    <row r="495" spans="1:8" hidden="1">
      <c r="A495" s="78">
        <v>41883</v>
      </c>
      <c r="B495" s="37" t="s">
        <v>6</v>
      </c>
      <c r="C495" s="1" t="s">
        <v>215</v>
      </c>
      <c r="D495" s="37" t="s">
        <v>673</v>
      </c>
      <c r="E495" s="361">
        <v>1000020</v>
      </c>
      <c r="F495" s="37" t="s">
        <v>943</v>
      </c>
      <c r="G495" s="79"/>
    </row>
    <row r="496" spans="1:8" hidden="1">
      <c r="A496" s="78">
        <v>41883</v>
      </c>
      <c r="B496" s="37" t="s">
        <v>129</v>
      </c>
      <c r="C496" s="1" t="s">
        <v>171</v>
      </c>
      <c r="D496" s="37" t="s">
        <v>408</v>
      </c>
      <c r="E496" s="361">
        <v>2824999</v>
      </c>
      <c r="F496" s="37" t="s">
        <v>944</v>
      </c>
      <c r="G496" s="79"/>
    </row>
    <row r="497" spans="1:7" hidden="1">
      <c r="A497" s="78">
        <v>41883</v>
      </c>
      <c r="B497" s="37" t="s">
        <v>129</v>
      </c>
      <c r="C497" s="1" t="s">
        <v>171</v>
      </c>
      <c r="D497" s="37" t="s">
        <v>408</v>
      </c>
      <c r="E497" s="361">
        <v>12703911</v>
      </c>
      <c r="F497" s="37" t="s">
        <v>945</v>
      </c>
      <c r="G497" s="79"/>
    </row>
    <row r="498" spans="1:7" hidden="1">
      <c r="A498" s="78">
        <v>41883</v>
      </c>
      <c r="B498" s="37" t="s">
        <v>129</v>
      </c>
      <c r="C498" s="1" t="s">
        <v>104</v>
      </c>
      <c r="D498" s="37" t="s">
        <v>408</v>
      </c>
      <c r="E498" s="362">
        <v>36715000</v>
      </c>
      <c r="F498" s="37" t="s">
        <v>946</v>
      </c>
      <c r="G498" s="79"/>
    </row>
    <row r="499" spans="1:7" hidden="1">
      <c r="A499" s="78">
        <v>41883</v>
      </c>
      <c r="B499" s="37" t="s">
        <v>129</v>
      </c>
      <c r="C499" s="1" t="s">
        <v>103</v>
      </c>
      <c r="D499" s="37" t="s">
        <v>408</v>
      </c>
      <c r="E499" s="361">
        <v>1122430</v>
      </c>
      <c r="F499" s="37" t="s">
        <v>947</v>
      </c>
      <c r="G499" s="79"/>
    </row>
    <row r="500" spans="1:7" hidden="1">
      <c r="A500" s="78">
        <v>41883</v>
      </c>
      <c r="B500" s="37" t="s">
        <v>129</v>
      </c>
      <c r="C500" s="1" t="s">
        <v>104</v>
      </c>
      <c r="D500" s="37" t="s">
        <v>408</v>
      </c>
      <c r="E500" s="362">
        <f>6924000*3</f>
        <v>20772000</v>
      </c>
      <c r="F500" s="37" t="s">
        <v>948</v>
      </c>
      <c r="G500" s="79"/>
    </row>
    <row r="501" spans="1:7" hidden="1">
      <c r="A501" s="78">
        <v>41852</v>
      </c>
      <c r="B501" s="37" t="s">
        <v>753</v>
      </c>
      <c r="C501" s="1" t="s">
        <v>215</v>
      </c>
      <c r="D501" s="37" t="s">
        <v>722</v>
      </c>
      <c r="E501" s="361">
        <v>17363808</v>
      </c>
      <c r="F501" s="37" t="s">
        <v>949</v>
      </c>
      <c r="G501" s="79"/>
    </row>
    <row r="502" spans="1:7" hidden="1">
      <c r="A502" s="78">
        <v>41883</v>
      </c>
      <c r="B502" s="37" t="s">
        <v>826</v>
      </c>
      <c r="C502" s="1" t="s">
        <v>103</v>
      </c>
      <c r="D502" s="37" t="s">
        <v>827</v>
      </c>
      <c r="E502" s="361">
        <v>2000000</v>
      </c>
      <c r="F502" s="37" t="s">
        <v>953</v>
      </c>
      <c r="G502" s="79"/>
    </row>
    <row r="503" spans="1:7" hidden="1">
      <c r="A503" s="78">
        <v>41883</v>
      </c>
      <c r="B503" s="37" t="s">
        <v>826</v>
      </c>
      <c r="C503" s="1" t="s">
        <v>103</v>
      </c>
      <c r="D503" s="37" t="s">
        <v>827</v>
      </c>
      <c r="E503" s="361">
        <v>240000</v>
      </c>
      <c r="F503" s="37" t="s">
        <v>335</v>
      </c>
      <c r="G503" s="79"/>
    </row>
    <row r="504" spans="1:7" hidden="1">
      <c r="A504" s="78">
        <v>41883</v>
      </c>
      <c r="B504" s="37" t="s">
        <v>172</v>
      </c>
      <c r="C504" s="1" t="s">
        <v>171</v>
      </c>
      <c r="D504" s="37" t="s">
        <v>408</v>
      </c>
      <c r="E504" s="365">
        <v>11469600</v>
      </c>
      <c r="F504" s="341" t="s">
        <v>692</v>
      </c>
      <c r="G504" s="79"/>
    </row>
    <row r="505" spans="1:7" hidden="1">
      <c r="A505" s="78">
        <v>41883</v>
      </c>
      <c r="B505" s="37" t="s">
        <v>172</v>
      </c>
      <c r="C505" s="1" t="s">
        <v>171</v>
      </c>
      <c r="D505" s="37" t="s">
        <v>408</v>
      </c>
      <c r="E505" s="365">
        <v>13275000</v>
      </c>
      <c r="F505" s="341" t="s">
        <v>954</v>
      </c>
      <c r="G505" s="79"/>
    </row>
    <row r="506" spans="1:7" hidden="1">
      <c r="A506" s="78">
        <v>41883</v>
      </c>
      <c r="B506" s="37" t="s">
        <v>172</v>
      </c>
      <c r="C506" s="1" t="s">
        <v>955</v>
      </c>
      <c r="D506" s="37" t="s">
        <v>408</v>
      </c>
      <c r="E506" s="361">
        <v>1805400</v>
      </c>
      <c r="F506" s="37" t="s">
        <v>956</v>
      </c>
      <c r="G506" s="79"/>
    </row>
    <row r="507" spans="1:7" hidden="1">
      <c r="A507" s="78">
        <v>41883</v>
      </c>
      <c r="B507" s="37" t="s">
        <v>172</v>
      </c>
      <c r="C507" s="1" t="s">
        <v>104</v>
      </c>
      <c r="D507" s="37" t="s">
        <v>408</v>
      </c>
      <c r="E507" s="362">
        <v>5522400</v>
      </c>
      <c r="F507" s="37" t="s">
        <v>957</v>
      </c>
      <c r="G507" s="79"/>
    </row>
    <row r="508" spans="1:7" hidden="1">
      <c r="A508" s="78">
        <v>41883</v>
      </c>
      <c r="B508" s="37" t="s">
        <v>172</v>
      </c>
      <c r="C508" s="1" t="s">
        <v>336</v>
      </c>
      <c r="D508" s="37" t="s">
        <v>408</v>
      </c>
      <c r="E508" s="361">
        <v>849600</v>
      </c>
      <c r="F508" s="37" t="s">
        <v>958</v>
      </c>
      <c r="G508" s="79"/>
    </row>
    <row r="509" spans="1:7" hidden="1">
      <c r="A509" s="78">
        <v>41883</v>
      </c>
      <c r="B509" s="37" t="s">
        <v>172</v>
      </c>
      <c r="C509" s="1" t="s">
        <v>103</v>
      </c>
      <c r="D509" s="37" t="s">
        <v>408</v>
      </c>
      <c r="E509" s="361">
        <v>6372000</v>
      </c>
      <c r="F509" s="37" t="s">
        <v>959</v>
      </c>
      <c r="G509" s="79"/>
    </row>
    <row r="510" spans="1:7" hidden="1">
      <c r="A510" s="78">
        <v>41883</v>
      </c>
      <c r="B510" s="37" t="s">
        <v>172</v>
      </c>
      <c r="C510" s="1" t="s">
        <v>103</v>
      </c>
      <c r="D510" s="37" t="s">
        <v>408</v>
      </c>
      <c r="E510" s="361">
        <v>2548800</v>
      </c>
      <c r="F510" s="37" t="s">
        <v>960</v>
      </c>
      <c r="G510" s="79"/>
    </row>
    <row r="511" spans="1:7" hidden="1">
      <c r="A511" s="78">
        <v>41883</v>
      </c>
      <c r="B511" s="37" t="s">
        <v>241</v>
      </c>
      <c r="C511" s="1" t="s">
        <v>171</v>
      </c>
      <c r="D511" s="37" t="s">
        <v>673</v>
      </c>
      <c r="E511" s="361">
        <v>182250</v>
      </c>
      <c r="F511" s="37" t="s">
        <v>961</v>
      </c>
      <c r="G511" s="79"/>
    </row>
    <row r="512" spans="1:7" hidden="1">
      <c r="A512" s="78">
        <v>41913</v>
      </c>
      <c r="B512" s="37" t="s">
        <v>55</v>
      </c>
      <c r="C512" s="1" t="s">
        <v>336</v>
      </c>
      <c r="D512" s="37" t="s">
        <v>408</v>
      </c>
      <c r="E512" s="361">
        <v>5194560</v>
      </c>
      <c r="F512" s="37" t="s">
        <v>962</v>
      </c>
      <c r="G512" s="79"/>
    </row>
    <row r="513" spans="1:8" hidden="1">
      <c r="A513" s="78">
        <v>41913</v>
      </c>
      <c r="B513" s="37" t="s">
        <v>55</v>
      </c>
      <c r="C513" s="1" t="s">
        <v>103</v>
      </c>
      <c r="D513" s="37" t="s">
        <v>408</v>
      </c>
      <c r="E513" s="361">
        <v>8960616</v>
      </c>
      <c r="F513" s="37" t="s">
        <v>963</v>
      </c>
      <c r="G513" s="79"/>
    </row>
    <row r="514" spans="1:8" hidden="1">
      <c r="A514" s="78">
        <v>41883</v>
      </c>
      <c r="B514" s="37" t="s">
        <v>790</v>
      </c>
      <c r="C514" s="1" t="s">
        <v>104</v>
      </c>
      <c r="D514" s="37" t="s">
        <v>92</v>
      </c>
      <c r="E514" s="362">
        <v>5755459</v>
      </c>
      <c r="F514" s="37" t="s">
        <v>911</v>
      </c>
      <c r="G514" s="79"/>
    </row>
    <row r="515" spans="1:8" hidden="1">
      <c r="A515" s="78">
        <v>41883</v>
      </c>
      <c r="B515" s="37" t="s">
        <v>566</v>
      </c>
      <c r="C515" s="1" t="s">
        <v>171</v>
      </c>
      <c r="D515" s="37" t="s">
        <v>92</v>
      </c>
      <c r="E515" s="361">
        <v>1782000</v>
      </c>
      <c r="F515" s="37" t="s">
        <v>964</v>
      </c>
      <c r="G515" s="79"/>
    </row>
    <row r="516" spans="1:8" hidden="1">
      <c r="A516" s="78">
        <v>41883</v>
      </c>
      <c r="B516" s="37" t="s">
        <v>566</v>
      </c>
      <c r="C516" s="1" t="s">
        <v>171</v>
      </c>
      <c r="D516" s="37" t="s">
        <v>92</v>
      </c>
      <c r="E516" s="361">
        <v>3252000</v>
      </c>
      <c r="F516" s="37" t="s">
        <v>965</v>
      </c>
      <c r="G516" s="79"/>
    </row>
    <row r="517" spans="1:8" hidden="1">
      <c r="A517" s="78">
        <v>41883</v>
      </c>
      <c r="B517" s="37" t="s">
        <v>566</v>
      </c>
      <c r="C517" s="1" t="s">
        <v>171</v>
      </c>
      <c r="D517" s="37" t="s">
        <v>92</v>
      </c>
      <c r="E517" s="361">
        <v>1800000</v>
      </c>
      <c r="F517" s="37" t="s">
        <v>282</v>
      </c>
      <c r="G517" s="79"/>
    </row>
    <row r="518" spans="1:8" hidden="1">
      <c r="A518" s="78">
        <v>41883</v>
      </c>
      <c r="B518" s="37" t="s">
        <v>619</v>
      </c>
      <c r="C518" s="1" t="s">
        <v>171</v>
      </c>
      <c r="D518" s="37" t="s">
        <v>92</v>
      </c>
      <c r="E518" s="361">
        <v>6384000</v>
      </c>
      <c r="F518" s="37" t="s">
        <v>910</v>
      </c>
      <c r="G518" s="79"/>
    </row>
    <row r="519" spans="1:8" hidden="1">
      <c r="A519" s="78">
        <v>41883</v>
      </c>
      <c r="B519" s="37" t="s">
        <v>6</v>
      </c>
      <c r="C519" s="1" t="s">
        <v>215</v>
      </c>
      <c r="D519" s="37" t="s">
        <v>673</v>
      </c>
      <c r="E519" s="361">
        <v>5151534</v>
      </c>
      <c r="F519" s="37" t="s">
        <v>335</v>
      </c>
      <c r="G519" s="79"/>
    </row>
    <row r="520" spans="1:8" hidden="1">
      <c r="A520" s="78">
        <v>41913</v>
      </c>
      <c r="B520" s="37" t="s">
        <v>98</v>
      </c>
      <c r="C520" s="1" t="s">
        <v>171</v>
      </c>
      <c r="D520" s="37" t="s">
        <v>92</v>
      </c>
      <c r="E520" s="361">
        <v>6350000</v>
      </c>
      <c r="F520" s="37" t="s">
        <v>966</v>
      </c>
      <c r="G520" s="79"/>
    </row>
    <row r="521" spans="1:8" hidden="1">
      <c r="A521" s="78">
        <v>41913</v>
      </c>
      <c r="B521" s="37" t="s">
        <v>600</v>
      </c>
      <c r="C521" s="1" t="s">
        <v>171</v>
      </c>
      <c r="D521" s="37" t="s">
        <v>827</v>
      </c>
      <c r="E521" s="361">
        <v>15580313</v>
      </c>
      <c r="F521" s="37" t="s">
        <v>968</v>
      </c>
      <c r="G521" s="79"/>
    </row>
    <row r="522" spans="1:8" hidden="1">
      <c r="A522" s="78">
        <v>41913</v>
      </c>
      <c r="B522" s="37" t="s">
        <v>600</v>
      </c>
      <c r="C522" s="1" t="s">
        <v>336</v>
      </c>
      <c r="D522" s="37" t="s">
        <v>827</v>
      </c>
      <c r="E522" s="361">
        <v>2156500</v>
      </c>
      <c r="F522" s="37" t="s">
        <v>967</v>
      </c>
      <c r="G522" s="79"/>
    </row>
    <row r="523" spans="1:8" hidden="1">
      <c r="A523" s="78">
        <v>41883</v>
      </c>
      <c r="B523" s="37" t="s">
        <v>211</v>
      </c>
      <c r="C523" s="37" t="s">
        <v>171</v>
      </c>
      <c r="D523" s="37" t="s">
        <v>408</v>
      </c>
      <c r="E523" s="362">
        <v>35892000</v>
      </c>
      <c r="F523" s="37" t="s">
        <v>335</v>
      </c>
      <c r="G523" s="79"/>
      <c r="H523">
        <v>5982000</v>
      </c>
    </row>
    <row r="524" spans="1:8" hidden="1">
      <c r="A524" s="78">
        <v>41913</v>
      </c>
      <c r="B524" s="37" t="s">
        <v>166</v>
      </c>
      <c r="C524" s="1" t="s">
        <v>171</v>
      </c>
      <c r="D524" s="37" t="s">
        <v>972</v>
      </c>
      <c r="E524" s="361">
        <v>6934823</v>
      </c>
      <c r="F524" s="37" t="s">
        <v>965</v>
      </c>
      <c r="G524" s="79"/>
    </row>
    <row r="525" spans="1:8" hidden="1">
      <c r="A525" s="78">
        <v>41913</v>
      </c>
      <c r="B525" s="37" t="s">
        <v>166</v>
      </c>
      <c r="C525" s="1" t="s">
        <v>171</v>
      </c>
      <c r="D525" s="37" t="s">
        <v>972</v>
      </c>
      <c r="E525" s="361">
        <v>6173659</v>
      </c>
      <c r="F525" s="37" t="s">
        <v>964</v>
      </c>
      <c r="G525" s="79"/>
    </row>
    <row r="526" spans="1:8" hidden="1">
      <c r="A526" s="78">
        <v>41883</v>
      </c>
      <c r="B526" s="37" t="s">
        <v>753</v>
      </c>
      <c r="C526" s="1" t="s">
        <v>215</v>
      </c>
      <c r="D526" s="37" t="s">
        <v>722</v>
      </c>
      <c r="E526" s="361">
        <v>18701280</v>
      </c>
      <c r="F526" s="37" t="s">
        <v>968</v>
      </c>
      <c r="G526" s="79"/>
    </row>
    <row r="527" spans="1:8" hidden="1">
      <c r="A527" s="78">
        <v>41883</v>
      </c>
      <c r="B527" s="37" t="s">
        <v>973</v>
      </c>
      <c r="C527" s="1" t="s">
        <v>215</v>
      </c>
      <c r="D527" s="37" t="s">
        <v>974</v>
      </c>
      <c r="E527" s="361">
        <v>3585600</v>
      </c>
      <c r="F527" s="37" t="s">
        <v>975</v>
      </c>
      <c r="G527" s="79"/>
    </row>
    <row r="528" spans="1:8" hidden="1">
      <c r="A528" s="78">
        <v>41922</v>
      </c>
      <c r="B528" s="37" t="s">
        <v>214</v>
      </c>
      <c r="C528" s="1" t="s">
        <v>981</v>
      </c>
      <c r="D528" s="37" t="s">
        <v>972</v>
      </c>
      <c r="E528" s="361">
        <v>14440000</v>
      </c>
      <c r="F528" s="37" t="s">
        <v>335</v>
      </c>
      <c r="G528" s="79"/>
    </row>
    <row r="529" spans="1:7" hidden="1">
      <c r="A529" s="106">
        <v>41922</v>
      </c>
      <c r="B529" s="107" t="s">
        <v>214</v>
      </c>
      <c r="C529" s="31" t="s">
        <v>104</v>
      </c>
      <c r="D529" s="107" t="s">
        <v>972</v>
      </c>
      <c r="E529" s="362">
        <v>1400000</v>
      </c>
      <c r="F529" s="107" t="s">
        <v>982</v>
      </c>
      <c r="G529" s="79"/>
    </row>
    <row r="530" spans="1:7" hidden="1">
      <c r="A530" s="78">
        <v>41922</v>
      </c>
      <c r="B530" s="37" t="s">
        <v>879</v>
      </c>
      <c r="C530" s="1" t="s">
        <v>104</v>
      </c>
      <c r="D530" s="37" t="s">
        <v>972</v>
      </c>
      <c r="E530" s="361">
        <v>23142450</v>
      </c>
      <c r="F530" s="37" t="s">
        <v>983</v>
      </c>
      <c r="G530" s="79"/>
    </row>
    <row r="531" spans="1:7" hidden="1">
      <c r="A531" s="78">
        <v>41922</v>
      </c>
      <c r="B531" s="37" t="s">
        <v>879</v>
      </c>
      <c r="C531" s="1" t="s">
        <v>103</v>
      </c>
      <c r="D531" s="37" t="s">
        <v>972</v>
      </c>
      <c r="E531" s="361">
        <v>319500</v>
      </c>
      <c r="F531" s="37" t="s">
        <v>363</v>
      </c>
      <c r="G531" s="79"/>
    </row>
    <row r="532" spans="1:7" hidden="1">
      <c r="A532" s="78">
        <v>41922</v>
      </c>
      <c r="B532" s="37" t="s">
        <v>879</v>
      </c>
      <c r="C532" s="1" t="s">
        <v>171</v>
      </c>
      <c r="D532" s="37" t="s">
        <v>972</v>
      </c>
      <c r="E532" s="361">
        <v>6390000</v>
      </c>
      <c r="F532" s="37" t="s">
        <v>350</v>
      </c>
      <c r="G532" s="79"/>
    </row>
    <row r="533" spans="1:7" hidden="1">
      <c r="A533" s="78">
        <v>41922</v>
      </c>
      <c r="B533" s="37" t="s">
        <v>879</v>
      </c>
      <c r="C533" s="1" t="s">
        <v>171</v>
      </c>
      <c r="D533" s="37" t="s">
        <v>972</v>
      </c>
      <c r="E533" s="361">
        <v>6390000</v>
      </c>
      <c r="F533" s="37" t="s">
        <v>350</v>
      </c>
      <c r="G533" s="79"/>
    </row>
    <row r="534" spans="1:7" hidden="1">
      <c r="A534" s="78">
        <v>41922</v>
      </c>
      <c r="B534" s="37" t="s">
        <v>879</v>
      </c>
      <c r="C534" s="1" t="s">
        <v>171</v>
      </c>
      <c r="D534" s="37" t="s">
        <v>972</v>
      </c>
      <c r="E534" s="361">
        <v>7433700</v>
      </c>
      <c r="F534" s="37" t="s">
        <v>350</v>
      </c>
      <c r="G534" s="79"/>
    </row>
    <row r="535" spans="1:7" hidden="1">
      <c r="A535" s="78">
        <v>41922</v>
      </c>
      <c r="B535" s="37" t="s">
        <v>879</v>
      </c>
      <c r="C535" s="1" t="s">
        <v>104</v>
      </c>
      <c r="D535" s="37" t="s">
        <v>972</v>
      </c>
      <c r="E535" s="361">
        <v>16539450</v>
      </c>
      <c r="F535" s="37" t="s">
        <v>1099</v>
      </c>
      <c r="G535" s="79"/>
    </row>
    <row r="536" spans="1:7" hidden="1">
      <c r="A536" s="78">
        <v>41883</v>
      </c>
      <c r="B536" s="37" t="s">
        <v>241</v>
      </c>
      <c r="C536" s="1" t="s">
        <v>171</v>
      </c>
      <c r="D536" s="37" t="s">
        <v>673</v>
      </c>
      <c r="E536" s="361">
        <v>140400</v>
      </c>
      <c r="F536" s="37" t="s">
        <v>990</v>
      </c>
      <c r="G536" s="79"/>
    </row>
    <row r="537" spans="1:7" hidden="1">
      <c r="A537" s="78">
        <v>41944</v>
      </c>
      <c r="B537" s="37" t="s">
        <v>55</v>
      </c>
      <c r="C537" s="1" t="s">
        <v>103</v>
      </c>
      <c r="D537" s="37" t="s">
        <v>972</v>
      </c>
      <c r="E537" s="361">
        <v>9122946</v>
      </c>
      <c r="F537" s="37" t="s">
        <v>349</v>
      </c>
      <c r="G537" s="79"/>
    </row>
    <row r="538" spans="1:7" hidden="1">
      <c r="A538" s="78">
        <v>41922</v>
      </c>
      <c r="B538" s="37" t="s">
        <v>172</v>
      </c>
      <c r="C538" s="1" t="s">
        <v>103</v>
      </c>
      <c r="D538" s="37" t="s">
        <v>972</v>
      </c>
      <c r="E538" s="361">
        <v>2548800</v>
      </c>
      <c r="F538" s="37" t="s">
        <v>991</v>
      </c>
      <c r="G538" s="79"/>
    </row>
    <row r="539" spans="1:7" hidden="1">
      <c r="A539" s="78">
        <v>41922</v>
      </c>
      <c r="B539" s="37" t="s">
        <v>172</v>
      </c>
      <c r="C539" s="1" t="s">
        <v>103</v>
      </c>
      <c r="D539" s="37" t="s">
        <v>972</v>
      </c>
      <c r="E539" s="361">
        <v>6478200</v>
      </c>
      <c r="F539" s="37" t="s">
        <v>992</v>
      </c>
      <c r="G539" s="79"/>
    </row>
    <row r="540" spans="1:7" hidden="1">
      <c r="A540" s="106">
        <v>41922</v>
      </c>
      <c r="B540" s="107" t="s">
        <v>172</v>
      </c>
      <c r="C540" s="31" t="s">
        <v>104</v>
      </c>
      <c r="D540" s="107" t="s">
        <v>972</v>
      </c>
      <c r="E540" s="362">
        <v>1274400</v>
      </c>
      <c r="F540" s="107" t="s">
        <v>557</v>
      </c>
      <c r="G540" s="79"/>
    </row>
    <row r="541" spans="1:7" hidden="1">
      <c r="A541" s="78">
        <v>41922</v>
      </c>
      <c r="B541" s="37" t="s">
        <v>172</v>
      </c>
      <c r="C541" s="1" t="s">
        <v>171</v>
      </c>
      <c r="D541" s="37" t="s">
        <v>972</v>
      </c>
      <c r="E541" s="361">
        <v>4885200</v>
      </c>
      <c r="F541" s="37" t="s">
        <v>993</v>
      </c>
      <c r="G541" s="79"/>
    </row>
    <row r="542" spans="1:7" hidden="1">
      <c r="A542" s="78">
        <v>41922</v>
      </c>
      <c r="B542" s="37" t="s">
        <v>172</v>
      </c>
      <c r="C542" s="1" t="s">
        <v>171</v>
      </c>
      <c r="D542" s="37" t="s">
        <v>972</v>
      </c>
      <c r="E542" s="361">
        <v>11575800</v>
      </c>
      <c r="F542" s="37" t="s">
        <v>994</v>
      </c>
      <c r="G542" s="79"/>
    </row>
    <row r="543" spans="1:7" hidden="1">
      <c r="A543" s="78">
        <v>41922</v>
      </c>
      <c r="B543" s="37" t="s">
        <v>172</v>
      </c>
      <c r="C543" s="1" t="s">
        <v>171</v>
      </c>
      <c r="D543" s="37" t="s">
        <v>972</v>
      </c>
      <c r="E543" s="361">
        <v>743400</v>
      </c>
      <c r="F543" s="37" t="s">
        <v>995</v>
      </c>
      <c r="G543" s="79"/>
    </row>
    <row r="544" spans="1:7" hidden="1">
      <c r="A544" s="106">
        <v>41922</v>
      </c>
      <c r="B544" s="107" t="s">
        <v>172</v>
      </c>
      <c r="C544" s="31" t="s">
        <v>104</v>
      </c>
      <c r="D544" s="107" t="s">
        <v>972</v>
      </c>
      <c r="E544" s="362">
        <v>5416200</v>
      </c>
      <c r="F544" s="107" t="s">
        <v>996</v>
      </c>
      <c r="G544" s="79"/>
    </row>
    <row r="545" spans="1:7" hidden="1">
      <c r="A545" s="78">
        <v>41922</v>
      </c>
      <c r="B545" s="37" t="s">
        <v>172</v>
      </c>
      <c r="C545" s="1" t="s">
        <v>103</v>
      </c>
      <c r="D545" s="37" t="s">
        <v>972</v>
      </c>
      <c r="E545" s="361">
        <v>849600</v>
      </c>
      <c r="F545" s="37" t="s">
        <v>997</v>
      </c>
      <c r="G545" s="79"/>
    </row>
    <row r="546" spans="1:7" hidden="1">
      <c r="A546" s="78">
        <v>41922</v>
      </c>
      <c r="B546" s="37" t="s">
        <v>172</v>
      </c>
      <c r="C546" s="1" t="s">
        <v>103</v>
      </c>
      <c r="D546" s="37" t="s">
        <v>972</v>
      </c>
      <c r="E546" s="361">
        <v>2655000</v>
      </c>
      <c r="F546" s="37" t="s">
        <v>998</v>
      </c>
      <c r="G546" s="79"/>
    </row>
    <row r="547" spans="1:7" hidden="1">
      <c r="A547" s="78">
        <v>41883</v>
      </c>
      <c r="B547" s="37" t="s">
        <v>755</v>
      </c>
      <c r="C547" s="1" t="s">
        <v>215</v>
      </c>
      <c r="D547" s="37" t="s">
        <v>722</v>
      </c>
      <c r="E547" s="361">
        <v>6246080</v>
      </c>
      <c r="F547" s="37" t="s">
        <v>975</v>
      </c>
      <c r="G547" s="79"/>
    </row>
    <row r="548" spans="1:7" hidden="1">
      <c r="A548" s="78">
        <v>41922</v>
      </c>
      <c r="B548" s="37" t="s">
        <v>619</v>
      </c>
      <c r="C548" s="1" t="s">
        <v>171</v>
      </c>
      <c r="D548" s="37" t="s">
        <v>92</v>
      </c>
      <c r="E548" s="361">
        <v>5796000</v>
      </c>
      <c r="F548" s="37" t="s">
        <v>910</v>
      </c>
      <c r="G548" s="79"/>
    </row>
    <row r="549" spans="1:7" hidden="1">
      <c r="A549" s="106">
        <v>41922</v>
      </c>
      <c r="B549" s="107" t="s">
        <v>790</v>
      </c>
      <c r="C549" s="31" t="s">
        <v>104</v>
      </c>
      <c r="D549" s="107" t="s">
        <v>92</v>
      </c>
      <c r="E549" s="362">
        <v>4993433</v>
      </c>
      <c r="F549" s="107" t="s">
        <v>911</v>
      </c>
      <c r="G549" s="79"/>
    </row>
    <row r="550" spans="1:7" hidden="1">
      <c r="A550" s="78">
        <v>41922</v>
      </c>
      <c r="B550" s="37" t="s">
        <v>6</v>
      </c>
      <c r="C550" s="1" t="s">
        <v>215</v>
      </c>
      <c r="D550" s="37" t="s">
        <v>673</v>
      </c>
      <c r="E550" s="361">
        <v>5824086</v>
      </c>
      <c r="F550" s="37" t="s">
        <v>335</v>
      </c>
      <c r="G550" s="79"/>
    </row>
    <row r="551" spans="1:7" hidden="1">
      <c r="A551" s="78">
        <v>41944</v>
      </c>
      <c r="B551" s="37" t="s">
        <v>55</v>
      </c>
      <c r="C551" s="1" t="s">
        <v>336</v>
      </c>
      <c r="D551" s="37" t="s">
        <v>972</v>
      </c>
      <c r="E551" s="361">
        <v>5291958</v>
      </c>
      <c r="F551" s="37" t="s">
        <v>717</v>
      </c>
      <c r="G551" s="79"/>
    </row>
    <row r="552" spans="1:7" hidden="1">
      <c r="A552" s="78">
        <v>41922</v>
      </c>
      <c r="B552" s="37" t="s">
        <v>211</v>
      </c>
      <c r="C552" s="1" t="s">
        <v>171</v>
      </c>
      <c r="D552" s="37" t="s">
        <v>92</v>
      </c>
      <c r="E552" s="361">
        <v>2244000</v>
      </c>
      <c r="F552" s="37" t="s">
        <v>1003</v>
      </c>
      <c r="G552" s="79"/>
    </row>
    <row r="553" spans="1:7" hidden="1">
      <c r="A553" s="78">
        <v>41922</v>
      </c>
      <c r="B553" s="37" t="s">
        <v>566</v>
      </c>
      <c r="C553" s="1" t="s">
        <v>171</v>
      </c>
      <c r="D553" s="37" t="s">
        <v>92</v>
      </c>
      <c r="E553" s="361">
        <v>9600000</v>
      </c>
      <c r="F553" s="37" t="s">
        <v>1006</v>
      </c>
      <c r="G553" s="79"/>
    </row>
    <row r="554" spans="1:7" hidden="1">
      <c r="A554" s="78">
        <v>41922</v>
      </c>
      <c r="B554" s="37" t="s">
        <v>566</v>
      </c>
      <c r="C554" s="1" t="s">
        <v>171</v>
      </c>
      <c r="D554" s="37" t="s">
        <v>92</v>
      </c>
      <c r="E554" s="361">
        <v>264000</v>
      </c>
      <c r="F554" s="37" t="s">
        <v>1004</v>
      </c>
      <c r="G554" s="79"/>
    </row>
    <row r="555" spans="1:7" hidden="1">
      <c r="A555" s="78">
        <v>41922</v>
      </c>
      <c r="B555" s="37" t="s">
        <v>566</v>
      </c>
      <c r="C555" s="1" t="s">
        <v>171</v>
      </c>
      <c r="D555" s="37" t="s">
        <v>92</v>
      </c>
      <c r="E555" s="361">
        <v>1848000</v>
      </c>
      <c r="F555" s="37" t="s">
        <v>1005</v>
      </c>
      <c r="G555" s="79"/>
    </row>
    <row r="556" spans="1:7" hidden="1">
      <c r="A556" s="106">
        <v>41944</v>
      </c>
      <c r="B556" s="107" t="s">
        <v>6</v>
      </c>
      <c r="C556" s="31" t="s">
        <v>104</v>
      </c>
      <c r="D556" s="107" t="s">
        <v>673</v>
      </c>
      <c r="E556" s="362">
        <v>1000020</v>
      </c>
      <c r="F556" s="107" t="s">
        <v>557</v>
      </c>
      <c r="G556" s="79"/>
    </row>
    <row r="557" spans="1:7" hidden="1">
      <c r="A557" s="78">
        <v>41944</v>
      </c>
      <c r="B557" s="37" t="s">
        <v>629</v>
      </c>
      <c r="C557" s="1" t="s">
        <v>171</v>
      </c>
      <c r="D557" s="37" t="s">
        <v>827</v>
      </c>
      <c r="E557" s="361">
        <v>2185000</v>
      </c>
      <c r="F557" s="37" t="s">
        <v>282</v>
      </c>
      <c r="G557" s="79"/>
    </row>
    <row r="558" spans="1:7" hidden="1">
      <c r="A558" s="78">
        <v>41944</v>
      </c>
      <c r="B558" s="37" t="s">
        <v>629</v>
      </c>
      <c r="C558" s="1" t="s">
        <v>171</v>
      </c>
      <c r="D558" s="37" t="s">
        <v>827</v>
      </c>
      <c r="E558" s="361">
        <v>19399735</v>
      </c>
      <c r="F558" s="37" t="s">
        <v>335</v>
      </c>
      <c r="G558" s="79"/>
    </row>
    <row r="559" spans="1:7" hidden="1">
      <c r="A559" s="106">
        <v>41922</v>
      </c>
      <c r="B559" s="107" t="s">
        <v>877</v>
      </c>
      <c r="C559" s="31" t="s">
        <v>215</v>
      </c>
      <c r="D559" s="107" t="s">
        <v>722</v>
      </c>
      <c r="E559" s="362">
        <v>30559680</v>
      </c>
      <c r="F559" s="107" t="s">
        <v>335</v>
      </c>
      <c r="G559" s="79"/>
    </row>
    <row r="560" spans="1:7" hidden="1">
      <c r="A560" s="78">
        <v>41944</v>
      </c>
      <c r="B560" s="37" t="s">
        <v>166</v>
      </c>
      <c r="C560" s="1" t="s">
        <v>171</v>
      </c>
      <c r="D560" s="37" t="s">
        <v>972</v>
      </c>
      <c r="E560" s="361">
        <v>2948851</v>
      </c>
      <c r="F560" s="37" t="s">
        <v>1021</v>
      </c>
      <c r="G560" s="79"/>
    </row>
    <row r="561" spans="1:7" hidden="1">
      <c r="A561" s="78">
        <v>41944</v>
      </c>
      <c r="B561" s="37" t="s">
        <v>166</v>
      </c>
      <c r="C561" s="1" t="s">
        <v>171</v>
      </c>
      <c r="D561" s="37" t="s">
        <v>972</v>
      </c>
      <c r="E561" s="361">
        <v>35751755</v>
      </c>
      <c r="F561" s="37" t="s">
        <v>1022</v>
      </c>
      <c r="G561" s="79"/>
    </row>
    <row r="562" spans="1:7" hidden="1">
      <c r="A562" s="78">
        <v>41944</v>
      </c>
      <c r="B562" s="37" t="s">
        <v>566</v>
      </c>
      <c r="C562" s="1" t="s">
        <v>171</v>
      </c>
      <c r="D562" s="37" t="s">
        <v>92</v>
      </c>
      <c r="E562" s="361">
        <v>10800000</v>
      </c>
      <c r="F562" s="37" t="s">
        <v>1006</v>
      </c>
      <c r="G562" s="79"/>
    </row>
    <row r="563" spans="1:7" hidden="1">
      <c r="A563" s="78">
        <v>41913</v>
      </c>
      <c r="B563" s="37" t="s">
        <v>826</v>
      </c>
      <c r="C563" s="1" t="s">
        <v>103</v>
      </c>
      <c r="D563" s="37" t="s">
        <v>827</v>
      </c>
      <c r="E563" s="361">
        <v>2280000</v>
      </c>
      <c r="F563" s="37" t="s">
        <v>1023</v>
      </c>
      <c r="G563" s="79"/>
    </row>
    <row r="564" spans="1:7" hidden="1">
      <c r="A564" s="78">
        <v>41913</v>
      </c>
      <c r="B564" s="37" t="s">
        <v>755</v>
      </c>
      <c r="C564" s="1" t="s">
        <v>215</v>
      </c>
      <c r="D564" s="37" t="s">
        <v>722</v>
      </c>
      <c r="E564" s="361">
        <v>7879170</v>
      </c>
      <c r="F564" s="37" t="s">
        <v>975</v>
      </c>
      <c r="G564" s="79"/>
    </row>
    <row r="565" spans="1:7" hidden="1">
      <c r="A565" s="78">
        <v>41944</v>
      </c>
      <c r="B565" s="37" t="s">
        <v>214</v>
      </c>
      <c r="C565" s="1" t="s">
        <v>215</v>
      </c>
      <c r="D565" s="37" t="s">
        <v>972</v>
      </c>
      <c r="E565" s="361">
        <v>16560000</v>
      </c>
      <c r="F565" s="37" t="s">
        <v>1030</v>
      </c>
      <c r="G565" s="79"/>
    </row>
    <row r="566" spans="1:7" hidden="1">
      <c r="A566" s="78">
        <v>41944</v>
      </c>
      <c r="B566" s="37" t="s">
        <v>172</v>
      </c>
      <c r="C566" s="1" t="s">
        <v>171</v>
      </c>
      <c r="D566" s="37" t="s">
        <v>972</v>
      </c>
      <c r="E566" s="361">
        <v>4991400</v>
      </c>
      <c r="F566" s="37" t="s">
        <v>1031</v>
      </c>
      <c r="G566" s="79"/>
    </row>
    <row r="567" spans="1:7" hidden="1">
      <c r="A567" s="78">
        <v>41944</v>
      </c>
      <c r="B567" s="37" t="s">
        <v>172</v>
      </c>
      <c r="C567" s="1" t="s">
        <v>171</v>
      </c>
      <c r="D567" s="37" t="s">
        <v>972</v>
      </c>
      <c r="E567" s="361">
        <v>11788200</v>
      </c>
      <c r="F567" s="37" t="s">
        <v>1032</v>
      </c>
      <c r="G567" s="79"/>
    </row>
    <row r="568" spans="1:7" hidden="1">
      <c r="A568" s="78">
        <v>41944</v>
      </c>
      <c r="B568" s="37" t="s">
        <v>172</v>
      </c>
      <c r="C568" s="1" t="s">
        <v>103</v>
      </c>
      <c r="D568" s="37" t="s">
        <v>972</v>
      </c>
      <c r="E568" s="361">
        <v>6584400</v>
      </c>
      <c r="F568" s="37" t="s">
        <v>1033</v>
      </c>
      <c r="G568" s="79"/>
    </row>
    <row r="569" spans="1:7" hidden="1">
      <c r="A569" s="78">
        <v>41944</v>
      </c>
      <c r="B569" s="37" t="s">
        <v>172</v>
      </c>
      <c r="C569" s="1" t="s">
        <v>103</v>
      </c>
      <c r="D569" s="37" t="s">
        <v>972</v>
      </c>
      <c r="E569" s="361">
        <v>2655000</v>
      </c>
      <c r="F569" s="37" t="s">
        <v>1034</v>
      </c>
      <c r="G569" s="79"/>
    </row>
    <row r="570" spans="1:7" hidden="1">
      <c r="A570" s="78">
        <v>41944</v>
      </c>
      <c r="B570" s="37" t="s">
        <v>172</v>
      </c>
      <c r="C570" s="1" t="s">
        <v>171</v>
      </c>
      <c r="D570" s="37" t="s">
        <v>972</v>
      </c>
      <c r="E570" s="361">
        <v>955800</v>
      </c>
      <c r="F570" s="37" t="s">
        <v>691</v>
      </c>
      <c r="G570" s="79"/>
    </row>
    <row r="571" spans="1:7" hidden="1">
      <c r="A571" s="78">
        <v>41944</v>
      </c>
      <c r="B571" s="37" t="s">
        <v>172</v>
      </c>
      <c r="C571" s="1" t="s">
        <v>103</v>
      </c>
      <c r="D571" s="37" t="s">
        <v>972</v>
      </c>
      <c r="E571" s="361">
        <v>849600</v>
      </c>
      <c r="F571" s="37" t="s">
        <v>1035</v>
      </c>
      <c r="G571" s="79"/>
    </row>
    <row r="572" spans="1:7" hidden="1">
      <c r="A572" s="78">
        <v>41944</v>
      </c>
      <c r="B572" s="37" t="s">
        <v>172</v>
      </c>
      <c r="C572" s="1" t="s">
        <v>103</v>
      </c>
      <c r="D572" s="37" t="s">
        <v>972</v>
      </c>
      <c r="E572" s="361">
        <v>2336400</v>
      </c>
      <c r="F572" s="37" t="s">
        <v>1050</v>
      </c>
      <c r="G572" s="79"/>
    </row>
    <row r="573" spans="1:7" hidden="1">
      <c r="A573" s="106">
        <v>41944</v>
      </c>
      <c r="B573" s="107" t="s">
        <v>172</v>
      </c>
      <c r="C573" s="31" t="s">
        <v>104</v>
      </c>
      <c r="D573" s="107" t="s">
        <v>972</v>
      </c>
      <c r="E573" s="362">
        <v>1274400</v>
      </c>
      <c r="F573" s="107" t="s">
        <v>282</v>
      </c>
      <c r="G573" s="79"/>
    </row>
    <row r="574" spans="1:7" hidden="1">
      <c r="A574" s="78">
        <v>41944</v>
      </c>
      <c r="B574" s="37" t="s">
        <v>172</v>
      </c>
      <c r="C574" s="1" t="s">
        <v>104</v>
      </c>
      <c r="D574" s="37" t="s">
        <v>972</v>
      </c>
      <c r="E574" s="362">
        <v>4779000</v>
      </c>
      <c r="F574" s="37" t="s">
        <v>698</v>
      </c>
      <c r="G574" s="79"/>
    </row>
    <row r="575" spans="1:7" hidden="1">
      <c r="A575" s="106">
        <v>41944</v>
      </c>
      <c r="B575" s="107" t="s">
        <v>166</v>
      </c>
      <c r="C575" s="31" t="s">
        <v>104</v>
      </c>
      <c r="D575" s="107" t="s">
        <v>972</v>
      </c>
      <c r="E575" s="362">
        <v>4562240</v>
      </c>
      <c r="F575" s="107" t="s">
        <v>1051</v>
      </c>
      <c r="G575" s="79"/>
    </row>
    <row r="576" spans="1:7" hidden="1">
      <c r="A576" s="78">
        <v>41944</v>
      </c>
      <c r="B576" s="37" t="s">
        <v>166</v>
      </c>
      <c r="C576" s="1" t="s">
        <v>104</v>
      </c>
      <c r="D576" s="37" t="s">
        <v>972</v>
      </c>
      <c r="E576" s="361">
        <f>462860+53800+613320</f>
        <v>1129980</v>
      </c>
      <c r="F576" s="37" t="s">
        <v>1052</v>
      </c>
      <c r="G576" s="79"/>
    </row>
    <row r="577" spans="1:8" hidden="1">
      <c r="A577" s="78">
        <v>41944</v>
      </c>
      <c r="B577" s="37" t="s">
        <v>166</v>
      </c>
      <c r="C577" s="1" t="s">
        <v>103</v>
      </c>
      <c r="D577" s="37" t="s">
        <v>972</v>
      </c>
      <c r="E577" s="361">
        <v>247480</v>
      </c>
      <c r="F577" s="37" t="s">
        <v>1053</v>
      </c>
      <c r="G577" s="79"/>
    </row>
    <row r="578" spans="1:8" hidden="1">
      <c r="A578" s="106">
        <v>41944</v>
      </c>
      <c r="B578" s="107" t="s">
        <v>166</v>
      </c>
      <c r="C578" s="31" t="s">
        <v>104</v>
      </c>
      <c r="D578" s="107" t="s">
        <v>972</v>
      </c>
      <c r="E578" s="362">
        <v>16678000</v>
      </c>
      <c r="F578" s="107" t="s">
        <v>1054</v>
      </c>
      <c r="G578" s="79">
        <f>200*10800</f>
        <v>2160000</v>
      </c>
      <c r="H578">
        <f>E530+E535+E576+E578-G578</f>
        <v>55329880</v>
      </c>
    </row>
    <row r="579" spans="1:8" hidden="1">
      <c r="A579" s="106">
        <v>41944</v>
      </c>
      <c r="B579" s="107" t="s">
        <v>790</v>
      </c>
      <c r="C579" s="31" t="s">
        <v>104</v>
      </c>
      <c r="D579" s="107" t="s">
        <v>92</v>
      </c>
      <c r="E579" s="362">
        <v>4734612</v>
      </c>
      <c r="F579" s="107" t="s">
        <v>911</v>
      </c>
      <c r="G579" s="79"/>
    </row>
    <row r="580" spans="1:8" hidden="1">
      <c r="A580" s="78">
        <v>41974</v>
      </c>
      <c r="B580" s="37" t="s">
        <v>566</v>
      </c>
      <c r="C580" s="1" t="s">
        <v>171</v>
      </c>
      <c r="D580" s="37" t="s">
        <v>92</v>
      </c>
      <c r="E580" s="361">
        <v>10800000</v>
      </c>
      <c r="F580" s="37" t="s">
        <v>1061</v>
      </c>
      <c r="G580" s="79"/>
    </row>
    <row r="581" spans="1:8" hidden="1">
      <c r="A581" s="78">
        <v>41974</v>
      </c>
      <c r="B581" s="37" t="s">
        <v>566</v>
      </c>
      <c r="C581" s="1" t="s">
        <v>171</v>
      </c>
      <c r="D581" s="37" t="s">
        <v>92</v>
      </c>
      <c r="E581" s="361">
        <v>3768000</v>
      </c>
      <c r="F581" s="37" t="s">
        <v>1062</v>
      </c>
      <c r="G581" s="79"/>
    </row>
    <row r="582" spans="1:8" hidden="1">
      <c r="A582" s="78">
        <v>41974</v>
      </c>
      <c r="B582" s="37" t="s">
        <v>55</v>
      </c>
      <c r="C582" s="1" t="s">
        <v>103</v>
      </c>
      <c r="D582" s="37" t="s">
        <v>972</v>
      </c>
      <c r="E582" s="361">
        <v>9382674</v>
      </c>
      <c r="F582" s="37" t="s">
        <v>1070</v>
      </c>
      <c r="G582" s="79"/>
    </row>
    <row r="583" spans="1:8" hidden="1">
      <c r="A583" s="78">
        <v>41974</v>
      </c>
      <c r="B583" s="37" t="s">
        <v>6</v>
      </c>
      <c r="C583" s="1" t="s">
        <v>171</v>
      </c>
      <c r="D583" s="37" t="s">
        <v>673</v>
      </c>
      <c r="E583" s="361">
        <v>2000010</v>
      </c>
      <c r="F583" s="37" t="s">
        <v>793</v>
      </c>
      <c r="G583" s="79"/>
    </row>
    <row r="584" spans="1:8" hidden="1">
      <c r="A584" s="78">
        <v>41974</v>
      </c>
      <c r="B584" s="37" t="s">
        <v>172</v>
      </c>
      <c r="C584" s="1" t="s">
        <v>103</v>
      </c>
      <c r="D584" s="37" t="s">
        <v>972</v>
      </c>
      <c r="E584" s="361">
        <v>2655000</v>
      </c>
      <c r="F584" s="37" t="s">
        <v>1072</v>
      </c>
      <c r="G584" s="79"/>
    </row>
    <row r="585" spans="1:8" hidden="1">
      <c r="A585" s="106">
        <v>41974</v>
      </c>
      <c r="B585" s="107" t="s">
        <v>172</v>
      </c>
      <c r="C585" s="31" t="s">
        <v>104</v>
      </c>
      <c r="D585" s="107" t="s">
        <v>972</v>
      </c>
      <c r="E585" s="362">
        <v>1274400</v>
      </c>
      <c r="F585" s="107" t="s">
        <v>1071</v>
      </c>
      <c r="G585" s="79"/>
    </row>
    <row r="586" spans="1:8" hidden="1">
      <c r="A586" s="78">
        <v>41974</v>
      </c>
      <c r="B586" s="37" t="s">
        <v>172</v>
      </c>
      <c r="C586" s="1" t="s">
        <v>103</v>
      </c>
      <c r="D586" s="37" t="s">
        <v>972</v>
      </c>
      <c r="E586" s="361">
        <v>3929400</v>
      </c>
      <c r="F586" s="37" t="s">
        <v>1073</v>
      </c>
      <c r="G586" s="79"/>
    </row>
    <row r="587" spans="1:8" hidden="1">
      <c r="A587" s="78">
        <v>41974</v>
      </c>
      <c r="B587" s="37" t="s">
        <v>172</v>
      </c>
      <c r="C587" s="1" t="s">
        <v>171</v>
      </c>
      <c r="D587" s="37" t="s">
        <v>972</v>
      </c>
      <c r="E587" s="361">
        <v>4991400</v>
      </c>
      <c r="F587" s="37" t="s">
        <v>419</v>
      </c>
      <c r="G587" s="79"/>
    </row>
    <row r="588" spans="1:8" hidden="1">
      <c r="A588" s="78">
        <v>41974</v>
      </c>
      <c r="B588" s="37" t="s">
        <v>172</v>
      </c>
      <c r="C588" s="1" t="s">
        <v>171</v>
      </c>
      <c r="D588" s="37" t="s">
        <v>972</v>
      </c>
      <c r="E588" s="361">
        <v>11894400</v>
      </c>
      <c r="F588" s="37" t="s">
        <v>428</v>
      </c>
      <c r="G588" s="79"/>
    </row>
    <row r="589" spans="1:8" hidden="1">
      <c r="A589" s="78">
        <v>41944</v>
      </c>
      <c r="B589" s="37" t="s">
        <v>6</v>
      </c>
      <c r="C589" s="1" t="s">
        <v>215</v>
      </c>
      <c r="D589" s="37" t="s">
        <v>673</v>
      </c>
      <c r="E589" s="361">
        <v>4081458</v>
      </c>
      <c r="F589" s="37" t="s">
        <v>1079</v>
      </c>
      <c r="G589" s="79"/>
    </row>
    <row r="590" spans="1:8" hidden="1">
      <c r="A590" s="78">
        <v>41944</v>
      </c>
      <c r="B590" s="37" t="s">
        <v>619</v>
      </c>
      <c r="C590" s="1" t="s">
        <v>171</v>
      </c>
      <c r="D590" s="37" t="s">
        <v>92</v>
      </c>
      <c r="E590" s="361">
        <v>8988000</v>
      </c>
      <c r="F590" s="37" t="s">
        <v>1080</v>
      </c>
      <c r="G590" s="79"/>
    </row>
    <row r="591" spans="1:8" hidden="1">
      <c r="A591" s="78">
        <v>41974</v>
      </c>
      <c r="B591" s="37" t="s">
        <v>55</v>
      </c>
      <c r="C591" s="1" t="s">
        <v>336</v>
      </c>
      <c r="D591" s="37" t="s">
        <v>972</v>
      </c>
      <c r="E591" s="361">
        <v>5421822</v>
      </c>
      <c r="F591" s="37" t="s">
        <v>667</v>
      </c>
      <c r="G591" s="79"/>
    </row>
    <row r="592" spans="1:8" hidden="1">
      <c r="A592" s="78">
        <v>41944</v>
      </c>
      <c r="B592" s="37" t="s">
        <v>566</v>
      </c>
      <c r="C592" s="1" t="s">
        <v>171</v>
      </c>
      <c r="D592" s="37" t="s">
        <v>92</v>
      </c>
      <c r="E592" s="361">
        <v>1056000</v>
      </c>
      <c r="F592" s="37" t="s">
        <v>1081</v>
      </c>
      <c r="G592" s="79"/>
    </row>
    <row r="593" spans="1:7" hidden="1">
      <c r="A593" s="78">
        <v>41944</v>
      </c>
      <c r="B593" s="37" t="s">
        <v>1082</v>
      </c>
      <c r="C593" s="1" t="s">
        <v>103</v>
      </c>
      <c r="D593" s="37" t="s">
        <v>827</v>
      </c>
      <c r="E593" s="361">
        <v>3243000</v>
      </c>
      <c r="F593" s="37" t="s">
        <v>1083</v>
      </c>
      <c r="G593" s="79"/>
    </row>
    <row r="594" spans="1:7" hidden="1">
      <c r="A594" s="78">
        <v>41944</v>
      </c>
      <c r="B594" s="37" t="s">
        <v>211</v>
      </c>
      <c r="C594" s="1" t="s">
        <v>103</v>
      </c>
      <c r="D594" s="37" t="s">
        <v>92</v>
      </c>
      <c r="E594" s="361">
        <v>394000</v>
      </c>
      <c r="F594" s="37" t="s">
        <v>1084</v>
      </c>
      <c r="G594" s="79"/>
    </row>
    <row r="595" spans="1:7" hidden="1">
      <c r="A595" s="78">
        <v>41944</v>
      </c>
      <c r="B595" s="37" t="s">
        <v>211</v>
      </c>
      <c r="C595" s="1" t="s">
        <v>171</v>
      </c>
      <c r="D595" s="37" t="s">
        <v>92</v>
      </c>
      <c r="E595" s="361">
        <v>15434000</v>
      </c>
      <c r="F595" s="37" t="s">
        <v>1004</v>
      </c>
      <c r="G595" s="79"/>
    </row>
    <row r="596" spans="1:7" hidden="1">
      <c r="A596" s="78">
        <v>41974</v>
      </c>
      <c r="B596" s="37" t="s">
        <v>629</v>
      </c>
      <c r="C596" s="1" t="s">
        <v>103</v>
      </c>
      <c r="D596" s="37" t="s">
        <v>827</v>
      </c>
      <c r="E596" s="361">
        <v>2370000</v>
      </c>
      <c r="F596" s="37" t="s">
        <v>654</v>
      </c>
      <c r="G596" s="79"/>
    </row>
    <row r="597" spans="1:7" hidden="1">
      <c r="A597" s="78">
        <v>41974</v>
      </c>
      <c r="B597" s="37" t="s">
        <v>629</v>
      </c>
      <c r="C597" s="1" t="s">
        <v>215</v>
      </c>
      <c r="D597" s="37" t="s">
        <v>827</v>
      </c>
      <c r="E597" s="361">
        <v>24892547</v>
      </c>
      <c r="F597" s="37" t="s">
        <v>335</v>
      </c>
      <c r="G597" s="79"/>
    </row>
    <row r="598" spans="1:7" hidden="1">
      <c r="A598" s="78">
        <v>41974</v>
      </c>
      <c r="B598" s="37" t="s">
        <v>166</v>
      </c>
      <c r="C598" s="1" t="s">
        <v>171</v>
      </c>
      <c r="D598" s="37" t="s">
        <v>972</v>
      </c>
      <c r="E598" s="361">
        <v>5903498</v>
      </c>
      <c r="F598" s="37" t="s">
        <v>964</v>
      </c>
      <c r="G598" s="79"/>
    </row>
    <row r="599" spans="1:7" hidden="1">
      <c r="A599" s="78">
        <v>41974</v>
      </c>
      <c r="B599" s="37" t="s">
        <v>166</v>
      </c>
      <c r="C599" s="1" t="s">
        <v>171</v>
      </c>
      <c r="D599" s="37" t="s">
        <v>972</v>
      </c>
      <c r="E599" s="361">
        <v>7479596</v>
      </c>
      <c r="F599" s="37" t="s">
        <v>965</v>
      </c>
      <c r="G599" s="79"/>
    </row>
    <row r="600" spans="1:7" hidden="1">
      <c r="A600" s="78">
        <v>41974</v>
      </c>
      <c r="B600" s="37" t="s">
        <v>166</v>
      </c>
      <c r="C600" s="1" t="s">
        <v>104</v>
      </c>
      <c r="D600" s="37" t="s">
        <v>972</v>
      </c>
      <c r="E600" s="361">
        <v>17530992</v>
      </c>
      <c r="F600" s="37" t="s">
        <v>1086</v>
      </c>
      <c r="G600" s="79"/>
    </row>
    <row r="601" spans="1:7" hidden="1">
      <c r="A601" s="78">
        <v>41974</v>
      </c>
      <c r="B601" s="37" t="s">
        <v>166</v>
      </c>
      <c r="C601" s="1" t="s">
        <v>103</v>
      </c>
      <c r="D601" s="37" t="s">
        <v>972</v>
      </c>
      <c r="E601" s="361">
        <v>247250</v>
      </c>
      <c r="F601" s="37" t="s">
        <v>1053</v>
      </c>
      <c r="G601" s="79"/>
    </row>
    <row r="602" spans="1:7" hidden="1">
      <c r="A602" s="78">
        <v>41974</v>
      </c>
      <c r="B602" s="37" t="s">
        <v>166</v>
      </c>
      <c r="C602" s="1" t="s">
        <v>171</v>
      </c>
      <c r="D602" s="37" t="s">
        <v>972</v>
      </c>
      <c r="E602" s="361">
        <v>543000</v>
      </c>
      <c r="F602" s="37" t="s">
        <v>1087</v>
      </c>
      <c r="G602" s="79"/>
    </row>
    <row r="603" spans="1:7" hidden="1">
      <c r="A603" s="78">
        <v>41974</v>
      </c>
      <c r="B603" s="37" t="s">
        <v>166</v>
      </c>
      <c r="C603" s="1" t="s">
        <v>104</v>
      </c>
      <c r="D603" s="37" t="s">
        <v>972</v>
      </c>
      <c r="E603" s="361">
        <v>55714560</v>
      </c>
      <c r="F603" s="37" t="s">
        <v>1088</v>
      </c>
      <c r="G603" s="79"/>
    </row>
    <row r="604" spans="1:7" hidden="1">
      <c r="A604" s="78">
        <v>41974</v>
      </c>
      <c r="B604" s="37" t="s">
        <v>166</v>
      </c>
      <c r="C604" s="1" t="s">
        <v>103</v>
      </c>
      <c r="D604" s="37" t="s">
        <v>972</v>
      </c>
      <c r="E604" s="361">
        <v>826672</v>
      </c>
      <c r="F604" s="37" t="s">
        <v>1053</v>
      </c>
      <c r="G604" s="79"/>
    </row>
    <row r="605" spans="1:7" hidden="1">
      <c r="A605" s="78">
        <v>41974</v>
      </c>
      <c r="B605" s="37" t="s">
        <v>566</v>
      </c>
      <c r="C605" s="1" t="s">
        <v>171</v>
      </c>
      <c r="D605" s="37" t="s">
        <v>92</v>
      </c>
      <c r="E605" s="361">
        <v>2898000</v>
      </c>
      <c r="F605" s="37" t="s">
        <v>1062</v>
      </c>
      <c r="G605" s="79"/>
    </row>
    <row r="606" spans="1:7" hidden="1">
      <c r="A606" s="78">
        <v>41974</v>
      </c>
      <c r="B606" s="37" t="s">
        <v>566</v>
      </c>
      <c r="C606" s="1" t="s">
        <v>171</v>
      </c>
      <c r="D606" s="37" t="s">
        <v>92</v>
      </c>
      <c r="E606" s="361">
        <v>1872000</v>
      </c>
      <c r="F606" s="37" t="s">
        <v>1093</v>
      </c>
      <c r="G606" s="79"/>
    </row>
    <row r="607" spans="1:7" hidden="1">
      <c r="A607" s="78">
        <v>41974</v>
      </c>
      <c r="B607" s="37" t="s">
        <v>172</v>
      </c>
      <c r="C607" s="1" t="s">
        <v>103</v>
      </c>
      <c r="D607" s="37" t="s">
        <v>972</v>
      </c>
      <c r="E607" s="361">
        <v>1911600</v>
      </c>
      <c r="F607" s="37" t="s">
        <v>1094</v>
      </c>
      <c r="G607" s="79"/>
    </row>
    <row r="608" spans="1:7" hidden="1">
      <c r="A608" s="78">
        <v>41974</v>
      </c>
      <c r="B608" s="37" t="s">
        <v>172</v>
      </c>
      <c r="C608" s="1" t="s">
        <v>171</v>
      </c>
      <c r="D608" s="37" t="s">
        <v>972</v>
      </c>
      <c r="E608" s="361">
        <v>637200</v>
      </c>
      <c r="F608" s="37" t="s">
        <v>1081</v>
      </c>
      <c r="G608" s="79"/>
    </row>
    <row r="609" spans="1:7" hidden="1">
      <c r="A609" s="78">
        <v>41974</v>
      </c>
      <c r="B609" s="37" t="s">
        <v>172</v>
      </c>
      <c r="C609" s="1" t="s">
        <v>103</v>
      </c>
      <c r="D609" s="37" t="s">
        <v>972</v>
      </c>
      <c r="E609" s="361">
        <v>849600</v>
      </c>
      <c r="F609" s="37" t="s">
        <v>1095</v>
      </c>
      <c r="G609" s="79"/>
    </row>
    <row r="610" spans="1:7" hidden="1">
      <c r="A610" s="106">
        <v>41974</v>
      </c>
      <c r="B610" s="107" t="s">
        <v>172</v>
      </c>
      <c r="C610" s="31" t="s">
        <v>104</v>
      </c>
      <c r="D610" s="107" t="s">
        <v>972</v>
      </c>
      <c r="E610" s="362">
        <v>4779000</v>
      </c>
      <c r="F610" s="107" t="s">
        <v>335</v>
      </c>
      <c r="G610" s="79"/>
    </row>
    <row r="611" spans="1:7" hidden="1">
      <c r="A611" s="78">
        <v>41944</v>
      </c>
      <c r="B611" s="37" t="s">
        <v>826</v>
      </c>
      <c r="C611" s="1" t="s">
        <v>103</v>
      </c>
      <c r="D611" s="37" t="s">
        <v>827</v>
      </c>
      <c r="E611" s="361">
        <v>2000000</v>
      </c>
      <c r="F611" s="37" t="s">
        <v>1096</v>
      </c>
      <c r="G611" s="79"/>
    </row>
    <row r="612" spans="1:7" hidden="1">
      <c r="A612" s="78">
        <v>41944</v>
      </c>
      <c r="B612" s="37" t="s">
        <v>826</v>
      </c>
      <c r="C612" s="1" t="s">
        <v>103</v>
      </c>
      <c r="D612" s="37" t="s">
        <v>827</v>
      </c>
      <c r="E612" s="361">
        <v>700000</v>
      </c>
      <c r="F612" s="37" t="s">
        <v>1097</v>
      </c>
      <c r="G612" s="79"/>
    </row>
    <row r="613" spans="1:7" hidden="1">
      <c r="A613" s="78">
        <v>41944</v>
      </c>
      <c r="B613" s="37" t="s">
        <v>826</v>
      </c>
      <c r="C613" s="1" t="s">
        <v>103</v>
      </c>
      <c r="D613" s="37" t="s">
        <v>827</v>
      </c>
      <c r="E613" s="361">
        <v>332000</v>
      </c>
      <c r="F613" s="37" t="s">
        <v>1098</v>
      </c>
      <c r="G613" s="79"/>
    </row>
    <row r="614" spans="1:7" hidden="1">
      <c r="A614" s="106">
        <v>41953</v>
      </c>
      <c r="B614" s="107" t="s">
        <v>877</v>
      </c>
      <c r="C614" s="31" t="s">
        <v>215</v>
      </c>
      <c r="D614" s="107" t="s">
        <v>722</v>
      </c>
      <c r="E614" s="362">
        <v>32153760</v>
      </c>
      <c r="F614" s="107" t="s">
        <v>335</v>
      </c>
      <c r="G614" s="79"/>
    </row>
    <row r="615" spans="1:7" hidden="1">
      <c r="A615" s="78">
        <v>41974</v>
      </c>
      <c r="B615" s="37" t="s">
        <v>211</v>
      </c>
      <c r="C615" s="1" t="s">
        <v>171</v>
      </c>
      <c r="D615" s="37" t="s">
        <v>92</v>
      </c>
      <c r="E615" s="361">
        <v>30874522</v>
      </c>
      <c r="F615" s="37" t="s">
        <v>1102</v>
      </c>
      <c r="G615" s="79"/>
    </row>
    <row r="616" spans="1:7" hidden="1">
      <c r="A616" s="78">
        <v>41974</v>
      </c>
      <c r="B616" s="37" t="s">
        <v>211</v>
      </c>
      <c r="C616" s="1" t="s">
        <v>171</v>
      </c>
      <c r="D616" s="37" t="s">
        <v>92</v>
      </c>
      <c r="E616" s="361">
        <v>16581943</v>
      </c>
      <c r="F616" s="37" t="s">
        <v>1103</v>
      </c>
      <c r="G616" s="79"/>
    </row>
    <row r="617" spans="1:7" hidden="1">
      <c r="A617" s="78">
        <v>41974</v>
      </c>
      <c r="B617" s="37" t="s">
        <v>211</v>
      </c>
      <c r="C617" s="1" t="s">
        <v>103</v>
      </c>
      <c r="D617" s="37" t="s">
        <v>92</v>
      </c>
      <c r="E617" s="361">
        <v>121021</v>
      </c>
      <c r="F617" s="37" t="s">
        <v>1100</v>
      </c>
      <c r="G617" s="79"/>
    </row>
    <row r="618" spans="1:7" hidden="1">
      <c r="A618" s="78">
        <v>41974</v>
      </c>
      <c r="B618" s="37" t="s">
        <v>211</v>
      </c>
      <c r="C618" s="1" t="s">
        <v>103</v>
      </c>
      <c r="D618" s="37" t="s">
        <v>92</v>
      </c>
      <c r="E618" s="361">
        <v>1850514</v>
      </c>
      <c r="F618" s="37" t="s">
        <v>1101</v>
      </c>
      <c r="G618" s="79"/>
    </row>
    <row r="619" spans="1:7" hidden="1">
      <c r="A619" s="78">
        <v>41974</v>
      </c>
      <c r="B619" s="37" t="s">
        <v>129</v>
      </c>
      <c r="C619" s="1" t="s">
        <v>171</v>
      </c>
      <c r="D619" s="37" t="s">
        <v>972</v>
      </c>
      <c r="E619" s="361">
        <v>9782364</v>
      </c>
      <c r="F619" s="37" t="s">
        <v>1104</v>
      </c>
      <c r="G619" s="79"/>
    </row>
    <row r="620" spans="1:7" hidden="1">
      <c r="A620" s="78">
        <v>41974</v>
      </c>
      <c r="B620" s="37" t="s">
        <v>790</v>
      </c>
      <c r="C620" s="1" t="s">
        <v>104</v>
      </c>
      <c r="D620" s="37" t="s">
        <v>92</v>
      </c>
      <c r="E620" s="361">
        <v>5439740</v>
      </c>
      <c r="F620" s="37" t="s">
        <v>1105</v>
      </c>
      <c r="G620" s="79"/>
    </row>
    <row r="621" spans="1:7" hidden="1">
      <c r="A621" s="78">
        <v>41974</v>
      </c>
      <c r="B621" s="37" t="s">
        <v>6</v>
      </c>
      <c r="C621" s="1" t="s">
        <v>215</v>
      </c>
      <c r="D621" s="37" t="s">
        <v>673</v>
      </c>
      <c r="E621" s="361">
        <v>4397250</v>
      </c>
      <c r="F621" s="37" t="s">
        <v>335</v>
      </c>
      <c r="G621" s="79"/>
    </row>
    <row r="622" spans="1:7" hidden="1">
      <c r="A622" s="78">
        <v>42005</v>
      </c>
      <c r="B622" s="37" t="s">
        <v>6</v>
      </c>
      <c r="C622" s="1" t="s">
        <v>104</v>
      </c>
      <c r="D622" s="37" t="s">
        <v>673</v>
      </c>
      <c r="E622" s="361">
        <v>1000020</v>
      </c>
      <c r="F622" s="37" t="s">
        <v>557</v>
      </c>
      <c r="G622" s="79"/>
    </row>
    <row r="623" spans="1:7" hidden="1">
      <c r="A623" s="78">
        <v>41974</v>
      </c>
      <c r="B623" s="37" t="s">
        <v>619</v>
      </c>
      <c r="C623" s="1" t="s">
        <v>171</v>
      </c>
      <c r="D623" s="37" t="s">
        <v>92</v>
      </c>
      <c r="E623" s="361">
        <v>6636000</v>
      </c>
      <c r="F623" s="37" t="s">
        <v>335</v>
      </c>
      <c r="G623" s="79"/>
    </row>
    <row r="624" spans="1:7" hidden="1">
      <c r="A624" s="78">
        <v>41974</v>
      </c>
      <c r="B624" s="37" t="s">
        <v>973</v>
      </c>
      <c r="C624" s="1" t="s">
        <v>215</v>
      </c>
      <c r="D624" s="37" t="s">
        <v>974</v>
      </c>
      <c r="E624" s="361">
        <v>6508800</v>
      </c>
      <c r="F624" s="37" t="s">
        <v>335</v>
      </c>
      <c r="G624" s="79"/>
    </row>
    <row r="625" spans="1:7" hidden="1">
      <c r="A625" s="78">
        <v>42005</v>
      </c>
      <c r="B625" s="37" t="s">
        <v>55</v>
      </c>
      <c r="C625" s="1" t="s">
        <v>631</v>
      </c>
      <c r="D625" s="37" t="s">
        <v>972</v>
      </c>
      <c r="E625" s="361">
        <v>6233472</v>
      </c>
      <c r="F625" s="37" t="s">
        <v>401</v>
      </c>
      <c r="G625" s="79"/>
    </row>
    <row r="626" spans="1:7" hidden="1">
      <c r="A626" s="78">
        <v>42005</v>
      </c>
      <c r="B626" s="37" t="s">
        <v>55</v>
      </c>
      <c r="C626" s="1" t="s">
        <v>103</v>
      </c>
      <c r="D626" s="37" t="s">
        <v>972</v>
      </c>
      <c r="E626" s="361">
        <v>20778712</v>
      </c>
      <c r="F626" s="37" t="s">
        <v>1106</v>
      </c>
      <c r="G626" s="79"/>
    </row>
    <row r="627" spans="1:7" hidden="1">
      <c r="A627" s="78">
        <v>42005</v>
      </c>
      <c r="B627" s="37" t="s">
        <v>600</v>
      </c>
      <c r="C627" s="1" t="s">
        <v>171</v>
      </c>
      <c r="D627" s="37" t="s">
        <v>1107</v>
      </c>
      <c r="E627" s="361">
        <v>40216659</v>
      </c>
      <c r="F627" s="37" t="s">
        <v>335</v>
      </c>
      <c r="G627" s="79"/>
    </row>
    <row r="628" spans="1:7" hidden="1">
      <c r="A628" s="78">
        <v>41974</v>
      </c>
      <c r="B628" s="37" t="s">
        <v>214</v>
      </c>
      <c r="C628" s="1" t="s">
        <v>215</v>
      </c>
      <c r="D628" s="37" t="s">
        <v>1107</v>
      </c>
      <c r="E628" s="361">
        <v>8010000</v>
      </c>
      <c r="F628" s="37" t="s">
        <v>791</v>
      </c>
      <c r="G628" s="79"/>
    </row>
    <row r="629" spans="1:7" hidden="1">
      <c r="A629" s="78">
        <v>41974</v>
      </c>
      <c r="B629" s="37" t="s">
        <v>826</v>
      </c>
      <c r="C629" s="1" t="s">
        <v>103</v>
      </c>
      <c r="D629" s="37" t="s">
        <v>1107</v>
      </c>
      <c r="E629" s="361">
        <v>2490000</v>
      </c>
      <c r="F629" s="37" t="s">
        <v>1108</v>
      </c>
      <c r="G629" s="79"/>
    </row>
    <row r="630" spans="1:7" hidden="1">
      <c r="A630" s="78">
        <v>41974</v>
      </c>
      <c r="B630" s="37" t="s">
        <v>826</v>
      </c>
      <c r="C630" s="1" t="s">
        <v>103</v>
      </c>
      <c r="D630" s="37" t="s">
        <v>1107</v>
      </c>
      <c r="E630" s="361">
        <v>490000</v>
      </c>
      <c r="F630" s="37" t="s">
        <v>335</v>
      </c>
      <c r="G630" s="79"/>
    </row>
    <row r="631" spans="1:7" hidden="1">
      <c r="A631" s="78">
        <v>41974</v>
      </c>
      <c r="B631" s="37" t="s">
        <v>216</v>
      </c>
      <c r="C631" s="1" t="s">
        <v>104</v>
      </c>
      <c r="D631" s="37" t="s">
        <v>827</v>
      </c>
      <c r="E631" s="361">
        <v>613549</v>
      </c>
      <c r="F631" s="37" t="s">
        <v>1109</v>
      </c>
      <c r="G631" s="79"/>
    </row>
    <row r="632" spans="1:7" hidden="1">
      <c r="A632" s="78">
        <v>41974</v>
      </c>
      <c r="B632" s="37" t="s">
        <v>217</v>
      </c>
      <c r="C632" s="1" t="s">
        <v>104</v>
      </c>
      <c r="D632" s="37" t="s">
        <v>827</v>
      </c>
      <c r="E632" s="361">
        <v>21421938</v>
      </c>
      <c r="F632" s="37" t="s">
        <v>1109</v>
      </c>
      <c r="G632" s="79"/>
    </row>
    <row r="633" spans="1:7" hidden="1">
      <c r="A633" s="78">
        <v>41974</v>
      </c>
      <c r="B633" s="37" t="s">
        <v>218</v>
      </c>
      <c r="C633" s="1" t="s">
        <v>104</v>
      </c>
      <c r="D633" s="37" t="s">
        <v>827</v>
      </c>
      <c r="E633" s="361">
        <v>2159271</v>
      </c>
      <c r="F633" s="37" t="s">
        <v>1109</v>
      </c>
      <c r="G633" s="79"/>
    </row>
    <row r="634" spans="1:7" hidden="1">
      <c r="A634" s="78">
        <v>41974</v>
      </c>
      <c r="B634" s="37" t="s">
        <v>216</v>
      </c>
      <c r="C634" s="1" t="s">
        <v>104</v>
      </c>
      <c r="D634" s="37" t="s">
        <v>827</v>
      </c>
      <c r="E634" s="361">
        <v>783742</v>
      </c>
      <c r="F634" s="37" t="s">
        <v>1110</v>
      </c>
      <c r="G634" s="79"/>
    </row>
    <row r="635" spans="1:7" hidden="1">
      <c r="A635" s="78">
        <v>41974</v>
      </c>
      <c r="B635" s="37" t="s">
        <v>217</v>
      </c>
      <c r="C635" s="1" t="s">
        <v>104</v>
      </c>
      <c r="D635" s="37" t="s">
        <v>827</v>
      </c>
      <c r="E635" s="361">
        <v>27926136</v>
      </c>
      <c r="F635" s="37" t="s">
        <v>1110</v>
      </c>
      <c r="G635" s="79"/>
    </row>
    <row r="636" spans="1:7" hidden="1">
      <c r="A636" s="78">
        <v>41974</v>
      </c>
      <c r="B636" s="37" t="s">
        <v>218</v>
      </c>
      <c r="C636" s="1" t="s">
        <v>104</v>
      </c>
      <c r="D636" s="37" t="s">
        <v>827</v>
      </c>
      <c r="E636" s="361">
        <v>2804756</v>
      </c>
      <c r="F636" s="37" t="s">
        <v>1110</v>
      </c>
      <c r="G636" s="79"/>
    </row>
    <row r="637" spans="1:7" hidden="1">
      <c r="A637" s="78">
        <v>42005</v>
      </c>
      <c r="B637" s="37" t="s">
        <v>879</v>
      </c>
      <c r="C637" s="1" t="s">
        <v>103</v>
      </c>
      <c r="D637" s="37" t="s">
        <v>972</v>
      </c>
      <c r="E637" s="361">
        <v>489620</v>
      </c>
      <c r="F637" s="37" t="s">
        <v>1111</v>
      </c>
      <c r="G637" s="79"/>
    </row>
    <row r="638" spans="1:7" hidden="1">
      <c r="A638" s="78">
        <v>42005</v>
      </c>
      <c r="B638" s="37" t="s">
        <v>879</v>
      </c>
      <c r="C638" s="1" t="s">
        <v>104</v>
      </c>
      <c r="D638" s="37" t="s">
        <v>972</v>
      </c>
      <c r="E638" s="361">
        <v>26270205</v>
      </c>
      <c r="F638" s="37" t="s">
        <v>1112</v>
      </c>
      <c r="G638" s="79"/>
    </row>
    <row r="639" spans="1:7" hidden="1">
      <c r="A639" s="78">
        <v>42005</v>
      </c>
      <c r="B639" s="37" t="s">
        <v>879</v>
      </c>
      <c r="C639" s="1" t="s">
        <v>104</v>
      </c>
      <c r="D639" s="37" t="s">
        <v>972</v>
      </c>
      <c r="E639" s="361">
        <f>10862420+3*9306200</f>
        <v>38781020</v>
      </c>
      <c r="F639" s="37" t="s">
        <v>1113</v>
      </c>
      <c r="G639" s="79"/>
    </row>
    <row r="640" spans="1:7" hidden="1">
      <c r="A640" s="78">
        <v>42005</v>
      </c>
      <c r="B640" s="37" t="s">
        <v>790</v>
      </c>
      <c r="C640" s="1" t="s">
        <v>104</v>
      </c>
      <c r="D640" s="37" t="s">
        <v>92</v>
      </c>
      <c r="E640" s="361">
        <v>6802426</v>
      </c>
      <c r="F640" s="37" t="s">
        <v>1121</v>
      </c>
      <c r="G640" s="79"/>
    </row>
    <row r="641" spans="1:7" hidden="1">
      <c r="A641" s="78">
        <v>42036</v>
      </c>
      <c r="B641" s="37" t="s">
        <v>55</v>
      </c>
      <c r="C641" s="1" t="s">
        <v>103</v>
      </c>
      <c r="D641" s="37" t="s">
        <v>972</v>
      </c>
      <c r="E641" s="361">
        <v>12856536</v>
      </c>
      <c r="F641" s="37" t="s">
        <v>1122</v>
      </c>
      <c r="G641" s="79"/>
    </row>
    <row r="642" spans="1:7" hidden="1">
      <c r="A642" s="78">
        <v>42005</v>
      </c>
      <c r="B642" s="37" t="s">
        <v>566</v>
      </c>
      <c r="C642" s="1" t="s">
        <v>171</v>
      </c>
      <c r="D642" s="37" t="s">
        <v>92</v>
      </c>
      <c r="E642" s="361">
        <v>3186000</v>
      </c>
      <c r="F642" s="37" t="s">
        <v>1123</v>
      </c>
      <c r="G642" s="79"/>
    </row>
    <row r="643" spans="1:7" hidden="1">
      <c r="A643" s="78">
        <v>42005</v>
      </c>
      <c r="B643" s="37" t="s">
        <v>566</v>
      </c>
      <c r="C643" s="1" t="s">
        <v>171</v>
      </c>
      <c r="D643" s="37" t="s">
        <v>92</v>
      </c>
      <c r="E643" s="361">
        <v>1896000</v>
      </c>
      <c r="F643" s="37" t="s">
        <v>1124</v>
      </c>
      <c r="G643" s="79"/>
    </row>
    <row r="644" spans="1:7" hidden="1">
      <c r="A644" s="78">
        <v>42005</v>
      </c>
      <c r="B644" s="37" t="s">
        <v>619</v>
      </c>
      <c r="C644" s="1" t="s">
        <v>171</v>
      </c>
      <c r="D644" s="37" t="s">
        <v>92</v>
      </c>
      <c r="E644" s="361">
        <v>3024000</v>
      </c>
      <c r="F644" s="37" t="s">
        <v>1125</v>
      </c>
      <c r="G644" s="79"/>
    </row>
    <row r="645" spans="1:7" hidden="1">
      <c r="A645" s="78">
        <v>42005</v>
      </c>
      <c r="B645" s="37" t="s">
        <v>293</v>
      </c>
      <c r="C645" s="1" t="s">
        <v>103</v>
      </c>
      <c r="D645" s="37" t="s">
        <v>827</v>
      </c>
      <c r="E645" s="361">
        <v>3080000</v>
      </c>
      <c r="F645" s="37" t="s">
        <v>483</v>
      </c>
      <c r="G645" s="79"/>
    </row>
    <row r="646" spans="1:7" hidden="1">
      <c r="A646" s="78">
        <v>42005</v>
      </c>
      <c r="B646" s="37" t="s">
        <v>211</v>
      </c>
      <c r="C646" s="1" t="s">
        <v>103</v>
      </c>
      <c r="D646" s="37" t="s">
        <v>92</v>
      </c>
      <c r="E646" s="361">
        <v>120000</v>
      </c>
      <c r="F646" s="37" t="s">
        <v>335</v>
      </c>
      <c r="G646" s="79"/>
    </row>
    <row r="647" spans="1:7" hidden="1">
      <c r="A647" s="78">
        <v>42005</v>
      </c>
      <c r="B647" s="37" t="s">
        <v>214</v>
      </c>
      <c r="C647" s="1" t="s">
        <v>104</v>
      </c>
      <c r="D647" s="37" t="s">
        <v>827</v>
      </c>
      <c r="E647" s="361">
        <v>6120000</v>
      </c>
      <c r="F647" s="37" t="s">
        <v>1126</v>
      </c>
      <c r="G647" s="79"/>
    </row>
    <row r="648" spans="1:7" hidden="1">
      <c r="A648" s="78">
        <v>42005</v>
      </c>
      <c r="B648" s="37" t="s">
        <v>172</v>
      </c>
      <c r="C648" s="1" t="s">
        <v>104</v>
      </c>
      <c r="D648" s="37" t="s">
        <v>972</v>
      </c>
      <c r="E648" s="361">
        <v>1264200</v>
      </c>
      <c r="F648" s="37" t="s">
        <v>1127</v>
      </c>
      <c r="G648" s="79"/>
    </row>
    <row r="649" spans="1:7" hidden="1">
      <c r="A649" s="78">
        <v>42005</v>
      </c>
      <c r="B649" s="37" t="s">
        <v>172</v>
      </c>
      <c r="C649" s="1" t="s">
        <v>103</v>
      </c>
      <c r="D649" s="37" t="s">
        <v>972</v>
      </c>
      <c r="E649" s="361">
        <v>2709000</v>
      </c>
      <c r="F649" s="37" t="s">
        <v>1128</v>
      </c>
      <c r="G649" s="79"/>
    </row>
    <row r="650" spans="1:7" hidden="1">
      <c r="A650" s="78">
        <v>42005</v>
      </c>
      <c r="B650" s="37" t="s">
        <v>172</v>
      </c>
      <c r="C650" s="1" t="s">
        <v>171</v>
      </c>
      <c r="D650" s="37" t="s">
        <v>972</v>
      </c>
      <c r="E650" s="361">
        <v>5056800</v>
      </c>
      <c r="F650" s="37" t="s">
        <v>1129</v>
      </c>
      <c r="G650" s="79"/>
    </row>
    <row r="651" spans="1:7" hidden="1">
      <c r="A651" s="78">
        <v>42005</v>
      </c>
      <c r="B651" s="37" t="s">
        <v>172</v>
      </c>
      <c r="C651" s="1" t="s">
        <v>104</v>
      </c>
      <c r="D651" s="37" t="s">
        <v>972</v>
      </c>
      <c r="E651" s="361">
        <v>5779200</v>
      </c>
      <c r="F651" s="37" t="s">
        <v>1130</v>
      </c>
      <c r="G651" s="79"/>
    </row>
    <row r="652" spans="1:7" hidden="1">
      <c r="A652" s="78">
        <v>42005</v>
      </c>
      <c r="B652" s="37" t="s">
        <v>172</v>
      </c>
      <c r="C652" s="1" t="s">
        <v>103</v>
      </c>
      <c r="D652" s="37" t="s">
        <v>972</v>
      </c>
      <c r="E652" s="361">
        <v>1806000</v>
      </c>
      <c r="F652" s="37" t="s">
        <v>1131</v>
      </c>
      <c r="G652" s="79"/>
    </row>
    <row r="653" spans="1:7" hidden="1">
      <c r="A653" s="78">
        <v>42005</v>
      </c>
      <c r="B653" s="37" t="s">
        <v>172</v>
      </c>
      <c r="C653" s="1" t="s">
        <v>103</v>
      </c>
      <c r="D653" s="37" t="s">
        <v>972</v>
      </c>
      <c r="E653" s="361">
        <v>903000</v>
      </c>
      <c r="F653" s="37" t="s">
        <v>1132</v>
      </c>
      <c r="G653" s="79"/>
    </row>
    <row r="654" spans="1:7" hidden="1">
      <c r="A654" s="78">
        <v>42005</v>
      </c>
      <c r="B654" s="37" t="s">
        <v>172</v>
      </c>
      <c r="C654" s="1" t="s">
        <v>171</v>
      </c>
      <c r="D654" s="37" t="s">
        <v>972</v>
      </c>
      <c r="E654" s="361">
        <v>541800</v>
      </c>
      <c r="F654" s="37" t="s">
        <v>1133</v>
      </c>
      <c r="G654" s="79"/>
    </row>
    <row r="655" spans="1:7" hidden="1">
      <c r="A655" s="78">
        <v>42005</v>
      </c>
      <c r="B655" s="37" t="s">
        <v>172</v>
      </c>
      <c r="C655" s="1" t="s">
        <v>103</v>
      </c>
      <c r="D655" s="37" t="s">
        <v>972</v>
      </c>
      <c r="E655" s="361">
        <v>3973200</v>
      </c>
      <c r="F655" s="37" t="s">
        <v>1134</v>
      </c>
      <c r="G655" s="79"/>
    </row>
    <row r="656" spans="1:7" hidden="1">
      <c r="A656" s="106">
        <v>42005</v>
      </c>
      <c r="B656" s="107" t="s">
        <v>172</v>
      </c>
      <c r="C656" s="31" t="s">
        <v>171</v>
      </c>
      <c r="D656" s="107" t="s">
        <v>972</v>
      </c>
      <c r="E656" s="362">
        <v>13364400</v>
      </c>
      <c r="F656" s="107" t="s">
        <v>1135</v>
      </c>
      <c r="G656" s="79"/>
    </row>
    <row r="657" spans="1:10" hidden="1">
      <c r="A657" s="78">
        <v>42005</v>
      </c>
      <c r="B657" s="37" t="s">
        <v>6</v>
      </c>
      <c r="C657" s="1" t="s">
        <v>215</v>
      </c>
      <c r="D657" s="37" t="s">
        <v>673</v>
      </c>
      <c r="E657" s="361">
        <v>4850874</v>
      </c>
      <c r="F657" s="37" t="s">
        <v>335</v>
      </c>
      <c r="G657" s="79"/>
    </row>
    <row r="658" spans="1:10" hidden="1">
      <c r="A658" s="78">
        <v>42036</v>
      </c>
      <c r="B658" s="37" t="s">
        <v>55</v>
      </c>
      <c r="C658" s="1" t="s">
        <v>336</v>
      </c>
      <c r="D658" s="37" t="s">
        <v>972</v>
      </c>
      <c r="E658" s="361">
        <v>7434714</v>
      </c>
      <c r="F658" s="37" t="s">
        <v>667</v>
      </c>
      <c r="G658" s="79"/>
    </row>
    <row r="659" spans="1:10" hidden="1">
      <c r="A659" s="78">
        <v>42005</v>
      </c>
      <c r="B659" s="37" t="s">
        <v>217</v>
      </c>
      <c r="C659" s="1" t="s">
        <v>215</v>
      </c>
      <c r="D659" s="37" t="s">
        <v>827</v>
      </c>
      <c r="E659" s="361">
        <v>1116717</v>
      </c>
      <c r="F659" s="37" t="s">
        <v>1137</v>
      </c>
      <c r="G659" s="79"/>
    </row>
    <row r="660" spans="1:10" hidden="1">
      <c r="A660" s="78">
        <v>42036</v>
      </c>
      <c r="B660" s="37" t="s">
        <v>826</v>
      </c>
      <c r="C660" s="1" t="s">
        <v>103</v>
      </c>
      <c r="D660" s="37" t="s">
        <v>827</v>
      </c>
      <c r="E660" s="361">
        <v>2280000</v>
      </c>
      <c r="F660" s="37" t="s">
        <v>1138</v>
      </c>
      <c r="G660" s="79"/>
    </row>
    <row r="661" spans="1:10" hidden="1">
      <c r="A661" s="78">
        <v>42036</v>
      </c>
      <c r="B661" s="37" t="s">
        <v>600</v>
      </c>
      <c r="C661" s="1" t="s">
        <v>171</v>
      </c>
      <c r="D661" s="37" t="s">
        <v>827</v>
      </c>
      <c r="E661" s="361">
        <v>29637020</v>
      </c>
      <c r="F661" s="37" t="s">
        <v>335</v>
      </c>
      <c r="G661" s="79"/>
    </row>
    <row r="662" spans="1:10" hidden="1">
      <c r="A662" s="78">
        <v>42036</v>
      </c>
      <c r="B662" s="37" t="s">
        <v>566</v>
      </c>
      <c r="C662" s="1" t="s">
        <v>171</v>
      </c>
      <c r="D662" s="37" t="s">
        <v>92</v>
      </c>
      <c r="E662" s="361">
        <v>1476000</v>
      </c>
      <c r="F662" s="37" t="s">
        <v>1148</v>
      </c>
      <c r="G662" s="79"/>
    </row>
    <row r="663" spans="1:10" hidden="1">
      <c r="A663" s="78">
        <v>42036</v>
      </c>
      <c r="B663" s="37" t="s">
        <v>879</v>
      </c>
      <c r="C663" s="1" t="s">
        <v>104</v>
      </c>
      <c r="D663" s="37" t="s">
        <v>972</v>
      </c>
      <c r="E663" s="361">
        <v>1087720</v>
      </c>
      <c r="F663" s="37" t="s">
        <v>1149</v>
      </c>
      <c r="G663" s="79"/>
    </row>
    <row r="664" spans="1:10" hidden="1">
      <c r="A664" s="78">
        <v>42036</v>
      </c>
      <c r="B664" s="37" t="s">
        <v>879</v>
      </c>
      <c r="C664" s="1" t="s">
        <v>104</v>
      </c>
      <c r="D664" s="37" t="s">
        <v>972</v>
      </c>
      <c r="E664" s="361">
        <v>5571140</v>
      </c>
      <c r="F664" s="37" t="s">
        <v>1150</v>
      </c>
      <c r="G664" s="79"/>
    </row>
    <row r="665" spans="1:10" hidden="1">
      <c r="A665" s="78">
        <v>42036</v>
      </c>
      <c r="B665" s="37" t="s">
        <v>879</v>
      </c>
      <c r="C665" s="1" t="s">
        <v>171</v>
      </c>
      <c r="D665" s="37" t="s">
        <v>972</v>
      </c>
      <c r="E665" s="361">
        <f>8450400*4</f>
        <v>33801600</v>
      </c>
      <c r="F665" s="37" t="s">
        <v>1151</v>
      </c>
      <c r="G665" s="79"/>
      <c r="H665">
        <v>6862800</v>
      </c>
      <c r="I665" s="15">
        <f>H665+E665</f>
        <v>40664400</v>
      </c>
      <c r="J665">
        <v>2736</v>
      </c>
    </row>
    <row r="666" spans="1:10" hidden="1">
      <c r="A666" s="78">
        <v>42036</v>
      </c>
      <c r="B666" s="37" t="s">
        <v>879</v>
      </c>
      <c r="C666" s="1" t="s">
        <v>104</v>
      </c>
      <c r="D666" s="37" t="s">
        <v>972</v>
      </c>
      <c r="E666" s="361">
        <v>475538</v>
      </c>
      <c r="F666" s="37" t="s">
        <v>1152</v>
      </c>
      <c r="G666" s="79"/>
    </row>
    <row r="667" spans="1:10" hidden="1">
      <c r="A667" s="78">
        <v>42036</v>
      </c>
      <c r="B667" s="37" t="s">
        <v>172</v>
      </c>
      <c r="C667" s="1" t="s">
        <v>103</v>
      </c>
      <c r="D667" s="37" t="s">
        <v>972</v>
      </c>
      <c r="E667" s="361">
        <v>722400</v>
      </c>
      <c r="F667" s="37" t="s">
        <v>1155</v>
      </c>
      <c r="G667" s="79"/>
    </row>
    <row r="668" spans="1:10" hidden="1">
      <c r="A668" s="78">
        <v>42036</v>
      </c>
      <c r="B668" s="37" t="s">
        <v>172</v>
      </c>
      <c r="C668" s="1" t="s">
        <v>103</v>
      </c>
      <c r="D668" s="37" t="s">
        <v>972</v>
      </c>
      <c r="E668" s="361">
        <v>541800</v>
      </c>
      <c r="F668" s="37" t="s">
        <v>1156</v>
      </c>
      <c r="G668" s="79"/>
    </row>
    <row r="669" spans="1:10" hidden="1">
      <c r="A669" s="78">
        <v>42036</v>
      </c>
      <c r="B669" s="37" t="s">
        <v>172</v>
      </c>
      <c r="C669" s="1" t="s">
        <v>104</v>
      </c>
      <c r="D669" s="37" t="s">
        <v>972</v>
      </c>
      <c r="E669" s="361">
        <v>6682200</v>
      </c>
      <c r="F669" s="37" t="s">
        <v>1125</v>
      </c>
      <c r="G669" s="79"/>
    </row>
    <row r="670" spans="1:10" hidden="1">
      <c r="A670" s="78">
        <v>42036</v>
      </c>
      <c r="B670" s="37" t="s">
        <v>172</v>
      </c>
      <c r="C670" s="1" t="s">
        <v>171</v>
      </c>
      <c r="D670" s="37" t="s">
        <v>972</v>
      </c>
      <c r="E670" s="361">
        <v>541800</v>
      </c>
      <c r="F670" s="37" t="s">
        <v>1157</v>
      </c>
      <c r="G670" s="79"/>
    </row>
    <row r="671" spans="1:10" hidden="1">
      <c r="A671" s="78">
        <v>42036</v>
      </c>
      <c r="B671" s="37" t="s">
        <v>172</v>
      </c>
      <c r="C671" s="1" t="s">
        <v>103</v>
      </c>
      <c r="D671" s="37" t="s">
        <v>972</v>
      </c>
      <c r="E671" s="361">
        <v>3612000</v>
      </c>
      <c r="F671" s="37" t="s">
        <v>1158</v>
      </c>
      <c r="G671" s="79"/>
    </row>
    <row r="672" spans="1:10" hidden="1">
      <c r="A672" s="78">
        <v>42036</v>
      </c>
      <c r="B672" s="37" t="s">
        <v>172</v>
      </c>
      <c r="C672" s="1" t="s">
        <v>171</v>
      </c>
      <c r="D672" s="37" t="s">
        <v>972</v>
      </c>
      <c r="E672" s="361">
        <v>6862800</v>
      </c>
      <c r="F672" s="37" t="s">
        <v>1159</v>
      </c>
      <c r="G672" s="79"/>
    </row>
    <row r="673" spans="1:7" hidden="1">
      <c r="A673" s="78">
        <v>42036</v>
      </c>
      <c r="B673" s="37" t="s">
        <v>172</v>
      </c>
      <c r="C673" s="1" t="s">
        <v>103</v>
      </c>
      <c r="D673" s="37" t="s">
        <v>972</v>
      </c>
      <c r="E673" s="361">
        <v>5418000</v>
      </c>
      <c r="F673" s="37" t="s">
        <v>1160</v>
      </c>
      <c r="G673" s="79"/>
    </row>
    <row r="674" spans="1:7" hidden="1">
      <c r="A674" s="78">
        <v>42036</v>
      </c>
      <c r="B674" s="37" t="s">
        <v>790</v>
      </c>
      <c r="C674" s="1" t="s">
        <v>104</v>
      </c>
      <c r="D674" s="37" t="s">
        <v>92</v>
      </c>
      <c r="E674" s="361">
        <v>6919338</v>
      </c>
      <c r="F674" s="37" t="s">
        <v>791</v>
      </c>
      <c r="G674" s="79"/>
    </row>
    <row r="675" spans="1:7" hidden="1">
      <c r="A675" s="78">
        <v>42064</v>
      </c>
      <c r="B675" s="37" t="s">
        <v>55</v>
      </c>
      <c r="C675" s="1" t="s">
        <v>103</v>
      </c>
      <c r="D675" s="37" t="s">
        <v>972</v>
      </c>
      <c r="E675" s="361">
        <v>12694206</v>
      </c>
      <c r="F675" s="37" t="s">
        <v>1161</v>
      </c>
      <c r="G675" s="79"/>
    </row>
    <row r="676" spans="1:7" hidden="1">
      <c r="A676" s="78">
        <v>42036</v>
      </c>
      <c r="B676" s="37" t="s">
        <v>619</v>
      </c>
      <c r="C676" s="1" t="s">
        <v>171</v>
      </c>
      <c r="D676" s="37" t="s">
        <v>92</v>
      </c>
      <c r="E676" s="361">
        <v>924000</v>
      </c>
      <c r="F676" s="37" t="s">
        <v>725</v>
      </c>
      <c r="G676" s="79"/>
    </row>
    <row r="677" spans="1:7" hidden="1">
      <c r="A677" s="78">
        <v>42064</v>
      </c>
      <c r="B677" s="37" t="s">
        <v>55</v>
      </c>
      <c r="C677" s="1" t="s">
        <v>336</v>
      </c>
      <c r="D677" s="37" t="s">
        <v>972</v>
      </c>
      <c r="E677" s="361">
        <v>7337316</v>
      </c>
      <c r="F677" s="37" t="s">
        <v>401</v>
      </c>
      <c r="G677" s="79"/>
    </row>
    <row r="678" spans="1:7" hidden="1">
      <c r="A678" s="78">
        <v>42036</v>
      </c>
      <c r="B678" s="37" t="s">
        <v>217</v>
      </c>
      <c r="C678" s="1" t="s">
        <v>215</v>
      </c>
      <c r="D678" s="37" t="s">
        <v>92</v>
      </c>
      <c r="E678" s="361">
        <v>1422314</v>
      </c>
      <c r="F678" s="37" t="s">
        <v>1164</v>
      </c>
      <c r="G678" s="79"/>
    </row>
    <row r="679" spans="1:7" hidden="1">
      <c r="A679" s="78">
        <v>42036</v>
      </c>
      <c r="B679" s="37" t="s">
        <v>218</v>
      </c>
      <c r="C679" s="1" t="s">
        <v>215</v>
      </c>
      <c r="D679" s="37" t="s">
        <v>92</v>
      </c>
      <c r="E679" s="361">
        <v>174911</v>
      </c>
      <c r="F679" s="37" t="s">
        <v>1164</v>
      </c>
      <c r="G679" s="79"/>
    </row>
    <row r="680" spans="1:7" hidden="1">
      <c r="A680" s="78">
        <v>42036</v>
      </c>
      <c r="B680" s="37" t="s">
        <v>566</v>
      </c>
      <c r="C680" s="1" t="s">
        <v>171</v>
      </c>
      <c r="D680" s="37" t="s">
        <v>92</v>
      </c>
      <c r="E680" s="361">
        <v>2928000</v>
      </c>
      <c r="F680" s="37" t="s">
        <v>1165</v>
      </c>
      <c r="G680" s="79"/>
    </row>
    <row r="681" spans="1:7" hidden="1">
      <c r="A681" s="78">
        <v>42036</v>
      </c>
      <c r="B681" s="37" t="s">
        <v>6</v>
      </c>
      <c r="C681" s="1" t="s">
        <v>215</v>
      </c>
      <c r="D681" s="37" t="s">
        <v>673</v>
      </c>
      <c r="E681" s="361">
        <v>4701666</v>
      </c>
      <c r="F681" s="37" t="s">
        <v>335</v>
      </c>
      <c r="G681" s="79"/>
    </row>
    <row r="682" spans="1:7" hidden="1">
      <c r="A682" s="78">
        <v>42036</v>
      </c>
      <c r="B682" s="37" t="s">
        <v>826</v>
      </c>
      <c r="C682" s="1" t="s">
        <v>103</v>
      </c>
      <c r="D682" s="37" t="s">
        <v>827</v>
      </c>
      <c r="E682" s="361">
        <v>3020000</v>
      </c>
      <c r="F682" s="37" t="s">
        <v>1166</v>
      </c>
      <c r="G682" s="79"/>
    </row>
    <row r="683" spans="1:7" hidden="1">
      <c r="A683" s="78">
        <v>42064</v>
      </c>
      <c r="B683" s="37" t="s">
        <v>600</v>
      </c>
      <c r="C683" s="1" t="s">
        <v>171</v>
      </c>
      <c r="D683" s="37" t="s">
        <v>827</v>
      </c>
      <c r="E683" s="361">
        <v>18831667</v>
      </c>
      <c r="F683" s="37" t="s">
        <v>1167</v>
      </c>
      <c r="G683" s="79"/>
    </row>
    <row r="684" spans="1:7" hidden="1">
      <c r="A684" s="78">
        <v>42064</v>
      </c>
      <c r="B684" s="37" t="s">
        <v>172</v>
      </c>
      <c r="C684" s="1" t="s">
        <v>171</v>
      </c>
      <c r="D684" s="37" t="s">
        <v>972</v>
      </c>
      <c r="E684" s="361">
        <v>361200</v>
      </c>
      <c r="F684" s="37" t="s">
        <v>1185</v>
      </c>
      <c r="G684" s="79"/>
    </row>
    <row r="685" spans="1:7" hidden="1">
      <c r="A685" s="78">
        <v>42064</v>
      </c>
      <c r="B685" s="37" t="s">
        <v>172</v>
      </c>
      <c r="C685" s="1" t="s">
        <v>103</v>
      </c>
      <c r="D685" s="37" t="s">
        <v>972</v>
      </c>
      <c r="E685" s="361">
        <v>5418000</v>
      </c>
      <c r="F685" s="37" t="s">
        <v>1186</v>
      </c>
      <c r="G685" s="79"/>
    </row>
    <row r="686" spans="1:7" hidden="1">
      <c r="A686" s="78">
        <v>42064</v>
      </c>
      <c r="B686" s="37" t="s">
        <v>172</v>
      </c>
      <c r="C686" s="1" t="s">
        <v>103</v>
      </c>
      <c r="D686" s="37" t="s">
        <v>972</v>
      </c>
      <c r="E686" s="37">
        <v>541800</v>
      </c>
      <c r="F686" s="37" t="s">
        <v>1187</v>
      </c>
      <c r="G686" s="79"/>
    </row>
    <row r="687" spans="1:7" hidden="1">
      <c r="A687" s="78">
        <v>42064</v>
      </c>
      <c r="B687" s="37" t="s">
        <v>172</v>
      </c>
      <c r="C687" s="1" t="s">
        <v>171</v>
      </c>
      <c r="D687" s="37" t="s">
        <v>972</v>
      </c>
      <c r="E687" s="37">
        <v>1806000</v>
      </c>
      <c r="F687" s="37" t="s">
        <v>1188</v>
      </c>
      <c r="G687" s="79"/>
    </row>
    <row r="688" spans="1:7" hidden="1">
      <c r="A688" s="78">
        <v>42064</v>
      </c>
      <c r="B688" s="37" t="s">
        <v>172</v>
      </c>
      <c r="C688" s="1" t="s">
        <v>104</v>
      </c>
      <c r="D688" s="37" t="s">
        <v>972</v>
      </c>
      <c r="E688" s="37">
        <v>1806000</v>
      </c>
      <c r="F688" s="37" t="s">
        <v>1189</v>
      </c>
      <c r="G688" s="79"/>
    </row>
    <row r="689" spans="1:7" hidden="1">
      <c r="A689" s="78">
        <v>42064</v>
      </c>
      <c r="B689" s="37" t="s">
        <v>172</v>
      </c>
      <c r="C689" s="1" t="s">
        <v>103</v>
      </c>
      <c r="D689" s="37" t="s">
        <v>972</v>
      </c>
      <c r="E689" s="37">
        <v>3792600</v>
      </c>
      <c r="F689" s="37" t="s">
        <v>1190</v>
      </c>
      <c r="G689" s="79"/>
    </row>
    <row r="690" spans="1:7" hidden="1">
      <c r="A690" s="78">
        <v>42064</v>
      </c>
      <c r="B690" s="37" t="s">
        <v>172</v>
      </c>
      <c r="C690" s="1" t="s">
        <v>104</v>
      </c>
      <c r="D690" s="37" t="s">
        <v>972</v>
      </c>
      <c r="E690" s="37">
        <v>8488200</v>
      </c>
      <c r="F690" s="37" t="s">
        <v>1191</v>
      </c>
      <c r="G690" s="79"/>
    </row>
    <row r="691" spans="1:7" hidden="1">
      <c r="A691" s="78">
        <v>42064</v>
      </c>
      <c r="B691" s="37" t="s">
        <v>172</v>
      </c>
      <c r="C691" s="1" t="s">
        <v>171</v>
      </c>
      <c r="D691" s="37" t="s">
        <v>972</v>
      </c>
      <c r="E691" s="37">
        <v>6862800</v>
      </c>
      <c r="F691" s="37" t="s">
        <v>1192</v>
      </c>
      <c r="G691" s="79"/>
    </row>
    <row r="692" spans="1:7" hidden="1">
      <c r="A692" s="78">
        <v>42064</v>
      </c>
      <c r="B692" s="37" t="s">
        <v>172</v>
      </c>
      <c r="C692" s="1" t="s">
        <v>103</v>
      </c>
      <c r="D692" s="37" t="s">
        <v>972</v>
      </c>
      <c r="E692" s="37">
        <v>3612000</v>
      </c>
      <c r="F692" s="37" t="s">
        <v>1193</v>
      </c>
      <c r="G692" s="79"/>
    </row>
    <row r="693" spans="1:7" hidden="1">
      <c r="A693" s="78">
        <v>42064</v>
      </c>
      <c r="B693" s="37" t="s">
        <v>6</v>
      </c>
      <c r="C693" s="1" t="s">
        <v>104</v>
      </c>
      <c r="D693" s="37" t="s">
        <v>673</v>
      </c>
      <c r="E693" s="37">
        <v>1000020</v>
      </c>
      <c r="F693" s="37" t="s">
        <v>1194</v>
      </c>
      <c r="G693" s="79"/>
    </row>
    <row r="694" spans="1:7" hidden="1">
      <c r="A694" s="78">
        <v>42064</v>
      </c>
      <c r="B694" s="37" t="s">
        <v>129</v>
      </c>
      <c r="C694" s="1" t="s">
        <v>171</v>
      </c>
      <c r="D694" s="37" t="s">
        <v>972</v>
      </c>
      <c r="E694" s="37">
        <v>4754550</v>
      </c>
      <c r="F694" s="37" t="s">
        <v>1195</v>
      </c>
      <c r="G694" s="79"/>
    </row>
    <row r="695" spans="1:7" hidden="1">
      <c r="A695" s="78">
        <v>42064</v>
      </c>
      <c r="B695" s="37" t="s">
        <v>129</v>
      </c>
      <c r="C695" s="1" t="s">
        <v>103</v>
      </c>
      <c r="D695" s="37" t="s">
        <v>972</v>
      </c>
      <c r="E695" s="37">
        <v>314784</v>
      </c>
      <c r="F695" s="37" t="s">
        <v>1196</v>
      </c>
      <c r="G695" s="79"/>
    </row>
    <row r="696" spans="1:7" hidden="1">
      <c r="A696" s="78">
        <v>42064</v>
      </c>
      <c r="B696" s="37" t="s">
        <v>129</v>
      </c>
      <c r="C696" s="1" t="s">
        <v>104</v>
      </c>
      <c r="D696" s="37" t="s">
        <v>972</v>
      </c>
      <c r="E696" s="37">
        <v>1506000</v>
      </c>
      <c r="F696" s="37" t="s">
        <v>1197</v>
      </c>
      <c r="G696" s="79"/>
    </row>
    <row r="697" spans="1:7" hidden="1">
      <c r="A697" s="78">
        <v>42064</v>
      </c>
      <c r="B697" s="37" t="s">
        <v>98</v>
      </c>
      <c r="C697" s="1" t="s">
        <v>104</v>
      </c>
      <c r="D697" s="37" t="s">
        <v>92</v>
      </c>
      <c r="E697" s="37">
        <v>1500000</v>
      </c>
      <c r="F697" s="37" t="s">
        <v>1198</v>
      </c>
      <c r="G697" s="79"/>
    </row>
    <row r="698" spans="1:7" hidden="1">
      <c r="A698" s="78">
        <v>42064</v>
      </c>
      <c r="B698" s="37" t="s">
        <v>98</v>
      </c>
      <c r="C698" s="1" t="s">
        <v>336</v>
      </c>
      <c r="D698" s="37" t="s">
        <v>92</v>
      </c>
      <c r="E698" s="37">
        <v>4524000</v>
      </c>
      <c r="F698" s="37" t="s">
        <v>1200</v>
      </c>
      <c r="G698" s="79"/>
    </row>
    <row r="699" spans="1:7" hidden="1">
      <c r="A699" s="78">
        <v>42064</v>
      </c>
      <c r="B699" s="37" t="s">
        <v>98</v>
      </c>
      <c r="C699" s="1" t="s">
        <v>1199</v>
      </c>
      <c r="D699" s="37" t="s">
        <v>92</v>
      </c>
      <c r="E699" s="37">
        <v>4524000</v>
      </c>
      <c r="F699" s="37" t="s">
        <v>1200</v>
      </c>
      <c r="G699" s="79"/>
    </row>
    <row r="700" spans="1:7" hidden="1">
      <c r="A700" s="78">
        <v>42095</v>
      </c>
      <c r="B700" s="37" t="s">
        <v>98</v>
      </c>
      <c r="C700" s="1" t="s">
        <v>336</v>
      </c>
      <c r="D700" s="37" t="s">
        <v>92</v>
      </c>
      <c r="E700" s="37">
        <v>4524000</v>
      </c>
      <c r="F700" s="37" t="s">
        <v>1200</v>
      </c>
      <c r="G700" s="79"/>
    </row>
    <row r="701" spans="1:7" hidden="1">
      <c r="A701" s="78">
        <v>42095</v>
      </c>
      <c r="B701" s="37" t="s">
        <v>98</v>
      </c>
      <c r="C701" s="1" t="s">
        <v>1199</v>
      </c>
      <c r="D701" s="37" t="s">
        <v>92</v>
      </c>
      <c r="E701" s="37">
        <v>4524000</v>
      </c>
      <c r="F701" s="37" t="s">
        <v>1200</v>
      </c>
      <c r="G701" s="79"/>
    </row>
    <row r="702" spans="1:7" hidden="1">
      <c r="A702" s="78">
        <v>42125</v>
      </c>
      <c r="B702" s="37" t="s">
        <v>98</v>
      </c>
      <c r="C702" s="1" t="s">
        <v>336</v>
      </c>
      <c r="D702" s="37" t="s">
        <v>92</v>
      </c>
      <c r="E702" s="37">
        <v>4524000</v>
      </c>
      <c r="F702" s="37" t="s">
        <v>1200</v>
      </c>
      <c r="G702" s="79"/>
    </row>
    <row r="703" spans="1:7" hidden="1">
      <c r="A703" s="78">
        <v>42125</v>
      </c>
      <c r="B703" s="37" t="s">
        <v>98</v>
      </c>
      <c r="C703" s="1" t="s">
        <v>1199</v>
      </c>
      <c r="D703" s="37" t="s">
        <v>92</v>
      </c>
      <c r="E703" s="37">
        <v>4524000</v>
      </c>
      <c r="F703" s="37" t="s">
        <v>1200</v>
      </c>
      <c r="G703" s="79"/>
    </row>
    <row r="704" spans="1:7" hidden="1">
      <c r="A704" s="78">
        <v>42064</v>
      </c>
      <c r="B704" s="37" t="s">
        <v>98</v>
      </c>
      <c r="C704" s="1" t="s">
        <v>205</v>
      </c>
      <c r="D704" s="37" t="s">
        <v>92</v>
      </c>
      <c r="E704" s="37">
        <f>3600*15080</f>
        <v>54288000</v>
      </c>
      <c r="F704" s="37" t="s">
        <v>1201</v>
      </c>
      <c r="G704" s="79"/>
    </row>
    <row r="705" spans="1:8" hidden="1">
      <c r="A705" s="78">
        <v>42064</v>
      </c>
      <c r="B705" s="37" t="s">
        <v>619</v>
      </c>
      <c r="C705" s="1" t="s">
        <v>171</v>
      </c>
      <c r="D705" s="37" t="s">
        <v>92</v>
      </c>
      <c r="E705" s="37">
        <v>420000</v>
      </c>
      <c r="F705" s="37" t="s">
        <v>725</v>
      </c>
      <c r="G705" s="79"/>
    </row>
    <row r="706" spans="1:8" hidden="1">
      <c r="A706" s="78">
        <v>42064</v>
      </c>
      <c r="B706" s="37" t="s">
        <v>790</v>
      </c>
      <c r="C706" s="1" t="s">
        <v>104</v>
      </c>
      <c r="D706" s="37" t="s">
        <v>92</v>
      </c>
      <c r="E706" s="37">
        <v>71732</v>
      </c>
      <c r="F706" s="37" t="s">
        <v>1086</v>
      </c>
      <c r="G706" s="79"/>
    </row>
    <row r="707" spans="1:8" hidden="1">
      <c r="A707" s="78">
        <v>42064</v>
      </c>
      <c r="B707" s="37" t="s">
        <v>566</v>
      </c>
      <c r="C707" s="1" t="s">
        <v>171</v>
      </c>
      <c r="D707" s="37" t="s">
        <v>92</v>
      </c>
      <c r="E707" s="37">
        <v>480000</v>
      </c>
      <c r="F707" s="37" t="s">
        <v>1208</v>
      </c>
      <c r="G707" s="79"/>
    </row>
    <row r="708" spans="1:8" hidden="1">
      <c r="A708" s="78">
        <v>42064</v>
      </c>
      <c r="B708" s="37" t="s">
        <v>566</v>
      </c>
      <c r="C708" s="1" t="s">
        <v>171</v>
      </c>
      <c r="D708" s="37" t="s">
        <v>92</v>
      </c>
      <c r="E708" s="37">
        <v>408000</v>
      </c>
      <c r="F708" s="37" t="s">
        <v>1209</v>
      </c>
      <c r="G708" s="79"/>
    </row>
    <row r="709" spans="1:8" hidden="1">
      <c r="A709" s="78">
        <v>42064</v>
      </c>
      <c r="B709" s="37" t="s">
        <v>214</v>
      </c>
      <c r="C709" s="1" t="s">
        <v>215</v>
      </c>
      <c r="D709" s="37" t="s">
        <v>827</v>
      </c>
      <c r="E709" s="37">
        <v>18234000</v>
      </c>
      <c r="F709" s="37" t="s">
        <v>791</v>
      </c>
      <c r="G709" s="79"/>
    </row>
    <row r="710" spans="1:8" hidden="1">
      <c r="A710" s="78">
        <v>42064</v>
      </c>
      <c r="B710" s="37" t="s">
        <v>214</v>
      </c>
      <c r="C710" s="1" t="s">
        <v>103</v>
      </c>
      <c r="D710" s="37" t="s">
        <v>827</v>
      </c>
      <c r="E710" s="37">
        <v>2376000</v>
      </c>
      <c r="F710" s="37" t="s">
        <v>654</v>
      </c>
      <c r="G710" s="79"/>
    </row>
    <row r="711" spans="1:8" hidden="1">
      <c r="A711" s="78">
        <v>42095</v>
      </c>
      <c r="B711" s="37" t="s">
        <v>98</v>
      </c>
      <c r="C711" s="1" t="s">
        <v>104</v>
      </c>
      <c r="D711" s="37" t="s">
        <v>92</v>
      </c>
      <c r="E711" s="37">
        <v>1500000</v>
      </c>
      <c r="F711" s="37" t="s">
        <v>1198</v>
      </c>
      <c r="G711" s="79"/>
      <c r="H711" s="361">
        <v>1500000</v>
      </c>
    </row>
    <row r="712" spans="1:8" hidden="1">
      <c r="A712" s="78">
        <v>42064</v>
      </c>
      <c r="B712" s="37" t="s">
        <v>211</v>
      </c>
      <c r="C712" s="1" t="s">
        <v>103</v>
      </c>
      <c r="D712" s="37" t="s">
        <v>92</v>
      </c>
      <c r="E712" s="37">
        <v>132000</v>
      </c>
      <c r="F712" s="37" t="s">
        <v>1210</v>
      </c>
      <c r="G712" s="79"/>
    </row>
    <row r="713" spans="1:8" hidden="1">
      <c r="A713" s="78">
        <v>42095</v>
      </c>
      <c r="B713" s="37" t="s">
        <v>55</v>
      </c>
      <c r="C713" s="1" t="s">
        <v>631</v>
      </c>
      <c r="D713" s="37" t="s">
        <v>972</v>
      </c>
      <c r="E713" s="37">
        <v>7337316</v>
      </c>
      <c r="F713" s="37" t="s">
        <v>667</v>
      </c>
      <c r="G713" s="79"/>
    </row>
    <row r="714" spans="1:8" hidden="1">
      <c r="A714" s="78">
        <v>42064</v>
      </c>
      <c r="B714" s="37" t="s">
        <v>973</v>
      </c>
      <c r="C714" s="1" t="s">
        <v>215</v>
      </c>
      <c r="D714" s="37" t="s">
        <v>974</v>
      </c>
      <c r="E714" s="37">
        <v>6444000</v>
      </c>
      <c r="F714" s="37" t="s">
        <v>335</v>
      </c>
      <c r="G714" s="79"/>
    </row>
    <row r="715" spans="1:8" hidden="1">
      <c r="A715" s="78">
        <v>42064</v>
      </c>
      <c r="B715" s="37" t="s">
        <v>218</v>
      </c>
      <c r="C715" s="1" t="s">
        <v>215</v>
      </c>
      <c r="D715" s="37" t="s">
        <v>92</v>
      </c>
      <c r="E715" s="37">
        <v>172673</v>
      </c>
      <c r="F715" s="37" t="s">
        <v>1212</v>
      </c>
      <c r="G715" s="79"/>
    </row>
    <row r="716" spans="1:8" hidden="1">
      <c r="A716" s="78">
        <v>42064</v>
      </c>
      <c r="B716" s="37" t="s">
        <v>218</v>
      </c>
      <c r="C716" s="1" t="s">
        <v>215</v>
      </c>
      <c r="D716" s="37" t="s">
        <v>92</v>
      </c>
      <c r="E716" s="37">
        <v>231723</v>
      </c>
      <c r="F716" s="37" t="s">
        <v>1211</v>
      </c>
      <c r="G716" s="79"/>
    </row>
    <row r="717" spans="1:8" hidden="1">
      <c r="A717" s="78">
        <v>42064</v>
      </c>
      <c r="B717" s="37" t="s">
        <v>217</v>
      </c>
      <c r="C717" s="1" t="s">
        <v>215</v>
      </c>
      <c r="D717" s="37" t="s">
        <v>92</v>
      </c>
      <c r="E717" s="37">
        <v>2688583</v>
      </c>
      <c r="F717" s="37" t="s">
        <v>1212</v>
      </c>
      <c r="G717" s="79"/>
    </row>
    <row r="718" spans="1:8" hidden="1">
      <c r="A718" s="78">
        <v>42064</v>
      </c>
      <c r="B718" s="37" t="s">
        <v>217</v>
      </c>
      <c r="C718" s="1" t="s">
        <v>215</v>
      </c>
      <c r="D718" s="37" t="s">
        <v>92</v>
      </c>
      <c r="E718" s="37">
        <v>3485076</v>
      </c>
      <c r="F718" s="37" t="s">
        <v>1211</v>
      </c>
      <c r="G718" s="79"/>
    </row>
    <row r="719" spans="1:8" hidden="1">
      <c r="A719" s="78">
        <v>42064</v>
      </c>
      <c r="B719" s="37" t="s">
        <v>6</v>
      </c>
      <c r="C719" s="1" t="s">
        <v>215</v>
      </c>
      <c r="D719" s="37" t="s">
        <v>673</v>
      </c>
      <c r="E719" s="37">
        <v>1375002</v>
      </c>
      <c r="F719" s="37" t="s">
        <v>335</v>
      </c>
      <c r="G719" s="79"/>
    </row>
    <row r="720" spans="1:8" hidden="1">
      <c r="A720" s="78">
        <v>42095</v>
      </c>
      <c r="B720" s="37" t="s">
        <v>172</v>
      </c>
      <c r="C720" s="1" t="s">
        <v>103</v>
      </c>
      <c r="D720" s="37" t="s">
        <v>972</v>
      </c>
      <c r="E720" s="37">
        <v>5237400</v>
      </c>
      <c r="F720" s="37" t="s">
        <v>1214</v>
      </c>
      <c r="G720" s="79"/>
    </row>
    <row r="721" spans="1:8" hidden="1">
      <c r="A721" s="78">
        <v>42095</v>
      </c>
      <c r="B721" s="37" t="s">
        <v>172</v>
      </c>
      <c r="C721" s="1" t="s">
        <v>103</v>
      </c>
      <c r="D721" s="37" t="s">
        <v>972</v>
      </c>
      <c r="E721" s="37">
        <v>3612000</v>
      </c>
      <c r="F721" s="37" t="s">
        <v>736</v>
      </c>
      <c r="G721" s="79"/>
    </row>
    <row r="722" spans="1:8" hidden="1">
      <c r="A722" s="78">
        <v>42095</v>
      </c>
      <c r="B722" s="37" t="s">
        <v>172</v>
      </c>
      <c r="C722" s="1" t="s">
        <v>171</v>
      </c>
      <c r="D722" s="37" t="s">
        <v>972</v>
      </c>
      <c r="E722" s="37">
        <v>6682200</v>
      </c>
      <c r="F722" s="37" t="s">
        <v>1192</v>
      </c>
      <c r="G722" s="79"/>
    </row>
    <row r="723" spans="1:8" hidden="1">
      <c r="A723" s="78">
        <v>42095</v>
      </c>
      <c r="B723" s="37" t="s">
        <v>55</v>
      </c>
      <c r="C723" s="1" t="s">
        <v>103</v>
      </c>
      <c r="D723" s="37" t="s">
        <v>972</v>
      </c>
      <c r="E723" s="37">
        <v>12694206</v>
      </c>
      <c r="F723" s="37" t="s">
        <v>401</v>
      </c>
      <c r="G723" s="79"/>
    </row>
    <row r="724" spans="1:8" hidden="1">
      <c r="A724" s="78">
        <v>42095</v>
      </c>
      <c r="B724" s="37" t="s">
        <v>293</v>
      </c>
      <c r="C724" s="1" t="s">
        <v>103</v>
      </c>
      <c r="D724" s="37" t="s">
        <v>1107</v>
      </c>
      <c r="E724" s="37">
        <v>2940000</v>
      </c>
      <c r="F724" s="37" t="s">
        <v>1220</v>
      </c>
      <c r="G724" s="79"/>
    </row>
    <row r="725" spans="1:8" hidden="1">
      <c r="A725" s="78">
        <v>42095</v>
      </c>
      <c r="B725" s="37" t="s">
        <v>600</v>
      </c>
      <c r="C725" s="1" t="s">
        <v>171</v>
      </c>
      <c r="D725" s="37" t="s">
        <v>1107</v>
      </c>
      <c r="E725" s="37">
        <v>6506783</v>
      </c>
      <c r="F725" s="37" t="s">
        <v>335</v>
      </c>
      <c r="G725" s="79"/>
    </row>
    <row r="726" spans="1:8" hidden="1">
      <c r="A726" s="78">
        <v>42095</v>
      </c>
      <c r="B726" s="37" t="s">
        <v>600</v>
      </c>
      <c r="C726" s="1" t="s">
        <v>103</v>
      </c>
      <c r="D726" s="37" t="s">
        <v>1107</v>
      </c>
      <c r="E726" s="37">
        <v>3825000</v>
      </c>
      <c r="F726" s="37" t="s">
        <v>282</v>
      </c>
      <c r="G726" s="79"/>
    </row>
    <row r="727" spans="1:8" hidden="1">
      <c r="A727" s="78">
        <v>42064</v>
      </c>
      <c r="B727" s="37" t="s">
        <v>826</v>
      </c>
      <c r="C727" s="1" t="s">
        <v>103</v>
      </c>
      <c r="D727" s="37" t="s">
        <v>1107</v>
      </c>
      <c r="E727" s="37">
        <v>240000</v>
      </c>
      <c r="F727" s="37" t="s">
        <v>1221</v>
      </c>
      <c r="G727" s="79"/>
    </row>
    <row r="728" spans="1:8" hidden="1">
      <c r="A728" s="78">
        <v>42064</v>
      </c>
      <c r="B728" s="37" t="s">
        <v>826</v>
      </c>
      <c r="C728" s="1" t="s">
        <v>103</v>
      </c>
      <c r="D728" s="37" t="s">
        <v>1107</v>
      </c>
      <c r="E728" s="37">
        <v>2700000</v>
      </c>
      <c r="F728" s="37" t="s">
        <v>1108</v>
      </c>
      <c r="G728" s="79"/>
    </row>
    <row r="729" spans="1:8" hidden="1">
      <c r="A729" s="78">
        <v>42095</v>
      </c>
      <c r="B729" s="37" t="s">
        <v>172</v>
      </c>
      <c r="C729" s="1" t="s">
        <v>103</v>
      </c>
      <c r="D729" s="37" t="s">
        <v>972</v>
      </c>
      <c r="E729" s="37">
        <v>722400</v>
      </c>
      <c r="F729" s="37" t="s">
        <v>1187</v>
      </c>
      <c r="G729" s="79"/>
    </row>
    <row r="730" spans="1:8" hidden="1">
      <c r="A730" s="78">
        <v>42095</v>
      </c>
      <c r="B730" s="37" t="s">
        <v>172</v>
      </c>
      <c r="C730" s="1" t="s">
        <v>171</v>
      </c>
      <c r="D730" s="37" t="s">
        <v>972</v>
      </c>
      <c r="E730" s="37">
        <v>541800</v>
      </c>
      <c r="F730" s="37" t="s">
        <v>1223</v>
      </c>
      <c r="G730" s="79"/>
    </row>
    <row r="731" spans="1:8" hidden="1">
      <c r="A731" s="78">
        <v>42095</v>
      </c>
      <c r="B731" s="37" t="s">
        <v>172</v>
      </c>
      <c r="C731" s="1" t="s">
        <v>104</v>
      </c>
      <c r="D731" s="37" t="s">
        <v>972</v>
      </c>
      <c r="E731" s="37">
        <v>7224000</v>
      </c>
      <c r="F731" s="37" t="s">
        <v>1224</v>
      </c>
      <c r="G731" s="79"/>
      <c r="H731" s="15">
        <f>E731/2</f>
        <v>3612000</v>
      </c>
    </row>
    <row r="732" spans="1:8" hidden="1">
      <c r="A732" s="78">
        <v>42095</v>
      </c>
      <c r="B732" s="37" t="s">
        <v>172</v>
      </c>
      <c r="C732" s="1" t="s">
        <v>103</v>
      </c>
      <c r="D732" s="37" t="s">
        <v>972</v>
      </c>
      <c r="E732" s="37">
        <v>1625400</v>
      </c>
      <c r="F732" s="37" t="s">
        <v>1225</v>
      </c>
      <c r="G732" s="79"/>
    </row>
    <row r="733" spans="1:8" hidden="1">
      <c r="A733" s="78">
        <v>42095</v>
      </c>
      <c r="B733" s="37" t="s">
        <v>6</v>
      </c>
      <c r="C733" s="1" t="s">
        <v>104</v>
      </c>
      <c r="D733" s="37" t="s">
        <v>673</v>
      </c>
      <c r="E733" s="37">
        <v>1000020</v>
      </c>
      <c r="F733" s="37" t="s">
        <v>793</v>
      </c>
      <c r="G733" s="79"/>
      <c r="H733" s="361">
        <v>1000020</v>
      </c>
    </row>
    <row r="734" spans="1:8" hidden="1">
      <c r="A734" s="78">
        <v>42095</v>
      </c>
      <c r="B734" s="37" t="s">
        <v>214</v>
      </c>
      <c r="C734" s="1" t="s">
        <v>215</v>
      </c>
      <c r="D734" s="37" t="s">
        <v>827</v>
      </c>
      <c r="E734" s="37">
        <v>20430000</v>
      </c>
      <c r="F734" s="37" t="s">
        <v>791</v>
      </c>
      <c r="G734" s="79"/>
      <c r="H734" s="15">
        <f>E734/2*0.8</f>
        <v>8172000</v>
      </c>
    </row>
    <row r="735" spans="1:8" hidden="1">
      <c r="A735" s="78">
        <v>42125</v>
      </c>
      <c r="B735" s="37" t="s">
        <v>55</v>
      </c>
      <c r="C735" s="1" t="s">
        <v>631</v>
      </c>
      <c r="D735" s="37" t="s">
        <v>972</v>
      </c>
      <c r="E735" s="37">
        <v>7142520</v>
      </c>
      <c r="F735" s="37" t="s">
        <v>667</v>
      </c>
      <c r="G735" s="79"/>
    </row>
    <row r="736" spans="1:8" hidden="1">
      <c r="A736" s="78">
        <v>42095</v>
      </c>
      <c r="B736" s="37" t="s">
        <v>166</v>
      </c>
      <c r="C736" s="1" t="s">
        <v>103</v>
      </c>
      <c r="D736" s="37" t="s">
        <v>972</v>
      </c>
      <c r="E736" s="37">
        <v>1194885</v>
      </c>
      <c r="F736" s="37" t="s">
        <v>1228</v>
      </c>
      <c r="G736" s="79"/>
    </row>
    <row r="737" spans="1:8" hidden="1">
      <c r="A737" s="78">
        <v>42095</v>
      </c>
      <c r="B737" s="37" t="s">
        <v>166</v>
      </c>
      <c r="C737" s="1" t="s">
        <v>104</v>
      </c>
      <c r="D737" s="37" t="s">
        <v>972</v>
      </c>
      <c r="E737" s="37">
        <v>35329000</v>
      </c>
      <c r="F737" s="37" t="s">
        <v>1229</v>
      </c>
      <c r="G737" s="79"/>
      <c r="H737" s="361">
        <v>35329000</v>
      </c>
    </row>
    <row r="738" spans="1:8" hidden="1">
      <c r="A738" s="78">
        <v>42095</v>
      </c>
      <c r="B738" s="37" t="s">
        <v>166</v>
      </c>
      <c r="C738" s="1" t="s">
        <v>104</v>
      </c>
      <c r="D738" s="37" t="s">
        <v>972</v>
      </c>
      <c r="E738" s="37">
        <v>36771000</v>
      </c>
      <c r="F738" s="37" t="s">
        <v>1230</v>
      </c>
      <c r="G738" s="79"/>
      <c r="H738" s="361">
        <v>36771000</v>
      </c>
    </row>
    <row r="739" spans="1:8" hidden="1">
      <c r="A739" s="78">
        <v>42095</v>
      </c>
      <c r="B739" s="37" t="s">
        <v>166</v>
      </c>
      <c r="C739" s="1" t="s">
        <v>103</v>
      </c>
      <c r="D739" s="37" t="s">
        <v>972</v>
      </c>
      <c r="E739" s="37">
        <v>4326000</v>
      </c>
      <c r="F739" s="37" t="s">
        <v>1231</v>
      </c>
      <c r="G739" s="79"/>
    </row>
    <row r="740" spans="1:8" hidden="1">
      <c r="A740" s="78">
        <v>42095</v>
      </c>
      <c r="B740" s="37" t="s">
        <v>166</v>
      </c>
      <c r="C740" s="1" t="s">
        <v>171</v>
      </c>
      <c r="D740" s="37" t="s">
        <v>972</v>
      </c>
      <c r="E740" s="37">
        <v>1442000</v>
      </c>
      <c r="F740" s="37" t="s">
        <v>1232</v>
      </c>
      <c r="G740" s="79"/>
    </row>
    <row r="741" spans="1:8" hidden="1">
      <c r="A741" s="78">
        <v>42095</v>
      </c>
      <c r="B741" s="37" t="s">
        <v>619</v>
      </c>
      <c r="C741" s="1" t="s">
        <v>171</v>
      </c>
      <c r="D741" s="37" t="s">
        <v>92</v>
      </c>
      <c r="E741" s="37">
        <v>1008000</v>
      </c>
      <c r="F741" s="37" t="s">
        <v>725</v>
      </c>
      <c r="G741" s="79"/>
    </row>
    <row r="742" spans="1:8" hidden="1">
      <c r="A742" s="78">
        <v>42125</v>
      </c>
      <c r="B742" s="37" t="s">
        <v>55</v>
      </c>
      <c r="C742" s="1" t="s">
        <v>103</v>
      </c>
      <c r="D742" s="37" t="s">
        <v>972</v>
      </c>
      <c r="E742" s="37">
        <v>12337080</v>
      </c>
      <c r="F742" s="37" t="s">
        <v>1236</v>
      </c>
      <c r="G742" s="79"/>
    </row>
    <row r="743" spans="1:8" hidden="1">
      <c r="A743" s="78">
        <v>42095</v>
      </c>
      <c r="B743" s="37" t="s">
        <v>216</v>
      </c>
      <c r="C743" s="1" t="s">
        <v>215</v>
      </c>
      <c r="D743" s="37" t="s">
        <v>92</v>
      </c>
      <c r="E743" s="37">
        <v>335666</v>
      </c>
      <c r="F743" s="37" t="s">
        <v>335</v>
      </c>
      <c r="G743" s="79"/>
      <c r="H743" s="15">
        <f>E743/2*0.8</f>
        <v>134266.4</v>
      </c>
    </row>
    <row r="744" spans="1:8" hidden="1">
      <c r="A744" s="78">
        <v>42095</v>
      </c>
      <c r="B744" s="37" t="s">
        <v>218</v>
      </c>
      <c r="C744" s="1" t="s">
        <v>215</v>
      </c>
      <c r="D744" s="37" t="s">
        <v>92</v>
      </c>
      <c r="E744" s="37">
        <v>514282</v>
      </c>
      <c r="F744" s="37" t="s">
        <v>1237</v>
      </c>
      <c r="G744" s="79"/>
      <c r="H744" s="15">
        <f>E744/2*0.8</f>
        <v>205712.80000000002</v>
      </c>
    </row>
    <row r="745" spans="1:8" hidden="1">
      <c r="A745" s="78">
        <v>42095</v>
      </c>
      <c r="B745" s="37" t="s">
        <v>217</v>
      </c>
      <c r="C745" s="1" t="s">
        <v>215</v>
      </c>
      <c r="D745" s="37" t="s">
        <v>92</v>
      </c>
      <c r="E745" s="37">
        <v>8162467</v>
      </c>
      <c r="F745" s="37" t="s">
        <v>1237</v>
      </c>
      <c r="G745" s="79"/>
      <c r="H745" s="15">
        <f>E745/2*0.8</f>
        <v>3264986.8000000003</v>
      </c>
    </row>
    <row r="746" spans="1:8" hidden="1">
      <c r="A746" s="78">
        <v>42095</v>
      </c>
      <c r="B746" s="37" t="s">
        <v>566</v>
      </c>
      <c r="C746" s="1" t="s">
        <v>171</v>
      </c>
      <c r="D746" s="37" t="s">
        <v>92</v>
      </c>
      <c r="E746" s="37">
        <v>870000</v>
      </c>
      <c r="F746" s="37" t="s">
        <v>1240</v>
      </c>
      <c r="G746" s="79"/>
    </row>
    <row r="747" spans="1:8" hidden="1">
      <c r="A747" s="78">
        <v>42095</v>
      </c>
      <c r="B747" s="37" t="s">
        <v>566</v>
      </c>
      <c r="C747" s="1" t="s">
        <v>171</v>
      </c>
      <c r="D747" s="37" t="s">
        <v>92</v>
      </c>
      <c r="E747" s="37">
        <v>126000</v>
      </c>
      <c r="F747" s="37" t="s">
        <v>1243</v>
      </c>
      <c r="G747" s="79"/>
    </row>
    <row r="748" spans="1:8" hidden="1">
      <c r="A748" s="78">
        <v>42095</v>
      </c>
      <c r="B748" s="37" t="s">
        <v>566</v>
      </c>
      <c r="C748" s="1" t="s">
        <v>171</v>
      </c>
      <c r="D748" s="37" t="s">
        <v>92</v>
      </c>
      <c r="E748" s="37">
        <v>1452000</v>
      </c>
      <c r="F748" s="37" t="s">
        <v>1241</v>
      </c>
      <c r="G748" s="79"/>
    </row>
    <row r="749" spans="1:8" hidden="1">
      <c r="A749" s="78">
        <v>42095</v>
      </c>
      <c r="B749" s="37" t="s">
        <v>566</v>
      </c>
      <c r="C749" s="1" t="s">
        <v>171</v>
      </c>
      <c r="D749" s="37" t="s">
        <v>92</v>
      </c>
      <c r="E749" s="37">
        <v>72000</v>
      </c>
      <c r="F749" s="37" t="s">
        <v>1244</v>
      </c>
      <c r="G749" s="79"/>
    </row>
    <row r="750" spans="1:8" hidden="1">
      <c r="A750" s="78">
        <v>42125</v>
      </c>
      <c r="B750" s="37" t="s">
        <v>600</v>
      </c>
      <c r="C750" s="1" t="s">
        <v>171</v>
      </c>
      <c r="D750" s="37" t="s">
        <v>1107</v>
      </c>
      <c r="E750" s="37">
        <v>11059345</v>
      </c>
      <c r="F750" s="37" t="s">
        <v>335</v>
      </c>
      <c r="G750" s="79"/>
    </row>
    <row r="751" spans="1:8" hidden="1">
      <c r="A751" s="78">
        <v>42125</v>
      </c>
      <c r="B751" s="37" t="s">
        <v>600</v>
      </c>
      <c r="C751" s="1" t="s">
        <v>171</v>
      </c>
      <c r="D751" s="37" t="s">
        <v>1107</v>
      </c>
      <c r="E751" s="37">
        <v>3825000</v>
      </c>
      <c r="F751" s="37" t="s">
        <v>282</v>
      </c>
      <c r="G751" s="79"/>
    </row>
    <row r="752" spans="1:8" hidden="1">
      <c r="A752" s="78">
        <v>42095</v>
      </c>
      <c r="B752" s="37" t="s">
        <v>6</v>
      </c>
      <c r="C752" s="1" t="s">
        <v>103</v>
      </c>
      <c r="D752" s="37" t="s">
        <v>673</v>
      </c>
      <c r="E752" s="37">
        <v>1000020</v>
      </c>
      <c r="F752" s="37" t="s">
        <v>793</v>
      </c>
      <c r="G752" s="79"/>
    </row>
    <row r="753" spans="1:8" hidden="1">
      <c r="A753" s="78">
        <v>42095</v>
      </c>
      <c r="B753" s="37" t="s">
        <v>6</v>
      </c>
      <c r="C753" s="1" t="s">
        <v>215</v>
      </c>
      <c r="D753" s="37" t="s">
        <v>673</v>
      </c>
      <c r="E753" s="37">
        <v>2587136</v>
      </c>
      <c r="F753" s="37" t="s">
        <v>335</v>
      </c>
      <c r="G753" s="79"/>
      <c r="H753" s="15">
        <f>E753/2*0.8</f>
        <v>1034854.4</v>
      </c>
    </row>
    <row r="754" spans="1:8" hidden="1">
      <c r="A754" s="78">
        <v>42095</v>
      </c>
      <c r="B754" s="37" t="s">
        <v>619</v>
      </c>
      <c r="C754" s="1" t="s">
        <v>171</v>
      </c>
      <c r="D754" s="37" t="s">
        <v>92</v>
      </c>
      <c r="E754" s="37">
        <v>1008000</v>
      </c>
      <c r="F754" s="37" t="s">
        <v>1125</v>
      </c>
      <c r="G754" s="79"/>
    </row>
    <row r="755" spans="1:8" hidden="1">
      <c r="A755" s="78">
        <v>42125</v>
      </c>
      <c r="B755" s="37" t="s">
        <v>879</v>
      </c>
      <c r="C755" s="1" t="s">
        <v>171</v>
      </c>
      <c r="D755" s="37" t="s">
        <v>972</v>
      </c>
      <c r="E755" s="37">
        <f>9874992+8791600+8791600+8791600</f>
        <v>36249792</v>
      </c>
      <c r="F755" s="37" t="s">
        <v>1273</v>
      </c>
      <c r="G755" s="79"/>
    </row>
    <row r="756" spans="1:8" hidden="1">
      <c r="A756" s="78">
        <v>42125</v>
      </c>
      <c r="B756" s="37" t="s">
        <v>879</v>
      </c>
      <c r="C756" s="1" t="s">
        <v>171</v>
      </c>
      <c r="D756" s="37" t="s">
        <v>972</v>
      </c>
      <c r="E756" s="37">
        <v>709000</v>
      </c>
      <c r="F756" s="37" t="s">
        <v>1274</v>
      </c>
      <c r="G756" s="79"/>
    </row>
    <row r="757" spans="1:8" hidden="1">
      <c r="A757" s="78">
        <v>42125</v>
      </c>
      <c r="B757" s="37" t="s">
        <v>879</v>
      </c>
      <c r="C757" s="1" t="s">
        <v>104</v>
      </c>
      <c r="D757" s="37" t="s">
        <v>972</v>
      </c>
      <c r="E757" s="37">
        <v>709000</v>
      </c>
      <c r="F757" s="37" t="s">
        <v>1275</v>
      </c>
      <c r="G757" s="79"/>
      <c r="H757" s="361">
        <v>709000</v>
      </c>
    </row>
    <row r="758" spans="1:8" hidden="1">
      <c r="A758" s="78">
        <v>42125</v>
      </c>
      <c r="B758" s="37" t="s">
        <v>879</v>
      </c>
      <c r="C758" s="1" t="s">
        <v>103</v>
      </c>
      <c r="D758" s="37" t="s">
        <v>972</v>
      </c>
      <c r="E758" s="37">
        <v>876960</v>
      </c>
      <c r="F758" s="37" t="s">
        <v>1276</v>
      </c>
      <c r="G758" s="79"/>
    </row>
    <row r="759" spans="1:8" hidden="1">
      <c r="A759" s="78">
        <v>42125</v>
      </c>
      <c r="B759" s="37" t="s">
        <v>879</v>
      </c>
      <c r="C759" s="1" t="s">
        <v>104</v>
      </c>
      <c r="D759" s="37" t="s">
        <v>972</v>
      </c>
      <c r="E759" s="37">
        <v>1418000</v>
      </c>
      <c r="F759" s="37" t="s">
        <v>1277</v>
      </c>
      <c r="G759" s="79"/>
      <c r="H759" s="361">
        <v>1418000</v>
      </c>
    </row>
    <row r="760" spans="1:8" hidden="1">
      <c r="A760" s="78">
        <v>42125</v>
      </c>
      <c r="B760" s="37" t="s">
        <v>214</v>
      </c>
      <c r="C760" s="1" t="s">
        <v>215</v>
      </c>
      <c r="D760" s="37" t="s">
        <v>827</v>
      </c>
      <c r="E760" s="37">
        <v>981000</v>
      </c>
      <c r="F760" s="37" t="s">
        <v>791</v>
      </c>
      <c r="G760" s="79"/>
      <c r="H760" s="15">
        <f>E760/2*0.8</f>
        <v>392400</v>
      </c>
    </row>
    <row r="761" spans="1:8" hidden="1">
      <c r="A761" s="78">
        <v>42125</v>
      </c>
      <c r="B761" s="37" t="s">
        <v>6</v>
      </c>
      <c r="C761" s="1" t="s">
        <v>336</v>
      </c>
      <c r="D761" s="37" t="s">
        <v>673</v>
      </c>
      <c r="E761" s="37">
        <v>1000020</v>
      </c>
      <c r="F761" s="37" t="s">
        <v>793</v>
      </c>
      <c r="G761" s="79"/>
    </row>
    <row r="762" spans="1:8" hidden="1">
      <c r="A762" s="78">
        <v>42125</v>
      </c>
      <c r="B762" s="37" t="s">
        <v>790</v>
      </c>
      <c r="C762" s="1" t="s">
        <v>104</v>
      </c>
      <c r="D762" s="37" t="s">
        <v>92</v>
      </c>
      <c r="E762" s="37">
        <v>7466663</v>
      </c>
      <c r="F762" s="37" t="s">
        <v>1086</v>
      </c>
      <c r="G762" s="79"/>
      <c r="H762" s="361">
        <v>7466663</v>
      </c>
    </row>
    <row r="763" spans="1:8" hidden="1">
      <c r="A763" s="78">
        <v>42095</v>
      </c>
      <c r="B763" s="37" t="s">
        <v>826</v>
      </c>
      <c r="C763" s="1" t="s">
        <v>103</v>
      </c>
      <c r="D763" s="37" t="s">
        <v>1107</v>
      </c>
      <c r="E763" s="37">
        <v>280000</v>
      </c>
      <c r="F763" s="37" t="s">
        <v>1221</v>
      </c>
      <c r="G763" s="79"/>
    </row>
    <row r="764" spans="1:8" hidden="1">
      <c r="A764" s="78">
        <v>42095</v>
      </c>
      <c r="B764" s="37" t="s">
        <v>826</v>
      </c>
      <c r="C764" s="1" t="s">
        <v>103</v>
      </c>
      <c r="D764" s="37" t="s">
        <v>1107</v>
      </c>
      <c r="E764" s="37">
        <v>2700000</v>
      </c>
      <c r="F764" s="37" t="s">
        <v>1108</v>
      </c>
      <c r="G764" s="79"/>
    </row>
    <row r="765" spans="1:8" hidden="1">
      <c r="A765" s="78">
        <v>42125</v>
      </c>
      <c r="B765" s="37" t="s">
        <v>217</v>
      </c>
      <c r="C765" s="1" t="s">
        <v>104</v>
      </c>
      <c r="D765" s="37" t="s">
        <v>92</v>
      </c>
      <c r="E765" s="37">
        <v>2429300</v>
      </c>
      <c r="F765" s="37" t="s">
        <v>793</v>
      </c>
      <c r="G765" s="79"/>
      <c r="H765" s="361">
        <v>2429300</v>
      </c>
    </row>
    <row r="766" spans="1:8" hidden="1">
      <c r="A766" s="78">
        <v>42125</v>
      </c>
      <c r="B766" s="37" t="s">
        <v>217</v>
      </c>
      <c r="C766" s="1" t="s">
        <v>104</v>
      </c>
      <c r="D766" s="37" t="s">
        <v>92</v>
      </c>
      <c r="E766" s="37">
        <v>2459900</v>
      </c>
      <c r="F766" s="37" t="s">
        <v>793</v>
      </c>
      <c r="G766" s="79"/>
      <c r="H766" s="361">
        <v>2459900</v>
      </c>
    </row>
    <row r="767" spans="1:8" hidden="1">
      <c r="A767" s="78">
        <v>42125</v>
      </c>
      <c r="B767" s="37" t="s">
        <v>619</v>
      </c>
      <c r="C767" s="1" t="s">
        <v>171</v>
      </c>
      <c r="D767" s="37" t="s">
        <v>92</v>
      </c>
      <c r="E767" s="37">
        <v>378000</v>
      </c>
      <c r="F767" s="37" t="s">
        <v>1125</v>
      </c>
      <c r="G767" s="79"/>
    </row>
    <row r="768" spans="1:8" hidden="1">
      <c r="A768" s="78">
        <v>42125</v>
      </c>
      <c r="B768" s="37" t="s">
        <v>172</v>
      </c>
      <c r="C768" s="1" t="s">
        <v>103</v>
      </c>
      <c r="D768" s="37" t="s">
        <v>972</v>
      </c>
      <c r="E768" s="37">
        <v>1806000</v>
      </c>
      <c r="F768" s="37" t="s">
        <v>1284</v>
      </c>
      <c r="G768" s="79"/>
    </row>
    <row r="769" spans="1:8" hidden="1">
      <c r="A769" s="78">
        <v>42125</v>
      </c>
      <c r="B769" s="37" t="s">
        <v>172</v>
      </c>
      <c r="C769" s="1" t="s">
        <v>103</v>
      </c>
      <c r="D769" s="37" t="s">
        <v>972</v>
      </c>
      <c r="E769" s="37">
        <v>1083600</v>
      </c>
      <c r="F769" s="37" t="s">
        <v>1285</v>
      </c>
      <c r="G769" s="79"/>
    </row>
    <row r="770" spans="1:8" hidden="1">
      <c r="A770" s="78">
        <v>42125</v>
      </c>
      <c r="B770" s="37" t="s">
        <v>172</v>
      </c>
      <c r="C770" s="1" t="s">
        <v>103</v>
      </c>
      <c r="D770" s="37" t="s">
        <v>972</v>
      </c>
      <c r="E770" s="37">
        <v>5237400</v>
      </c>
      <c r="F770" s="37" t="s">
        <v>695</v>
      </c>
      <c r="G770" s="79"/>
    </row>
    <row r="771" spans="1:8" hidden="1">
      <c r="A771" s="78">
        <v>42125</v>
      </c>
      <c r="B771" s="37" t="s">
        <v>172</v>
      </c>
      <c r="C771" s="1" t="s">
        <v>104</v>
      </c>
      <c r="D771" s="37" t="s">
        <v>972</v>
      </c>
      <c r="E771" s="37">
        <v>10113600</v>
      </c>
      <c r="F771" s="37" t="s">
        <v>1286</v>
      </c>
      <c r="G771" s="79"/>
      <c r="H771" s="15">
        <f>E771/2</f>
        <v>5056800</v>
      </c>
    </row>
    <row r="772" spans="1:8" hidden="1">
      <c r="A772" s="78">
        <v>42125</v>
      </c>
      <c r="B772" s="37" t="s">
        <v>172</v>
      </c>
      <c r="C772" s="1" t="s">
        <v>171</v>
      </c>
      <c r="D772" s="37" t="s">
        <v>972</v>
      </c>
      <c r="E772" s="37">
        <v>6682200</v>
      </c>
      <c r="F772" s="37" t="s">
        <v>1287</v>
      </c>
      <c r="G772" s="79"/>
    </row>
    <row r="773" spans="1:8" hidden="1">
      <c r="A773" s="78">
        <v>42125</v>
      </c>
      <c r="B773" s="37" t="s">
        <v>172</v>
      </c>
      <c r="C773" s="1" t="s">
        <v>103</v>
      </c>
      <c r="D773" s="37" t="s">
        <v>972</v>
      </c>
      <c r="E773" s="37">
        <v>7224000</v>
      </c>
      <c r="F773" s="37" t="s">
        <v>1288</v>
      </c>
      <c r="G773" s="79"/>
    </row>
    <row r="774" spans="1:8" hidden="1">
      <c r="A774" s="78">
        <v>42125</v>
      </c>
      <c r="B774" s="37" t="s">
        <v>172</v>
      </c>
      <c r="C774" s="1" t="s">
        <v>171</v>
      </c>
      <c r="D774" s="37" t="s">
        <v>972</v>
      </c>
      <c r="E774" s="37">
        <v>722400</v>
      </c>
      <c r="F774" s="37" t="s">
        <v>1289</v>
      </c>
      <c r="G774" s="79"/>
    </row>
    <row r="775" spans="1:8" hidden="1">
      <c r="A775" s="78">
        <v>42156</v>
      </c>
      <c r="B775" s="37" t="s">
        <v>55</v>
      </c>
      <c r="C775" s="1" t="s">
        <v>1290</v>
      </c>
      <c r="D775" s="37" t="s">
        <v>972</v>
      </c>
      <c r="E775" s="37">
        <v>16241000</v>
      </c>
      <c r="F775" s="37" t="s">
        <v>1291</v>
      </c>
      <c r="G775" s="79"/>
    </row>
    <row r="776" spans="1:8" hidden="1">
      <c r="A776" s="78">
        <v>42125</v>
      </c>
      <c r="B776" s="37" t="s">
        <v>566</v>
      </c>
      <c r="C776" s="1" t="s">
        <v>171</v>
      </c>
      <c r="D776" s="37" t="s">
        <v>92</v>
      </c>
      <c r="E776" s="37">
        <v>2730000</v>
      </c>
      <c r="F776" s="37" t="s">
        <v>335</v>
      </c>
      <c r="G776" s="79"/>
    </row>
    <row r="777" spans="1:8" hidden="1">
      <c r="A777" s="78">
        <v>42125</v>
      </c>
      <c r="B777" s="37" t="s">
        <v>566</v>
      </c>
      <c r="C777" s="1" t="s">
        <v>171</v>
      </c>
      <c r="D777" s="37" t="s">
        <v>92</v>
      </c>
      <c r="E777" s="37">
        <v>390000</v>
      </c>
      <c r="F777" s="37" t="s">
        <v>335</v>
      </c>
      <c r="G777" s="79"/>
    </row>
    <row r="778" spans="1:8" hidden="1">
      <c r="A778" s="78">
        <v>42125</v>
      </c>
      <c r="B778" s="37" t="s">
        <v>566</v>
      </c>
      <c r="C778" s="1" t="s">
        <v>171</v>
      </c>
      <c r="D778" s="37" t="s">
        <v>92</v>
      </c>
      <c r="E778" s="37">
        <v>1548000</v>
      </c>
      <c r="F778" s="37" t="s">
        <v>335</v>
      </c>
      <c r="G778" s="79"/>
    </row>
    <row r="779" spans="1:8" hidden="1">
      <c r="A779" s="78">
        <v>42125</v>
      </c>
      <c r="B779" s="37" t="s">
        <v>566</v>
      </c>
      <c r="C779" s="1" t="s">
        <v>171</v>
      </c>
      <c r="D779" s="37" t="s">
        <v>92</v>
      </c>
      <c r="E779" s="37">
        <v>222000</v>
      </c>
      <c r="F779" s="37" t="s">
        <v>335</v>
      </c>
      <c r="G779" s="79"/>
    </row>
    <row r="780" spans="1:8" hidden="1">
      <c r="A780" s="78">
        <v>42125</v>
      </c>
      <c r="B780" s="37" t="s">
        <v>826</v>
      </c>
      <c r="C780" s="1" t="s">
        <v>103</v>
      </c>
      <c r="D780" s="37" t="s">
        <v>827</v>
      </c>
      <c r="E780" s="37">
        <v>3100000</v>
      </c>
      <c r="F780" s="37" t="s">
        <v>92</v>
      </c>
      <c r="G780" s="79"/>
    </row>
    <row r="781" spans="1:8" hidden="1">
      <c r="A781" s="78">
        <v>42095</v>
      </c>
      <c r="B781" s="37" t="s">
        <v>6</v>
      </c>
      <c r="C781" s="1" t="s">
        <v>215</v>
      </c>
      <c r="D781" s="37" t="s">
        <v>673</v>
      </c>
      <c r="E781" s="37">
        <v>8382348</v>
      </c>
      <c r="F781" s="37" t="s">
        <v>335</v>
      </c>
      <c r="G781" s="79"/>
      <c r="H781" s="15">
        <f>E781/2*0.8</f>
        <v>3352939.2</v>
      </c>
    </row>
    <row r="782" spans="1:8" hidden="1">
      <c r="A782" s="78">
        <v>42125</v>
      </c>
      <c r="B782" s="37" t="s">
        <v>217</v>
      </c>
      <c r="C782" s="1" t="s">
        <v>215</v>
      </c>
      <c r="D782" s="37" t="s">
        <v>92</v>
      </c>
      <c r="E782" s="37">
        <v>29478551</v>
      </c>
      <c r="F782" s="37" t="s">
        <v>335</v>
      </c>
      <c r="G782" s="79"/>
      <c r="H782" s="15">
        <f>E782/2*0.8</f>
        <v>11791420.4</v>
      </c>
    </row>
    <row r="783" spans="1:8" hidden="1">
      <c r="A783" s="78">
        <v>42156</v>
      </c>
      <c r="B783" s="37" t="s">
        <v>211</v>
      </c>
      <c r="C783" s="1" t="s">
        <v>103</v>
      </c>
      <c r="D783" s="37" t="s">
        <v>92</v>
      </c>
      <c r="E783" s="37">
        <v>144000</v>
      </c>
      <c r="F783" s="37" t="s">
        <v>335</v>
      </c>
      <c r="G783" s="79"/>
    </row>
    <row r="784" spans="1:8" hidden="1">
      <c r="A784" s="78">
        <v>42156</v>
      </c>
      <c r="B784" s="37" t="s">
        <v>214</v>
      </c>
      <c r="C784" s="1" t="s">
        <v>215</v>
      </c>
      <c r="D784" s="37" t="s">
        <v>827</v>
      </c>
      <c r="E784" s="37">
        <v>23868000</v>
      </c>
      <c r="F784" s="37" t="s">
        <v>335</v>
      </c>
      <c r="G784" s="79"/>
      <c r="H784" s="15">
        <f>E784/2*0.8</f>
        <v>9547200</v>
      </c>
    </row>
    <row r="785" spans="1:8" hidden="1">
      <c r="A785" s="78">
        <v>42156</v>
      </c>
      <c r="B785" s="37" t="s">
        <v>214</v>
      </c>
      <c r="C785" s="1" t="s">
        <v>104</v>
      </c>
      <c r="D785" s="37" t="s">
        <v>827</v>
      </c>
      <c r="E785" s="37">
        <v>2376000</v>
      </c>
      <c r="F785" s="37" t="s">
        <v>557</v>
      </c>
      <c r="G785" s="79"/>
      <c r="H785" s="361">
        <v>2376000</v>
      </c>
    </row>
    <row r="786" spans="1:8" hidden="1">
      <c r="A786" s="78">
        <v>42156</v>
      </c>
      <c r="B786" s="37" t="s">
        <v>214</v>
      </c>
      <c r="C786" s="1" t="s">
        <v>103</v>
      </c>
      <c r="D786" s="37" t="s">
        <v>827</v>
      </c>
      <c r="E786" s="37">
        <v>2376000</v>
      </c>
      <c r="F786" s="37" t="s">
        <v>557</v>
      </c>
      <c r="G786" s="79"/>
    </row>
    <row r="787" spans="1:8" hidden="1">
      <c r="A787" s="106">
        <v>42156</v>
      </c>
      <c r="B787" s="107" t="s">
        <v>172</v>
      </c>
      <c r="C787" s="31" t="s">
        <v>103</v>
      </c>
      <c r="D787" s="107" t="s">
        <v>972</v>
      </c>
      <c r="E787" s="107">
        <v>7224000</v>
      </c>
      <c r="F787" s="107" t="s">
        <v>1288</v>
      </c>
      <c r="G787" s="79"/>
    </row>
    <row r="788" spans="1:8" hidden="1">
      <c r="A788" s="106">
        <v>42156</v>
      </c>
      <c r="B788" s="107" t="s">
        <v>172</v>
      </c>
      <c r="C788" s="31" t="s">
        <v>103</v>
      </c>
      <c r="D788" s="107" t="s">
        <v>972</v>
      </c>
      <c r="E788" s="107">
        <v>1625400</v>
      </c>
      <c r="F788" s="107" t="s">
        <v>1303</v>
      </c>
      <c r="G788" s="79"/>
    </row>
    <row r="789" spans="1:8" hidden="1">
      <c r="A789" s="106">
        <v>42156</v>
      </c>
      <c r="B789" s="107" t="s">
        <v>172</v>
      </c>
      <c r="C789" s="31" t="s">
        <v>103</v>
      </c>
      <c r="D789" s="107" t="s">
        <v>972</v>
      </c>
      <c r="E789" s="107">
        <v>5418000</v>
      </c>
      <c r="F789" s="107" t="s">
        <v>1304</v>
      </c>
      <c r="G789" s="79"/>
    </row>
    <row r="790" spans="1:8" hidden="1">
      <c r="A790" s="78">
        <v>42156</v>
      </c>
      <c r="B790" s="37" t="s">
        <v>172</v>
      </c>
      <c r="C790" s="1" t="s">
        <v>103</v>
      </c>
      <c r="D790" s="37" t="s">
        <v>972</v>
      </c>
      <c r="E790" s="37">
        <v>1625400</v>
      </c>
      <c r="F790" s="37" t="s">
        <v>1305</v>
      </c>
      <c r="G790" s="79"/>
    </row>
    <row r="791" spans="1:8" hidden="1">
      <c r="A791" s="106">
        <v>42156</v>
      </c>
      <c r="B791" s="107" t="s">
        <v>172</v>
      </c>
      <c r="C791" s="31" t="s">
        <v>171</v>
      </c>
      <c r="D791" s="107" t="s">
        <v>972</v>
      </c>
      <c r="E791" s="107">
        <v>6682200</v>
      </c>
      <c r="F791" s="107" t="s">
        <v>1287</v>
      </c>
      <c r="G791" s="79"/>
    </row>
    <row r="792" spans="1:8" hidden="1">
      <c r="A792" s="106">
        <v>42156</v>
      </c>
      <c r="B792" s="107" t="s">
        <v>172</v>
      </c>
      <c r="C792" s="31" t="s">
        <v>171</v>
      </c>
      <c r="D792" s="107" t="s">
        <v>972</v>
      </c>
      <c r="E792" s="107">
        <v>7224000</v>
      </c>
      <c r="F792" s="107" t="s">
        <v>1306</v>
      </c>
      <c r="G792" s="79"/>
    </row>
    <row r="793" spans="1:8" hidden="1">
      <c r="A793" s="106">
        <v>42156</v>
      </c>
      <c r="B793" s="107" t="s">
        <v>172</v>
      </c>
      <c r="C793" s="31" t="s">
        <v>104</v>
      </c>
      <c r="D793" s="107" t="s">
        <v>972</v>
      </c>
      <c r="E793" s="107">
        <v>10655400</v>
      </c>
      <c r="F793" s="107" t="s">
        <v>1307</v>
      </c>
      <c r="G793" s="79"/>
      <c r="H793" s="15">
        <f>E793/2</f>
        <v>5327700</v>
      </c>
    </row>
    <row r="794" spans="1:8" hidden="1">
      <c r="A794" s="78">
        <v>42156</v>
      </c>
      <c r="B794" s="37" t="s">
        <v>217</v>
      </c>
      <c r="C794" s="1" t="s">
        <v>171</v>
      </c>
      <c r="D794" s="37" t="s">
        <v>92</v>
      </c>
      <c r="E794" s="37">
        <v>3825000</v>
      </c>
      <c r="F794" s="37" t="s">
        <v>434</v>
      </c>
      <c r="G794" s="79"/>
    </row>
    <row r="795" spans="1:8" hidden="1">
      <c r="A795" s="78">
        <v>42156</v>
      </c>
      <c r="B795" s="37" t="s">
        <v>217</v>
      </c>
      <c r="C795" s="1" t="s">
        <v>215</v>
      </c>
      <c r="D795" s="37" t="s">
        <v>92</v>
      </c>
      <c r="E795" s="37">
        <v>13496000</v>
      </c>
      <c r="F795" s="37" t="s">
        <v>335</v>
      </c>
      <c r="G795" s="79"/>
      <c r="H795" s="15">
        <f>E795/2*0.8</f>
        <v>5398400</v>
      </c>
    </row>
    <row r="796" spans="1:8" hidden="1">
      <c r="A796" s="78">
        <v>42156</v>
      </c>
      <c r="B796" s="37" t="s">
        <v>166</v>
      </c>
      <c r="C796" s="1" t="s">
        <v>171</v>
      </c>
      <c r="D796" s="37" t="s">
        <v>972</v>
      </c>
      <c r="E796" s="37">
        <v>750000</v>
      </c>
      <c r="F796" s="37" t="s">
        <v>1308</v>
      </c>
      <c r="G796" s="79">
        <v>125000</v>
      </c>
      <c r="H796">
        <f>G796/(E796-G796)</f>
        <v>0.2</v>
      </c>
    </row>
    <row r="797" spans="1:8" hidden="1">
      <c r="A797" s="78">
        <v>42156</v>
      </c>
      <c r="B797" s="37" t="s">
        <v>166</v>
      </c>
      <c r="C797" s="1" t="s">
        <v>104</v>
      </c>
      <c r="D797" s="37" t="s">
        <v>972</v>
      </c>
      <c r="E797" s="37">
        <v>18765000</v>
      </c>
      <c r="F797" s="37" t="s">
        <v>1309</v>
      </c>
      <c r="G797" s="79"/>
      <c r="H797" s="361">
        <v>18765000</v>
      </c>
    </row>
    <row r="798" spans="1:8" hidden="1">
      <c r="A798" s="78">
        <v>42156</v>
      </c>
      <c r="B798" s="37" t="s">
        <v>166</v>
      </c>
      <c r="C798" s="1" t="s">
        <v>171</v>
      </c>
      <c r="D798" s="37" t="s">
        <v>972</v>
      </c>
      <c r="E798" s="37">
        <v>36840000</v>
      </c>
      <c r="F798" s="37" t="s">
        <v>1311</v>
      </c>
      <c r="G798" s="79">
        <v>6140000</v>
      </c>
      <c r="H798">
        <f>G798/(E798-G798)</f>
        <v>0.2</v>
      </c>
    </row>
    <row r="799" spans="1:8" hidden="1">
      <c r="A799" s="78">
        <v>42156</v>
      </c>
      <c r="B799" s="37" t="s">
        <v>166</v>
      </c>
      <c r="C799" s="1" t="s">
        <v>103</v>
      </c>
      <c r="D799" s="37" t="s">
        <v>972</v>
      </c>
      <c r="E799" s="37">
        <v>2445000</v>
      </c>
      <c r="F799" s="37" t="s">
        <v>1310</v>
      </c>
      <c r="G799" s="79">
        <v>407500</v>
      </c>
      <c r="H799">
        <f>G799/(E799-G799)</f>
        <v>0.2</v>
      </c>
    </row>
    <row r="800" spans="1:8" hidden="1">
      <c r="A800" s="78">
        <v>42156</v>
      </c>
      <c r="B800" s="37" t="s">
        <v>166</v>
      </c>
      <c r="C800" s="1" t="s">
        <v>104</v>
      </c>
      <c r="D800" s="37" t="s">
        <v>972</v>
      </c>
      <c r="E800" s="37">
        <v>36840000</v>
      </c>
      <c r="F800" s="37" t="s">
        <v>1312</v>
      </c>
      <c r="G800" s="79"/>
      <c r="H800" s="361">
        <v>36840000</v>
      </c>
    </row>
    <row r="801" spans="1:8" hidden="1">
      <c r="A801" s="78">
        <v>42156</v>
      </c>
      <c r="B801" s="37" t="s">
        <v>166</v>
      </c>
      <c r="C801" s="1" t="s">
        <v>104</v>
      </c>
      <c r="D801" s="37" t="s">
        <v>972</v>
      </c>
      <c r="E801" s="37">
        <v>2325000</v>
      </c>
      <c r="F801" s="37" t="s">
        <v>1313</v>
      </c>
      <c r="G801" s="79"/>
      <c r="H801" s="361">
        <v>2325000</v>
      </c>
    </row>
    <row r="802" spans="1:8" hidden="1">
      <c r="A802" s="78">
        <v>42156</v>
      </c>
      <c r="B802" s="37" t="s">
        <v>6</v>
      </c>
      <c r="C802" s="1" t="s">
        <v>104</v>
      </c>
      <c r="D802" s="37" t="s">
        <v>673</v>
      </c>
      <c r="E802" s="37">
        <v>1000020</v>
      </c>
      <c r="F802" s="37" t="s">
        <v>1323</v>
      </c>
      <c r="G802" s="79"/>
      <c r="H802" s="361">
        <v>1000020</v>
      </c>
    </row>
    <row r="803" spans="1:8" hidden="1">
      <c r="A803" s="78">
        <v>42156</v>
      </c>
      <c r="B803" s="37" t="s">
        <v>566</v>
      </c>
      <c r="C803" s="1" t="s">
        <v>171</v>
      </c>
      <c r="D803" s="37" t="s">
        <v>92</v>
      </c>
      <c r="E803" s="37">
        <v>3222000</v>
      </c>
      <c r="F803" s="37" t="s">
        <v>1240</v>
      </c>
      <c r="G803" s="79"/>
    </row>
    <row r="804" spans="1:8" hidden="1">
      <c r="A804" s="78">
        <v>42156</v>
      </c>
      <c r="B804" s="37" t="s">
        <v>566</v>
      </c>
      <c r="C804" s="1" t="s">
        <v>171</v>
      </c>
      <c r="D804" s="37" t="s">
        <v>92</v>
      </c>
      <c r="E804" s="37">
        <v>456000</v>
      </c>
      <c r="F804" s="37" t="s">
        <v>1324</v>
      </c>
      <c r="G804" s="79"/>
    </row>
    <row r="805" spans="1:8" hidden="1">
      <c r="A805" s="78">
        <v>42156</v>
      </c>
      <c r="B805" s="37" t="s">
        <v>566</v>
      </c>
      <c r="C805" s="1" t="s">
        <v>171</v>
      </c>
      <c r="D805" s="37" t="s">
        <v>92</v>
      </c>
      <c r="E805" s="37">
        <v>1866000</v>
      </c>
      <c r="F805" s="37" t="s">
        <v>1241</v>
      </c>
      <c r="G805" s="79"/>
    </row>
    <row r="806" spans="1:8" hidden="1">
      <c r="A806" s="78">
        <v>42156</v>
      </c>
      <c r="B806" s="37" t="s">
        <v>566</v>
      </c>
      <c r="C806" s="1" t="s">
        <v>171</v>
      </c>
      <c r="D806" s="37" t="s">
        <v>92</v>
      </c>
      <c r="E806" s="37">
        <v>264000</v>
      </c>
      <c r="F806" s="37" t="s">
        <v>1324</v>
      </c>
      <c r="G806" s="79"/>
    </row>
    <row r="807" spans="1:8" hidden="1">
      <c r="A807" s="78">
        <v>42156</v>
      </c>
      <c r="B807" s="37" t="s">
        <v>790</v>
      </c>
      <c r="C807" s="1" t="s">
        <v>104</v>
      </c>
      <c r="D807" s="37" t="s">
        <v>92</v>
      </c>
      <c r="E807" s="37">
        <v>8175062</v>
      </c>
      <c r="F807" s="37" t="s">
        <v>791</v>
      </c>
      <c r="G807" s="79"/>
      <c r="H807" s="15">
        <f>E807/2</f>
        <v>4087531</v>
      </c>
    </row>
    <row r="808" spans="1:8" hidden="1">
      <c r="A808" s="78">
        <v>42156</v>
      </c>
      <c r="B808" s="37" t="s">
        <v>1330</v>
      </c>
      <c r="C808" s="1" t="s">
        <v>104</v>
      </c>
      <c r="D808" s="37" t="s">
        <v>1331</v>
      </c>
      <c r="E808" s="342">
        <v>1000000</v>
      </c>
      <c r="F808" s="37" t="s">
        <v>793</v>
      </c>
      <c r="G808" s="79"/>
    </row>
    <row r="809" spans="1:8" hidden="1">
      <c r="A809" s="78">
        <v>42156</v>
      </c>
      <c r="B809" s="37" t="s">
        <v>973</v>
      </c>
      <c r="C809" s="1" t="s">
        <v>215</v>
      </c>
      <c r="D809" s="37" t="s">
        <v>974</v>
      </c>
      <c r="E809" s="37">
        <v>5767200</v>
      </c>
      <c r="F809" s="37" t="s">
        <v>335</v>
      </c>
      <c r="G809" s="79"/>
    </row>
    <row r="810" spans="1:8" hidden="1">
      <c r="A810" s="78">
        <v>42186</v>
      </c>
      <c r="B810" s="37" t="s">
        <v>217</v>
      </c>
      <c r="C810" s="1" t="s">
        <v>104</v>
      </c>
      <c r="D810" s="37" t="s">
        <v>92</v>
      </c>
      <c r="E810" s="37">
        <v>5100000</v>
      </c>
      <c r="F810" s="37" t="s">
        <v>557</v>
      </c>
      <c r="G810" s="79"/>
    </row>
    <row r="811" spans="1:8" hidden="1">
      <c r="A811" s="78">
        <v>42156</v>
      </c>
      <c r="B811" s="37" t="s">
        <v>217</v>
      </c>
      <c r="C811" s="1" t="s">
        <v>215</v>
      </c>
      <c r="D811" s="37" t="s">
        <v>92</v>
      </c>
      <c r="E811" s="37">
        <v>25604088</v>
      </c>
      <c r="F811" s="37" t="s">
        <v>1334</v>
      </c>
      <c r="G811" s="79"/>
    </row>
    <row r="812" spans="1:8" hidden="1">
      <c r="A812" s="78">
        <v>42156</v>
      </c>
      <c r="B812" s="37" t="s">
        <v>619</v>
      </c>
      <c r="C812" s="1" t="s">
        <v>171</v>
      </c>
      <c r="D812" s="37" t="s">
        <v>92</v>
      </c>
      <c r="E812" s="37">
        <v>1512000</v>
      </c>
      <c r="F812" s="37" t="s">
        <v>910</v>
      </c>
      <c r="G812" s="79"/>
    </row>
    <row r="813" spans="1:8" hidden="1">
      <c r="A813" s="78">
        <v>42156</v>
      </c>
      <c r="B813" s="37" t="s">
        <v>619</v>
      </c>
      <c r="C813" s="1" t="s">
        <v>171</v>
      </c>
      <c r="D813" s="37" t="s">
        <v>92</v>
      </c>
      <c r="E813" s="37">
        <v>2732688</v>
      </c>
      <c r="F813" s="37" t="s">
        <v>1335</v>
      </c>
      <c r="G813" s="79"/>
    </row>
    <row r="814" spans="1:8" hidden="1">
      <c r="A814" s="78">
        <v>42156</v>
      </c>
      <c r="B814" s="37" t="s">
        <v>98</v>
      </c>
      <c r="C814" s="1" t="s">
        <v>104</v>
      </c>
      <c r="D814" s="37" t="s">
        <v>92</v>
      </c>
      <c r="E814" s="37">
        <v>1550000</v>
      </c>
      <c r="F814" s="37" t="s">
        <v>282</v>
      </c>
      <c r="G814" s="79"/>
    </row>
    <row r="815" spans="1:8" hidden="1">
      <c r="A815" s="78">
        <v>42156</v>
      </c>
      <c r="B815" s="37" t="s">
        <v>826</v>
      </c>
      <c r="C815" s="1" t="s">
        <v>103</v>
      </c>
      <c r="D815" s="37" t="s">
        <v>1107</v>
      </c>
      <c r="E815" s="37">
        <v>3180000</v>
      </c>
      <c r="F815" s="37" t="s">
        <v>1336</v>
      </c>
      <c r="G815" s="79"/>
    </row>
    <row r="816" spans="1:8" hidden="1">
      <c r="A816" s="78">
        <v>42156</v>
      </c>
      <c r="B816" s="37" t="s">
        <v>55</v>
      </c>
      <c r="C816" s="1" t="s">
        <v>631</v>
      </c>
      <c r="D816" s="37" t="s">
        <v>972</v>
      </c>
      <c r="E816" s="371">
        <v>7000000</v>
      </c>
      <c r="F816" s="37" t="s">
        <v>717</v>
      </c>
      <c r="G816" s="79"/>
    </row>
    <row r="817" spans="1:7" hidden="1">
      <c r="A817" s="78">
        <v>42156</v>
      </c>
      <c r="B817" s="37" t="s">
        <v>55</v>
      </c>
      <c r="C817" s="1" t="s">
        <v>103</v>
      </c>
      <c r="D817" s="37" t="s">
        <v>972</v>
      </c>
      <c r="E817" s="371">
        <v>7000000</v>
      </c>
      <c r="F817" s="37" t="s">
        <v>1236</v>
      </c>
      <c r="G817" s="79"/>
    </row>
    <row r="818" spans="1:7" hidden="1">
      <c r="A818" s="78">
        <v>42156</v>
      </c>
      <c r="B818" s="37" t="s">
        <v>55</v>
      </c>
      <c r="C818" s="1"/>
      <c r="D818" s="37" t="s">
        <v>972</v>
      </c>
      <c r="E818" s="371">
        <f>17113000-E816-E817</f>
        <v>3113000</v>
      </c>
      <c r="F818" s="37" t="s">
        <v>1337</v>
      </c>
      <c r="G818" s="79"/>
    </row>
    <row r="819" spans="1:7" hidden="1">
      <c r="A819" s="78">
        <v>42156</v>
      </c>
      <c r="B819" s="37" t="s">
        <v>293</v>
      </c>
      <c r="C819" s="1" t="s">
        <v>103</v>
      </c>
      <c r="D819" s="37" t="s">
        <v>1107</v>
      </c>
      <c r="E819" s="37">
        <v>4603800</v>
      </c>
      <c r="F819" s="37" t="s">
        <v>1338</v>
      </c>
      <c r="G819" s="79"/>
    </row>
    <row r="820" spans="1:7" hidden="1">
      <c r="A820" s="78">
        <v>42186</v>
      </c>
      <c r="B820" s="37" t="s">
        <v>600</v>
      </c>
      <c r="C820" s="1" t="s">
        <v>171</v>
      </c>
      <c r="D820" s="37" t="s">
        <v>1107</v>
      </c>
      <c r="E820" s="37">
        <v>30670152</v>
      </c>
      <c r="F820" s="37" t="s">
        <v>1339</v>
      </c>
      <c r="G820" s="79"/>
    </row>
    <row r="821" spans="1:7" hidden="1">
      <c r="A821" s="78">
        <v>42156</v>
      </c>
      <c r="B821" s="37" t="s">
        <v>172</v>
      </c>
      <c r="C821" s="1" t="s">
        <v>104</v>
      </c>
      <c r="D821" s="37" t="s">
        <v>972</v>
      </c>
      <c r="E821" s="37">
        <v>1806000</v>
      </c>
      <c r="F821" s="37" t="s">
        <v>1308</v>
      </c>
      <c r="G821" s="79"/>
    </row>
    <row r="822" spans="1:7" hidden="1">
      <c r="A822" s="78">
        <v>42186</v>
      </c>
      <c r="B822" s="37" t="s">
        <v>55</v>
      </c>
      <c r="C822" s="1" t="s">
        <v>1340</v>
      </c>
      <c r="D822" s="37" t="s">
        <v>972</v>
      </c>
      <c r="E822" s="37">
        <f>10138000+6975000</f>
        <v>17113000</v>
      </c>
      <c r="F822" s="37" t="s">
        <v>1341</v>
      </c>
      <c r="G822" s="79"/>
    </row>
    <row r="823" spans="1:7" hidden="1">
      <c r="A823" s="78">
        <v>42156</v>
      </c>
      <c r="B823" s="37" t="s">
        <v>1330</v>
      </c>
      <c r="C823" s="1" t="s">
        <v>215</v>
      </c>
      <c r="D823" s="37" t="s">
        <v>1331</v>
      </c>
      <c r="E823" s="37">
        <v>863791</v>
      </c>
      <c r="F823" s="37" t="s">
        <v>1352</v>
      </c>
      <c r="G823" s="79"/>
    </row>
    <row r="824" spans="1:7" hidden="1">
      <c r="A824" s="78">
        <v>42156</v>
      </c>
      <c r="B824" s="37" t="s">
        <v>6</v>
      </c>
      <c r="C824" s="1" t="s">
        <v>215</v>
      </c>
      <c r="D824" s="37" t="s">
        <v>673</v>
      </c>
      <c r="E824" s="37">
        <v>4345458</v>
      </c>
      <c r="F824" s="37" t="s">
        <v>335</v>
      </c>
      <c r="G824" s="79"/>
    </row>
    <row r="825" spans="1:7" hidden="1">
      <c r="A825" s="78">
        <v>42186</v>
      </c>
      <c r="B825" s="37" t="s">
        <v>166</v>
      </c>
      <c r="C825" s="1" t="s">
        <v>104</v>
      </c>
      <c r="D825" s="37" t="s">
        <v>972</v>
      </c>
      <c r="E825" s="37">
        <v>750000</v>
      </c>
      <c r="F825" s="37" t="s">
        <v>1358</v>
      </c>
      <c r="G825" s="79"/>
    </row>
    <row r="826" spans="1:7" hidden="1">
      <c r="A826" s="78">
        <v>42186</v>
      </c>
      <c r="B826" s="37" t="s">
        <v>166</v>
      </c>
      <c r="C826" s="1" t="s">
        <v>104</v>
      </c>
      <c r="D826" s="37" t="s">
        <v>972</v>
      </c>
      <c r="E826" s="37">
        <v>750000</v>
      </c>
      <c r="F826" s="37" t="s">
        <v>1359</v>
      </c>
      <c r="G826" s="79"/>
    </row>
    <row r="827" spans="1:7" hidden="1">
      <c r="A827" s="78">
        <v>42186</v>
      </c>
      <c r="B827" s="37" t="s">
        <v>166</v>
      </c>
      <c r="C827" s="1" t="s">
        <v>104</v>
      </c>
      <c r="D827" s="37" t="s">
        <v>972</v>
      </c>
      <c r="E827" s="37">
        <v>6900000</v>
      </c>
      <c r="F827" s="37" t="s">
        <v>1360</v>
      </c>
      <c r="G827" s="79"/>
    </row>
    <row r="828" spans="1:7" hidden="1">
      <c r="A828" s="78">
        <v>42186</v>
      </c>
      <c r="B828" s="37" t="s">
        <v>172</v>
      </c>
      <c r="C828" s="1" t="s">
        <v>171</v>
      </c>
      <c r="D828" s="37" t="s">
        <v>972</v>
      </c>
      <c r="E828" s="37">
        <v>722400</v>
      </c>
      <c r="F828" s="37" t="s">
        <v>1365</v>
      </c>
      <c r="G828" s="79"/>
    </row>
    <row r="829" spans="1:7" hidden="1">
      <c r="A829" s="78">
        <v>42186</v>
      </c>
      <c r="B829" s="37" t="s">
        <v>172</v>
      </c>
      <c r="C829" s="1" t="s">
        <v>103</v>
      </c>
      <c r="D829" s="37" t="s">
        <v>972</v>
      </c>
      <c r="E829" s="37">
        <v>1083600</v>
      </c>
      <c r="F829" s="37" t="s">
        <v>1187</v>
      </c>
      <c r="G829" s="79"/>
    </row>
    <row r="830" spans="1:7" hidden="1">
      <c r="A830" s="78">
        <v>42186</v>
      </c>
      <c r="B830" s="37" t="s">
        <v>172</v>
      </c>
      <c r="C830" s="1" t="s">
        <v>103</v>
      </c>
      <c r="D830" s="37" t="s">
        <v>972</v>
      </c>
      <c r="E830" s="37">
        <v>3250800</v>
      </c>
      <c r="F830" s="37" t="s">
        <v>1131</v>
      </c>
      <c r="G830" s="79"/>
    </row>
    <row r="831" spans="1:7" hidden="1">
      <c r="A831" s="78">
        <v>42186</v>
      </c>
      <c r="B831" s="37" t="s">
        <v>172</v>
      </c>
      <c r="C831" s="1" t="s">
        <v>104</v>
      </c>
      <c r="D831" s="37" t="s">
        <v>972</v>
      </c>
      <c r="E831" s="37">
        <v>7946400</v>
      </c>
      <c r="F831" s="37" t="s">
        <v>1366</v>
      </c>
      <c r="G831" s="79"/>
    </row>
    <row r="832" spans="1:7" hidden="1">
      <c r="A832" s="78">
        <v>42186</v>
      </c>
      <c r="B832" s="37" t="s">
        <v>172</v>
      </c>
      <c r="C832" s="1" t="s">
        <v>103</v>
      </c>
      <c r="D832" s="37" t="s">
        <v>972</v>
      </c>
      <c r="E832" s="37">
        <v>7404600</v>
      </c>
      <c r="F832" s="37" t="s">
        <v>1288</v>
      </c>
      <c r="G832" s="79"/>
    </row>
    <row r="833" spans="1:7" hidden="1">
      <c r="A833" s="78">
        <v>42186</v>
      </c>
      <c r="B833" s="37" t="s">
        <v>172</v>
      </c>
      <c r="C833" s="1" t="s">
        <v>171</v>
      </c>
      <c r="D833" s="37" t="s">
        <v>972</v>
      </c>
      <c r="E833" s="37">
        <v>7043400</v>
      </c>
      <c r="F833" s="37" t="s">
        <v>1159</v>
      </c>
      <c r="G833" s="79"/>
    </row>
    <row r="834" spans="1:7" hidden="1">
      <c r="A834" s="78">
        <v>42186</v>
      </c>
      <c r="B834" s="37" t="s">
        <v>172</v>
      </c>
      <c r="C834" s="1" t="s">
        <v>171</v>
      </c>
      <c r="D834" s="37" t="s">
        <v>972</v>
      </c>
      <c r="E834" s="37">
        <v>9391200</v>
      </c>
      <c r="F834" s="37" t="s">
        <v>1367</v>
      </c>
      <c r="G834" s="79"/>
    </row>
    <row r="835" spans="1:7" hidden="1">
      <c r="A835" s="78">
        <v>42186</v>
      </c>
      <c r="B835" s="37" t="s">
        <v>214</v>
      </c>
      <c r="C835" s="1" t="s">
        <v>215</v>
      </c>
      <c r="D835" s="37" t="s">
        <v>827</v>
      </c>
      <c r="E835" s="37">
        <v>20070000</v>
      </c>
      <c r="F835" s="37" t="s">
        <v>335</v>
      </c>
      <c r="G835" s="79"/>
    </row>
    <row r="836" spans="1:7" hidden="1">
      <c r="A836" s="78">
        <v>42186</v>
      </c>
      <c r="B836" s="37" t="s">
        <v>172</v>
      </c>
      <c r="C836" s="1" t="s">
        <v>103</v>
      </c>
      <c r="D836" s="37" t="s">
        <v>972</v>
      </c>
      <c r="E836" s="37">
        <v>5598600</v>
      </c>
      <c r="F836" s="37" t="s">
        <v>1369</v>
      </c>
      <c r="G836" s="79"/>
    </row>
    <row r="837" spans="1:7" hidden="1">
      <c r="A837" s="78">
        <v>42186</v>
      </c>
      <c r="B837" s="37" t="s">
        <v>6</v>
      </c>
      <c r="C837" s="1" t="s">
        <v>104</v>
      </c>
      <c r="D837" s="37" t="s">
        <v>673</v>
      </c>
      <c r="E837" s="37">
        <v>1000200</v>
      </c>
      <c r="F837" s="37" t="s">
        <v>1371</v>
      </c>
      <c r="G837" s="79"/>
    </row>
    <row r="838" spans="1:7" hidden="1">
      <c r="A838" s="78">
        <v>42217</v>
      </c>
      <c r="B838" s="37" t="s">
        <v>6</v>
      </c>
      <c r="C838" s="1" t="s">
        <v>104</v>
      </c>
      <c r="D838" s="37" t="s">
        <v>673</v>
      </c>
      <c r="E838" s="37">
        <v>1000200</v>
      </c>
      <c r="F838" s="37" t="s">
        <v>1370</v>
      </c>
      <c r="G838" s="79"/>
    </row>
    <row r="839" spans="1:7" hidden="1">
      <c r="A839" s="78">
        <v>42186</v>
      </c>
      <c r="B839" s="37" t="s">
        <v>566</v>
      </c>
      <c r="C839" s="1" t="s">
        <v>171</v>
      </c>
      <c r="D839" s="37" t="s">
        <v>92</v>
      </c>
      <c r="E839" s="37">
        <v>4176000</v>
      </c>
      <c r="F839" s="37" t="s">
        <v>1062</v>
      </c>
      <c r="G839" s="79"/>
    </row>
    <row r="840" spans="1:7" hidden="1">
      <c r="A840" s="78">
        <v>42186</v>
      </c>
      <c r="B840" s="37" t="s">
        <v>566</v>
      </c>
      <c r="C840" s="1" t="s">
        <v>171</v>
      </c>
      <c r="D840" s="37" t="s">
        <v>92</v>
      </c>
      <c r="E840" s="37">
        <v>282000</v>
      </c>
      <c r="F840" s="37" t="s">
        <v>1062</v>
      </c>
      <c r="G840" s="79"/>
    </row>
    <row r="841" spans="1:7" hidden="1">
      <c r="A841" s="78">
        <v>42186</v>
      </c>
      <c r="B841" s="37" t="s">
        <v>790</v>
      </c>
      <c r="C841" s="1" t="s">
        <v>104</v>
      </c>
      <c r="D841" s="37" t="s">
        <v>92</v>
      </c>
      <c r="E841" s="37">
        <v>1925004</v>
      </c>
      <c r="F841" s="37" t="s">
        <v>791</v>
      </c>
      <c r="G841" s="79"/>
    </row>
    <row r="842" spans="1:7" hidden="1">
      <c r="A842" s="78">
        <v>42186</v>
      </c>
      <c r="B842" s="37" t="s">
        <v>566</v>
      </c>
      <c r="C842" s="1" t="s">
        <v>171</v>
      </c>
      <c r="D842" s="37" t="s">
        <v>92</v>
      </c>
      <c r="E842" s="37">
        <v>1986000</v>
      </c>
      <c r="F842" s="37" t="s">
        <v>1382</v>
      </c>
      <c r="G842" s="79"/>
    </row>
    <row r="843" spans="1:7" hidden="1">
      <c r="A843" s="78">
        <v>42186</v>
      </c>
      <c r="B843" s="37" t="s">
        <v>566</v>
      </c>
      <c r="C843" s="1" t="s">
        <v>171</v>
      </c>
      <c r="D843" s="37" t="s">
        <v>92</v>
      </c>
      <c r="E843" s="37">
        <v>282000</v>
      </c>
      <c r="F843" s="37" t="s">
        <v>1382</v>
      </c>
      <c r="G843" s="79"/>
    </row>
    <row r="844" spans="1:7" hidden="1">
      <c r="A844" s="78">
        <v>42186</v>
      </c>
      <c r="B844" s="37" t="s">
        <v>55</v>
      </c>
      <c r="C844" s="1" t="s">
        <v>1340</v>
      </c>
      <c r="D844" s="37" t="s">
        <v>972</v>
      </c>
      <c r="E844" s="37">
        <v>17113000</v>
      </c>
      <c r="F844" s="37" t="s">
        <v>1383</v>
      </c>
      <c r="G844" s="79"/>
    </row>
    <row r="845" spans="1:7" hidden="1">
      <c r="A845" s="78">
        <v>42186</v>
      </c>
      <c r="B845" s="37" t="s">
        <v>826</v>
      </c>
      <c r="C845" s="1" t="s">
        <v>103</v>
      </c>
      <c r="D845" s="37" t="s">
        <v>1107</v>
      </c>
      <c r="E845" s="37">
        <v>3100000</v>
      </c>
      <c r="F845" s="37" t="s">
        <v>1384</v>
      </c>
      <c r="G845" s="79"/>
    </row>
    <row r="846" spans="1:7" hidden="1">
      <c r="A846" s="78">
        <v>42217</v>
      </c>
      <c r="B846" s="37" t="s">
        <v>600</v>
      </c>
      <c r="C846" s="1" t="s">
        <v>171</v>
      </c>
      <c r="D846" s="37" t="s">
        <v>1107</v>
      </c>
      <c r="E846" s="37">
        <v>26647588</v>
      </c>
      <c r="F846" s="37" t="s">
        <v>364</v>
      </c>
      <c r="G846" s="79"/>
    </row>
    <row r="847" spans="1:7" hidden="1">
      <c r="A847" s="78">
        <v>42217</v>
      </c>
      <c r="B847" s="37" t="s">
        <v>217</v>
      </c>
      <c r="C847" s="1" t="s">
        <v>104</v>
      </c>
      <c r="D847" s="37" t="s">
        <v>92</v>
      </c>
      <c r="E847" s="37">
        <v>29542314</v>
      </c>
      <c r="F847" s="37" t="s">
        <v>698</v>
      </c>
      <c r="G847" s="79"/>
    </row>
    <row r="848" spans="1:7" hidden="1">
      <c r="A848" s="78">
        <v>42217</v>
      </c>
      <c r="B848" s="37" t="s">
        <v>217</v>
      </c>
      <c r="C848" s="1" t="s">
        <v>104</v>
      </c>
      <c r="D848" s="37" t="s">
        <v>92</v>
      </c>
      <c r="E848" s="37">
        <v>5100000</v>
      </c>
      <c r="F848" s="37" t="s">
        <v>1385</v>
      </c>
      <c r="G848" s="79"/>
    </row>
    <row r="849" spans="1:7" hidden="1">
      <c r="A849" s="78">
        <v>42186</v>
      </c>
      <c r="B849" s="37" t="s">
        <v>217</v>
      </c>
      <c r="C849" s="1" t="s">
        <v>104</v>
      </c>
      <c r="D849" s="37" t="s">
        <v>92</v>
      </c>
      <c r="E849" s="37">
        <v>1208333</v>
      </c>
      <c r="F849" s="37" t="s">
        <v>1386</v>
      </c>
      <c r="G849" s="79"/>
    </row>
    <row r="850" spans="1:7" hidden="1">
      <c r="A850" s="78">
        <v>42186</v>
      </c>
      <c r="B850" s="37" t="s">
        <v>1330</v>
      </c>
      <c r="C850" s="1" t="s">
        <v>215</v>
      </c>
      <c r="D850" s="37" t="s">
        <v>1331</v>
      </c>
      <c r="E850" s="37">
        <v>436078</v>
      </c>
      <c r="F850" s="37" t="s">
        <v>1137</v>
      </c>
      <c r="G850" s="79"/>
    </row>
    <row r="851" spans="1:7" hidden="1">
      <c r="A851" s="78">
        <v>42186</v>
      </c>
      <c r="B851" s="37" t="s">
        <v>1330</v>
      </c>
      <c r="C851" s="1" t="s">
        <v>171</v>
      </c>
      <c r="D851" s="37" t="s">
        <v>1331</v>
      </c>
      <c r="E851" s="37">
        <v>500000</v>
      </c>
      <c r="F851" s="37" t="s">
        <v>1387</v>
      </c>
      <c r="G851" s="79"/>
    </row>
    <row r="852" spans="1:7" hidden="1">
      <c r="A852" s="78">
        <v>42186</v>
      </c>
      <c r="B852" s="37" t="s">
        <v>6</v>
      </c>
      <c r="C852" s="1" t="s">
        <v>215</v>
      </c>
      <c r="D852" s="37" t="s">
        <v>673</v>
      </c>
      <c r="E852" s="389">
        <v>5964732</v>
      </c>
      <c r="F852" s="37" t="s">
        <v>335</v>
      </c>
      <c r="G852" s="390" t="s">
        <v>1739</v>
      </c>
    </row>
    <row r="853" spans="1:7" hidden="1">
      <c r="A853" s="78">
        <v>42186</v>
      </c>
      <c r="B853" s="37" t="s">
        <v>619</v>
      </c>
      <c r="C853" s="1" t="s">
        <v>171</v>
      </c>
      <c r="D853" s="37" t="s">
        <v>92</v>
      </c>
      <c r="E853" s="37">
        <v>756000</v>
      </c>
      <c r="F853" s="37" t="s">
        <v>335</v>
      </c>
      <c r="G853" s="79"/>
    </row>
    <row r="854" spans="1:7" hidden="1">
      <c r="A854" s="78">
        <v>42217</v>
      </c>
      <c r="B854" s="37" t="s">
        <v>214</v>
      </c>
      <c r="C854" s="1" t="s">
        <v>215</v>
      </c>
      <c r="D854" s="37" t="s">
        <v>827</v>
      </c>
      <c r="E854" s="37">
        <v>8370000</v>
      </c>
      <c r="F854" s="37" t="s">
        <v>791</v>
      </c>
      <c r="G854" s="79"/>
    </row>
    <row r="855" spans="1:7" hidden="1">
      <c r="A855" s="78">
        <v>42217</v>
      </c>
      <c r="B855" s="37" t="s">
        <v>879</v>
      </c>
      <c r="C855" s="1" t="s">
        <v>104</v>
      </c>
      <c r="D855" s="37" t="s">
        <v>972</v>
      </c>
      <c r="E855" s="37">
        <v>765000</v>
      </c>
      <c r="F855" s="37" t="s">
        <v>1402</v>
      </c>
      <c r="G855" s="79"/>
    </row>
    <row r="856" spans="1:7" hidden="1">
      <c r="A856" s="78">
        <v>42217</v>
      </c>
      <c r="B856" s="37" t="s">
        <v>879</v>
      </c>
      <c r="C856" s="1" t="s">
        <v>103</v>
      </c>
      <c r="D856" s="37" t="s">
        <v>972</v>
      </c>
      <c r="E856" s="37">
        <v>4410000</v>
      </c>
      <c r="F856" s="37" t="s">
        <v>1403</v>
      </c>
      <c r="G856" s="79"/>
    </row>
    <row r="857" spans="1:7" hidden="1">
      <c r="A857" s="78">
        <v>42217</v>
      </c>
      <c r="B857" s="37" t="s">
        <v>879</v>
      </c>
      <c r="C857" s="1" t="s">
        <v>171</v>
      </c>
      <c r="D857" s="37" t="s">
        <v>972</v>
      </c>
      <c r="E857" s="37">
        <f>10500000+9450000+9450000+9450000</f>
        <v>38850000</v>
      </c>
      <c r="F857" s="37" t="s">
        <v>1404</v>
      </c>
      <c r="G857" s="79">
        <f>E857+E856+E855</f>
        <v>44025000</v>
      </c>
    </row>
    <row r="858" spans="1:7" hidden="1">
      <c r="A858" s="78">
        <v>42217</v>
      </c>
      <c r="B858" s="37" t="s">
        <v>172</v>
      </c>
      <c r="C858" s="1" t="s">
        <v>103</v>
      </c>
      <c r="D858" s="37" t="s">
        <v>972</v>
      </c>
      <c r="E858" s="37">
        <v>1986600</v>
      </c>
      <c r="F858" s="37" t="s">
        <v>1187</v>
      </c>
      <c r="G858" s="79"/>
    </row>
    <row r="859" spans="1:7" hidden="1">
      <c r="A859" s="78">
        <v>42217</v>
      </c>
      <c r="B859" s="37" t="s">
        <v>172</v>
      </c>
      <c r="C859" s="1" t="s">
        <v>103</v>
      </c>
      <c r="D859" s="37" t="s">
        <v>972</v>
      </c>
      <c r="E859" s="37">
        <v>3070200</v>
      </c>
      <c r="F859" s="37" t="s">
        <v>1190</v>
      </c>
      <c r="G859" s="79"/>
    </row>
    <row r="860" spans="1:7" hidden="1">
      <c r="A860" s="78">
        <v>42217</v>
      </c>
      <c r="B860" s="37" t="s">
        <v>172</v>
      </c>
      <c r="C860" s="1" t="s">
        <v>171</v>
      </c>
      <c r="D860" s="37" t="s">
        <v>972</v>
      </c>
      <c r="E860" s="37">
        <v>903000</v>
      </c>
      <c r="F860" s="37" t="s">
        <v>1405</v>
      </c>
      <c r="G860" s="79"/>
    </row>
    <row r="861" spans="1:7" hidden="1">
      <c r="A861" s="78">
        <v>42217</v>
      </c>
      <c r="B861" s="37" t="s">
        <v>172</v>
      </c>
      <c r="C861" s="1" t="s">
        <v>104</v>
      </c>
      <c r="D861" s="37" t="s">
        <v>972</v>
      </c>
      <c r="E861" s="37">
        <v>9030000</v>
      </c>
      <c r="F861" s="37" t="s">
        <v>1406</v>
      </c>
      <c r="G861" s="79"/>
    </row>
    <row r="862" spans="1:7" hidden="1">
      <c r="A862" s="78">
        <v>42217</v>
      </c>
      <c r="B862" s="37" t="s">
        <v>172</v>
      </c>
      <c r="C862" s="1" t="s">
        <v>171</v>
      </c>
      <c r="D862" s="37" t="s">
        <v>972</v>
      </c>
      <c r="E862" s="37">
        <v>7043400</v>
      </c>
      <c r="F862" s="37" t="s">
        <v>1407</v>
      </c>
      <c r="G862" s="79"/>
    </row>
    <row r="863" spans="1:7" hidden="1">
      <c r="A863" s="78">
        <v>42217</v>
      </c>
      <c r="B863" s="37" t="s">
        <v>172</v>
      </c>
      <c r="C863" s="1" t="s">
        <v>103</v>
      </c>
      <c r="D863" s="37" t="s">
        <v>972</v>
      </c>
      <c r="E863" s="37">
        <v>7404600</v>
      </c>
      <c r="F863" s="37" t="s">
        <v>1288</v>
      </c>
      <c r="G863" s="79"/>
    </row>
    <row r="864" spans="1:7" hidden="1">
      <c r="A864" s="78">
        <v>42217</v>
      </c>
      <c r="B864" s="37" t="s">
        <v>172</v>
      </c>
      <c r="C864" s="1" t="s">
        <v>171</v>
      </c>
      <c r="D864" s="37" t="s">
        <v>972</v>
      </c>
      <c r="E864" s="37">
        <v>9210600</v>
      </c>
      <c r="F864" s="37" t="s">
        <v>1408</v>
      </c>
      <c r="G864" s="79"/>
    </row>
    <row r="865" spans="1:7" hidden="1">
      <c r="A865" s="78">
        <v>42217</v>
      </c>
      <c r="B865" s="37" t="s">
        <v>172</v>
      </c>
      <c r="C865" s="1" t="s">
        <v>103</v>
      </c>
      <c r="D865" s="37" t="s">
        <v>972</v>
      </c>
      <c r="E865" s="37">
        <v>5598600</v>
      </c>
      <c r="F865" s="37" t="s">
        <v>1409</v>
      </c>
      <c r="G865" s="79"/>
    </row>
    <row r="866" spans="1:7" hidden="1">
      <c r="A866" s="78">
        <v>42217</v>
      </c>
      <c r="B866" s="37" t="s">
        <v>790</v>
      </c>
      <c r="C866" s="1" t="s">
        <v>104</v>
      </c>
      <c r="D866" s="37" t="s">
        <v>92</v>
      </c>
      <c r="E866" s="37">
        <v>16361373</v>
      </c>
      <c r="F866" s="37" t="s">
        <v>335</v>
      </c>
      <c r="G866" s="79"/>
    </row>
    <row r="867" spans="1:7" hidden="1">
      <c r="A867" s="78">
        <v>42217</v>
      </c>
      <c r="B867" s="37" t="s">
        <v>172</v>
      </c>
      <c r="C867" s="1" t="s">
        <v>171</v>
      </c>
      <c r="D867" s="37" t="s">
        <v>972</v>
      </c>
      <c r="E867" s="37">
        <v>1806000</v>
      </c>
      <c r="F867" s="37" t="s">
        <v>1412</v>
      </c>
      <c r="G867" s="79"/>
    </row>
    <row r="868" spans="1:7" hidden="1">
      <c r="A868" s="78">
        <v>42217</v>
      </c>
      <c r="B868" s="37" t="s">
        <v>566</v>
      </c>
      <c r="C868" s="1" t="s">
        <v>171</v>
      </c>
      <c r="D868" s="37" t="s">
        <v>92</v>
      </c>
      <c r="E868" s="37">
        <v>234000</v>
      </c>
      <c r="F868" s="37" t="s">
        <v>1424</v>
      </c>
      <c r="G868" s="79"/>
    </row>
    <row r="869" spans="1:7" hidden="1">
      <c r="A869" s="78">
        <v>42217</v>
      </c>
      <c r="B869" s="37" t="s">
        <v>566</v>
      </c>
      <c r="C869" s="1" t="s">
        <v>171</v>
      </c>
      <c r="D869" s="37" t="s">
        <v>92</v>
      </c>
      <c r="E869" s="37">
        <v>1668000</v>
      </c>
      <c r="F869" s="37" t="s">
        <v>1431</v>
      </c>
      <c r="G869" s="79"/>
    </row>
    <row r="870" spans="1:7" hidden="1">
      <c r="A870" s="78">
        <v>42217</v>
      </c>
      <c r="B870" s="37" t="s">
        <v>1330</v>
      </c>
      <c r="C870" s="1" t="s">
        <v>215</v>
      </c>
      <c r="D870" s="37" t="s">
        <v>1331</v>
      </c>
      <c r="E870" s="37">
        <v>621375</v>
      </c>
      <c r="F870" s="37" t="s">
        <v>1137</v>
      </c>
      <c r="G870" s="79"/>
    </row>
    <row r="871" spans="1:7" hidden="1">
      <c r="A871" s="78">
        <v>42217</v>
      </c>
      <c r="B871" s="37" t="s">
        <v>1330</v>
      </c>
      <c r="C871" s="1" t="s">
        <v>104</v>
      </c>
      <c r="D871" s="37" t="s">
        <v>1331</v>
      </c>
      <c r="E871" s="37">
        <v>500000</v>
      </c>
      <c r="F871" s="37" t="s">
        <v>1194</v>
      </c>
      <c r="G871" s="79"/>
    </row>
    <row r="872" spans="1:7" hidden="1">
      <c r="A872" s="78">
        <v>42217</v>
      </c>
      <c r="B872" s="37" t="s">
        <v>566</v>
      </c>
      <c r="C872" s="1" t="s">
        <v>171</v>
      </c>
      <c r="D872" s="37" t="s">
        <v>92</v>
      </c>
      <c r="E872" s="37">
        <v>534000</v>
      </c>
      <c r="F872" s="37" t="s">
        <v>1425</v>
      </c>
      <c r="G872" s="79"/>
    </row>
    <row r="873" spans="1:7" hidden="1">
      <c r="A873" s="78">
        <v>42217</v>
      </c>
      <c r="B873" s="37" t="s">
        <v>566</v>
      </c>
      <c r="C873" s="1" t="s">
        <v>171</v>
      </c>
      <c r="D873" s="37" t="s">
        <v>92</v>
      </c>
      <c r="E873" s="37">
        <v>3732000</v>
      </c>
      <c r="F873" s="37" t="s">
        <v>1432</v>
      </c>
      <c r="G873" s="79"/>
    </row>
    <row r="874" spans="1:7" hidden="1">
      <c r="A874" s="78">
        <v>42217</v>
      </c>
      <c r="B874" s="37" t="s">
        <v>55</v>
      </c>
      <c r="C874" s="1" t="s">
        <v>103</v>
      </c>
      <c r="D874" s="37" t="s">
        <v>972</v>
      </c>
      <c r="E874" s="37">
        <v>11270000</v>
      </c>
      <c r="F874" s="37" t="s">
        <v>1433</v>
      </c>
      <c r="G874" s="79"/>
    </row>
    <row r="875" spans="1:7" hidden="1">
      <c r="A875" s="78">
        <v>42217</v>
      </c>
      <c r="B875" s="37" t="s">
        <v>55</v>
      </c>
      <c r="C875" s="1" t="s">
        <v>336</v>
      </c>
      <c r="D875" s="37" t="s">
        <v>972</v>
      </c>
      <c r="E875" s="37">
        <v>8350000</v>
      </c>
      <c r="F875" s="37" t="s">
        <v>1434</v>
      </c>
      <c r="G875" s="79"/>
    </row>
    <row r="876" spans="1:7" hidden="1">
      <c r="A876" s="78">
        <v>42217</v>
      </c>
      <c r="B876" s="37" t="s">
        <v>217</v>
      </c>
      <c r="C876" s="1" t="s">
        <v>215</v>
      </c>
      <c r="D876" s="37" t="s">
        <v>92</v>
      </c>
      <c r="E876" s="37">
        <v>20824362</v>
      </c>
      <c r="F876" s="37" t="s">
        <v>335</v>
      </c>
      <c r="G876" s="79"/>
    </row>
    <row r="877" spans="1:7" hidden="1">
      <c r="A877" s="78">
        <v>42217</v>
      </c>
      <c r="B877" s="37" t="s">
        <v>217</v>
      </c>
      <c r="C877" s="1" t="s">
        <v>104</v>
      </c>
      <c r="D877" s="37" t="s">
        <v>92</v>
      </c>
      <c r="E877" s="37">
        <v>2550000</v>
      </c>
      <c r="F877" s="37" t="s">
        <v>1435</v>
      </c>
      <c r="G877" s="79"/>
    </row>
    <row r="878" spans="1:7" hidden="1">
      <c r="A878" s="78">
        <v>42248</v>
      </c>
      <c r="B878" s="37" t="s">
        <v>98</v>
      </c>
      <c r="C878" s="1" t="s">
        <v>104</v>
      </c>
      <c r="D878" s="37" t="s">
        <v>92</v>
      </c>
      <c r="E878" s="37">
        <v>1800000</v>
      </c>
      <c r="F878" s="37" t="s">
        <v>1435</v>
      </c>
      <c r="G878" s="79"/>
    </row>
    <row r="879" spans="1:7" hidden="1">
      <c r="A879" s="78">
        <v>42217</v>
      </c>
      <c r="B879" s="37" t="s">
        <v>826</v>
      </c>
      <c r="C879" s="1" t="s">
        <v>103</v>
      </c>
      <c r="D879" s="37" t="s">
        <v>827</v>
      </c>
      <c r="E879" s="37">
        <v>3140000</v>
      </c>
      <c r="F879" s="37" t="s">
        <v>1436</v>
      </c>
      <c r="G879" s="79">
        <f>2700000/180</f>
        <v>15000</v>
      </c>
    </row>
    <row r="880" spans="1:7" hidden="1">
      <c r="A880" s="78">
        <v>42248</v>
      </c>
      <c r="B880" s="37" t="s">
        <v>600</v>
      </c>
      <c r="C880" s="1" t="s">
        <v>171</v>
      </c>
      <c r="D880" s="37" t="s">
        <v>827</v>
      </c>
      <c r="E880" s="1">
        <v>28194683</v>
      </c>
      <c r="F880" s="37" t="s">
        <v>1437</v>
      </c>
      <c r="G880" s="79"/>
    </row>
    <row r="881" spans="1:7" hidden="1">
      <c r="A881" s="78">
        <v>42217</v>
      </c>
      <c r="B881" s="37" t="s">
        <v>6</v>
      </c>
      <c r="C881" s="1" t="s">
        <v>215</v>
      </c>
      <c r="D881" s="37" t="s">
        <v>673</v>
      </c>
      <c r="E881" s="389">
        <v>4865256</v>
      </c>
      <c r="F881" s="37" t="s">
        <v>335</v>
      </c>
      <c r="G881" s="390" t="s">
        <v>1739</v>
      </c>
    </row>
    <row r="882" spans="1:7" hidden="1">
      <c r="A882" s="78">
        <v>42217</v>
      </c>
      <c r="B882" s="37" t="s">
        <v>619</v>
      </c>
      <c r="C882" s="1" t="s">
        <v>171</v>
      </c>
      <c r="D882" s="37" t="s">
        <v>92</v>
      </c>
      <c r="E882" s="37">
        <v>504000</v>
      </c>
      <c r="F882" s="37" t="s">
        <v>335</v>
      </c>
      <c r="G882" s="79"/>
    </row>
    <row r="883" spans="1:7" hidden="1">
      <c r="A883" s="78">
        <v>42248</v>
      </c>
      <c r="B883" s="37" t="s">
        <v>214</v>
      </c>
      <c r="C883" s="1" t="s">
        <v>215</v>
      </c>
      <c r="D883" s="37" t="s">
        <v>827</v>
      </c>
      <c r="E883" s="37">
        <v>7290000</v>
      </c>
      <c r="F883" s="37" t="s">
        <v>1438</v>
      </c>
      <c r="G883" s="79"/>
    </row>
    <row r="884" spans="1:7" hidden="1">
      <c r="A884" s="78">
        <v>42248</v>
      </c>
      <c r="B884" s="37" t="s">
        <v>6</v>
      </c>
      <c r="C884" s="1" t="s">
        <v>104</v>
      </c>
      <c r="D884" s="37" t="s">
        <v>673</v>
      </c>
      <c r="E884" s="37">
        <v>1000020</v>
      </c>
      <c r="F884" s="37" t="s">
        <v>1443</v>
      </c>
      <c r="G884" s="79"/>
    </row>
    <row r="885" spans="1:7" hidden="1">
      <c r="A885" s="78">
        <v>42248</v>
      </c>
      <c r="B885" s="37" t="s">
        <v>566</v>
      </c>
      <c r="C885" s="1" t="s">
        <v>171</v>
      </c>
      <c r="D885" s="37" t="s">
        <v>92</v>
      </c>
      <c r="E885" s="37">
        <v>2286000</v>
      </c>
      <c r="F885" s="37" t="s">
        <v>1444</v>
      </c>
      <c r="G885" s="79"/>
    </row>
    <row r="886" spans="1:7" hidden="1">
      <c r="A886" s="78">
        <v>42248</v>
      </c>
      <c r="B886" s="37" t="s">
        <v>566</v>
      </c>
      <c r="C886" s="1" t="s">
        <v>171</v>
      </c>
      <c r="D886" s="37" t="s">
        <v>92</v>
      </c>
      <c r="E886" s="37">
        <v>1050000</v>
      </c>
      <c r="F886" s="37" t="s">
        <v>1445</v>
      </c>
      <c r="G886" s="79"/>
    </row>
    <row r="887" spans="1:7" hidden="1">
      <c r="A887" s="78">
        <v>42248</v>
      </c>
      <c r="B887" s="37" t="s">
        <v>172</v>
      </c>
      <c r="C887" s="1" t="s">
        <v>103</v>
      </c>
      <c r="D887" s="37" t="s">
        <v>972</v>
      </c>
      <c r="E887" s="37">
        <v>5779200</v>
      </c>
      <c r="F887" s="37" t="s">
        <v>1446</v>
      </c>
      <c r="G887" s="79"/>
    </row>
    <row r="888" spans="1:7" hidden="1">
      <c r="A888" s="78">
        <v>42248</v>
      </c>
      <c r="B888" s="37" t="s">
        <v>172</v>
      </c>
      <c r="C888" s="1" t="s">
        <v>336</v>
      </c>
      <c r="D888" s="37" t="s">
        <v>972</v>
      </c>
      <c r="E888" s="37">
        <v>4876200</v>
      </c>
      <c r="F888" s="37" t="s">
        <v>1447</v>
      </c>
      <c r="G888" s="79"/>
    </row>
    <row r="889" spans="1:7" hidden="1">
      <c r="A889" s="78">
        <v>42248</v>
      </c>
      <c r="B889" s="37" t="s">
        <v>172</v>
      </c>
      <c r="C889" s="1" t="s">
        <v>103</v>
      </c>
      <c r="D889" s="37" t="s">
        <v>972</v>
      </c>
      <c r="E889" s="37">
        <v>7765800</v>
      </c>
      <c r="F889" s="37" t="s">
        <v>1288</v>
      </c>
      <c r="G889" s="79"/>
    </row>
    <row r="890" spans="1:7" hidden="1">
      <c r="A890" s="78">
        <v>42248</v>
      </c>
      <c r="B890" s="37" t="s">
        <v>172</v>
      </c>
      <c r="C890" s="1" t="s">
        <v>103</v>
      </c>
      <c r="D890" s="37" t="s">
        <v>972</v>
      </c>
      <c r="E890" s="37">
        <v>1625400</v>
      </c>
      <c r="F890" s="37" t="s">
        <v>1187</v>
      </c>
      <c r="G890" s="79"/>
    </row>
    <row r="891" spans="1:7" hidden="1">
      <c r="A891" s="78">
        <v>42248</v>
      </c>
      <c r="B891" s="37" t="s">
        <v>172</v>
      </c>
      <c r="C891" s="1" t="s">
        <v>171</v>
      </c>
      <c r="D891" s="37" t="s">
        <v>972</v>
      </c>
      <c r="E891" s="37">
        <v>1625400</v>
      </c>
      <c r="F891" s="37" t="s">
        <v>1448</v>
      </c>
      <c r="G891" s="79"/>
    </row>
    <row r="892" spans="1:7" hidden="1">
      <c r="A892" s="78">
        <v>42248</v>
      </c>
      <c r="B892" s="37" t="s">
        <v>172</v>
      </c>
      <c r="C892" s="1" t="s">
        <v>171</v>
      </c>
      <c r="D892" s="37" t="s">
        <v>972</v>
      </c>
      <c r="E892" s="37">
        <v>4334400</v>
      </c>
      <c r="F892" s="37" t="s">
        <v>1456</v>
      </c>
      <c r="G892" s="79"/>
    </row>
    <row r="893" spans="1:7" hidden="1">
      <c r="A893" s="78">
        <v>42248</v>
      </c>
      <c r="B893" s="37" t="s">
        <v>166</v>
      </c>
      <c r="C893" s="1" t="s">
        <v>171</v>
      </c>
      <c r="D893" s="37" t="s">
        <v>972</v>
      </c>
      <c r="E893" s="37">
        <v>1740000</v>
      </c>
      <c r="F893" s="37" t="s">
        <v>1449</v>
      </c>
      <c r="G893" s="79">
        <v>290000</v>
      </c>
    </row>
    <row r="894" spans="1:7" hidden="1">
      <c r="A894" s="78">
        <v>42248</v>
      </c>
      <c r="B894" s="37" t="s">
        <v>166</v>
      </c>
      <c r="C894" s="1" t="s">
        <v>171</v>
      </c>
      <c r="D894" s="37" t="s">
        <v>972</v>
      </c>
      <c r="E894" s="37">
        <v>255000</v>
      </c>
      <c r="F894" s="37" t="s">
        <v>1450</v>
      </c>
      <c r="G894" s="79">
        <v>42500</v>
      </c>
    </row>
    <row r="895" spans="1:7" hidden="1">
      <c r="A895" s="78">
        <v>42248</v>
      </c>
      <c r="B895" s="37" t="s">
        <v>166</v>
      </c>
      <c r="C895" s="1" t="s">
        <v>104</v>
      </c>
      <c r="D895" s="37" t="s">
        <v>972</v>
      </c>
      <c r="E895" s="37">
        <f>10470000*3+7680000</f>
        <v>39090000</v>
      </c>
      <c r="F895" s="37" t="s">
        <v>1451</v>
      </c>
      <c r="G895" s="79">
        <f>1745000*3+1280000</f>
        <v>6515000</v>
      </c>
    </row>
    <row r="896" spans="1:7" hidden="1">
      <c r="A896" s="78">
        <v>42248</v>
      </c>
      <c r="B896" s="37" t="s">
        <v>166</v>
      </c>
      <c r="C896" s="1" t="s">
        <v>103</v>
      </c>
      <c r="D896" s="37" t="s">
        <v>972</v>
      </c>
      <c r="E896" s="37">
        <v>900000</v>
      </c>
      <c r="F896" s="37" t="s">
        <v>1452</v>
      </c>
      <c r="G896" s="79">
        <v>150000</v>
      </c>
    </row>
    <row r="897" spans="1:8" hidden="1">
      <c r="A897" s="78">
        <v>42248</v>
      </c>
      <c r="B897" s="37" t="s">
        <v>166</v>
      </c>
      <c r="C897" s="1" t="s">
        <v>104</v>
      </c>
      <c r="D897" s="37" t="s">
        <v>972</v>
      </c>
      <c r="E897" s="37">
        <f>13095000+10470000*3</f>
        <v>44505000</v>
      </c>
      <c r="F897" s="37" t="s">
        <v>1453</v>
      </c>
      <c r="G897" s="79">
        <f>2182500+1745000*3</f>
        <v>7417500</v>
      </c>
    </row>
    <row r="898" spans="1:8" hidden="1">
      <c r="A898" s="78">
        <v>42248</v>
      </c>
      <c r="B898" s="37" t="s">
        <v>1455</v>
      </c>
      <c r="C898" s="1" t="s">
        <v>215</v>
      </c>
      <c r="D898" s="37" t="s">
        <v>673</v>
      </c>
      <c r="E898" s="37">
        <v>3006332</v>
      </c>
      <c r="F898" s="37" t="s">
        <v>335</v>
      </c>
      <c r="G898" s="79"/>
    </row>
    <row r="899" spans="1:8" hidden="1">
      <c r="A899" s="78">
        <v>42248</v>
      </c>
      <c r="B899" s="37" t="s">
        <v>172</v>
      </c>
      <c r="C899" s="1" t="s">
        <v>104</v>
      </c>
      <c r="D899" s="37" t="s">
        <v>972</v>
      </c>
      <c r="E899" s="37">
        <v>6501600</v>
      </c>
      <c r="F899" s="37" t="s">
        <v>1460</v>
      </c>
      <c r="G899" s="79"/>
    </row>
    <row r="900" spans="1:8" hidden="1">
      <c r="A900" s="78">
        <v>42248</v>
      </c>
      <c r="B900" s="37" t="s">
        <v>172</v>
      </c>
      <c r="C900" s="1" t="s">
        <v>103</v>
      </c>
      <c r="D900" s="37" t="s">
        <v>972</v>
      </c>
      <c r="E900" s="37">
        <v>2709000</v>
      </c>
      <c r="F900" s="37" t="s">
        <v>1228</v>
      </c>
      <c r="G900" s="79"/>
    </row>
    <row r="901" spans="1:8" hidden="1">
      <c r="A901" s="78">
        <v>42248</v>
      </c>
      <c r="B901" s="37" t="s">
        <v>566</v>
      </c>
      <c r="C901" s="1" t="s">
        <v>171</v>
      </c>
      <c r="D901" s="37" t="s">
        <v>92</v>
      </c>
      <c r="E901" s="37">
        <v>2430000</v>
      </c>
      <c r="F901" s="37" t="s">
        <v>1462</v>
      </c>
      <c r="G901" s="79"/>
    </row>
    <row r="902" spans="1:8" hidden="1">
      <c r="A902" s="78">
        <v>42248</v>
      </c>
      <c r="B902" s="37" t="s">
        <v>566</v>
      </c>
      <c r="C902" s="1" t="s">
        <v>171</v>
      </c>
      <c r="D902" s="37" t="s">
        <v>92</v>
      </c>
      <c r="E902" s="37">
        <v>348000</v>
      </c>
      <c r="F902" s="37" t="s">
        <v>1463</v>
      </c>
      <c r="G902" s="79"/>
    </row>
    <row r="903" spans="1:8" hidden="1">
      <c r="A903" s="78">
        <v>42248</v>
      </c>
      <c r="B903" s="37" t="s">
        <v>566</v>
      </c>
      <c r="C903" s="1" t="s">
        <v>171</v>
      </c>
      <c r="D903" s="37" t="s">
        <v>92</v>
      </c>
      <c r="E903" s="37">
        <v>4392000</v>
      </c>
      <c r="F903" s="37" t="s">
        <v>1464</v>
      </c>
      <c r="G903" s="79"/>
    </row>
    <row r="904" spans="1:8" hidden="1">
      <c r="A904" s="78">
        <v>42248</v>
      </c>
      <c r="B904" s="37" t="s">
        <v>790</v>
      </c>
      <c r="C904" s="1" t="s">
        <v>104</v>
      </c>
      <c r="D904" s="37" t="s">
        <v>92</v>
      </c>
      <c r="E904" s="37">
        <v>7552209</v>
      </c>
      <c r="F904" s="37" t="s">
        <v>335</v>
      </c>
      <c r="G904" s="79"/>
      <c r="H904">
        <v>0</v>
      </c>
    </row>
    <row r="905" spans="1:8" hidden="1">
      <c r="A905" s="78">
        <v>42248</v>
      </c>
      <c r="B905" s="37" t="s">
        <v>6</v>
      </c>
      <c r="C905" s="1" t="s">
        <v>215</v>
      </c>
      <c r="D905" s="37" t="s">
        <v>673</v>
      </c>
      <c r="E905" s="37">
        <v>6197580</v>
      </c>
      <c r="F905" s="37" t="s">
        <v>335</v>
      </c>
      <c r="G905" s="79"/>
    </row>
    <row r="906" spans="1:8" hidden="1">
      <c r="A906" s="78">
        <v>42248</v>
      </c>
      <c r="B906" s="37" t="s">
        <v>217</v>
      </c>
      <c r="C906" s="1" t="s">
        <v>104</v>
      </c>
      <c r="D906" s="37" t="s">
        <v>92</v>
      </c>
      <c r="E906" s="37">
        <v>2890000</v>
      </c>
      <c r="F906" s="37" t="s">
        <v>282</v>
      </c>
      <c r="G906" s="79">
        <v>481667</v>
      </c>
    </row>
    <row r="907" spans="1:8" hidden="1">
      <c r="A907" s="78">
        <v>42248</v>
      </c>
      <c r="B907" s="37" t="s">
        <v>217</v>
      </c>
      <c r="C907" s="1" t="s">
        <v>215</v>
      </c>
      <c r="D907" s="37" t="s">
        <v>92</v>
      </c>
      <c r="E907" s="37">
        <v>28907506</v>
      </c>
      <c r="F907" s="37" t="s">
        <v>335</v>
      </c>
      <c r="G907" s="79"/>
    </row>
    <row r="908" spans="1:8" hidden="1">
      <c r="A908" s="78">
        <v>42248</v>
      </c>
      <c r="B908" s="37" t="s">
        <v>1330</v>
      </c>
      <c r="C908" s="1" t="s">
        <v>215</v>
      </c>
      <c r="D908" s="37" t="s">
        <v>1331</v>
      </c>
      <c r="E908" s="37">
        <v>649067</v>
      </c>
      <c r="F908" s="37" t="s">
        <v>1467</v>
      </c>
      <c r="G908" s="79"/>
    </row>
    <row r="909" spans="1:8" hidden="1">
      <c r="A909" s="78">
        <v>42248</v>
      </c>
      <c r="B909" s="37" t="s">
        <v>1330</v>
      </c>
      <c r="C909" s="1" t="s">
        <v>171</v>
      </c>
      <c r="D909" s="37" t="s">
        <v>1331</v>
      </c>
      <c r="E909" s="37">
        <v>1000000</v>
      </c>
      <c r="F909" s="37" t="s">
        <v>1387</v>
      </c>
      <c r="G909" s="79"/>
    </row>
    <row r="910" spans="1:8" hidden="1">
      <c r="A910" s="78">
        <v>42248</v>
      </c>
      <c r="B910" s="37" t="s">
        <v>619</v>
      </c>
      <c r="C910" s="1" t="s">
        <v>171</v>
      </c>
      <c r="D910" s="37" t="s">
        <v>92</v>
      </c>
      <c r="E910" s="37">
        <v>756000</v>
      </c>
      <c r="F910" s="37" t="s">
        <v>335</v>
      </c>
      <c r="G910" s="79"/>
    </row>
    <row r="911" spans="1:8" hidden="1">
      <c r="A911" s="78">
        <v>42248</v>
      </c>
      <c r="B911" s="37" t="s">
        <v>55</v>
      </c>
      <c r="C911" s="1" t="s">
        <v>1340</v>
      </c>
      <c r="D911" s="37" t="s">
        <v>972</v>
      </c>
      <c r="E911" s="37">
        <v>15120000</v>
      </c>
      <c r="F911" s="37" t="s">
        <v>1468</v>
      </c>
      <c r="G911" s="79"/>
    </row>
    <row r="912" spans="1:8" hidden="1">
      <c r="A912" s="78">
        <v>42248</v>
      </c>
      <c r="B912" s="37" t="s">
        <v>826</v>
      </c>
      <c r="C912" s="1" t="s">
        <v>103</v>
      </c>
      <c r="D912" s="37" t="s">
        <v>1107</v>
      </c>
      <c r="E912" s="37">
        <v>2400000</v>
      </c>
      <c r="F912" s="37" t="s">
        <v>1469</v>
      </c>
      <c r="G912" s="79"/>
    </row>
    <row r="913" spans="1:8" hidden="1">
      <c r="A913" s="78">
        <v>42278</v>
      </c>
      <c r="B913" s="37" t="s">
        <v>214</v>
      </c>
      <c r="C913" s="1" t="s">
        <v>215</v>
      </c>
      <c r="D913" s="37" t="s">
        <v>1107</v>
      </c>
      <c r="E913" s="37">
        <v>9540000</v>
      </c>
      <c r="F913" s="37" t="s">
        <v>1474</v>
      </c>
      <c r="G913" s="79"/>
    </row>
    <row r="914" spans="1:8" hidden="1">
      <c r="A914" s="78">
        <v>42278</v>
      </c>
      <c r="B914" s="37" t="s">
        <v>6</v>
      </c>
      <c r="C914" s="1" t="s">
        <v>336</v>
      </c>
      <c r="D914" s="37" t="s">
        <v>673</v>
      </c>
      <c r="E914" s="37">
        <v>1000020</v>
      </c>
      <c r="F914" s="37" t="s">
        <v>1475</v>
      </c>
      <c r="G914" s="79"/>
    </row>
    <row r="915" spans="1:8" hidden="1">
      <c r="A915" s="78">
        <v>42248</v>
      </c>
      <c r="B915" s="37" t="s">
        <v>973</v>
      </c>
      <c r="C915" s="1" t="s">
        <v>215</v>
      </c>
      <c r="D915" s="37" t="s">
        <v>1476</v>
      </c>
      <c r="E915" s="37">
        <v>6120000</v>
      </c>
      <c r="F915" s="37" t="s">
        <v>1477</v>
      </c>
      <c r="G915" s="79"/>
    </row>
    <row r="916" spans="1:8" hidden="1">
      <c r="A916" s="78">
        <v>42278</v>
      </c>
      <c r="B916" s="37" t="s">
        <v>129</v>
      </c>
      <c r="C916" s="1" t="s">
        <v>104</v>
      </c>
      <c r="D916" s="37" t="s">
        <v>972</v>
      </c>
      <c r="E916" s="37">
        <v>1275000</v>
      </c>
      <c r="F916" s="37" t="s">
        <v>1478</v>
      </c>
      <c r="G916" s="4220" t="s">
        <v>1481</v>
      </c>
      <c r="H916">
        <v>212500</v>
      </c>
    </row>
    <row r="917" spans="1:8" hidden="1">
      <c r="A917" s="78">
        <v>42278</v>
      </c>
      <c r="B917" s="37" t="s">
        <v>129</v>
      </c>
      <c r="C917" s="1" t="s">
        <v>104</v>
      </c>
      <c r="D917" s="37" t="s">
        <v>972</v>
      </c>
      <c r="E917" s="37">
        <v>900000</v>
      </c>
      <c r="F917" s="37" t="s">
        <v>1479</v>
      </c>
      <c r="G917" s="4221"/>
      <c r="H917">
        <v>150000</v>
      </c>
    </row>
    <row r="918" spans="1:8" hidden="1">
      <c r="A918" s="78">
        <v>42278</v>
      </c>
      <c r="B918" s="37" t="s">
        <v>129</v>
      </c>
      <c r="C918" s="1" t="s">
        <v>171</v>
      </c>
      <c r="D918" s="37" t="s">
        <v>972</v>
      </c>
      <c r="E918" s="37">
        <f>5475000+5490000+5475000+5490000</f>
        <v>21930000</v>
      </c>
      <c r="F918" s="37" t="s">
        <v>1480</v>
      </c>
      <c r="G918" s="4222"/>
      <c r="H918">
        <f>912500+915000+912500+915000</f>
        <v>3655000</v>
      </c>
    </row>
    <row r="919" spans="1:8" hidden="1">
      <c r="A919" s="78">
        <v>42278</v>
      </c>
      <c r="B919" s="37" t="s">
        <v>129</v>
      </c>
      <c r="C919" s="1" t="s">
        <v>171</v>
      </c>
      <c r="D919" s="37" t="s">
        <v>972</v>
      </c>
      <c r="E919" s="107">
        <f>10605000+10605000+10605000+10620000</f>
        <v>42435000</v>
      </c>
      <c r="F919" s="37" t="s">
        <v>1482</v>
      </c>
      <c r="G919" s="79"/>
      <c r="H919" s="336">
        <f>1767500+1767500+1767500+1770000</f>
        <v>7072500</v>
      </c>
    </row>
    <row r="920" spans="1:8" hidden="1">
      <c r="A920" s="78">
        <v>42278</v>
      </c>
      <c r="B920" s="37" t="s">
        <v>566</v>
      </c>
      <c r="C920" s="1" t="s">
        <v>171</v>
      </c>
      <c r="D920" s="37" t="s">
        <v>92</v>
      </c>
      <c r="E920" s="37">
        <v>3390000</v>
      </c>
      <c r="F920" s="37" t="s">
        <v>1488</v>
      </c>
      <c r="G920" s="79"/>
    </row>
    <row r="921" spans="1:8" hidden="1">
      <c r="A921" s="78">
        <v>42278</v>
      </c>
      <c r="B921" s="37" t="s">
        <v>566</v>
      </c>
      <c r="C921" s="1" t="s">
        <v>171</v>
      </c>
      <c r="D921" s="37" t="s">
        <v>92</v>
      </c>
      <c r="E921" s="37">
        <v>1100000</v>
      </c>
      <c r="F921" s="37" t="s">
        <v>1487</v>
      </c>
      <c r="G921" s="79"/>
    </row>
    <row r="922" spans="1:8" hidden="1">
      <c r="A922" s="78">
        <v>42278</v>
      </c>
      <c r="B922" s="37" t="s">
        <v>172</v>
      </c>
      <c r="C922" s="1" t="s">
        <v>171</v>
      </c>
      <c r="D922" s="37" t="s">
        <v>972</v>
      </c>
      <c r="E922" s="37">
        <v>2347800</v>
      </c>
      <c r="F922" s="37" t="s">
        <v>1223</v>
      </c>
      <c r="G922" s="79"/>
    </row>
    <row r="923" spans="1:8" hidden="1">
      <c r="A923" s="78">
        <v>42278</v>
      </c>
      <c r="B923" s="37" t="s">
        <v>172</v>
      </c>
      <c r="C923" s="1" t="s">
        <v>103</v>
      </c>
      <c r="D923" s="37" t="s">
        <v>972</v>
      </c>
      <c r="E923" s="37">
        <v>1806000</v>
      </c>
      <c r="F923" s="37" t="s">
        <v>1489</v>
      </c>
      <c r="G923" s="79"/>
    </row>
    <row r="924" spans="1:8" hidden="1">
      <c r="A924" s="78">
        <v>42278</v>
      </c>
      <c r="B924" s="37" t="s">
        <v>172</v>
      </c>
      <c r="C924" s="1" t="s">
        <v>104</v>
      </c>
      <c r="D924" s="37" t="s">
        <v>972</v>
      </c>
      <c r="E924" s="37">
        <v>4876200</v>
      </c>
      <c r="F924" s="37" t="s">
        <v>1490</v>
      </c>
      <c r="G924" s="79"/>
    </row>
    <row r="925" spans="1:8" hidden="1">
      <c r="A925" s="78">
        <v>42278</v>
      </c>
      <c r="B925" s="37" t="s">
        <v>172</v>
      </c>
      <c r="C925" s="1" t="s">
        <v>103</v>
      </c>
      <c r="D925" s="37" t="s">
        <v>972</v>
      </c>
      <c r="E925" s="37">
        <v>1083600</v>
      </c>
      <c r="F925" s="37" t="s">
        <v>1187</v>
      </c>
      <c r="G925" s="79"/>
    </row>
    <row r="926" spans="1:8" hidden="1">
      <c r="A926" s="78">
        <v>42278</v>
      </c>
      <c r="B926" s="37" t="s">
        <v>172</v>
      </c>
      <c r="C926" s="1" t="s">
        <v>318</v>
      </c>
      <c r="D926" s="37" t="s">
        <v>972</v>
      </c>
      <c r="E926" s="37">
        <v>5237400</v>
      </c>
      <c r="F926" s="37" t="s">
        <v>349</v>
      </c>
      <c r="G926" s="79"/>
    </row>
    <row r="927" spans="1:8" hidden="1">
      <c r="A927" s="78">
        <v>42278</v>
      </c>
      <c r="B927" s="37" t="s">
        <v>172</v>
      </c>
      <c r="C927" s="1" t="s">
        <v>103</v>
      </c>
      <c r="D927" s="37" t="s">
        <v>972</v>
      </c>
      <c r="E927" s="37">
        <v>6321000</v>
      </c>
      <c r="F927" s="37" t="s">
        <v>1409</v>
      </c>
      <c r="G927" s="79"/>
    </row>
    <row r="928" spans="1:8" hidden="1">
      <c r="A928" s="78">
        <v>42278</v>
      </c>
      <c r="B928" s="37" t="s">
        <v>172</v>
      </c>
      <c r="C928" s="1" t="s">
        <v>103</v>
      </c>
      <c r="D928" s="37" t="s">
        <v>972</v>
      </c>
      <c r="E928" s="37">
        <v>8488200</v>
      </c>
      <c r="F928" s="37" t="s">
        <v>1491</v>
      </c>
      <c r="G928" s="79"/>
    </row>
    <row r="929" spans="1:8" hidden="1">
      <c r="A929" s="78">
        <v>42278</v>
      </c>
      <c r="B929" s="37" t="s">
        <v>172</v>
      </c>
      <c r="C929" s="1" t="s">
        <v>171</v>
      </c>
      <c r="D929" s="37" t="s">
        <v>972</v>
      </c>
      <c r="E929" s="37">
        <v>4153800</v>
      </c>
      <c r="F929" s="37" t="s">
        <v>1492</v>
      </c>
      <c r="G929" s="79"/>
    </row>
    <row r="930" spans="1:8" hidden="1">
      <c r="A930" s="78">
        <v>42278</v>
      </c>
      <c r="B930" s="37" t="s">
        <v>172</v>
      </c>
      <c r="C930" s="1" t="s">
        <v>1493</v>
      </c>
      <c r="D930" s="37" t="s">
        <v>972</v>
      </c>
      <c r="E930" s="37">
        <v>1083600</v>
      </c>
      <c r="F930" s="37" t="s">
        <v>1195</v>
      </c>
      <c r="G930" s="79"/>
    </row>
    <row r="931" spans="1:8" hidden="1">
      <c r="A931" s="78">
        <v>42278</v>
      </c>
      <c r="B931" s="37" t="s">
        <v>6</v>
      </c>
      <c r="C931" s="1" t="s">
        <v>215</v>
      </c>
      <c r="D931" s="37" t="s">
        <v>673</v>
      </c>
      <c r="E931" s="107">
        <v>5831550</v>
      </c>
      <c r="F931" s="37" t="s">
        <v>335</v>
      </c>
      <c r="G931" s="390" t="s">
        <v>1739</v>
      </c>
    </row>
    <row r="932" spans="1:8" hidden="1">
      <c r="A932" s="78">
        <v>42278</v>
      </c>
      <c r="B932" s="37" t="s">
        <v>217</v>
      </c>
      <c r="C932" s="1" t="s">
        <v>104</v>
      </c>
      <c r="D932" s="37" t="s">
        <v>92</v>
      </c>
      <c r="E932" s="37">
        <v>6800000</v>
      </c>
      <c r="F932" s="37" t="s">
        <v>1501</v>
      </c>
      <c r="G932" s="79"/>
    </row>
    <row r="933" spans="1:8" hidden="1">
      <c r="A933" s="78">
        <v>42278</v>
      </c>
      <c r="B933" s="37" t="s">
        <v>217</v>
      </c>
      <c r="C933" s="1" t="s">
        <v>215</v>
      </c>
      <c r="D933" s="37" t="s">
        <v>92</v>
      </c>
      <c r="E933" s="37">
        <v>39366641</v>
      </c>
      <c r="F933" s="37" t="s">
        <v>335</v>
      </c>
      <c r="G933" s="79"/>
    </row>
    <row r="934" spans="1:8" hidden="1">
      <c r="A934" s="78">
        <v>42278</v>
      </c>
      <c r="B934" s="37" t="s">
        <v>790</v>
      </c>
      <c r="C934" s="1" t="s">
        <v>215</v>
      </c>
      <c r="D934" s="37" t="s">
        <v>92</v>
      </c>
      <c r="E934" s="37">
        <v>7289481</v>
      </c>
      <c r="F934" s="37" t="s">
        <v>335</v>
      </c>
      <c r="G934" s="79"/>
    </row>
    <row r="935" spans="1:8" hidden="1">
      <c r="A935" s="78">
        <v>42278</v>
      </c>
      <c r="B935" s="37" t="s">
        <v>55</v>
      </c>
      <c r="C935" s="1" t="s">
        <v>1290</v>
      </c>
      <c r="D935" s="37" t="s">
        <v>972</v>
      </c>
      <c r="E935" s="37">
        <v>14952000</v>
      </c>
      <c r="F935" s="37" t="s">
        <v>1505</v>
      </c>
      <c r="G935" s="79"/>
    </row>
    <row r="936" spans="1:8" hidden="1">
      <c r="A936" s="78">
        <v>42278</v>
      </c>
      <c r="B936" s="37" t="s">
        <v>619</v>
      </c>
      <c r="C936" s="1" t="s">
        <v>171</v>
      </c>
      <c r="D936" s="37" t="s">
        <v>92</v>
      </c>
      <c r="E936" s="37">
        <v>504000</v>
      </c>
      <c r="F936" s="37" t="s">
        <v>725</v>
      </c>
      <c r="G936" s="79"/>
    </row>
    <row r="937" spans="1:8" hidden="1">
      <c r="A937" s="78">
        <v>42278</v>
      </c>
      <c r="B937" s="37" t="s">
        <v>1506</v>
      </c>
      <c r="C937" s="1" t="s">
        <v>104</v>
      </c>
      <c r="D937" s="37" t="s">
        <v>673</v>
      </c>
      <c r="E937" s="37">
        <v>2399578</v>
      </c>
      <c r="F937" s="37" t="s">
        <v>941</v>
      </c>
      <c r="G937" s="79"/>
    </row>
    <row r="938" spans="1:8" hidden="1">
      <c r="A938" s="78">
        <v>42278</v>
      </c>
      <c r="B938" s="37" t="s">
        <v>600</v>
      </c>
      <c r="C938" s="1" t="s">
        <v>171</v>
      </c>
      <c r="D938" s="37" t="s">
        <v>1107</v>
      </c>
      <c r="E938" s="37">
        <v>14416286</v>
      </c>
      <c r="F938" s="37" t="s">
        <v>1221</v>
      </c>
      <c r="G938" s="79"/>
    </row>
    <row r="939" spans="1:8" hidden="1">
      <c r="A939" s="78">
        <v>42309</v>
      </c>
      <c r="B939" s="37" t="s">
        <v>600</v>
      </c>
      <c r="C939" s="1" t="s">
        <v>171</v>
      </c>
      <c r="D939" s="37" t="s">
        <v>1107</v>
      </c>
      <c r="E939" s="37">
        <v>10380918</v>
      </c>
      <c r="F939" s="37" t="s">
        <v>1221</v>
      </c>
      <c r="G939" s="79"/>
    </row>
    <row r="940" spans="1:8" hidden="1">
      <c r="A940" s="78">
        <v>42309</v>
      </c>
      <c r="B940" s="37" t="s">
        <v>214</v>
      </c>
      <c r="C940" s="1" t="s">
        <v>215</v>
      </c>
      <c r="D940" s="37" t="s">
        <v>1107</v>
      </c>
      <c r="E940" s="37">
        <v>10530000</v>
      </c>
      <c r="F940" s="37" t="s">
        <v>1514</v>
      </c>
      <c r="G940" s="79"/>
    </row>
    <row r="941" spans="1:8" hidden="1">
      <c r="A941" s="78">
        <v>42309</v>
      </c>
      <c r="B941" s="37" t="s">
        <v>879</v>
      </c>
      <c r="C941" s="1" t="s">
        <v>103</v>
      </c>
      <c r="D941" s="37" t="s">
        <v>972</v>
      </c>
      <c r="E941" s="37">
        <v>1950000</v>
      </c>
      <c r="F941" s="37" t="s">
        <v>1515</v>
      </c>
      <c r="G941" s="79"/>
      <c r="H941">
        <v>325000</v>
      </c>
    </row>
    <row r="942" spans="1:8" hidden="1">
      <c r="A942" s="78">
        <v>42309</v>
      </c>
      <c r="B942" s="37" t="s">
        <v>879</v>
      </c>
      <c r="C942" s="1" t="s">
        <v>171</v>
      </c>
      <c r="D942" s="37" t="s">
        <v>972</v>
      </c>
      <c r="E942" s="37">
        <f>5250000+5250000+5250000+5250000</f>
        <v>21000000</v>
      </c>
      <c r="F942" s="37" t="s">
        <v>1516</v>
      </c>
      <c r="G942" s="79"/>
      <c r="H942" s="336">
        <f>875000+875000+875000+875000</f>
        <v>3500000</v>
      </c>
    </row>
    <row r="943" spans="1:8" hidden="1">
      <c r="A943" s="78">
        <v>42309</v>
      </c>
      <c r="B943" s="37" t="s">
        <v>879</v>
      </c>
      <c r="C943" s="1" t="s">
        <v>104</v>
      </c>
      <c r="D943" s="37" t="s">
        <v>972</v>
      </c>
      <c r="E943" s="37">
        <v>900000</v>
      </c>
      <c r="F943" s="37" t="s">
        <v>1517</v>
      </c>
      <c r="G943" s="79"/>
      <c r="H943">
        <v>150000</v>
      </c>
    </row>
    <row r="944" spans="1:8" hidden="1">
      <c r="A944" s="78">
        <v>42309</v>
      </c>
      <c r="B944" s="37" t="s">
        <v>879</v>
      </c>
      <c r="C944" s="1" t="s">
        <v>104</v>
      </c>
      <c r="D944" s="37" t="s">
        <v>972</v>
      </c>
      <c r="E944" s="37">
        <v>2550000</v>
      </c>
      <c r="F944" s="37" t="s">
        <v>1518</v>
      </c>
      <c r="G944" s="79"/>
      <c r="H944">
        <v>425000</v>
      </c>
    </row>
    <row r="945" spans="1:9" hidden="1">
      <c r="A945" s="78">
        <v>42309</v>
      </c>
      <c r="B945" s="37" t="s">
        <v>6</v>
      </c>
      <c r="C945" s="1" t="s">
        <v>104</v>
      </c>
      <c r="D945" s="37" t="s">
        <v>673</v>
      </c>
      <c r="E945" s="37">
        <v>1000020</v>
      </c>
      <c r="F945" s="37" t="s">
        <v>1198</v>
      </c>
      <c r="G945" s="79"/>
    </row>
    <row r="946" spans="1:9" hidden="1">
      <c r="A946" s="78">
        <v>42309</v>
      </c>
      <c r="B946" s="37" t="s">
        <v>6</v>
      </c>
      <c r="C946" s="1" t="s">
        <v>104</v>
      </c>
      <c r="D946" s="37" t="s">
        <v>673</v>
      </c>
      <c r="E946" s="107">
        <v>1000020</v>
      </c>
      <c r="F946" s="37" t="s">
        <v>1198</v>
      </c>
      <c r="G946" s="390" t="s">
        <v>1739</v>
      </c>
    </row>
    <row r="947" spans="1:9" hidden="1">
      <c r="A947" s="78">
        <v>42309</v>
      </c>
      <c r="B947" s="37" t="s">
        <v>566</v>
      </c>
      <c r="C947" s="1" t="s">
        <v>171</v>
      </c>
      <c r="D947" s="37" t="s">
        <v>92</v>
      </c>
      <c r="E947" s="37">
        <v>3132000</v>
      </c>
      <c r="F947" s="37" t="s">
        <v>1062</v>
      </c>
      <c r="G947" s="79"/>
    </row>
    <row r="948" spans="1:9" hidden="1">
      <c r="A948" s="78">
        <v>42309</v>
      </c>
      <c r="B948" s="37" t="s">
        <v>566</v>
      </c>
      <c r="C948" s="1" t="s">
        <v>171</v>
      </c>
      <c r="D948" s="37" t="s">
        <v>92</v>
      </c>
      <c r="E948" s="37">
        <v>450000</v>
      </c>
      <c r="F948" s="37" t="s">
        <v>1062</v>
      </c>
      <c r="G948" s="79"/>
    </row>
    <row r="949" spans="1:9" hidden="1">
      <c r="A949" s="78">
        <v>42309</v>
      </c>
      <c r="B949" s="37" t="s">
        <v>172</v>
      </c>
      <c r="C949" s="1" t="s">
        <v>103</v>
      </c>
      <c r="D949" s="37" t="s">
        <v>972</v>
      </c>
      <c r="E949" s="37">
        <v>8488200</v>
      </c>
      <c r="F949" s="37" t="s">
        <v>1288</v>
      </c>
      <c r="G949" s="79"/>
    </row>
    <row r="950" spans="1:9" hidden="1">
      <c r="A950" s="78">
        <v>42309</v>
      </c>
      <c r="B950" s="37" t="s">
        <v>172</v>
      </c>
      <c r="C950" s="1" t="s">
        <v>103</v>
      </c>
      <c r="D950" s="37" t="s">
        <v>972</v>
      </c>
      <c r="E950" s="37">
        <v>1444800</v>
      </c>
      <c r="F950" s="37" t="s">
        <v>1187</v>
      </c>
      <c r="G950" s="79"/>
    </row>
    <row r="951" spans="1:9" hidden="1">
      <c r="A951" s="78">
        <v>42309</v>
      </c>
      <c r="B951" s="37" t="s">
        <v>172</v>
      </c>
      <c r="C951" s="1" t="s">
        <v>171</v>
      </c>
      <c r="D951" s="37" t="s">
        <v>972</v>
      </c>
      <c r="E951" s="37">
        <v>4876200</v>
      </c>
      <c r="F951" s="37" t="s">
        <v>1527</v>
      </c>
      <c r="G951" s="79"/>
    </row>
    <row r="952" spans="1:9" hidden="1">
      <c r="A952" s="78">
        <v>42309</v>
      </c>
      <c r="B952" s="37" t="s">
        <v>172</v>
      </c>
      <c r="C952" s="1" t="s">
        <v>104</v>
      </c>
      <c r="D952" s="37" t="s">
        <v>972</v>
      </c>
      <c r="E952" s="37">
        <v>7946400</v>
      </c>
      <c r="F952" s="37" t="s">
        <v>1528</v>
      </c>
      <c r="G952" s="79"/>
    </row>
    <row r="953" spans="1:9" hidden="1">
      <c r="A953" s="78">
        <v>42309</v>
      </c>
      <c r="B953" s="37" t="s">
        <v>172</v>
      </c>
      <c r="C953" s="1" t="s">
        <v>103</v>
      </c>
      <c r="D953" s="37" t="s">
        <v>972</v>
      </c>
      <c r="E953" s="37">
        <v>1264200</v>
      </c>
      <c r="F953" s="37" t="s">
        <v>1131</v>
      </c>
      <c r="G953" s="79"/>
    </row>
    <row r="954" spans="1:9" hidden="1">
      <c r="A954" s="78">
        <v>42309</v>
      </c>
      <c r="B954" s="37" t="s">
        <v>172</v>
      </c>
      <c r="C954" s="1" t="s">
        <v>336</v>
      </c>
      <c r="D954" s="37" t="s">
        <v>972</v>
      </c>
      <c r="E954" s="37">
        <v>5237400</v>
      </c>
      <c r="F954" s="37" t="s">
        <v>1529</v>
      </c>
      <c r="G954" s="79"/>
    </row>
    <row r="955" spans="1:9" hidden="1">
      <c r="A955" s="78">
        <v>42309</v>
      </c>
      <c r="B955" s="37" t="s">
        <v>172</v>
      </c>
      <c r="C955" s="1" t="s">
        <v>103</v>
      </c>
      <c r="D955" s="37" t="s">
        <v>972</v>
      </c>
      <c r="E955" s="37">
        <v>6321000</v>
      </c>
      <c r="F955" s="37" t="s">
        <v>1530</v>
      </c>
      <c r="G955" s="79"/>
    </row>
    <row r="956" spans="1:9" hidden="1">
      <c r="A956" s="78">
        <v>42309</v>
      </c>
      <c r="B956" s="37" t="s">
        <v>217</v>
      </c>
      <c r="C956" s="1" t="s">
        <v>215</v>
      </c>
      <c r="D956" s="37" t="s">
        <v>92</v>
      </c>
      <c r="E956" s="37">
        <v>16891648</v>
      </c>
      <c r="F956" s="37" t="s">
        <v>1531</v>
      </c>
      <c r="G956" s="79"/>
    </row>
    <row r="957" spans="1:9" hidden="1">
      <c r="A957" s="78">
        <v>42309</v>
      </c>
      <c r="B957" s="37" t="s">
        <v>217</v>
      </c>
      <c r="C957" s="1" t="s">
        <v>104</v>
      </c>
      <c r="D957" s="37" t="s">
        <v>92</v>
      </c>
      <c r="E957" s="37">
        <v>3400000</v>
      </c>
      <c r="F957" s="37" t="s">
        <v>793</v>
      </c>
      <c r="G957" s="79">
        <v>566667</v>
      </c>
    </row>
    <row r="958" spans="1:9" hidden="1">
      <c r="A958" s="78">
        <v>42309</v>
      </c>
      <c r="B958" s="37" t="s">
        <v>6</v>
      </c>
      <c r="C958" s="1" t="s">
        <v>215</v>
      </c>
      <c r="D958" s="37" t="s">
        <v>673</v>
      </c>
      <c r="E958" s="107">
        <v>5762496</v>
      </c>
      <c r="F958" s="37" t="s">
        <v>335</v>
      </c>
      <c r="G958" s="390" t="s">
        <v>1739</v>
      </c>
      <c r="I958">
        <f>E852+E881+E931+E946+E958+E989+E1003+E1015+E1083</f>
        <v>51345036</v>
      </c>
    </row>
    <row r="959" spans="1:9" hidden="1">
      <c r="A959" s="78">
        <v>42309</v>
      </c>
      <c r="B959" s="37" t="s">
        <v>55</v>
      </c>
      <c r="C959" s="1" t="s">
        <v>1532</v>
      </c>
      <c r="D959" s="37" t="s">
        <v>972</v>
      </c>
      <c r="E959" s="37">
        <v>15540000</v>
      </c>
      <c r="F959" s="37" t="s">
        <v>1533</v>
      </c>
      <c r="G959" s="79"/>
    </row>
    <row r="960" spans="1:9" hidden="1">
      <c r="A960" s="78">
        <v>42309</v>
      </c>
      <c r="B960" s="37" t="s">
        <v>619</v>
      </c>
      <c r="C960" s="1" t="s">
        <v>171</v>
      </c>
      <c r="D960" s="37" t="s">
        <v>92</v>
      </c>
      <c r="E960" s="37">
        <v>2016000</v>
      </c>
      <c r="F960" s="37" t="s">
        <v>335</v>
      </c>
      <c r="G960" s="79"/>
    </row>
    <row r="961" spans="1:7" hidden="1">
      <c r="A961" s="78">
        <v>42309</v>
      </c>
      <c r="B961" s="37" t="s">
        <v>619</v>
      </c>
      <c r="C961" s="1" t="s">
        <v>171</v>
      </c>
      <c r="D961" s="37" t="s">
        <v>92</v>
      </c>
      <c r="E961" s="37">
        <v>4105080</v>
      </c>
      <c r="F961" s="37" t="s">
        <v>1536</v>
      </c>
      <c r="G961" s="79"/>
    </row>
    <row r="962" spans="1:7" hidden="1">
      <c r="A962" s="78">
        <v>42339</v>
      </c>
      <c r="B962" s="37" t="s">
        <v>600</v>
      </c>
      <c r="C962" s="1" t="s">
        <v>1537</v>
      </c>
      <c r="D962" s="37" t="s">
        <v>827</v>
      </c>
      <c r="E962" s="37">
        <v>9652815</v>
      </c>
      <c r="F962" s="37" t="s">
        <v>364</v>
      </c>
      <c r="G962" s="79"/>
    </row>
    <row r="963" spans="1:7" hidden="1">
      <c r="A963" s="78">
        <v>42309</v>
      </c>
      <c r="B963" s="37" t="s">
        <v>566</v>
      </c>
      <c r="C963" s="1" t="s">
        <v>171</v>
      </c>
      <c r="D963" s="37" t="s">
        <v>92</v>
      </c>
      <c r="E963" s="37">
        <v>1968000</v>
      </c>
      <c r="F963" s="37" t="s">
        <v>1382</v>
      </c>
      <c r="G963" s="79"/>
    </row>
    <row r="964" spans="1:7" hidden="1">
      <c r="A964" s="78">
        <v>42309</v>
      </c>
      <c r="B964" s="37" t="s">
        <v>566</v>
      </c>
      <c r="C964" s="1" t="s">
        <v>171</v>
      </c>
      <c r="D964" s="37" t="s">
        <v>92</v>
      </c>
      <c r="E964" s="37">
        <v>204000</v>
      </c>
      <c r="F964" s="37" t="s">
        <v>1382</v>
      </c>
      <c r="G964" s="79"/>
    </row>
    <row r="965" spans="1:7" hidden="1">
      <c r="A965" s="78">
        <v>42309</v>
      </c>
      <c r="B965" s="37" t="s">
        <v>826</v>
      </c>
      <c r="C965" s="1" t="s">
        <v>103</v>
      </c>
      <c r="D965" s="37" t="s">
        <v>827</v>
      </c>
      <c r="E965" s="37">
        <v>640000</v>
      </c>
      <c r="F965" s="37" t="s">
        <v>1538</v>
      </c>
      <c r="G965" s="79"/>
    </row>
    <row r="966" spans="1:7" hidden="1">
      <c r="A966" s="78">
        <v>42339</v>
      </c>
      <c r="B966" s="37" t="s">
        <v>166</v>
      </c>
      <c r="C966" s="1" t="s">
        <v>104</v>
      </c>
      <c r="D966" s="37" t="s">
        <v>972</v>
      </c>
      <c r="E966" s="37">
        <v>1350000</v>
      </c>
      <c r="F966" s="37" t="s">
        <v>1402</v>
      </c>
      <c r="G966" s="79">
        <v>225000</v>
      </c>
    </row>
    <row r="967" spans="1:7" hidden="1">
      <c r="A967" s="78">
        <v>42339</v>
      </c>
      <c r="B967" s="37" t="s">
        <v>166</v>
      </c>
      <c r="C967" s="1" t="s">
        <v>103</v>
      </c>
      <c r="D967" s="37" t="s">
        <v>972</v>
      </c>
      <c r="E967" s="37">
        <v>1890000</v>
      </c>
      <c r="F967" s="37" t="s">
        <v>1310</v>
      </c>
      <c r="G967" s="79">
        <v>315000</v>
      </c>
    </row>
    <row r="968" spans="1:7" hidden="1">
      <c r="A968" s="78">
        <v>42339</v>
      </c>
      <c r="B968" s="37" t="s">
        <v>166</v>
      </c>
      <c r="C968" s="1" t="s">
        <v>104</v>
      </c>
      <c r="D968" s="37" t="s">
        <v>972</v>
      </c>
      <c r="E968" s="37">
        <v>2700000</v>
      </c>
      <c r="F968" s="37" t="s">
        <v>1539</v>
      </c>
      <c r="G968" s="79">
        <v>450000</v>
      </c>
    </row>
    <row r="969" spans="1:7" hidden="1">
      <c r="A969" s="78">
        <v>42339</v>
      </c>
      <c r="B969" s="37" t="s">
        <v>166</v>
      </c>
      <c r="C969" s="1" t="s">
        <v>104</v>
      </c>
      <c r="D969" s="37" t="s">
        <v>972</v>
      </c>
      <c r="E969" s="37">
        <v>150000</v>
      </c>
      <c r="F969" s="37" t="s">
        <v>1540</v>
      </c>
      <c r="G969" s="79">
        <v>25000</v>
      </c>
    </row>
    <row r="970" spans="1:7" hidden="1">
      <c r="A970" s="78">
        <v>42339</v>
      </c>
      <c r="B970" s="37" t="s">
        <v>214</v>
      </c>
      <c r="C970" s="1" t="s">
        <v>215</v>
      </c>
      <c r="D970" s="37" t="s">
        <v>827</v>
      </c>
      <c r="E970" s="37">
        <v>3195000</v>
      </c>
      <c r="F970" s="37" t="s">
        <v>1474</v>
      </c>
      <c r="G970" s="79"/>
    </row>
    <row r="971" spans="1:7" hidden="1">
      <c r="A971" s="78">
        <v>42339</v>
      </c>
      <c r="B971" s="37" t="s">
        <v>172</v>
      </c>
      <c r="C971" s="1" t="s">
        <v>103</v>
      </c>
      <c r="D971" s="37" t="s">
        <v>972</v>
      </c>
      <c r="E971" s="37">
        <v>8849400</v>
      </c>
      <c r="F971" s="37" t="s">
        <v>1542</v>
      </c>
      <c r="G971" s="79"/>
    </row>
    <row r="972" spans="1:7" hidden="1">
      <c r="A972" s="78">
        <v>42339</v>
      </c>
      <c r="B972" s="37" t="s">
        <v>172</v>
      </c>
      <c r="C972" s="1" t="s">
        <v>103</v>
      </c>
      <c r="D972" s="37" t="s">
        <v>972</v>
      </c>
      <c r="E972" s="37">
        <v>1444800</v>
      </c>
      <c r="F972" s="37" t="s">
        <v>1543</v>
      </c>
      <c r="G972" s="79"/>
    </row>
    <row r="973" spans="1:7" hidden="1">
      <c r="A973" s="78">
        <v>42339</v>
      </c>
      <c r="B973" s="37" t="s">
        <v>172</v>
      </c>
      <c r="C973" s="1" t="s">
        <v>103</v>
      </c>
      <c r="D973" s="37" t="s">
        <v>972</v>
      </c>
      <c r="E973" s="37">
        <v>6682200</v>
      </c>
      <c r="F973" s="37" t="s">
        <v>1544</v>
      </c>
      <c r="G973" s="79"/>
    </row>
    <row r="974" spans="1:7" hidden="1">
      <c r="A974" s="78">
        <v>42339</v>
      </c>
      <c r="B974" s="37" t="s">
        <v>172</v>
      </c>
      <c r="C974" s="1" t="s">
        <v>103</v>
      </c>
      <c r="D974" s="37" t="s">
        <v>972</v>
      </c>
      <c r="E974" s="37">
        <v>1444800</v>
      </c>
      <c r="F974" s="37" t="s">
        <v>1545</v>
      </c>
      <c r="G974" s="79"/>
    </row>
    <row r="975" spans="1:7" hidden="1">
      <c r="A975" s="78">
        <v>42339</v>
      </c>
      <c r="B975" s="37" t="s">
        <v>172</v>
      </c>
      <c r="C975" s="1" t="s">
        <v>104</v>
      </c>
      <c r="D975" s="37" t="s">
        <v>972</v>
      </c>
      <c r="E975" s="37">
        <v>5237400</v>
      </c>
      <c r="F975" s="37" t="s">
        <v>1546</v>
      </c>
      <c r="G975" s="79"/>
    </row>
    <row r="976" spans="1:7" hidden="1">
      <c r="A976" s="78">
        <v>42339</v>
      </c>
      <c r="B976" s="37" t="s">
        <v>172</v>
      </c>
      <c r="C976" s="1" t="s">
        <v>336</v>
      </c>
      <c r="D976" s="37" t="s">
        <v>972</v>
      </c>
      <c r="E976" s="37">
        <v>5598600</v>
      </c>
      <c r="F976" s="37" t="s">
        <v>1529</v>
      </c>
      <c r="G976" s="79"/>
    </row>
    <row r="977" spans="1:9" hidden="1">
      <c r="A977" s="78">
        <v>42339</v>
      </c>
      <c r="B977" s="37" t="s">
        <v>826</v>
      </c>
      <c r="C977" s="1" t="s">
        <v>103</v>
      </c>
      <c r="D977" s="37" t="s">
        <v>827</v>
      </c>
      <c r="E977" s="37">
        <v>400000</v>
      </c>
      <c r="F977" s="37" t="s">
        <v>1551</v>
      </c>
      <c r="G977" s="79"/>
    </row>
    <row r="978" spans="1:9" hidden="1">
      <c r="A978" s="78">
        <v>42339</v>
      </c>
      <c r="B978" s="37" t="s">
        <v>790</v>
      </c>
      <c r="C978" s="1" t="s">
        <v>104</v>
      </c>
      <c r="D978" s="37" t="s">
        <v>92</v>
      </c>
      <c r="E978" s="37">
        <v>5013688</v>
      </c>
      <c r="F978" s="37" t="s">
        <v>1531</v>
      </c>
      <c r="G978" s="79">
        <v>0</v>
      </c>
    </row>
    <row r="979" spans="1:9" hidden="1">
      <c r="A979" s="78">
        <v>42339</v>
      </c>
      <c r="B979" s="37" t="s">
        <v>217</v>
      </c>
      <c r="C979" s="1" t="s">
        <v>215</v>
      </c>
      <c r="D979" s="37" t="s">
        <v>92</v>
      </c>
      <c r="E979" s="37">
        <v>32388308</v>
      </c>
      <c r="F979" s="37" t="s">
        <v>1467</v>
      </c>
      <c r="G979" s="79">
        <v>0</v>
      </c>
    </row>
    <row r="980" spans="1:9" hidden="1">
      <c r="A980" s="78">
        <v>42339</v>
      </c>
      <c r="B980" s="37" t="s">
        <v>566</v>
      </c>
      <c r="C980" s="1" t="s">
        <v>171</v>
      </c>
      <c r="D980" s="37" t="s">
        <v>92</v>
      </c>
      <c r="E980" s="37">
        <v>3354000</v>
      </c>
      <c r="F980" s="37" t="s">
        <v>1062</v>
      </c>
      <c r="G980" s="79"/>
    </row>
    <row r="981" spans="1:9" hidden="1">
      <c r="A981" s="78">
        <v>42339</v>
      </c>
      <c r="B981" s="37" t="s">
        <v>566</v>
      </c>
      <c r="C981" s="1" t="s">
        <v>171</v>
      </c>
      <c r="D981" s="37" t="s">
        <v>92</v>
      </c>
      <c r="E981" s="37">
        <v>1590000</v>
      </c>
      <c r="F981" s="37" t="s">
        <v>1382</v>
      </c>
      <c r="G981" s="79"/>
    </row>
    <row r="982" spans="1:9" hidden="1">
      <c r="A982" s="78">
        <v>42339</v>
      </c>
      <c r="B982" s="37" t="s">
        <v>566</v>
      </c>
      <c r="C982" s="1" t="s">
        <v>171</v>
      </c>
      <c r="D982" s="37" t="s">
        <v>92</v>
      </c>
      <c r="E982" s="37">
        <v>480000</v>
      </c>
      <c r="F982" s="37" t="s">
        <v>1243</v>
      </c>
      <c r="G982" s="79"/>
    </row>
    <row r="983" spans="1:9" hidden="1">
      <c r="A983" s="78">
        <v>42339</v>
      </c>
      <c r="B983" s="37" t="s">
        <v>566</v>
      </c>
      <c r="C983" s="1" t="s">
        <v>171</v>
      </c>
      <c r="D983" s="37" t="s">
        <v>92</v>
      </c>
      <c r="E983" s="37">
        <v>222000</v>
      </c>
      <c r="F983" s="37" t="s">
        <v>1244</v>
      </c>
      <c r="G983" s="79"/>
    </row>
    <row r="984" spans="1:9" hidden="1">
      <c r="A984" s="78">
        <v>42339</v>
      </c>
      <c r="B984" s="37" t="s">
        <v>55</v>
      </c>
      <c r="C984" s="1" t="s">
        <v>215</v>
      </c>
      <c r="D984" s="37" t="s">
        <v>972</v>
      </c>
      <c r="E984" s="37">
        <v>15960000</v>
      </c>
      <c r="F984" s="37" t="s">
        <v>1558</v>
      </c>
      <c r="G984" s="79"/>
    </row>
    <row r="985" spans="1:9" hidden="1">
      <c r="A985" s="78">
        <v>42339</v>
      </c>
      <c r="B985" s="37" t="s">
        <v>172</v>
      </c>
      <c r="C985" s="1" t="s">
        <v>171</v>
      </c>
      <c r="D985" s="37" t="s">
        <v>972</v>
      </c>
      <c r="E985" s="37">
        <v>3973200</v>
      </c>
      <c r="F985" s="37" t="s">
        <v>1449</v>
      </c>
      <c r="G985" s="79"/>
    </row>
    <row r="986" spans="1:9" hidden="1">
      <c r="A986" s="78">
        <v>42339</v>
      </c>
      <c r="B986" s="37" t="s">
        <v>172</v>
      </c>
      <c r="C986" s="1" t="s">
        <v>171</v>
      </c>
      <c r="D986" s="37" t="s">
        <v>972</v>
      </c>
      <c r="E986" s="37">
        <v>3250800</v>
      </c>
      <c r="F986" s="37" t="s">
        <v>1559</v>
      </c>
      <c r="G986" s="79"/>
    </row>
    <row r="987" spans="1:9" hidden="1">
      <c r="A987" s="78">
        <v>42339</v>
      </c>
      <c r="B987" s="37" t="s">
        <v>1330</v>
      </c>
      <c r="C987" s="1" t="s">
        <v>215</v>
      </c>
      <c r="D987" s="37" t="s">
        <v>1560</v>
      </c>
      <c r="E987" s="37">
        <v>557115</v>
      </c>
      <c r="F987" s="37" t="s">
        <v>335</v>
      </c>
      <c r="G987" s="79"/>
    </row>
    <row r="988" spans="1:9" hidden="1">
      <c r="A988" s="78">
        <v>42339</v>
      </c>
      <c r="B988" s="37" t="s">
        <v>619</v>
      </c>
      <c r="C988" s="1" t="s">
        <v>171</v>
      </c>
      <c r="D988" s="37" t="s">
        <v>92</v>
      </c>
      <c r="E988" s="37">
        <v>756000</v>
      </c>
      <c r="F988" s="37" t="s">
        <v>335</v>
      </c>
      <c r="G988" s="79"/>
    </row>
    <row r="989" spans="1:9" hidden="1">
      <c r="A989" s="78">
        <v>42339</v>
      </c>
      <c r="B989" s="37" t="s">
        <v>6</v>
      </c>
      <c r="C989" s="1" t="s">
        <v>215</v>
      </c>
      <c r="D989" s="37" t="s">
        <v>673</v>
      </c>
      <c r="E989" s="107">
        <v>4342458</v>
      </c>
      <c r="F989" s="37" t="s">
        <v>335</v>
      </c>
      <c r="G989" s="390" t="s">
        <v>1739</v>
      </c>
      <c r="I989">
        <f>I958/10000</f>
        <v>5134.5036</v>
      </c>
    </row>
    <row r="990" spans="1:9" hidden="1">
      <c r="A990" s="78">
        <v>42339</v>
      </c>
      <c r="B990" s="37" t="s">
        <v>1561</v>
      </c>
      <c r="C990" s="1" t="s">
        <v>215</v>
      </c>
      <c r="D990" s="37" t="s">
        <v>1476</v>
      </c>
      <c r="E990" s="37">
        <v>9432000</v>
      </c>
      <c r="F990" s="37" t="s">
        <v>335</v>
      </c>
      <c r="G990" s="79"/>
    </row>
    <row r="991" spans="1:9" hidden="1">
      <c r="A991" s="78">
        <v>42339</v>
      </c>
      <c r="B991" s="37" t="s">
        <v>1330</v>
      </c>
      <c r="C991" s="1" t="s">
        <v>171</v>
      </c>
      <c r="D991" s="37" t="s">
        <v>1560</v>
      </c>
      <c r="E991" s="37">
        <v>2000000</v>
      </c>
      <c r="F991" s="37" t="s">
        <v>1385</v>
      </c>
      <c r="G991" s="79"/>
    </row>
    <row r="992" spans="1:9" hidden="1">
      <c r="A992" s="78">
        <v>42370</v>
      </c>
      <c r="B992" s="37" t="s">
        <v>98</v>
      </c>
      <c r="C992" s="1" t="s">
        <v>104</v>
      </c>
      <c r="D992" s="37" t="s">
        <v>92</v>
      </c>
      <c r="E992" s="37">
        <v>3700000</v>
      </c>
      <c r="F992" s="37" t="s">
        <v>282</v>
      </c>
      <c r="G992" s="79"/>
    </row>
    <row r="993" spans="1:7" hidden="1">
      <c r="A993" s="78">
        <v>42370</v>
      </c>
      <c r="B993" s="37" t="s">
        <v>166</v>
      </c>
      <c r="C993" s="1" t="s">
        <v>104</v>
      </c>
      <c r="D993" s="37" t="s">
        <v>972</v>
      </c>
      <c r="E993" s="37">
        <v>990000</v>
      </c>
      <c r="F993" s="37" t="s">
        <v>1564</v>
      </c>
      <c r="G993" s="79">
        <v>165000</v>
      </c>
    </row>
    <row r="994" spans="1:7" hidden="1">
      <c r="A994" s="78">
        <v>42370</v>
      </c>
      <c r="B994" s="37" t="s">
        <v>166</v>
      </c>
      <c r="C994" s="1" t="s">
        <v>104</v>
      </c>
      <c r="D994" s="37" t="s">
        <v>972</v>
      </c>
      <c r="E994" s="37">
        <v>330000</v>
      </c>
      <c r="F994" s="37" t="s">
        <v>1564</v>
      </c>
      <c r="G994" s="79">
        <v>55000</v>
      </c>
    </row>
    <row r="995" spans="1:7" hidden="1">
      <c r="A995" s="78">
        <v>42370</v>
      </c>
      <c r="B995" s="37" t="s">
        <v>166</v>
      </c>
      <c r="C995" s="1" t="s">
        <v>104</v>
      </c>
      <c r="D995" s="37" t="s">
        <v>972</v>
      </c>
      <c r="E995" s="37">
        <v>27000</v>
      </c>
      <c r="F995" s="37" t="s">
        <v>316</v>
      </c>
      <c r="G995" s="79">
        <v>4500</v>
      </c>
    </row>
    <row r="996" spans="1:7" hidden="1">
      <c r="A996" s="78">
        <v>42370</v>
      </c>
      <c r="B996" s="37" t="s">
        <v>166</v>
      </c>
      <c r="C996" s="1" t="s">
        <v>104</v>
      </c>
      <c r="D996" s="37" t="s">
        <v>972</v>
      </c>
      <c r="E996" s="37">
        <v>25500</v>
      </c>
      <c r="F996" s="37" t="s">
        <v>316</v>
      </c>
      <c r="G996" s="79">
        <v>4250</v>
      </c>
    </row>
    <row r="997" spans="1:7" hidden="1">
      <c r="A997" s="78">
        <v>42370</v>
      </c>
      <c r="B997" s="37" t="s">
        <v>166</v>
      </c>
      <c r="C997" s="1" t="s">
        <v>104</v>
      </c>
      <c r="D997" s="37" t="s">
        <v>972</v>
      </c>
      <c r="E997" s="37">
        <v>18000</v>
      </c>
      <c r="F997" s="37" t="s">
        <v>316</v>
      </c>
      <c r="G997" s="79">
        <v>3000</v>
      </c>
    </row>
    <row r="998" spans="1:7" hidden="1">
      <c r="A998" s="78">
        <v>42370</v>
      </c>
      <c r="B998" s="37" t="s">
        <v>790</v>
      </c>
      <c r="C998" s="1" t="s">
        <v>104</v>
      </c>
      <c r="D998" s="37" t="s">
        <v>92</v>
      </c>
      <c r="E998" s="37">
        <v>4245844</v>
      </c>
      <c r="F998" s="37" t="s">
        <v>335</v>
      </c>
      <c r="G998" s="79"/>
    </row>
    <row r="999" spans="1:7" hidden="1">
      <c r="A999" s="78">
        <v>42370</v>
      </c>
      <c r="B999" s="37" t="s">
        <v>214</v>
      </c>
      <c r="C999" s="1" t="s">
        <v>104</v>
      </c>
      <c r="D999" s="37" t="s">
        <v>1107</v>
      </c>
      <c r="E999" s="37">
        <v>21718800</v>
      </c>
      <c r="F999" s="37" t="s">
        <v>1474</v>
      </c>
      <c r="G999" s="79"/>
    </row>
    <row r="1000" spans="1:7" hidden="1">
      <c r="A1000" s="78">
        <v>42370</v>
      </c>
      <c r="B1000" s="37" t="s">
        <v>214</v>
      </c>
      <c r="C1000" s="1" t="s">
        <v>104</v>
      </c>
      <c r="D1000" s="37" t="s">
        <v>1107</v>
      </c>
      <c r="E1000" s="37">
        <v>2851200</v>
      </c>
      <c r="F1000" s="37" t="s">
        <v>1194</v>
      </c>
      <c r="G1000" s="79"/>
    </row>
    <row r="1001" spans="1:7" hidden="1">
      <c r="A1001" s="78">
        <v>42370</v>
      </c>
      <c r="B1001" s="37" t="s">
        <v>566</v>
      </c>
      <c r="C1001" s="1" t="s">
        <v>171</v>
      </c>
      <c r="D1001" s="37" t="s">
        <v>92</v>
      </c>
      <c r="E1001" s="37">
        <v>3252000</v>
      </c>
      <c r="F1001" s="37" t="s">
        <v>1567</v>
      </c>
      <c r="G1001" s="79"/>
    </row>
    <row r="1002" spans="1:7" hidden="1">
      <c r="A1002" s="78">
        <v>42370</v>
      </c>
      <c r="B1002" s="37" t="s">
        <v>566</v>
      </c>
      <c r="C1002" s="1" t="s">
        <v>171</v>
      </c>
      <c r="D1002" s="37" t="s">
        <v>92</v>
      </c>
      <c r="E1002" s="37">
        <v>462000</v>
      </c>
      <c r="F1002" s="37" t="s">
        <v>1568</v>
      </c>
      <c r="G1002" s="79"/>
    </row>
    <row r="1003" spans="1:7" hidden="1">
      <c r="A1003" s="78">
        <v>42370</v>
      </c>
      <c r="B1003" s="37" t="s">
        <v>523</v>
      </c>
      <c r="C1003" s="1" t="s">
        <v>336</v>
      </c>
      <c r="D1003" s="37" t="s">
        <v>673</v>
      </c>
      <c r="E1003" s="107">
        <v>1000020</v>
      </c>
      <c r="F1003" s="37" t="s">
        <v>1570</v>
      </c>
      <c r="G1003" s="390" t="s">
        <v>1739</v>
      </c>
    </row>
    <row r="1004" spans="1:7" hidden="1">
      <c r="A1004" s="78">
        <v>42370</v>
      </c>
      <c r="B1004" s="37" t="s">
        <v>619</v>
      </c>
      <c r="C1004" s="1" t="s">
        <v>171</v>
      </c>
      <c r="D1004" s="37" t="s">
        <v>92</v>
      </c>
      <c r="E1004" s="37">
        <v>756000</v>
      </c>
      <c r="F1004" s="37" t="s">
        <v>335</v>
      </c>
      <c r="G1004" s="79"/>
    </row>
    <row r="1005" spans="1:7" hidden="1">
      <c r="A1005" s="78">
        <v>42370</v>
      </c>
      <c r="B1005" s="37" t="s">
        <v>172</v>
      </c>
      <c r="C1005" s="1" t="s">
        <v>103</v>
      </c>
      <c r="D1005" s="37" t="s">
        <v>972</v>
      </c>
      <c r="E1005" s="37">
        <v>1625400</v>
      </c>
      <c r="F1005" s="37" t="s">
        <v>1571</v>
      </c>
      <c r="G1005" s="79"/>
    </row>
    <row r="1006" spans="1:7" hidden="1">
      <c r="A1006" s="78">
        <v>42370</v>
      </c>
      <c r="B1006" s="37" t="s">
        <v>172</v>
      </c>
      <c r="C1006" s="1" t="s">
        <v>104</v>
      </c>
      <c r="D1006" s="37" t="s">
        <v>972</v>
      </c>
      <c r="E1006" s="37">
        <v>5056800</v>
      </c>
      <c r="F1006" s="37" t="s">
        <v>1310</v>
      </c>
      <c r="G1006" s="79"/>
    </row>
    <row r="1007" spans="1:7" hidden="1">
      <c r="A1007" s="78">
        <v>42370</v>
      </c>
      <c r="B1007" s="37" t="s">
        <v>172</v>
      </c>
      <c r="C1007" s="1" t="s">
        <v>103</v>
      </c>
      <c r="D1007" s="37" t="s">
        <v>972</v>
      </c>
      <c r="E1007" s="37">
        <v>1444800</v>
      </c>
      <c r="F1007" s="37" t="s">
        <v>1572</v>
      </c>
      <c r="G1007" s="79"/>
    </row>
    <row r="1008" spans="1:7" hidden="1">
      <c r="A1008" s="78">
        <v>42370</v>
      </c>
      <c r="B1008" s="37" t="s">
        <v>172</v>
      </c>
      <c r="C1008" s="1" t="s">
        <v>103</v>
      </c>
      <c r="D1008" s="37" t="s">
        <v>972</v>
      </c>
      <c r="E1008" s="37">
        <v>9030000</v>
      </c>
      <c r="F1008" s="37" t="s">
        <v>1573</v>
      </c>
      <c r="G1008" s="79"/>
    </row>
    <row r="1009" spans="1:7" hidden="1">
      <c r="A1009" s="78">
        <v>42370</v>
      </c>
      <c r="B1009" s="37" t="s">
        <v>172</v>
      </c>
      <c r="C1009" s="1" t="s">
        <v>103</v>
      </c>
      <c r="D1009" s="37" t="s">
        <v>972</v>
      </c>
      <c r="E1009" s="37">
        <v>7765800</v>
      </c>
      <c r="F1009" s="37" t="s">
        <v>1574</v>
      </c>
      <c r="G1009" s="79"/>
    </row>
    <row r="1010" spans="1:7" hidden="1">
      <c r="A1010" s="78">
        <v>42370</v>
      </c>
      <c r="B1010" s="37" t="s">
        <v>826</v>
      </c>
      <c r="C1010" s="1" t="s">
        <v>103</v>
      </c>
      <c r="D1010" s="37" t="s">
        <v>1107</v>
      </c>
      <c r="E1010" s="37">
        <v>300000</v>
      </c>
      <c r="F1010" s="37" t="s">
        <v>1477</v>
      </c>
      <c r="G1010" s="79"/>
    </row>
    <row r="1011" spans="1:7" hidden="1">
      <c r="A1011" s="78">
        <v>42370</v>
      </c>
      <c r="B1011" s="37" t="s">
        <v>217</v>
      </c>
      <c r="C1011" s="1" t="s">
        <v>104</v>
      </c>
      <c r="D1011" s="37" t="s">
        <v>92</v>
      </c>
      <c r="E1011" s="37">
        <v>33191289</v>
      </c>
      <c r="F1011" s="37" t="s">
        <v>1467</v>
      </c>
      <c r="G1011" s="79">
        <v>0</v>
      </c>
    </row>
    <row r="1012" spans="1:7" hidden="1">
      <c r="A1012" s="78">
        <v>42370</v>
      </c>
      <c r="B1012" s="37" t="s">
        <v>217</v>
      </c>
      <c r="C1012" s="1" t="s">
        <v>104</v>
      </c>
      <c r="D1012" s="37" t="s">
        <v>92</v>
      </c>
      <c r="E1012" s="37">
        <v>7600000</v>
      </c>
      <c r="F1012" s="37" t="s">
        <v>1583</v>
      </c>
      <c r="G1012" s="79"/>
    </row>
    <row r="1013" spans="1:7" hidden="1">
      <c r="A1013" s="78">
        <v>42370</v>
      </c>
      <c r="B1013" s="37" t="s">
        <v>566</v>
      </c>
      <c r="C1013" s="1" t="s">
        <v>171</v>
      </c>
      <c r="D1013" s="37" t="s">
        <v>92</v>
      </c>
      <c r="E1013" s="37">
        <v>1794000</v>
      </c>
      <c r="F1013" s="37" t="s">
        <v>1584</v>
      </c>
      <c r="G1013" s="79"/>
    </row>
    <row r="1014" spans="1:7" hidden="1">
      <c r="A1014" s="78">
        <v>42370</v>
      </c>
      <c r="B1014" s="37" t="s">
        <v>566</v>
      </c>
      <c r="C1014" s="1" t="s">
        <v>171</v>
      </c>
      <c r="D1014" s="37" t="s">
        <v>92</v>
      </c>
      <c r="E1014" s="37">
        <v>252000</v>
      </c>
      <c r="F1014" s="37" t="s">
        <v>1585</v>
      </c>
      <c r="G1014" s="79"/>
    </row>
    <row r="1015" spans="1:7" hidden="1">
      <c r="A1015" s="78">
        <v>42370</v>
      </c>
      <c r="B1015" s="37" t="s">
        <v>6</v>
      </c>
      <c r="C1015" s="1" t="s">
        <v>215</v>
      </c>
      <c r="D1015" s="37" t="s">
        <v>673</v>
      </c>
      <c r="E1015" s="107">
        <v>7272480</v>
      </c>
      <c r="F1015" s="37" t="s">
        <v>1586</v>
      </c>
      <c r="G1015" s="390" t="s">
        <v>1739</v>
      </c>
    </row>
    <row r="1016" spans="1:7" hidden="1">
      <c r="A1016" s="78">
        <v>42370</v>
      </c>
      <c r="B1016" s="37" t="s">
        <v>55</v>
      </c>
      <c r="C1016" s="1" t="s">
        <v>1340</v>
      </c>
      <c r="D1016" s="37" t="s">
        <v>972</v>
      </c>
      <c r="E1016" s="37">
        <v>18480000</v>
      </c>
      <c r="F1016" s="37" t="s">
        <v>1591</v>
      </c>
      <c r="G1016" s="79"/>
    </row>
    <row r="1017" spans="1:7" hidden="1">
      <c r="A1017" s="78">
        <v>42370</v>
      </c>
      <c r="B1017" s="37" t="s">
        <v>600</v>
      </c>
      <c r="C1017" s="1" t="s">
        <v>171</v>
      </c>
      <c r="D1017" s="37" t="s">
        <v>827</v>
      </c>
      <c r="E1017" s="37">
        <v>19689781</v>
      </c>
      <c r="F1017" s="37" t="s">
        <v>1467</v>
      </c>
      <c r="G1017" s="79"/>
    </row>
    <row r="1018" spans="1:7" hidden="1">
      <c r="A1018" s="78">
        <v>42401</v>
      </c>
      <c r="B1018" s="37" t="s">
        <v>214</v>
      </c>
      <c r="C1018" s="1" t="s">
        <v>215</v>
      </c>
      <c r="D1018" s="37" t="s">
        <v>1107</v>
      </c>
      <c r="E1018" s="37">
        <v>24660000</v>
      </c>
      <c r="F1018" s="37" t="s">
        <v>234</v>
      </c>
      <c r="G1018" s="79"/>
    </row>
    <row r="1019" spans="1:7" hidden="1">
      <c r="A1019" s="78">
        <v>42370</v>
      </c>
      <c r="B1019" s="37" t="s">
        <v>826</v>
      </c>
      <c r="C1019" s="1" t="s">
        <v>103</v>
      </c>
      <c r="D1019" s="37" t="s">
        <v>1107</v>
      </c>
      <c r="E1019" s="37">
        <v>300000</v>
      </c>
      <c r="F1019" s="37" t="s">
        <v>1467</v>
      </c>
      <c r="G1019" s="79"/>
    </row>
    <row r="1020" spans="1:7" hidden="1">
      <c r="A1020" s="78">
        <v>42401</v>
      </c>
      <c r="B1020" s="37" t="s">
        <v>172</v>
      </c>
      <c r="C1020" s="1" t="s">
        <v>104</v>
      </c>
      <c r="D1020" s="37" t="s">
        <v>972</v>
      </c>
      <c r="E1020" s="37">
        <v>2167200</v>
      </c>
      <c r="F1020" s="37" t="s">
        <v>1402</v>
      </c>
      <c r="G1020" s="79"/>
    </row>
    <row r="1021" spans="1:7" hidden="1">
      <c r="A1021" s="78">
        <v>42401</v>
      </c>
      <c r="B1021" s="37" t="s">
        <v>172</v>
      </c>
      <c r="C1021" s="1" t="s">
        <v>104</v>
      </c>
      <c r="D1021" s="37" t="s">
        <v>972</v>
      </c>
      <c r="E1021" s="37">
        <v>2528400</v>
      </c>
      <c r="F1021" s="37" t="s">
        <v>1402</v>
      </c>
      <c r="G1021" s="79"/>
    </row>
    <row r="1022" spans="1:7" hidden="1">
      <c r="A1022" s="78">
        <v>42401</v>
      </c>
      <c r="B1022" s="37" t="s">
        <v>172</v>
      </c>
      <c r="C1022" s="1" t="s">
        <v>103</v>
      </c>
      <c r="D1022" s="37" t="s">
        <v>972</v>
      </c>
      <c r="E1022" s="37">
        <v>1264200</v>
      </c>
      <c r="F1022" s="37" t="s">
        <v>1597</v>
      </c>
      <c r="G1022" s="79"/>
    </row>
    <row r="1023" spans="1:7" hidden="1">
      <c r="A1023" s="78">
        <v>42401</v>
      </c>
      <c r="B1023" s="37" t="s">
        <v>172</v>
      </c>
      <c r="C1023" s="1" t="s">
        <v>104</v>
      </c>
      <c r="D1023" s="37" t="s">
        <v>972</v>
      </c>
      <c r="E1023" s="37">
        <v>7224000</v>
      </c>
      <c r="F1023" s="37" t="s">
        <v>1310</v>
      </c>
      <c r="G1023" s="79"/>
    </row>
    <row r="1024" spans="1:7" hidden="1">
      <c r="A1024" s="78">
        <v>42401</v>
      </c>
      <c r="B1024" s="37" t="s">
        <v>172</v>
      </c>
      <c r="C1024" s="1" t="s">
        <v>103</v>
      </c>
      <c r="D1024" s="37" t="s">
        <v>972</v>
      </c>
      <c r="E1024" s="37">
        <v>1264200</v>
      </c>
      <c r="F1024" s="37" t="s">
        <v>1187</v>
      </c>
      <c r="G1024" s="79"/>
    </row>
    <row r="1025" spans="1:7" hidden="1">
      <c r="A1025" s="78">
        <v>42401</v>
      </c>
      <c r="B1025" s="37" t="s">
        <v>172</v>
      </c>
      <c r="C1025" s="1" t="s">
        <v>103</v>
      </c>
      <c r="D1025" s="37" t="s">
        <v>972</v>
      </c>
      <c r="E1025" s="37">
        <v>8307600</v>
      </c>
      <c r="F1025" s="37" t="s">
        <v>1598</v>
      </c>
      <c r="G1025" s="79"/>
    </row>
    <row r="1026" spans="1:7" hidden="1">
      <c r="A1026" s="78">
        <v>42401</v>
      </c>
      <c r="B1026" s="37" t="s">
        <v>172</v>
      </c>
      <c r="C1026" s="1" t="s">
        <v>103</v>
      </c>
      <c r="D1026" s="37" t="s">
        <v>972</v>
      </c>
      <c r="E1026" s="37">
        <v>8488200</v>
      </c>
      <c r="F1026" s="37" t="s">
        <v>1599</v>
      </c>
      <c r="G1026" s="79"/>
    </row>
    <row r="1027" spans="1:7" hidden="1">
      <c r="A1027" s="78">
        <v>42401</v>
      </c>
      <c r="B1027" s="37" t="s">
        <v>55</v>
      </c>
      <c r="C1027" s="1" t="s">
        <v>1340</v>
      </c>
      <c r="D1027" s="37" t="s">
        <v>972</v>
      </c>
      <c r="E1027" s="37">
        <v>18911200</v>
      </c>
      <c r="F1027" s="37" t="s">
        <v>1600</v>
      </c>
      <c r="G1027" s="79"/>
    </row>
    <row r="1028" spans="1:7" hidden="1">
      <c r="A1028" s="78">
        <v>42401</v>
      </c>
      <c r="B1028" s="37" t="s">
        <v>1330</v>
      </c>
      <c r="C1028" s="1" t="s">
        <v>215</v>
      </c>
      <c r="D1028" s="37" t="s">
        <v>1560</v>
      </c>
      <c r="E1028" s="37">
        <v>1192474</v>
      </c>
      <c r="F1028" s="37" t="s">
        <v>335</v>
      </c>
      <c r="G1028" s="79"/>
    </row>
    <row r="1029" spans="1:7" hidden="1">
      <c r="A1029" s="78">
        <v>42401</v>
      </c>
      <c r="B1029" s="37" t="s">
        <v>619</v>
      </c>
      <c r="C1029" s="1" t="s">
        <v>171</v>
      </c>
      <c r="D1029" s="37" t="s">
        <v>92</v>
      </c>
      <c r="E1029" s="37">
        <v>5604000</v>
      </c>
      <c r="F1029" s="37" t="s">
        <v>1080</v>
      </c>
      <c r="G1029" s="79"/>
    </row>
    <row r="1030" spans="1:7" hidden="1">
      <c r="A1030" s="78">
        <v>42401</v>
      </c>
      <c r="B1030" s="37" t="s">
        <v>566</v>
      </c>
      <c r="C1030" s="1" t="s">
        <v>171</v>
      </c>
      <c r="D1030" s="37" t="s">
        <v>92</v>
      </c>
      <c r="E1030" s="37">
        <v>2304000</v>
      </c>
      <c r="F1030" s="37" t="s">
        <v>995</v>
      </c>
      <c r="G1030" s="79"/>
    </row>
    <row r="1031" spans="1:7" hidden="1">
      <c r="A1031" s="78">
        <v>42401</v>
      </c>
      <c r="B1031" s="37" t="s">
        <v>566</v>
      </c>
      <c r="C1031" s="1" t="s">
        <v>171</v>
      </c>
      <c r="D1031" s="37" t="s">
        <v>92</v>
      </c>
      <c r="E1031" s="37">
        <v>324000</v>
      </c>
      <c r="F1031" s="37" t="s">
        <v>1605</v>
      </c>
      <c r="G1031" s="79"/>
    </row>
    <row r="1032" spans="1:7" hidden="1">
      <c r="A1032" s="78">
        <v>42401</v>
      </c>
      <c r="B1032" s="37" t="s">
        <v>566</v>
      </c>
      <c r="C1032" s="1" t="s">
        <v>171</v>
      </c>
      <c r="D1032" s="37" t="s">
        <v>92</v>
      </c>
      <c r="E1032" s="37">
        <v>1626000</v>
      </c>
      <c r="F1032" s="37" t="s">
        <v>1606</v>
      </c>
      <c r="G1032" s="79"/>
    </row>
    <row r="1033" spans="1:7" hidden="1">
      <c r="A1033" s="78">
        <v>42401</v>
      </c>
      <c r="B1033" s="37" t="s">
        <v>566</v>
      </c>
      <c r="C1033" s="1" t="s">
        <v>171</v>
      </c>
      <c r="D1033" s="37" t="s">
        <v>92</v>
      </c>
      <c r="E1033" s="37">
        <v>228000</v>
      </c>
      <c r="F1033" s="37" t="s">
        <v>1568</v>
      </c>
      <c r="G1033" s="79"/>
    </row>
    <row r="1034" spans="1:7" hidden="1">
      <c r="A1034" s="78">
        <v>42401</v>
      </c>
      <c r="B1034" s="37" t="s">
        <v>6</v>
      </c>
      <c r="C1034" s="1" t="s">
        <v>215</v>
      </c>
      <c r="D1034" s="37" t="s">
        <v>673</v>
      </c>
      <c r="E1034" s="37">
        <v>4754754</v>
      </c>
      <c r="F1034" s="37" t="s">
        <v>335</v>
      </c>
      <c r="G1034" s="79"/>
    </row>
    <row r="1035" spans="1:7" hidden="1">
      <c r="A1035" s="78">
        <v>42401</v>
      </c>
      <c r="B1035" s="37" t="s">
        <v>6</v>
      </c>
      <c r="C1035" s="1" t="s">
        <v>104</v>
      </c>
      <c r="D1035" s="37" t="s">
        <v>673</v>
      </c>
      <c r="E1035" s="37">
        <v>2000010</v>
      </c>
      <c r="F1035" s="37" t="s">
        <v>557</v>
      </c>
      <c r="G1035" s="79"/>
    </row>
    <row r="1036" spans="1:7" hidden="1">
      <c r="A1036" s="78">
        <v>42401</v>
      </c>
      <c r="B1036" s="37" t="s">
        <v>129</v>
      </c>
      <c r="C1036" s="1" t="s">
        <v>171</v>
      </c>
      <c r="D1036" s="37" t="s">
        <v>972</v>
      </c>
      <c r="E1036" s="37">
        <v>285000</v>
      </c>
      <c r="F1036" s="37" t="s">
        <v>316</v>
      </c>
      <c r="G1036" s="79"/>
    </row>
    <row r="1037" spans="1:7" hidden="1">
      <c r="A1037" s="78">
        <v>42401</v>
      </c>
      <c r="B1037" s="37" t="s">
        <v>479</v>
      </c>
      <c r="C1037" s="1" t="s">
        <v>171</v>
      </c>
      <c r="D1037" s="37" t="s">
        <v>827</v>
      </c>
      <c r="E1037" s="37">
        <v>22573986</v>
      </c>
      <c r="F1037" s="37" t="s">
        <v>1477</v>
      </c>
      <c r="G1037" s="79"/>
    </row>
    <row r="1038" spans="1:7" hidden="1">
      <c r="A1038" s="78">
        <v>42430</v>
      </c>
      <c r="B1038" s="37" t="s">
        <v>214</v>
      </c>
      <c r="C1038" s="1" t="s">
        <v>215</v>
      </c>
      <c r="D1038" s="37" t="s">
        <v>1107</v>
      </c>
      <c r="E1038" s="37">
        <v>25380000</v>
      </c>
      <c r="F1038" s="37" t="s">
        <v>234</v>
      </c>
      <c r="G1038" s="79"/>
    </row>
    <row r="1039" spans="1:7" hidden="1">
      <c r="A1039" s="78">
        <v>42401</v>
      </c>
      <c r="B1039" s="37" t="s">
        <v>217</v>
      </c>
      <c r="C1039" s="1" t="s">
        <v>215</v>
      </c>
      <c r="D1039" s="37"/>
      <c r="E1039" s="37">
        <v>15169396</v>
      </c>
      <c r="F1039" s="37" t="s">
        <v>335</v>
      </c>
      <c r="G1039" s="79"/>
    </row>
    <row r="1040" spans="1:7" hidden="1">
      <c r="A1040" s="78">
        <v>42401</v>
      </c>
      <c r="B1040" s="37" t="s">
        <v>790</v>
      </c>
      <c r="C1040" s="1" t="s">
        <v>215</v>
      </c>
      <c r="D1040" s="37"/>
      <c r="E1040" s="37">
        <v>18207618</v>
      </c>
      <c r="F1040" s="37" t="s">
        <v>234</v>
      </c>
      <c r="G1040" s="79"/>
    </row>
    <row r="1041" spans="1:7" hidden="1">
      <c r="A1041" s="78">
        <v>42401</v>
      </c>
      <c r="B1041" s="37" t="s">
        <v>826</v>
      </c>
      <c r="C1041" s="1" t="s">
        <v>103</v>
      </c>
      <c r="D1041" s="37" t="s">
        <v>1107</v>
      </c>
      <c r="E1041" s="37">
        <v>280000</v>
      </c>
      <c r="F1041" s="37" t="s">
        <v>1467</v>
      </c>
      <c r="G1041" s="79"/>
    </row>
    <row r="1042" spans="1:7" hidden="1">
      <c r="A1042" s="78">
        <v>42430</v>
      </c>
      <c r="B1042" s="37" t="s">
        <v>503</v>
      </c>
      <c r="C1042" s="1" t="s">
        <v>104</v>
      </c>
      <c r="D1042" s="37" t="s">
        <v>972</v>
      </c>
      <c r="E1042" s="37">
        <v>2145000</v>
      </c>
      <c r="F1042" s="37" t="s">
        <v>1539</v>
      </c>
      <c r="G1042" s="79">
        <v>357500</v>
      </c>
    </row>
    <row r="1043" spans="1:7" hidden="1">
      <c r="A1043" s="78">
        <v>42430</v>
      </c>
      <c r="B1043" s="37" t="s">
        <v>503</v>
      </c>
      <c r="C1043" s="1" t="s">
        <v>104</v>
      </c>
      <c r="D1043" s="37" t="s">
        <v>972</v>
      </c>
      <c r="E1043" s="37">
        <v>1080000</v>
      </c>
      <c r="F1043" s="37" t="s">
        <v>1402</v>
      </c>
      <c r="G1043" s="79">
        <v>180000</v>
      </c>
    </row>
    <row r="1044" spans="1:7" hidden="1">
      <c r="A1044" s="78">
        <v>42430</v>
      </c>
      <c r="B1044" s="37" t="s">
        <v>503</v>
      </c>
      <c r="C1044" s="1" t="s">
        <v>104</v>
      </c>
      <c r="D1044" s="37" t="s">
        <v>972</v>
      </c>
      <c r="E1044" s="37">
        <v>1275000</v>
      </c>
      <c r="F1044" s="37" t="s">
        <v>1617</v>
      </c>
      <c r="G1044" s="79">
        <v>212500</v>
      </c>
    </row>
    <row r="1045" spans="1:7" hidden="1">
      <c r="A1045" s="78">
        <v>42430</v>
      </c>
      <c r="B1045" s="37" t="s">
        <v>503</v>
      </c>
      <c r="C1045" s="1" t="s">
        <v>171</v>
      </c>
      <c r="D1045" s="37" t="s">
        <v>972</v>
      </c>
      <c r="E1045" s="37">
        <v>1275000</v>
      </c>
      <c r="F1045" s="37" t="s">
        <v>1618</v>
      </c>
      <c r="G1045" s="79">
        <v>212500</v>
      </c>
    </row>
    <row r="1046" spans="1:7" hidden="1">
      <c r="A1046" s="78">
        <v>42430</v>
      </c>
      <c r="B1046" s="37" t="s">
        <v>503</v>
      </c>
      <c r="C1046" s="1" t="s">
        <v>104</v>
      </c>
      <c r="D1046" s="37" t="s">
        <v>972</v>
      </c>
      <c r="E1046" s="37">
        <f>10755000+7530000+7530000+7530000</f>
        <v>33345000</v>
      </c>
      <c r="F1046" s="37" t="s">
        <v>1404</v>
      </c>
      <c r="G1046" s="79">
        <f>1255000*3+1792500</f>
        <v>5557500</v>
      </c>
    </row>
    <row r="1047" spans="1:7" hidden="1">
      <c r="A1047" s="78">
        <v>42430</v>
      </c>
      <c r="B1047" s="37" t="s">
        <v>790</v>
      </c>
      <c r="C1047" s="1" t="s">
        <v>104</v>
      </c>
      <c r="D1047" s="37" t="s">
        <v>92</v>
      </c>
      <c r="E1047" s="37">
        <v>235367</v>
      </c>
      <c r="F1047" s="37" t="s">
        <v>234</v>
      </c>
      <c r="G1047" s="79"/>
    </row>
    <row r="1048" spans="1:7" hidden="1">
      <c r="A1048" s="78">
        <v>42430</v>
      </c>
      <c r="B1048" s="37" t="s">
        <v>566</v>
      </c>
      <c r="C1048" s="1" t="s">
        <v>171</v>
      </c>
      <c r="D1048" s="37" t="s">
        <v>92</v>
      </c>
      <c r="E1048" s="37">
        <v>270000</v>
      </c>
      <c r="F1048" s="37" t="s">
        <v>1004</v>
      </c>
      <c r="G1048" s="79"/>
    </row>
    <row r="1049" spans="1:7" hidden="1">
      <c r="A1049" s="78">
        <v>42430</v>
      </c>
      <c r="B1049" s="37" t="s">
        <v>566</v>
      </c>
      <c r="C1049" s="1" t="s">
        <v>171</v>
      </c>
      <c r="D1049" s="37" t="s">
        <v>92</v>
      </c>
      <c r="E1049" s="37">
        <v>564000</v>
      </c>
      <c r="F1049" s="37" t="s">
        <v>1062</v>
      </c>
      <c r="G1049" s="79"/>
    </row>
    <row r="1050" spans="1:7" hidden="1">
      <c r="A1050" s="78">
        <v>42430</v>
      </c>
      <c r="B1050" s="37" t="s">
        <v>566</v>
      </c>
      <c r="C1050" s="1" t="s">
        <v>171</v>
      </c>
      <c r="D1050" s="37" t="s">
        <v>92</v>
      </c>
      <c r="E1050" s="37">
        <v>66000</v>
      </c>
      <c r="F1050" s="37" t="s">
        <v>1062</v>
      </c>
      <c r="G1050" s="79"/>
    </row>
    <row r="1051" spans="1:7" hidden="1">
      <c r="A1051" s="78">
        <v>42430</v>
      </c>
      <c r="B1051" s="37" t="s">
        <v>172</v>
      </c>
      <c r="C1051" s="1" t="s">
        <v>336</v>
      </c>
      <c r="D1051" s="37" t="s">
        <v>972</v>
      </c>
      <c r="E1051" s="37">
        <v>2528400</v>
      </c>
      <c r="F1051" s="37" t="s">
        <v>1620</v>
      </c>
      <c r="G1051" s="79"/>
    </row>
    <row r="1052" spans="1:7" hidden="1">
      <c r="A1052" s="78">
        <v>42430</v>
      </c>
      <c r="B1052" s="37" t="s">
        <v>172</v>
      </c>
      <c r="C1052" s="1" t="s">
        <v>104</v>
      </c>
      <c r="D1052" s="37" t="s">
        <v>972</v>
      </c>
      <c r="E1052" s="37">
        <v>2528400</v>
      </c>
      <c r="F1052" s="37" t="s">
        <v>1620</v>
      </c>
      <c r="G1052" s="79"/>
    </row>
    <row r="1053" spans="1:7" hidden="1">
      <c r="A1053" s="78">
        <v>42430</v>
      </c>
      <c r="B1053" s="37" t="s">
        <v>172</v>
      </c>
      <c r="C1053" s="1" t="s">
        <v>104</v>
      </c>
      <c r="D1053" s="37" t="s">
        <v>972</v>
      </c>
      <c r="E1053" s="37">
        <v>9571800</v>
      </c>
      <c r="F1053" s="37" t="s">
        <v>1310</v>
      </c>
      <c r="G1053" s="79"/>
    </row>
    <row r="1054" spans="1:7" hidden="1">
      <c r="A1054" s="78">
        <v>42430</v>
      </c>
      <c r="B1054" s="37" t="s">
        <v>172</v>
      </c>
      <c r="C1054" s="1" t="s">
        <v>103</v>
      </c>
      <c r="D1054" s="37" t="s">
        <v>972</v>
      </c>
      <c r="E1054" s="37">
        <v>1264200</v>
      </c>
      <c r="F1054" s="37" t="s">
        <v>1310</v>
      </c>
      <c r="G1054" s="79"/>
    </row>
    <row r="1055" spans="1:7" hidden="1">
      <c r="A1055" s="78">
        <v>42430</v>
      </c>
      <c r="B1055" s="37" t="s">
        <v>172</v>
      </c>
      <c r="C1055" s="1" t="s">
        <v>103</v>
      </c>
      <c r="D1055" s="37" t="s">
        <v>972</v>
      </c>
      <c r="E1055" s="37">
        <v>1625400</v>
      </c>
      <c r="F1055" s="37" t="s">
        <v>1187</v>
      </c>
      <c r="G1055" s="79"/>
    </row>
    <row r="1056" spans="1:7" hidden="1">
      <c r="A1056" s="78">
        <v>42430</v>
      </c>
      <c r="B1056" s="37" t="s">
        <v>172</v>
      </c>
      <c r="C1056" s="1" t="s">
        <v>103</v>
      </c>
      <c r="D1056" s="37" t="s">
        <v>972</v>
      </c>
      <c r="E1056" s="37">
        <v>8488200</v>
      </c>
      <c r="F1056" s="37" t="s">
        <v>1621</v>
      </c>
      <c r="G1056" s="79"/>
    </row>
    <row r="1057" spans="1:7" hidden="1">
      <c r="A1057" s="78">
        <v>42430</v>
      </c>
      <c r="B1057" s="37" t="s">
        <v>172</v>
      </c>
      <c r="C1057" s="1" t="s">
        <v>103</v>
      </c>
      <c r="D1057" s="37" t="s">
        <v>972</v>
      </c>
      <c r="E1057" s="37">
        <v>8849400</v>
      </c>
      <c r="F1057" s="37" t="s">
        <v>1622</v>
      </c>
      <c r="G1057" s="79"/>
    </row>
    <row r="1058" spans="1:7" hidden="1">
      <c r="A1058" s="78">
        <v>42430</v>
      </c>
      <c r="B1058" s="37" t="s">
        <v>790</v>
      </c>
      <c r="C1058" s="1" t="s">
        <v>104</v>
      </c>
      <c r="D1058" s="37" t="s">
        <v>92</v>
      </c>
      <c r="E1058" s="37">
        <v>5604561</v>
      </c>
      <c r="F1058" s="37" t="s">
        <v>234</v>
      </c>
      <c r="G1058" s="79"/>
    </row>
    <row r="1059" spans="1:7" hidden="1">
      <c r="A1059" s="78">
        <v>42430</v>
      </c>
      <c r="B1059" s="37" t="s">
        <v>1330</v>
      </c>
      <c r="C1059" s="1" t="s">
        <v>104</v>
      </c>
      <c r="D1059" s="37" t="s">
        <v>1560</v>
      </c>
      <c r="E1059" s="37">
        <v>1000000</v>
      </c>
      <c r="F1059" s="37" t="s">
        <v>1194</v>
      </c>
      <c r="G1059" s="79"/>
    </row>
    <row r="1060" spans="1:7" hidden="1">
      <c r="A1060" s="78">
        <v>42430</v>
      </c>
      <c r="B1060" s="37" t="s">
        <v>1330</v>
      </c>
      <c r="C1060" s="1" t="s">
        <v>215</v>
      </c>
      <c r="D1060" s="37" t="s">
        <v>1560</v>
      </c>
      <c r="E1060" s="37">
        <v>2881665</v>
      </c>
      <c r="F1060" s="37" t="s">
        <v>335</v>
      </c>
      <c r="G1060" s="79"/>
    </row>
    <row r="1061" spans="1:7" hidden="1">
      <c r="A1061" s="78">
        <v>42461</v>
      </c>
      <c r="B1061" s="37" t="s">
        <v>55</v>
      </c>
      <c r="C1061" s="1" t="s">
        <v>1340</v>
      </c>
      <c r="D1061" s="37" t="s">
        <v>972</v>
      </c>
      <c r="E1061" s="37">
        <v>11090100</v>
      </c>
      <c r="F1061" s="37" t="s">
        <v>1625</v>
      </c>
      <c r="G1061" s="79"/>
    </row>
    <row r="1062" spans="1:7" hidden="1">
      <c r="A1062" s="78">
        <v>42461</v>
      </c>
      <c r="B1062" s="37" t="s">
        <v>214</v>
      </c>
      <c r="C1062" s="1" t="s">
        <v>215</v>
      </c>
      <c r="D1062" s="37" t="s">
        <v>827</v>
      </c>
      <c r="E1062" s="37">
        <v>15660000</v>
      </c>
      <c r="F1062" s="37" t="s">
        <v>335</v>
      </c>
      <c r="G1062" s="79"/>
    </row>
    <row r="1063" spans="1:7" hidden="1">
      <c r="A1063" s="78">
        <v>42461</v>
      </c>
      <c r="B1063" s="37" t="s">
        <v>172</v>
      </c>
      <c r="C1063" s="1" t="s">
        <v>103</v>
      </c>
      <c r="D1063" s="37" t="s">
        <v>972</v>
      </c>
      <c r="E1063" s="37">
        <v>1264200</v>
      </c>
      <c r="F1063" s="37" t="s">
        <v>1646</v>
      </c>
      <c r="G1063" s="79"/>
    </row>
    <row r="1064" spans="1:7" hidden="1">
      <c r="A1064" s="78">
        <v>42461</v>
      </c>
      <c r="B1064" s="37" t="s">
        <v>172</v>
      </c>
      <c r="C1064" s="1" t="s">
        <v>104</v>
      </c>
      <c r="D1064" s="37" t="s">
        <v>972</v>
      </c>
      <c r="E1064" s="37">
        <v>6682200</v>
      </c>
      <c r="F1064" s="37" t="s">
        <v>1647</v>
      </c>
      <c r="G1064" s="79"/>
    </row>
    <row r="1065" spans="1:7" hidden="1">
      <c r="A1065" s="78">
        <v>42461</v>
      </c>
      <c r="B1065" s="37" t="s">
        <v>172</v>
      </c>
      <c r="C1065" s="1" t="s">
        <v>103</v>
      </c>
      <c r="D1065" s="37" t="s">
        <v>972</v>
      </c>
      <c r="E1065" s="37">
        <v>8307600</v>
      </c>
      <c r="F1065" s="37" t="s">
        <v>1574</v>
      </c>
      <c r="G1065" s="79"/>
    </row>
    <row r="1066" spans="1:7" hidden="1">
      <c r="A1066" s="78">
        <v>42461</v>
      </c>
      <c r="B1066" s="37" t="s">
        <v>172</v>
      </c>
      <c r="C1066" s="1" t="s">
        <v>103</v>
      </c>
      <c r="D1066" s="37" t="s">
        <v>972</v>
      </c>
      <c r="E1066" s="37">
        <v>7946400</v>
      </c>
      <c r="F1066" s="37" t="s">
        <v>1288</v>
      </c>
      <c r="G1066" s="79"/>
    </row>
    <row r="1067" spans="1:7" hidden="1">
      <c r="A1067" s="78">
        <v>42461</v>
      </c>
      <c r="B1067" s="37" t="s">
        <v>217</v>
      </c>
      <c r="C1067" s="1" t="s">
        <v>104</v>
      </c>
      <c r="D1067" s="37" t="s">
        <v>92</v>
      </c>
      <c r="E1067" s="37">
        <v>3600000</v>
      </c>
      <c r="F1067" s="37" t="s">
        <v>1198</v>
      </c>
      <c r="G1067" s="79"/>
    </row>
    <row r="1068" spans="1:7" hidden="1">
      <c r="A1068" s="78">
        <v>42461</v>
      </c>
      <c r="B1068" s="37" t="s">
        <v>600</v>
      </c>
      <c r="C1068" s="1" t="s">
        <v>171</v>
      </c>
      <c r="D1068" s="37" t="s">
        <v>827</v>
      </c>
      <c r="E1068" s="37">
        <v>5653890</v>
      </c>
      <c r="F1068" s="37" t="s">
        <v>1648</v>
      </c>
      <c r="G1068" s="79"/>
    </row>
    <row r="1069" spans="1:7" hidden="1">
      <c r="A1069" s="78">
        <v>42461</v>
      </c>
      <c r="B1069" s="37" t="s">
        <v>172</v>
      </c>
      <c r="C1069" s="1" t="s">
        <v>103</v>
      </c>
      <c r="D1069" s="37" t="s">
        <v>972</v>
      </c>
      <c r="E1069" s="37">
        <v>1444800</v>
      </c>
      <c r="F1069" s="37" t="s">
        <v>1187</v>
      </c>
      <c r="G1069" s="79"/>
    </row>
    <row r="1070" spans="1:7" hidden="1">
      <c r="A1070" s="78">
        <v>42461</v>
      </c>
      <c r="B1070" s="37" t="s">
        <v>790</v>
      </c>
      <c r="C1070" s="1" t="s">
        <v>104</v>
      </c>
      <c r="D1070" s="37" t="s">
        <v>92</v>
      </c>
      <c r="E1070" s="37">
        <v>17944040</v>
      </c>
      <c r="F1070" s="37" t="s">
        <v>1334</v>
      </c>
      <c r="G1070" s="79"/>
    </row>
    <row r="1071" spans="1:7" hidden="1">
      <c r="A1071" s="78">
        <v>42461</v>
      </c>
      <c r="B1071" s="37" t="s">
        <v>826</v>
      </c>
      <c r="C1071" s="1" t="s">
        <v>103</v>
      </c>
      <c r="D1071" s="37" t="s">
        <v>827</v>
      </c>
      <c r="E1071" s="37">
        <v>560000</v>
      </c>
      <c r="F1071" s="37" t="s">
        <v>1477</v>
      </c>
      <c r="G1071" s="79"/>
    </row>
    <row r="1072" spans="1:7" hidden="1">
      <c r="A1072" s="78">
        <v>42491</v>
      </c>
      <c r="B1072" s="37" t="s">
        <v>600</v>
      </c>
      <c r="C1072" s="1" t="s">
        <v>171</v>
      </c>
      <c r="D1072" s="37" t="s">
        <v>827</v>
      </c>
      <c r="E1072" s="37">
        <v>5192349</v>
      </c>
      <c r="F1072" s="37" t="s">
        <v>1477</v>
      </c>
      <c r="G1072" s="79"/>
    </row>
    <row r="1073" spans="1:10" hidden="1">
      <c r="A1073" s="78">
        <v>42461</v>
      </c>
      <c r="B1073" s="37" t="s">
        <v>217</v>
      </c>
      <c r="C1073" s="1" t="s">
        <v>104</v>
      </c>
      <c r="D1073" s="37" t="s">
        <v>92</v>
      </c>
      <c r="E1073" s="37">
        <v>47458026</v>
      </c>
      <c r="F1073" s="37" t="s">
        <v>335</v>
      </c>
      <c r="G1073" s="79"/>
    </row>
    <row r="1074" spans="1:10" hidden="1">
      <c r="A1074" s="78">
        <v>42461</v>
      </c>
      <c r="B1074" s="37" t="s">
        <v>1330</v>
      </c>
      <c r="C1074" s="1" t="s">
        <v>104</v>
      </c>
      <c r="D1074" s="37" t="s">
        <v>1560</v>
      </c>
      <c r="E1074" s="37">
        <v>1185253</v>
      </c>
      <c r="F1074" s="37" t="s">
        <v>335</v>
      </c>
      <c r="G1074" s="79"/>
    </row>
    <row r="1075" spans="1:10" hidden="1">
      <c r="A1075" s="78">
        <v>42492</v>
      </c>
      <c r="B1075" s="37" t="s">
        <v>55</v>
      </c>
      <c r="C1075" s="1" t="s">
        <v>1340</v>
      </c>
      <c r="D1075" s="37" t="s">
        <v>972</v>
      </c>
      <c r="E1075" s="37">
        <v>11172500</v>
      </c>
      <c r="F1075" s="37" t="s">
        <v>1666</v>
      </c>
      <c r="G1075" s="79"/>
      <c r="H1075" s="336"/>
      <c r="I1075" s="33"/>
      <c r="J1075" s="33"/>
    </row>
    <row r="1076" spans="1:10" hidden="1">
      <c r="A1076" s="78">
        <v>42491</v>
      </c>
      <c r="B1076" s="37" t="s">
        <v>172</v>
      </c>
      <c r="C1076" s="1" t="s">
        <v>104</v>
      </c>
      <c r="D1076" s="37" t="s">
        <v>972</v>
      </c>
      <c r="E1076" s="37">
        <v>4695600</v>
      </c>
      <c r="F1076" s="37" t="s">
        <v>1668</v>
      </c>
      <c r="G1076" s="79"/>
    </row>
    <row r="1077" spans="1:10" hidden="1">
      <c r="A1077" s="78">
        <v>42491</v>
      </c>
      <c r="B1077" s="37" t="s">
        <v>172</v>
      </c>
      <c r="C1077" s="1" t="s">
        <v>104</v>
      </c>
      <c r="D1077" s="37" t="s">
        <v>972</v>
      </c>
      <c r="E1077" s="37">
        <v>14989800</v>
      </c>
      <c r="F1077" s="37" t="s">
        <v>1224</v>
      </c>
      <c r="G1077" s="79"/>
    </row>
    <row r="1078" spans="1:10" hidden="1">
      <c r="A1078" s="78">
        <v>42491</v>
      </c>
      <c r="B1078" s="37" t="s">
        <v>172</v>
      </c>
      <c r="C1078" s="1" t="s">
        <v>103</v>
      </c>
      <c r="D1078" s="37" t="s">
        <v>972</v>
      </c>
      <c r="E1078" s="37">
        <v>1625400</v>
      </c>
      <c r="F1078" s="37" t="s">
        <v>1190</v>
      </c>
      <c r="G1078" s="79"/>
    </row>
    <row r="1079" spans="1:10" hidden="1">
      <c r="A1079" s="78">
        <v>42491</v>
      </c>
      <c r="B1079" s="37" t="s">
        <v>172</v>
      </c>
      <c r="C1079" s="1" t="s">
        <v>103</v>
      </c>
      <c r="D1079" s="37" t="s">
        <v>972</v>
      </c>
      <c r="E1079" s="37">
        <v>1083600</v>
      </c>
      <c r="F1079" s="37" t="s">
        <v>1187</v>
      </c>
      <c r="G1079" s="79"/>
    </row>
    <row r="1080" spans="1:10" hidden="1">
      <c r="A1080" s="78">
        <v>42491</v>
      </c>
      <c r="B1080" s="37" t="s">
        <v>172</v>
      </c>
      <c r="C1080" s="1" t="s">
        <v>103</v>
      </c>
      <c r="D1080" s="37" t="s">
        <v>972</v>
      </c>
      <c r="E1080" s="37">
        <v>7765800</v>
      </c>
      <c r="F1080" s="37" t="s">
        <v>1669</v>
      </c>
      <c r="G1080" s="79"/>
    </row>
    <row r="1081" spans="1:10" hidden="1">
      <c r="A1081" s="78">
        <v>42491</v>
      </c>
      <c r="B1081" s="37" t="s">
        <v>172</v>
      </c>
      <c r="C1081" s="1" t="s">
        <v>103</v>
      </c>
      <c r="D1081" s="37" t="s">
        <v>972</v>
      </c>
      <c r="E1081" s="37">
        <v>7585200</v>
      </c>
      <c r="F1081" s="37" t="s">
        <v>1670</v>
      </c>
      <c r="G1081" s="79"/>
    </row>
    <row r="1082" spans="1:10" hidden="1">
      <c r="A1082" s="78">
        <v>42491</v>
      </c>
      <c r="B1082" s="37" t="s">
        <v>214</v>
      </c>
      <c r="C1082" s="1" t="s">
        <v>215</v>
      </c>
      <c r="D1082" s="37" t="s">
        <v>827</v>
      </c>
      <c r="E1082" s="37">
        <v>31950000</v>
      </c>
      <c r="F1082" s="37" t="s">
        <v>1671</v>
      </c>
      <c r="G1082" s="79"/>
    </row>
    <row r="1083" spans="1:10" hidden="1">
      <c r="A1083" s="78">
        <v>42491</v>
      </c>
      <c r="B1083" s="37" t="s">
        <v>523</v>
      </c>
      <c r="C1083" s="1" t="s">
        <v>215</v>
      </c>
      <c r="D1083" s="37" t="s">
        <v>673</v>
      </c>
      <c r="E1083" s="107">
        <v>15306024</v>
      </c>
      <c r="F1083" s="37" t="s">
        <v>1224</v>
      </c>
      <c r="G1083" s="390" t="s">
        <v>1739</v>
      </c>
      <c r="H1083">
        <f>E1083/10000</f>
        <v>1530.6024</v>
      </c>
    </row>
    <row r="1084" spans="1:10" hidden="1">
      <c r="A1084" s="78">
        <v>42491</v>
      </c>
      <c r="B1084" s="37" t="s">
        <v>523</v>
      </c>
      <c r="C1084" s="1" t="s">
        <v>104</v>
      </c>
      <c r="D1084" s="37" t="s">
        <v>673</v>
      </c>
      <c r="E1084" s="37">
        <v>1000020</v>
      </c>
      <c r="F1084" s="37" t="s">
        <v>1475</v>
      </c>
      <c r="G1084" s="79"/>
      <c r="H1084" s="1461">
        <f>E1084/10000</f>
        <v>100.002</v>
      </c>
      <c r="I1084">
        <f>H1084-H1084/1.2</f>
        <v>16.667000000000002</v>
      </c>
    </row>
    <row r="1085" spans="1:10" hidden="1">
      <c r="A1085" s="78">
        <v>42491</v>
      </c>
      <c r="B1085" s="37" t="s">
        <v>217</v>
      </c>
      <c r="C1085" s="1" t="s">
        <v>104</v>
      </c>
      <c r="D1085" s="37" t="s">
        <v>92</v>
      </c>
      <c r="E1085" s="37">
        <v>16474421</v>
      </c>
      <c r="F1085" s="37" t="s">
        <v>1684</v>
      </c>
      <c r="G1085" s="79"/>
    </row>
    <row r="1086" spans="1:10" hidden="1">
      <c r="A1086" s="78">
        <v>42491</v>
      </c>
      <c r="B1086" s="37" t="s">
        <v>790</v>
      </c>
      <c r="C1086" s="1" t="s">
        <v>1685</v>
      </c>
      <c r="D1086" s="37" t="s">
        <v>92</v>
      </c>
      <c r="E1086" s="37">
        <v>19797574</v>
      </c>
      <c r="F1086" s="37" t="s">
        <v>1686</v>
      </c>
      <c r="G1086" s="79"/>
    </row>
    <row r="1087" spans="1:10" hidden="1">
      <c r="A1087" s="78">
        <v>42491</v>
      </c>
      <c r="B1087" s="37" t="s">
        <v>217</v>
      </c>
      <c r="C1087" s="1" t="s">
        <v>104</v>
      </c>
      <c r="D1087" s="37" t="s">
        <v>92</v>
      </c>
      <c r="E1087" s="37">
        <v>3400000</v>
      </c>
      <c r="F1087" s="37" t="s">
        <v>1687</v>
      </c>
      <c r="G1087" s="79"/>
    </row>
    <row r="1088" spans="1:10" hidden="1">
      <c r="A1088" s="78">
        <v>42491</v>
      </c>
      <c r="B1088" s="37" t="s">
        <v>55</v>
      </c>
      <c r="C1088" s="1" t="s">
        <v>1340</v>
      </c>
      <c r="D1088" s="37" t="s">
        <v>972</v>
      </c>
      <c r="E1088" s="37">
        <v>11582500</v>
      </c>
      <c r="F1088" s="37" t="s">
        <v>1690</v>
      </c>
      <c r="G1088" s="79"/>
    </row>
    <row r="1089" spans="1:7" hidden="1">
      <c r="A1089" s="78">
        <v>42491</v>
      </c>
      <c r="B1089" s="37" t="s">
        <v>98</v>
      </c>
      <c r="C1089" s="1" t="s">
        <v>104</v>
      </c>
      <c r="D1089" s="37" t="s">
        <v>92</v>
      </c>
      <c r="E1089" s="37">
        <v>8000000</v>
      </c>
      <c r="F1089" s="37" t="s">
        <v>1691</v>
      </c>
      <c r="G1089" s="79"/>
    </row>
    <row r="1090" spans="1:7" hidden="1">
      <c r="A1090" s="78">
        <v>42430</v>
      </c>
      <c r="B1090" s="37" t="s">
        <v>1561</v>
      </c>
      <c r="C1090" s="1" t="s">
        <v>215</v>
      </c>
      <c r="D1090" s="37" t="s">
        <v>1476</v>
      </c>
      <c r="E1090" s="37">
        <v>6199200</v>
      </c>
      <c r="F1090" s="37" t="s">
        <v>1692</v>
      </c>
      <c r="G1090" s="79"/>
    </row>
    <row r="1091" spans="1:7" hidden="1">
      <c r="A1091" s="78">
        <v>42491</v>
      </c>
      <c r="B1091" s="37" t="s">
        <v>826</v>
      </c>
      <c r="C1091" s="1" t="s">
        <v>103</v>
      </c>
      <c r="D1091" s="37" t="s">
        <v>1107</v>
      </c>
      <c r="E1091" s="37">
        <v>520000</v>
      </c>
      <c r="F1091" s="37" t="s">
        <v>335</v>
      </c>
      <c r="G1091" s="79"/>
    </row>
    <row r="1092" spans="1:7" hidden="1">
      <c r="A1092" s="78">
        <v>42522</v>
      </c>
      <c r="B1092" s="37" t="s">
        <v>172</v>
      </c>
      <c r="C1092" s="1" t="s">
        <v>104</v>
      </c>
      <c r="D1092" s="37" t="s">
        <v>972</v>
      </c>
      <c r="E1092" s="37">
        <v>2889600</v>
      </c>
      <c r="F1092" s="37" t="s">
        <v>1450</v>
      </c>
      <c r="G1092" s="79"/>
    </row>
    <row r="1093" spans="1:7" hidden="1">
      <c r="A1093" s="78">
        <v>42522</v>
      </c>
      <c r="B1093" s="37" t="s">
        <v>172</v>
      </c>
      <c r="C1093" s="1" t="s">
        <v>104</v>
      </c>
      <c r="D1093" s="37" t="s">
        <v>972</v>
      </c>
      <c r="E1093" s="37">
        <v>2347800</v>
      </c>
      <c r="F1093" s="37" t="s">
        <v>1402</v>
      </c>
      <c r="G1093" s="79"/>
    </row>
    <row r="1094" spans="1:7" hidden="1">
      <c r="A1094" s="78">
        <v>42522</v>
      </c>
      <c r="B1094" s="37" t="s">
        <v>172</v>
      </c>
      <c r="C1094" s="1" t="s">
        <v>171</v>
      </c>
      <c r="D1094" s="37" t="s">
        <v>972</v>
      </c>
      <c r="E1094" s="37">
        <v>2347800</v>
      </c>
      <c r="F1094" s="37" t="s">
        <v>1696</v>
      </c>
      <c r="G1094" s="79"/>
    </row>
    <row r="1095" spans="1:7" hidden="1">
      <c r="A1095" s="78">
        <v>42522</v>
      </c>
      <c r="B1095" s="37" t="s">
        <v>172</v>
      </c>
      <c r="C1095" s="1" t="s">
        <v>103</v>
      </c>
      <c r="D1095" s="37" t="s">
        <v>972</v>
      </c>
      <c r="E1095" s="37">
        <v>1264200</v>
      </c>
      <c r="F1095" s="37" t="s">
        <v>1187</v>
      </c>
      <c r="G1095" s="79"/>
    </row>
    <row r="1096" spans="1:7" hidden="1">
      <c r="A1096" s="78">
        <v>42522</v>
      </c>
      <c r="B1096" s="37" t="s">
        <v>172</v>
      </c>
      <c r="C1096" s="1" t="s">
        <v>103</v>
      </c>
      <c r="D1096" s="37" t="s">
        <v>972</v>
      </c>
      <c r="E1096" s="37">
        <v>1444800</v>
      </c>
      <c r="F1096" s="37" t="s">
        <v>1697</v>
      </c>
      <c r="G1096" s="79"/>
    </row>
    <row r="1097" spans="1:7" hidden="1">
      <c r="A1097" s="78">
        <v>42522</v>
      </c>
      <c r="B1097" s="37" t="s">
        <v>172</v>
      </c>
      <c r="C1097" s="1" t="s">
        <v>104</v>
      </c>
      <c r="D1097" s="37" t="s">
        <v>972</v>
      </c>
      <c r="E1097" s="37">
        <v>14628600</v>
      </c>
      <c r="F1097" s="37" t="s">
        <v>1224</v>
      </c>
      <c r="G1097" s="79"/>
    </row>
    <row r="1098" spans="1:7" hidden="1">
      <c r="A1098" s="78">
        <v>42522</v>
      </c>
      <c r="B1098" s="37" t="s">
        <v>172</v>
      </c>
      <c r="C1098" s="1" t="s">
        <v>103</v>
      </c>
      <c r="D1098" s="37" t="s">
        <v>972</v>
      </c>
      <c r="E1098" s="37">
        <v>8127000</v>
      </c>
      <c r="F1098" s="37" t="s">
        <v>1622</v>
      </c>
      <c r="G1098" s="79"/>
    </row>
    <row r="1099" spans="1:7" hidden="1">
      <c r="A1099" s="78">
        <v>42522</v>
      </c>
      <c r="B1099" s="37" t="s">
        <v>172</v>
      </c>
      <c r="C1099" s="1" t="s">
        <v>103</v>
      </c>
      <c r="D1099" s="37" t="s">
        <v>972</v>
      </c>
      <c r="E1099" s="37">
        <v>7946400</v>
      </c>
      <c r="F1099" s="37" t="s">
        <v>1698</v>
      </c>
      <c r="G1099" s="79"/>
    </row>
    <row r="1100" spans="1:7" hidden="1">
      <c r="A1100" s="78">
        <v>42522</v>
      </c>
      <c r="B1100" s="37" t="s">
        <v>214</v>
      </c>
      <c r="C1100" s="1" t="s">
        <v>215</v>
      </c>
      <c r="D1100" s="37" t="s">
        <v>827</v>
      </c>
      <c r="E1100" s="37">
        <v>29430000</v>
      </c>
      <c r="F1100" s="37" t="s">
        <v>1671</v>
      </c>
      <c r="G1100" s="79"/>
    </row>
    <row r="1101" spans="1:7" hidden="1">
      <c r="A1101" s="78">
        <v>42522</v>
      </c>
      <c r="B1101" s="37" t="s">
        <v>790</v>
      </c>
      <c r="C1101" s="1" t="s">
        <v>215</v>
      </c>
      <c r="D1101" s="37" t="s">
        <v>92</v>
      </c>
      <c r="E1101" s="37">
        <v>16964277</v>
      </c>
      <c r="F1101" s="37" t="s">
        <v>1705</v>
      </c>
      <c r="G1101" s="79"/>
    </row>
    <row r="1102" spans="1:7" hidden="1">
      <c r="A1102" s="78">
        <v>42522</v>
      </c>
      <c r="B1102" s="37" t="s">
        <v>600</v>
      </c>
      <c r="C1102" s="1" t="s">
        <v>171</v>
      </c>
      <c r="D1102" s="37" t="s">
        <v>827</v>
      </c>
      <c r="E1102" s="37">
        <v>5428972</v>
      </c>
      <c r="F1102" s="37" t="s">
        <v>1477</v>
      </c>
      <c r="G1102" s="79"/>
    </row>
    <row r="1103" spans="1:7" hidden="1">
      <c r="A1103" s="78">
        <v>42522</v>
      </c>
      <c r="B1103" s="37" t="s">
        <v>600</v>
      </c>
      <c r="C1103" s="1" t="s">
        <v>171</v>
      </c>
      <c r="D1103" s="37" t="s">
        <v>827</v>
      </c>
      <c r="E1103" s="37">
        <v>19225000</v>
      </c>
      <c r="F1103" s="37" t="s">
        <v>1710</v>
      </c>
      <c r="G1103" s="79"/>
    </row>
    <row r="1104" spans="1:7" hidden="1">
      <c r="A1104" s="78">
        <v>42552</v>
      </c>
      <c r="B1104" s="37" t="s">
        <v>55</v>
      </c>
      <c r="C1104" s="1" t="s">
        <v>1711</v>
      </c>
      <c r="D1104" s="37" t="s">
        <v>972</v>
      </c>
      <c r="E1104" s="37">
        <v>1306.75</v>
      </c>
      <c r="F1104" s="37" t="s">
        <v>1712</v>
      </c>
      <c r="G1104" s="79"/>
    </row>
    <row r="1105" spans="1:9" hidden="1">
      <c r="A1105" s="78">
        <v>42552</v>
      </c>
      <c r="B1105" s="37" t="s">
        <v>217</v>
      </c>
      <c r="C1105" s="1" t="s">
        <v>104</v>
      </c>
      <c r="D1105" s="37" t="s">
        <v>92</v>
      </c>
      <c r="E1105" s="37">
        <v>6800000</v>
      </c>
      <c r="F1105" s="37" t="s">
        <v>1385</v>
      </c>
      <c r="G1105" s="79"/>
    </row>
    <row r="1106" spans="1:9" hidden="1">
      <c r="A1106" s="78">
        <v>42522</v>
      </c>
      <c r="B1106" s="37" t="s">
        <v>1561</v>
      </c>
      <c r="C1106" s="1" t="s">
        <v>215</v>
      </c>
      <c r="D1106" s="37" t="s">
        <v>1476</v>
      </c>
      <c r="E1106" s="37">
        <v>4161600</v>
      </c>
      <c r="F1106" s="37" t="s">
        <v>335</v>
      </c>
      <c r="G1106" s="79"/>
    </row>
    <row r="1107" spans="1:9" hidden="1">
      <c r="A1107" s="78">
        <v>42552</v>
      </c>
      <c r="B1107" s="37" t="s">
        <v>172</v>
      </c>
      <c r="C1107" s="1" t="s">
        <v>103</v>
      </c>
      <c r="D1107" s="37" t="s">
        <v>972</v>
      </c>
      <c r="E1107" s="37">
        <v>810</v>
      </c>
      <c r="F1107" s="37" t="s">
        <v>1716</v>
      </c>
      <c r="G1107" s="79"/>
    </row>
    <row r="1108" spans="1:9" hidden="1">
      <c r="A1108" s="78">
        <v>42552</v>
      </c>
      <c r="B1108" s="37" t="s">
        <v>172</v>
      </c>
      <c r="C1108" s="1" t="s">
        <v>103</v>
      </c>
      <c r="D1108" s="37" t="s">
        <v>972</v>
      </c>
      <c r="E1108" s="37">
        <v>792</v>
      </c>
      <c r="F1108" s="37" t="s">
        <v>1717</v>
      </c>
      <c r="G1108" s="79"/>
    </row>
    <row r="1109" spans="1:9" hidden="1">
      <c r="A1109" s="78">
        <v>42552</v>
      </c>
      <c r="B1109" s="37" t="s">
        <v>172</v>
      </c>
      <c r="C1109" s="1" t="s">
        <v>104</v>
      </c>
      <c r="D1109" s="37" t="s">
        <v>972</v>
      </c>
      <c r="E1109" s="37">
        <v>234</v>
      </c>
      <c r="F1109" s="37" t="s">
        <v>1402</v>
      </c>
      <c r="G1109" s="79"/>
    </row>
    <row r="1110" spans="1:9" hidden="1">
      <c r="A1110" s="78">
        <v>42522</v>
      </c>
      <c r="B1110" s="37" t="s">
        <v>6</v>
      </c>
      <c r="C1110" s="1" t="s">
        <v>104</v>
      </c>
      <c r="D1110" s="37" t="s">
        <v>673</v>
      </c>
      <c r="E1110" s="37">
        <v>1000020</v>
      </c>
      <c r="F1110" s="37" t="s">
        <v>1475</v>
      </c>
      <c r="G1110" s="79"/>
      <c r="H1110" s="1461">
        <f>E1110/10000</f>
        <v>100.002</v>
      </c>
      <c r="I1110">
        <f>H1110-H1110/1.2</f>
        <v>16.667000000000002</v>
      </c>
    </row>
    <row r="1111" spans="1:9" hidden="1">
      <c r="A1111" s="78">
        <v>42522</v>
      </c>
      <c r="B1111" s="37" t="s">
        <v>6</v>
      </c>
      <c r="C1111" s="1" t="s">
        <v>215</v>
      </c>
      <c r="D1111" s="37" t="s">
        <v>673</v>
      </c>
      <c r="E1111" s="37">
        <v>7961442</v>
      </c>
      <c r="F1111" s="37" t="s">
        <v>335</v>
      </c>
      <c r="G1111" s="79"/>
      <c r="H1111" s="1461">
        <f>E1111/10000</f>
        <v>796.14419999999996</v>
      </c>
    </row>
    <row r="1112" spans="1:9" hidden="1">
      <c r="A1112" s="78">
        <v>42491</v>
      </c>
      <c r="B1112" s="37" t="s">
        <v>1330</v>
      </c>
      <c r="C1112" s="1" t="s">
        <v>215</v>
      </c>
      <c r="D1112" s="37" t="s">
        <v>1560</v>
      </c>
      <c r="E1112" s="37">
        <v>2500000</v>
      </c>
      <c r="F1112" s="37" t="s">
        <v>282</v>
      </c>
      <c r="G1112" s="79"/>
    </row>
    <row r="1113" spans="1:9" hidden="1">
      <c r="A1113" s="78">
        <v>42522</v>
      </c>
      <c r="B1113" s="37" t="s">
        <v>1330</v>
      </c>
      <c r="C1113" s="1" t="s">
        <v>215</v>
      </c>
      <c r="D1113" s="37" t="s">
        <v>1560</v>
      </c>
      <c r="E1113" s="37">
        <v>780678</v>
      </c>
      <c r="F1113" s="37" t="s">
        <v>335</v>
      </c>
      <c r="G1113" s="79"/>
    </row>
    <row r="1114" spans="1:9" hidden="1">
      <c r="A1114" s="78">
        <v>42552</v>
      </c>
      <c r="B1114" s="37" t="s">
        <v>214</v>
      </c>
      <c r="C1114" s="1" t="s">
        <v>215</v>
      </c>
      <c r="D1114" s="37" t="s">
        <v>827</v>
      </c>
      <c r="E1114" s="37">
        <v>2456.1</v>
      </c>
      <c r="F1114" s="37" t="s">
        <v>1474</v>
      </c>
      <c r="G1114" s="79"/>
    </row>
    <row r="1115" spans="1:9" hidden="1">
      <c r="A1115" s="78">
        <v>42552</v>
      </c>
      <c r="B1115" s="37" t="s">
        <v>172</v>
      </c>
      <c r="C1115" s="1" t="s">
        <v>103</v>
      </c>
      <c r="D1115" s="37" t="s">
        <v>972</v>
      </c>
      <c r="E1115" s="37">
        <v>126</v>
      </c>
      <c r="F1115" s="37" t="s">
        <v>1187</v>
      </c>
      <c r="G1115" s="79"/>
    </row>
    <row r="1116" spans="1:9" hidden="1">
      <c r="A1116" s="78">
        <v>42552</v>
      </c>
      <c r="B1116" s="37" t="s">
        <v>172</v>
      </c>
      <c r="C1116" s="1" t="s">
        <v>103</v>
      </c>
      <c r="D1116" s="37" t="s">
        <v>972</v>
      </c>
      <c r="E1116" s="37">
        <v>144</v>
      </c>
      <c r="F1116" s="37" t="s">
        <v>1190</v>
      </c>
      <c r="G1116" s="79"/>
    </row>
    <row r="1117" spans="1:9" hidden="1">
      <c r="A1117" s="78">
        <v>42552</v>
      </c>
      <c r="B1117" s="37" t="s">
        <v>172</v>
      </c>
      <c r="C1117" s="1" t="s">
        <v>104</v>
      </c>
      <c r="D1117" s="37" t="s">
        <v>972</v>
      </c>
      <c r="E1117" s="37">
        <v>1170</v>
      </c>
      <c r="F1117" s="37" t="s">
        <v>1224</v>
      </c>
      <c r="G1117" s="79"/>
    </row>
    <row r="1118" spans="1:9" hidden="1">
      <c r="A1118" s="78">
        <v>42552</v>
      </c>
      <c r="B1118" s="37" t="s">
        <v>172</v>
      </c>
      <c r="C1118" s="1"/>
      <c r="D1118" s="37" t="s">
        <v>972</v>
      </c>
      <c r="E1118" s="37"/>
      <c r="F1118" s="37"/>
      <c r="G1118" s="79"/>
    </row>
    <row r="1119" spans="1:9" hidden="1">
      <c r="A1119" s="78">
        <v>42552</v>
      </c>
      <c r="B1119" s="37" t="s">
        <v>600</v>
      </c>
      <c r="C1119" s="1" t="s">
        <v>171</v>
      </c>
      <c r="D1119" s="37" t="s">
        <v>1107</v>
      </c>
      <c r="E1119" s="37">
        <v>922.96</v>
      </c>
      <c r="F1119" s="37" t="s">
        <v>1731</v>
      </c>
      <c r="G1119" s="79"/>
    </row>
    <row r="1120" spans="1:9" hidden="1">
      <c r="A1120" s="78">
        <v>42552</v>
      </c>
      <c r="B1120" s="37" t="s">
        <v>790</v>
      </c>
      <c r="C1120" s="1" t="s">
        <v>1732</v>
      </c>
      <c r="D1120" s="37" t="s">
        <v>92</v>
      </c>
      <c r="E1120" s="37">
        <v>1821.84</v>
      </c>
      <c r="F1120" s="37" t="s">
        <v>1733</v>
      </c>
      <c r="G1120" s="79"/>
    </row>
    <row r="1121" spans="1:8" hidden="1">
      <c r="A1121" s="78">
        <v>42583</v>
      </c>
      <c r="B1121" s="37" t="s">
        <v>55</v>
      </c>
      <c r="C1121" s="1" t="s">
        <v>103</v>
      </c>
      <c r="D1121" s="37" t="s">
        <v>972</v>
      </c>
      <c r="E1121" s="37">
        <v>1306.75</v>
      </c>
      <c r="F1121" s="37"/>
      <c r="G1121" s="79"/>
    </row>
    <row r="1122" spans="1:8" hidden="1">
      <c r="A1122" s="78">
        <v>42552</v>
      </c>
      <c r="B1122" s="37" t="s">
        <v>6</v>
      </c>
      <c r="C1122" s="1" t="s">
        <v>215</v>
      </c>
      <c r="D1122" s="37" t="s">
        <v>673</v>
      </c>
      <c r="E1122" s="389">
        <v>35.18</v>
      </c>
      <c r="F1122" s="37" t="s">
        <v>234</v>
      </c>
      <c r="G1122" s="79"/>
      <c r="H1122">
        <f>E1122</f>
        <v>35.18</v>
      </c>
    </row>
    <row r="1123" spans="1:8" hidden="1">
      <c r="A1123" s="78">
        <v>42583</v>
      </c>
      <c r="B1123" s="37" t="s">
        <v>98</v>
      </c>
      <c r="C1123" s="1" t="s">
        <v>104</v>
      </c>
      <c r="D1123" s="37" t="s">
        <v>92</v>
      </c>
      <c r="E1123" s="37">
        <v>200</v>
      </c>
      <c r="F1123" s="37" t="s">
        <v>282</v>
      </c>
      <c r="G1123" s="79"/>
    </row>
    <row r="1124" spans="1:8" hidden="1">
      <c r="A1124" s="78">
        <v>42552</v>
      </c>
      <c r="B1124" s="37" t="s">
        <v>217</v>
      </c>
      <c r="C1124" s="1" t="s">
        <v>215</v>
      </c>
      <c r="D1124" s="37" t="s">
        <v>92</v>
      </c>
      <c r="E1124" s="37">
        <v>6163.57</v>
      </c>
      <c r="F1124" s="37" t="s">
        <v>1738</v>
      </c>
      <c r="G1124" s="79"/>
    </row>
    <row r="1125" spans="1:8" hidden="1">
      <c r="A1125" s="78">
        <v>42583</v>
      </c>
      <c r="B1125" s="37" t="s">
        <v>826</v>
      </c>
      <c r="C1125" s="1" t="s">
        <v>215</v>
      </c>
      <c r="D1125" s="37" t="s">
        <v>827</v>
      </c>
      <c r="E1125" s="37">
        <v>100</v>
      </c>
      <c r="F1125" s="37" t="s">
        <v>1477</v>
      </c>
      <c r="G1125" s="79"/>
    </row>
    <row r="1126" spans="1:8" hidden="1">
      <c r="A1126" s="78">
        <v>42583</v>
      </c>
      <c r="B1126" s="37" t="s">
        <v>172</v>
      </c>
      <c r="C1126" s="1" t="s">
        <v>103</v>
      </c>
      <c r="D1126" s="37" t="s">
        <v>972</v>
      </c>
      <c r="E1126" s="37">
        <v>792</v>
      </c>
      <c r="F1126" s="37" t="s">
        <v>1717</v>
      </c>
      <c r="G1126" s="79"/>
    </row>
    <row r="1127" spans="1:8" hidden="1">
      <c r="A1127" s="78">
        <v>42583</v>
      </c>
      <c r="B1127" s="37" t="s">
        <v>172</v>
      </c>
      <c r="C1127" s="1" t="s">
        <v>103</v>
      </c>
      <c r="D1127" s="37" t="s">
        <v>972</v>
      </c>
      <c r="E1127" s="37">
        <v>234</v>
      </c>
      <c r="F1127" s="37" t="s">
        <v>1743</v>
      </c>
      <c r="G1127" s="79"/>
    </row>
    <row r="1128" spans="1:8" hidden="1">
      <c r="A1128" s="78">
        <v>42583</v>
      </c>
      <c r="B1128" s="37" t="s">
        <v>172</v>
      </c>
      <c r="C1128" s="1" t="s">
        <v>103</v>
      </c>
      <c r="D1128" s="37" t="s">
        <v>972</v>
      </c>
      <c r="E1128" s="37">
        <v>72</v>
      </c>
      <c r="F1128" s="37" t="s">
        <v>1744</v>
      </c>
      <c r="G1128" s="79"/>
    </row>
    <row r="1129" spans="1:8" hidden="1">
      <c r="A1129" s="78">
        <v>42583</v>
      </c>
      <c r="B1129" s="37" t="s">
        <v>172</v>
      </c>
      <c r="C1129" s="1" t="s">
        <v>104</v>
      </c>
      <c r="D1129" s="37" t="s">
        <v>972</v>
      </c>
      <c r="E1129" s="37">
        <v>648</v>
      </c>
      <c r="F1129" s="37" t="s">
        <v>1191</v>
      </c>
      <c r="G1129" s="79"/>
    </row>
    <row r="1130" spans="1:8" hidden="1">
      <c r="A1130" s="78">
        <v>42583</v>
      </c>
      <c r="B1130" s="37" t="s">
        <v>172</v>
      </c>
      <c r="C1130" s="1" t="s">
        <v>103</v>
      </c>
      <c r="D1130" s="37" t="s">
        <v>972</v>
      </c>
      <c r="E1130" s="37">
        <v>810</v>
      </c>
      <c r="F1130" s="37" t="s">
        <v>1716</v>
      </c>
      <c r="G1130" s="79"/>
    </row>
    <row r="1131" spans="1:8" hidden="1">
      <c r="A1131" s="78">
        <v>42583</v>
      </c>
      <c r="B1131" s="37" t="s">
        <v>172</v>
      </c>
      <c r="C1131" s="1" t="s">
        <v>103</v>
      </c>
      <c r="D1131" s="37" t="s">
        <v>972</v>
      </c>
      <c r="E1131" s="37">
        <v>198</v>
      </c>
      <c r="F1131" s="37" t="s">
        <v>1187</v>
      </c>
      <c r="G1131" s="79"/>
    </row>
    <row r="1132" spans="1:8" hidden="1">
      <c r="A1132" s="78">
        <v>42583</v>
      </c>
      <c r="B1132" s="37" t="s">
        <v>166</v>
      </c>
      <c r="C1132" s="1" t="s">
        <v>103</v>
      </c>
      <c r="D1132" s="37" t="s">
        <v>972</v>
      </c>
      <c r="E1132" s="860">
        <v>853.5</v>
      </c>
      <c r="F1132" s="37" t="s">
        <v>1745</v>
      </c>
      <c r="G1132" s="79"/>
    </row>
    <row r="1133" spans="1:8" hidden="1">
      <c r="A1133" s="78">
        <v>42583</v>
      </c>
      <c r="B1133" s="37" t="s">
        <v>166</v>
      </c>
      <c r="C1133" s="1" t="s">
        <v>336</v>
      </c>
      <c r="D1133" s="37" t="s">
        <v>972</v>
      </c>
      <c r="E1133" s="860">
        <v>600</v>
      </c>
      <c r="F1133" s="37" t="s">
        <v>1746</v>
      </c>
      <c r="G1133" s="79"/>
    </row>
    <row r="1134" spans="1:8" hidden="1">
      <c r="A1134" s="78">
        <v>42583</v>
      </c>
      <c r="B1134" s="37" t="s">
        <v>166</v>
      </c>
      <c r="C1134" s="1" t="s">
        <v>103</v>
      </c>
      <c r="D1134" s="37" t="s">
        <v>972</v>
      </c>
      <c r="E1134" s="860">
        <v>100.5</v>
      </c>
      <c r="F1134" s="37" t="s">
        <v>1747</v>
      </c>
      <c r="G1134" s="79"/>
    </row>
    <row r="1135" spans="1:8" hidden="1">
      <c r="A1135" s="78">
        <v>42583</v>
      </c>
      <c r="B1135" s="37" t="s">
        <v>166</v>
      </c>
      <c r="C1135" s="1" t="s">
        <v>104</v>
      </c>
      <c r="D1135" s="37" t="s">
        <v>972</v>
      </c>
      <c r="E1135" s="860">
        <v>99</v>
      </c>
      <c r="F1135" s="37" t="s">
        <v>1748</v>
      </c>
      <c r="G1135" s="79"/>
    </row>
    <row r="1136" spans="1:8" hidden="1">
      <c r="A1136" s="78">
        <v>42491</v>
      </c>
      <c r="B1136" s="37" t="s">
        <v>1330</v>
      </c>
      <c r="C1136" s="1" t="s">
        <v>215</v>
      </c>
      <c r="D1136" s="37" t="s">
        <v>1560</v>
      </c>
      <c r="E1136" s="37">
        <v>495815</v>
      </c>
      <c r="F1136" s="37" t="s">
        <v>335</v>
      </c>
      <c r="G1136" s="79"/>
    </row>
    <row r="1137" spans="1:8" hidden="1">
      <c r="A1137" s="78">
        <v>42552</v>
      </c>
      <c r="B1137" s="37" t="s">
        <v>1330</v>
      </c>
      <c r="C1137" s="1" t="s">
        <v>215</v>
      </c>
      <c r="D1137" s="37" t="s">
        <v>1560</v>
      </c>
      <c r="E1137" s="37">
        <v>69.84</v>
      </c>
      <c r="F1137" s="37" t="s">
        <v>335</v>
      </c>
      <c r="G1137" s="79"/>
    </row>
    <row r="1138" spans="1:8" hidden="1">
      <c r="A1138" s="78">
        <v>42583</v>
      </c>
      <c r="B1138" s="37" t="s">
        <v>214</v>
      </c>
      <c r="C1138" s="1" t="s">
        <v>215</v>
      </c>
      <c r="D1138" s="37" t="s">
        <v>827</v>
      </c>
      <c r="E1138" s="37">
        <v>1915.2</v>
      </c>
      <c r="F1138" s="37" t="s">
        <v>335</v>
      </c>
      <c r="G1138" s="79"/>
    </row>
    <row r="1139" spans="1:8" hidden="1">
      <c r="A1139" s="78">
        <v>42583</v>
      </c>
      <c r="B1139" s="37" t="s">
        <v>217</v>
      </c>
      <c r="C1139" s="1" t="s">
        <v>104</v>
      </c>
      <c r="D1139" s="37" t="s">
        <v>92</v>
      </c>
      <c r="E1139" s="37">
        <v>340</v>
      </c>
      <c r="F1139" s="37" t="s">
        <v>557</v>
      </c>
      <c r="G1139" s="79"/>
    </row>
    <row r="1140" spans="1:8" hidden="1">
      <c r="A1140" s="78">
        <v>42583</v>
      </c>
      <c r="B1140" s="37" t="s">
        <v>790</v>
      </c>
      <c r="C1140" s="1" t="s">
        <v>215</v>
      </c>
      <c r="D1140" s="37" t="s">
        <v>92</v>
      </c>
      <c r="E1140" s="37">
        <v>1802.49</v>
      </c>
      <c r="F1140" s="37" t="s">
        <v>1756</v>
      </c>
      <c r="G1140" s="79"/>
    </row>
    <row r="1141" spans="1:8" hidden="1">
      <c r="A1141" s="78">
        <v>42614</v>
      </c>
      <c r="B1141" s="37" t="s">
        <v>98</v>
      </c>
      <c r="C1141" s="1" t="s">
        <v>103</v>
      </c>
      <c r="D1141" s="37" t="s">
        <v>92</v>
      </c>
      <c r="E1141" s="37">
        <v>200</v>
      </c>
      <c r="F1141" s="37" t="s">
        <v>793</v>
      </c>
      <c r="G1141" s="79"/>
    </row>
    <row r="1142" spans="1:8" hidden="1">
      <c r="A1142" s="78">
        <v>42583</v>
      </c>
      <c r="B1142" s="37" t="s">
        <v>6</v>
      </c>
      <c r="C1142" s="1" t="s">
        <v>215</v>
      </c>
      <c r="D1142" s="37" t="s">
        <v>673</v>
      </c>
      <c r="E1142" s="389">
        <v>375.43</v>
      </c>
      <c r="F1142" s="37" t="s">
        <v>1692</v>
      </c>
      <c r="G1142" s="79"/>
      <c r="H1142">
        <f>E1142</f>
        <v>375.43</v>
      </c>
    </row>
    <row r="1143" spans="1:8" hidden="1">
      <c r="A1143" s="78">
        <v>42614</v>
      </c>
      <c r="B1143" s="37" t="s">
        <v>55</v>
      </c>
      <c r="C1143" s="1" t="s">
        <v>1340</v>
      </c>
      <c r="D1143" s="37" t="s">
        <v>972</v>
      </c>
      <c r="E1143" s="37">
        <v>1306.75</v>
      </c>
      <c r="F1143" s="37" t="s">
        <v>1759</v>
      </c>
      <c r="G1143" s="79"/>
    </row>
    <row r="1144" spans="1:8" hidden="1">
      <c r="A1144" s="78">
        <v>42583</v>
      </c>
      <c r="B1144" s="37" t="s">
        <v>217</v>
      </c>
      <c r="C1144" s="1" t="s">
        <v>215</v>
      </c>
      <c r="D1144" s="37" t="s">
        <v>92</v>
      </c>
      <c r="E1144" s="37">
        <v>2335.94</v>
      </c>
      <c r="F1144" s="37" t="s">
        <v>335</v>
      </c>
      <c r="G1144" s="79"/>
    </row>
    <row r="1145" spans="1:8" hidden="1">
      <c r="A1145" s="78">
        <v>42614</v>
      </c>
      <c r="B1145" s="37" t="s">
        <v>629</v>
      </c>
      <c r="C1145" s="1" t="s">
        <v>171</v>
      </c>
      <c r="D1145" s="37" t="s">
        <v>827</v>
      </c>
      <c r="E1145" s="37">
        <v>537.36</v>
      </c>
      <c r="F1145" s="37" t="s">
        <v>1648</v>
      </c>
      <c r="G1145" s="79"/>
    </row>
    <row r="1146" spans="1:8" hidden="1">
      <c r="A1146" s="78">
        <v>42614</v>
      </c>
      <c r="B1146" s="37" t="s">
        <v>879</v>
      </c>
      <c r="C1146" s="1" t="s">
        <v>104</v>
      </c>
      <c r="D1146" s="37" t="s">
        <v>972</v>
      </c>
      <c r="E1146" s="107">
        <v>555</v>
      </c>
      <c r="F1146" s="37" t="s">
        <v>1760</v>
      </c>
      <c r="G1146" s="79"/>
    </row>
    <row r="1147" spans="1:8" hidden="1">
      <c r="A1147" s="78">
        <v>42614</v>
      </c>
      <c r="B1147" s="37" t="s">
        <v>172</v>
      </c>
      <c r="C1147" s="1" t="s">
        <v>104</v>
      </c>
      <c r="D1147" s="37" t="s">
        <v>972</v>
      </c>
      <c r="E1147" s="37">
        <v>630</v>
      </c>
      <c r="F1147" s="37" t="s">
        <v>1224</v>
      </c>
      <c r="G1147" s="79"/>
    </row>
    <row r="1148" spans="1:8" hidden="1">
      <c r="A1148" s="78">
        <v>42614</v>
      </c>
      <c r="B1148" s="37" t="s">
        <v>172</v>
      </c>
      <c r="C1148" s="1" t="s">
        <v>103</v>
      </c>
      <c r="D1148" s="37" t="s">
        <v>972</v>
      </c>
      <c r="E1148" s="37">
        <v>216</v>
      </c>
      <c r="F1148" s="37" t="s">
        <v>1572</v>
      </c>
      <c r="G1148" s="79"/>
    </row>
    <row r="1149" spans="1:8" hidden="1">
      <c r="A1149" s="78">
        <v>42614</v>
      </c>
      <c r="B1149" s="37" t="s">
        <v>172</v>
      </c>
      <c r="C1149" s="1" t="s">
        <v>103</v>
      </c>
      <c r="D1149" s="37" t="s">
        <v>972</v>
      </c>
      <c r="E1149" s="37">
        <v>90</v>
      </c>
      <c r="F1149" s="37" t="s">
        <v>1597</v>
      </c>
      <c r="G1149" s="79"/>
    </row>
    <row r="1150" spans="1:8" hidden="1">
      <c r="A1150" s="78">
        <v>42614</v>
      </c>
      <c r="B1150" s="37" t="s">
        <v>172</v>
      </c>
      <c r="C1150" s="1" t="s">
        <v>103</v>
      </c>
      <c r="D1150" s="37" t="s">
        <v>972</v>
      </c>
      <c r="E1150" s="37">
        <v>792</v>
      </c>
      <c r="F1150" s="37" t="s">
        <v>1716</v>
      </c>
      <c r="G1150" s="79"/>
    </row>
    <row r="1151" spans="1:8" hidden="1">
      <c r="A1151" s="78">
        <v>42614</v>
      </c>
      <c r="B1151" s="37" t="s">
        <v>172</v>
      </c>
      <c r="C1151" s="1" t="s">
        <v>103</v>
      </c>
      <c r="D1151" s="37" t="s">
        <v>972</v>
      </c>
      <c r="E1151" s="37">
        <v>774</v>
      </c>
      <c r="F1151" s="37" t="s">
        <v>1698</v>
      </c>
      <c r="G1151" s="79"/>
    </row>
    <row r="1152" spans="1:8" hidden="1">
      <c r="A1152" s="78">
        <v>42614</v>
      </c>
      <c r="B1152" s="37" t="s">
        <v>172</v>
      </c>
      <c r="C1152" s="1" t="s">
        <v>104</v>
      </c>
      <c r="D1152" s="37" t="s">
        <v>972</v>
      </c>
      <c r="E1152" s="37">
        <v>468</v>
      </c>
      <c r="F1152" s="37" t="s">
        <v>1761</v>
      </c>
      <c r="G1152" s="79"/>
    </row>
    <row r="1153" spans="1:8" hidden="1">
      <c r="A1153" s="78">
        <v>42614</v>
      </c>
      <c r="B1153" s="37" t="s">
        <v>129</v>
      </c>
      <c r="C1153" s="1" t="s">
        <v>104</v>
      </c>
      <c r="D1153" s="37" t="s">
        <v>972</v>
      </c>
      <c r="E1153" s="107">
        <v>2763</v>
      </c>
      <c r="F1153" s="37" t="s">
        <v>1764</v>
      </c>
      <c r="G1153" s="79"/>
    </row>
    <row r="1154" spans="1:8" hidden="1">
      <c r="A1154" s="78">
        <v>42614</v>
      </c>
      <c r="B1154" s="37" t="s">
        <v>129</v>
      </c>
      <c r="C1154" s="1" t="s">
        <v>104</v>
      </c>
      <c r="D1154" s="37" t="s">
        <v>972</v>
      </c>
      <c r="E1154" s="107">
        <v>108</v>
      </c>
      <c r="F1154" s="37" t="s">
        <v>1764</v>
      </c>
      <c r="G1154" s="79"/>
    </row>
    <row r="1155" spans="1:8" hidden="1">
      <c r="A1155" s="78">
        <v>42613</v>
      </c>
      <c r="B1155" s="37" t="s">
        <v>129</v>
      </c>
      <c r="C1155" s="1" t="s">
        <v>104</v>
      </c>
      <c r="D1155" s="37" t="s">
        <v>972</v>
      </c>
      <c r="E1155" s="860">
        <v>300</v>
      </c>
      <c r="F1155" s="37" t="s">
        <v>1768</v>
      </c>
      <c r="G1155" s="79"/>
    </row>
    <row r="1156" spans="1:8" hidden="1">
      <c r="A1156" s="78">
        <v>42614</v>
      </c>
      <c r="B1156" s="37" t="s">
        <v>214</v>
      </c>
      <c r="C1156" s="1" t="s">
        <v>104</v>
      </c>
      <c r="D1156" s="37" t="s">
        <v>827</v>
      </c>
      <c r="E1156" s="37">
        <v>2685.6</v>
      </c>
      <c r="F1156" s="37" t="s">
        <v>1769</v>
      </c>
      <c r="G1156" s="79"/>
    </row>
    <row r="1157" spans="1:8" hidden="1">
      <c r="A1157" s="78">
        <v>42614</v>
      </c>
      <c r="B1157" s="37" t="s">
        <v>217</v>
      </c>
      <c r="C1157" s="1" t="s">
        <v>104</v>
      </c>
      <c r="D1157" s="37" t="s">
        <v>92</v>
      </c>
      <c r="E1157" s="37">
        <v>680</v>
      </c>
      <c r="F1157" s="37" t="s">
        <v>1385</v>
      </c>
      <c r="G1157" s="79"/>
    </row>
    <row r="1158" spans="1:8" hidden="1">
      <c r="A1158" s="78">
        <v>42614</v>
      </c>
      <c r="B1158" s="37" t="s">
        <v>6</v>
      </c>
      <c r="C1158" s="1" t="s">
        <v>215</v>
      </c>
      <c r="D1158" s="37" t="s">
        <v>673</v>
      </c>
      <c r="E1158" s="389">
        <v>1076.97</v>
      </c>
      <c r="F1158" s="37" t="s">
        <v>335</v>
      </c>
      <c r="G1158" s="79"/>
    </row>
    <row r="1159" spans="1:8" hidden="1">
      <c r="A1159" s="78">
        <v>42614</v>
      </c>
      <c r="B1159" s="37" t="s">
        <v>6</v>
      </c>
      <c r="C1159" s="1" t="s">
        <v>103</v>
      </c>
      <c r="D1159" s="37" t="s">
        <v>673</v>
      </c>
      <c r="E1159" s="389">
        <v>100</v>
      </c>
      <c r="F1159" s="37" t="s">
        <v>557</v>
      </c>
      <c r="G1159" s="79"/>
      <c r="H1159">
        <f>E1159-E1159/1.2</f>
        <v>16.666666666666657</v>
      </c>
    </row>
    <row r="1160" spans="1:8" hidden="1">
      <c r="A1160" s="78">
        <v>42614</v>
      </c>
      <c r="B1160" s="37" t="s">
        <v>826</v>
      </c>
      <c r="C1160" s="1" t="s">
        <v>215</v>
      </c>
      <c r="D1160" s="37" t="s">
        <v>827</v>
      </c>
      <c r="E1160" s="37">
        <v>70.8</v>
      </c>
      <c r="F1160" s="37" t="s">
        <v>1477</v>
      </c>
      <c r="G1160" s="79"/>
    </row>
    <row r="1161" spans="1:8" hidden="1">
      <c r="A1161" s="78">
        <v>42614</v>
      </c>
      <c r="B1161" s="37" t="s">
        <v>973</v>
      </c>
      <c r="C1161" s="1" t="s">
        <v>215</v>
      </c>
      <c r="D1161" s="37" t="s">
        <v>1476</v>
      </c>
      <c r="E1161" s="37">
        <v>1643.04</v>
      </c>
      <c r="F1161" s="37" t="s">
        <v>1692</v>
      </c>
      <c r="G1161" s="79"/>
    </row>
    <row r="1162" spans="1:8" hidden="1">
      <c r="A1162" s="78">
        <v>42614</v>
      </c>
      <c r="B1162" s="37" t="s">
        <v>790</v>
      </c>
      <c r="C1162" s="1" t="s">
        <v>215</v>
      </c>
      <c r="D1162" s="37" t="s">
        <v>92</v>
      </c>
      <c r="E1162" s="37">
        <v>1047.1199999999999</v>
      </c>
      <c r="F1162" s="37" t="s">
        <v>1334</v>
      </c>
      <c r="G1162" s="79"/>
    </row>
    <row r="1163" spans="1:8" hidden="1">
      <c r="A1163" s="78">
        <v>42644</v>
      </c>
      <c r="B1163" s="37" t="s">
        <v>55</v>
      </c>
      <c r="C1163" s="1" t="s">
        <v>1779</v>
      </c>
      <c r="D1163" s="37" t="s">
        <v>972</v>
      </c>
      <c r="E1163" s="37">
        <v>615</v>
      </c>
      <c r="F1163" s="37" t="s">
        <v>1778</v>
      </c>
      <c r="G1163" s="79"/>
    </row>
    <row r="1164" spans="1:8" hidden="1">
      <c r="A1164" s="78">
        <v>42644</v>
      </c>
      <c r="B1164" s="37" t="s">
        <v>55</v>
      </c>
      <c r="C1164" s="1" t="s">
        <v>103</v>
      </c>
      <c r="D1164" s="37" t="s">
        <v>972</v>
      </c>
      <c r="E1164" s="37">
        <v>967.85</v>
      </c>
      <c r="F1164" s="37" t="s">
        <v>1780</v>
      </c>
      <c r="G1164" s="79"/>
    </row>
    <row r="1165" spans="1:8" hidden="1">
      <c r="A1165" s="78">
        <v>42644</v>
      </c>
      <c r="B1165" s="37" t="s">
        <v>172</v>
      </c>
      <c r="C1165" s="1" t="s">
        <v>103</v>
      </c>
      <c r="D1165" s="37" t="s">
        <v>972</v>
      </c>
      <c r="E1165" s="37">
        <v>216</v>
      </c>
      <c r="F1165" s="37" t="s">
        <v>1187</v>
      </c>
      <c r="G1165" s="79"/>
    </row>
    <row r="1166" spans="1:8" hidden="1">
      <c r="A1166" s="78">
        <v>42644</v>
      </c>
      <c r="B1166" s="37" t="s">
        <v>172</v>
      </c>
      <c r="C1166" s="1" t="s">
        <v>103</v>
      </c>
      <c r="D1166" s="37" t="s">
        <v>972</v>
      </c>
      <c r="E1166" s="37">
        <v>72</v>
      </c>
      <c r="F1166" s="37" t="s">
        <v>1781</v>
      </c>
      <c r="G1166" s="79"/>
    </row>
    <row r="1167" spans="1:8" hidden="1">
      <c r="A1167" s="78">
        <v>42644</v>
      </c>
      <c r="B1167" s="37" t="s">
        <v>172</v>
      </c>
      <c r="C1167" s="1" t="s">
        <v>104</v>
      </c>
      <c r="D1167" s="37" t="s">
        <v>972</v>
      </c>
      <c r="E1167" s="37">
        <v>1620</v>
      </c>
      <c r="F1167" s="37" t="s">
        <v>1224</v>
      </c>
      <c r="G1167" s="79"/>
    </row>
    <row r="1168" spans="1:8" hidden="1">
      <c r="A1168" s="78">
        <v>42644</v>
      </c>
      <c r="B1168" s="37" t="s">
        <v>172</v>
      </c>
      <c r="C1168" s="1" t="s">
        <v>104</v>
      </c>
      <c r="D1168" s="37" t="s">
        <v>972</v>
      </c>
      <c r="E1168" s="37">
        <v>468</v>
      </c>
      <c r="F1168" s="37" t="s">
        <v>1782</v>
      </c>
      <c r="G1168" s="79"/>
    </row>
    <row r="1169" spans="1:7" hidden="1">
      <c r="A1169" s="78">
        <v>42644</v>
      </c>
      <c r="B1169" s="37" t="s">
        <v>172</v>
      </c>
      <c r="C1169" s="1" t="s">
        <v>103</v>
      </c>
      <c r="D1169" s="37" t="s">
        <v>972</v>
      </c>
      <c r="E1169" s="37">
        <v>792</v>
      </c>
      <c r="F1169" s="37" t="s">
        <v>1783</v>
      </c>
      <c r="G1169" s="79"/>
    </row>
    <row r="1170" spans="1:7" hidden="1">
      <c r="A1170" s="78">
        <v>42644</v>
      </c>
      <c r="B1170" s="37" t="s">
        <v>172</v>
      </c>
      <c r="C1170" s="1" t="s">
        <v>103</v>
      </c>
      <c r="D1170" s="37" t="s">
        <v>972</v>
      </c>
      <c r="E1170" s="37">
        <v>756</v>
      </c>
      <c r="F1170" s="37" t="s">
        <v>1784</v>
      </c>
      <c r="G1170" s="79"/>
    </row>
    <row r="1171" spans="1:7" hidden="1">
      <c r="A1171" s="78">
        <v>42614</v>
      </c>
      <c r="B1171" s="37" t="s">
        <v>1082</v>
      </c>
      <c r="C1171" s="1" t="s">
        <v>103</v>
      </c>
      <c r="D1171" s="37" t="s">
        <v>827</v>
      </c>
      <c r="E1171" s="37">
        <f>672.24*2</f>
        <v>1344.48</v>
      </c>
      <c r="F1171" s="37" t="s">
        <v>1785</v>
      </c>
      <c r="G1171" s="79"/>
    </row>
    <row r="1172" spans="1:7" hidden="1">
      <c r="A1172" s="78">
        <v>42644</v>
      </c>
      <c r="B1172" s="37" t="s">
        <v>98</v>
      </c>
      <c r="C1172" s="1" t="s">
        <v>104</v>
      </c>
      <c r="D1172" s="37" t="s">
        <v>92</v>
      </c>
      <c r="E1172" s="37">
        <v>200</v>
      </c>
      <c r="F1172" s="37" t="s">
        <v>557</v>
      </c>
      <c r="G1172" s="79"/>
    </row>
    <row r="1173" spans="1:7" hidden="1">
      <c r="A1173" s="78">
        <v>42644</v>
      </c>
      <c r="B1173" s="37" t="s">
        <v>1786</v>
      </c>
      <c r="C1173" s="1" t="s">
        <v>171</v>
      </c>
      <c r="D1173" s="37" t="s">
        <v>1787</v>
      </c>
      <c r="E1173" s="37">
        <v>154.25</v>
      </c>
      <c r="F1173" s="37" t="s">
        <v>1387</v>
      </c>
      <c r="G1173" s="79"/>
    </row>
    <row r="1174" spans="1:7" hidden="1">
      <c r="A1174" s="78">
        <v>42614</v>
      </c>
      <c r="B1174" s="37" t="s">
        <v>1330</v>
      </c>
      <c r="C1174" s="1" t="s">
        <v>215</v>
      </c>
      <c r="D1174" s="37" t="s">
        <v>1560</v>
      </c>
      <c r="E1174" s="37">
        <v>166.02</v>
      </c>
      <c r="F1174" s="37" t="s">
        <v>335</v>
      </c>
      <c r="G1174" s="79"/>
    </row>
    <row r="1175" spans="1:7" hidden="1">
      <c r="A1175" s="78">
        <v>42583</v>
      </c>
      <c r="B1175" s="37" t="s">
        <v>1330</v>
      </c>
      <c r="C1175" s="1" t="s">
        <v>215</v>
      </c>
      <c r="D1175" s="37" t="s">
        <v>1560</v>
      </c>
      <c r="E1175" s="37">
        <v>34.590000000000003</v>
      </c>
      <c r="F1175" s="37" t="s">
        <v>335</v>
      </c>
      <c r="G1175" s="79"/>
    </row>
    <row r="1176" spans="1:7" hidden="1">
      <c r="A1176" s="78">
        <v>42644</v>
      </c>
      <c r="B1176" s="37" t="s">
        <v>214</v>
      </c>
      <c r="C1176" s="1" t="s">
        <v>215</v>
      </c>
      <c r="D1176" s="37" t="s">
        <v>827</v>
      </c>
      <c r="E1176" s="37">
        <v>2065.5</v>
      </c>
      <c r="F1176" s="37" t="s">
        <v>1474</v>
      </c>
      <c r="G1176" s="79"/>
    </row>
    <row r="1177" spans="1:7" hidden="1">
      <c r="A1177" s="78">
        <v>42644</v>
      </c>
      <c r="B1177" s="37" t="s">
        <v>129</v>
      </c>
      <c r="C1177" s="1" t="s">
        <v>1792</v>
      </c>
      <c r="D1177" s="37" t="s">
        <v>972</v>
      </c>
      <c r="E1177" s="107">
        <v>193.5</v>
      </c>
      <c r="F1177" s="37" t="s">
        <v>1793</v>
      </c>
      <c r="G1177" s="79"/>
    </row>
    <row r="1178" spans="1:7" hidden="1">
      <c r="A1178" s="78">
        <v>42644</v>
      </c>
      <c r="B1178" s="37" t="s">
        <v>790</v>
      </c>
      <c r="C1178" s="1" t="s">
        <v>215</v>
      </c>
      <c r="D1178" s="37" t="s">
        <v>92</v>
      </c>
      <c r="E1178" s="37">
        <v>603.72</v>
      </c>
      <c r="F1178" s="37" t="s">
        <v>1794</v>
      </c>
      <c r="G1178" s="79"/>
    </row>
    <row r="1179" spans="1:7" hidden="1">
      <c r="A1179" s="78">
        <v>42644</v>
      </c>
      <c r="B1179" s="37" t="s">
        <v>479</v>
      </c>
      <c r="C1179" s="1" t="s">
        <v>171</v>
      </c>
      <c r="D1179" s="37" t="s">
        <v>827</v>
      </c>
      <c r="E1179" s="37">
        <v>402.5</v>
      </c>
      <c r="F1179" s="37" t="s">
        <v>282</v>
      </c>
      <c r="G1179" s="79"/>
    </row>
    <row r="1180" spans="1:7" hidden="1">
      <c r="A1180" s="78">
        <v>42583</v>
      </c>
      <c r="B1180" s="37" t="s">
        <v>479</v>
      </c>
      <c r="C1180" s="1" t="s">
        <v>171</v>
      </c>
      <c r="D1180" s="37" t="s">
        <v>827</v>
      </c>
      <c r="E1180" s="37">
        <v>736.99</v>
      </c>
      <c r="F1180" s="37" t="s">
        <v>925</v>
      </c>
      <c r="G1180" s="79"/>
    </row>
    <row r="1181" spans="1:7" hidden="1">
      <c r="A1181" s="78">
        <v>42644</v>
      </c>
      <c r="B1181" s="37" t="s">
        <v>217</v>
      </c>
      <c r="C1181" s="1" t="s">
        <v>104</v>
      </c>
      <c r="D1181" s="37" t="s">
        <v>92</v>
      </c>
      <c r="E1181" s="37">
        <v>844.56</v>
      </c>
      <c r="F1181" s="37" t="s">
        <v>1795</v>
      </c>
      <c r="G1181" s="79"/>
    </row>
    <row r="1182" spans="1:7" hidden="1">
      <c r="A1182" s="78">
        <v>42644</v>
      </c>
      <c r="B1182" s="37" t="s">
        <v>217</v>
      </c>
      <c r="C1182" s="1" t="s">
        <v>104</v>
      </c>
      <c r="D1182" s="37" t="s">
        <v>92</v>
      </c>
      <c r="E1182" s="37">
        <v>3985.26</v>
      </c>
      <c r="F1182" s="37" t="s">
        <v>1796</v>
      </c>
      <c r="G1182" s="79"/>
    </row>
    <row r="1183" spans="1:7" hidden="1">
      <c r="A1183" s="78">
        <v>42675</v>
      </c>
      <c r="B1183" s="37" t="s">
        <v>98</v>
      </c>
      <c r="C1183" s="1" t="s">
        <v>104</v>
      </c>
      <c r="D1183" s="37" t="s">
        <v>92</v>
      </c>
      <c r="E1183" s="37">
        <v>200</v>
      </c>
      <c r="F1183" s="37" t="s">
        <v>557</v>
      </c>
      <c r="G1183" s="79"/>
    </row>
    <row r="1184" spans="1:7" hidden="1">
      <c r="A1184" s="78">
        <v>42644</v>
      </c>
      <c r="B1184" s="37" t="s">
        <v>129</v>
      </c>
      <c r="C1184" s="1" t="s">
        <v>1797</v>
      </c>
      <c r="D1184" s="37" t="s">
        <v>972</v>
      </c>
      <c r="E1184" s="107">
        <v>385.5</v>
      </c>
      <c r="F1184" s="37" t="s">
        <v>1798</v>
      </c>
      <c r="G1184" s="79"/>
    </row>
    <row r="1185" spans="1:7" hidden="1">
      <c r="A1185" s="78">
        <v>42644</v>
      </c>
      <c r="B1185" s="37" t="s">
        <v>1330</v>
      </c>
      <c r="C1185" s="1" t="s">
        <v>215</v>
      </c>
      <c r="D1185" s="37" t="s">
        <v>1560</v>
      </c>
      <c r="E1185" s="37">
        <v>47.55</v>
      </c>
      <c r="F1185" s="37" t="s">
        <v>335</v>
      </c>
      <c r="G1185" s="79"/>
    </row>
    <row r="1186" spans="1:7" hidden="1">
      <c r="A1186" s="78">
        <v>42644</v>
      </c>
      <c r="B1186" s="37" t="s">
        <v>1330</v>
      </c>
      <c r="C1186" s="1" t="s">
        <v>1799</v>
      </c>
      <c r="D1186" s="37" t="s">
        <v>1560</v>
      </c>
      <c r="E1186" s="37">
        <v>120</v>
      </c>
      <c r="F1186" s="37" t="s">
        <v>1385</v>
      </c>
      <c r="G1186" s="79"/>
    </row>
    <row r="1187" spans="1:7" hidden="1">
      <c r="A1187" s="78">
        <v>42675</v>
      </c>
      <c r="B1187" s="37" t="s">
        <v>55</v>
      </c>
      <c r="C1187" s="1" t="s">
        <v>1821</v>
      </c>
      <c r="D1187" s="37" t="s">
        <v>972</v>
      </c>
      <c r="E1187" s="37">
        <v>512.5</v>
      </c>
      <c r="F1187" s="37" t="s">
        <v>1822</v>
      </c>
      <c r="G1187" s="79"/>
    </row>
    <row r="1188" spans="1:7" hidden="1">
      <c r="A1188" s="78">
        <v>42675</v>
      </c>
      <c r="B1188" s="37" t="s">
        <v>55</v>
      </c>
      <c r="C1188" s="1" t="s">
        <v>103</v>
      </c>
      <c r="D1188" s="37" t="s">
        <v>972</v>
      </c>
      <c r="E1188" s="37">
        <v>1107</v>
      </c>
      <c r="F1188" s="37" t="s">
        <v>1823</v>
      </c>
      <c r="G1188" s="79"/>
    </row>
    <row r="1189" spans="1:7" hidden="1">
      <c r="A1189" s="78">
        <v>42675</v>
      </c>
      <c r="B1189" s="37" t="s">
        <v>214</v>
      </c>
      <c r="C1189" s="1" t="s">
        <v>1824</v>
      </c>
      <c r="D1189" s="37" t="s">
        <v>827</v>
      </c>
      <c r="E1189" s="37">
        <v>1024.2</v>
      </c>
      <c r="F1189" s="37" t="s">
        <v>1825</v>
      </c>
      <c r="G1189" s="79"/>
    </row>
    <row r="1190" spans="1:7" hidden="1">
      <c r="A1190" s="78">
        <v>42675</v>
      </c>
      <c r="B1190" s="37" t="s">
        <v>1786</v>
      </c>
      <c r="C1190" s="1" t="s">
        <v>171</v>
      </c>
      <c r="D1190" s="37" t="s">
        <v>1787</v>
      </c>
      <c r="E1190" s="37">
        <v>152.5</v>
      </c>
      <c r="F1190" s="37" t="s">
        <v>1826</v>
      </c>
      <c r="G1190" s="79">
        <v>127.08</v>
      </c>
    </row>
    <row r="1191" spans="1:7" hidden="1">
      <c r="A1191" s="78">
        <v>42675</v>
      </c>
      <c r="B1191" s="37" t="s">
        <v>172</v>
      </c>
      <c r="C1191" s="1" t="s">
        <v>103</v>
      </c>
      <c r="D1191" s="37" t="s">
        <v>972</v>
      </c>
      <c r="E1191" s="37">
        <v>72</v>
      </c>
      <c r="F1191" s="37" t="s">
        <v>1827</v>
      </c>
      <c r="G1191" s="79"/>
    </row>
    <row r="1192" spans="1:7" hidden="1">
      <c r="A1192" s="78">
        <v>42675</v>
      </c>
      <c r="B1192" s="37" t="s">
        <v>172</v>
      </c>
      <c r="C1192" s="1" t="s">
        <v>104</v>
      </c>
      <c r="D1192" s="37" t="s">
        <v>972</v>
      </c>
      <c r="E1192" s="37">
        <v>756</v>
      </c>
      <c r="F1192" s="37" t="s">
        <v>1828</v>
      </c>
      <c r="G1192" s="79"/>
    </row>
    <row r="1193" spans="1:7" hidden="1">
      <c r="A1193" s="78">
        <v>42675</v>
      </c>
      <c r="B1193" s="37" t="s">
        <v>172</v>
      </c>
      <c r="C1193" s="1" t="s">
        <v>104</v>
      </c>
      <c r="D1193" s="37" t="s">
        <v>972</v>
      </c>
      <c r="E1193" s="37">
        <v>72</v>
      </c>
      <c r="F1193" s="37" t="s">
        <v>1829</v>
      </c>
      <c r="G1193" s="79"/>
    </row>
    <row r="1194" spans="1:7" hidden="1">
      <c r="A1194" s="78">
        <v>42675</v>
      </c>
      <c r="B1194" s="37" t="s">
        <v>172</v>
      </c>
      <c r="C1194" s="1" t="s">
        <v>104</v>
      </c>
      <c r="D1194" s="37" t="s">
        <v>972</v>
      </c>
      <c r="E1194" s="37">
        <v>234</v>
      </c>
      <c r="F1194" s="37" t="s">
        <v>1830</v>
      </c>
      <c r="G1194" s="79"/>
    </row>
    <row r="1195" spans="1:7" hidden="1">
      <c r="A1195" s="78">
        <v>42675</v>
      </c>
      <c r="B1195" s="37" t="s">
        <v>172</v>
      </c>
      <c r="C1195" s="1" t="s">
        <v>103</v>
      </c>
      <c r="D1195" s="37" t="s">
        <v>972</v>
      </c>
      <c r="E1195" s="37">
        <v>252</v>
      </c>
      <c r="F1195" s="37" t="s">
        <v>1831</v>
      </c>
      <c r="G1195" s="79"/>
    </row>
    <row r="1196" spans="1:7" hidden="1">
      <c r="A1196" s="78">
        <v>42675</v>
      </c>
      <c r="B1196" s="37" t="s">
        <v>172</v>
      </c>
      <c r="C1196" s="1" t="s">
        <v>103</v>
      </c>
      <c r="D1196" s="37" t="s">
        <v>972</v>
      </c>
      <c r="E1196" s="37">
        <v>774</v>
      </c>
      <c r="F1196" s="37" t="s">
        <v>1832</v>
      </c>
      <c r="G1196" s="79"/>
    </row>
    <row r="1197" spans="1:7" hidden="1">
      <c r="A1197" s="78">
        <v>42675</v>
      </c>
      <c r="B1197" s="37" t="s">
        <v>172</v>
      </c>
      <c r="C1197" s="1" t="s">
        <v>103</v>
      </c>
      <c r="D1197" s="37" t="s">
        <v>972</v>
      </c>
      <c r="E1197" s="37">
        <v>756</v>
      </c>
      <c r="F1197" s="37" t="s">
        <v>1716</v>
      </c>
      <c r="G1197" s="79"/>
    </row>
    <row r="1198" spans="1:7" hidden="1">
      <c r="A1198" s="78">
        <v>42675</v>
      </c>
      <c r="B1198" s="37" t="s">
        <v>129</v>
      </c>
      <c r="C1198" s="1" t="s">
        <v>1837</v>
      </c>
      <c r="D1198" s="37" t="s">
        <v>972</v>
      </c>
      <c r="E1198" s="862">
        <v>301.5</v>
      </c>
      <c r="F1198" s="37" t="s">
        <v>1838</v>
      </c>
      <c r="G1198" s="79">
        <v>50.25</v>
      </c>
    </row>
    <row r="1199" spans="1:7" hidden="1">
      <c r="A1199" s="78">
        <v>42675</v>
      </c>
      <c r="B1199" s="37" t="s">
        <v>129</v>
      </c>
      <c r="C1199" s="1" t="s">
        <v>104</v>
      </c>
      <c r="D1199" s="37" t="s">
        <v>972</v>
      </c>
      <c r="E1199" s="862">
        <v>94.5</v>
      </c>
      <c r="F1199" s="37" t="s">
        <v>1839</v>
      </c>
      <c r="G1199" s="79">
        <v>15.75</v>
      </c>
    </row>
    <row r="1200" spans="1:7" hidden="1">
      <c r="A1200" s="78">
        <v>42675</v>
      </c>
      <c r="B1200" s="37" t="s">
        <v>129</v>
      </c>
      <c r="C1200" s="1" t="s">
        <v>104</v>
      </c>
      <c r="D1200" s="37" t="s">
        <v>972</v>
      </c>
      <c r="E1200" s="862">
        <v>3058.5</v>
      </c>
      <c r="F1200" s="37" t="s">
        <v>1840</v>
      </c>
      <c r="G1200" s="79">
        <v>509.75</v>
      </c>
    </row>
    <row r="1201" spans="1:7" hidden="1">
      <c r="A1201" s="78">
        <v>42675</v>
      </c>
      <c r="B1201" s="37" t="s">
        <v>129</v>
      </c>
      <c r="C1201" s="1" t="s">
        <v>103</v>
      </c>
      <c r="D1201" s="37" t="s">
        <v>972</v>
      </c>
      <c r="E1201" s="862">
        <v>2710.5</v>
      </c>
      <c r="F1201" s="37" t="s">
        <v>1841</v>
      </c>
      <c r="G1201" s="79">
        <v>451.75</v>
      </c>
    </row>
    <row r="1202" spans="1:7" hidden="1">
      <c r="A1202" s="78">
        <v>42675</v>
      </c>
      <c r="B1202" s="37" t="s">
        <v>129</v>
      </c>
      <c r="C1202" s="1" t="s">
        <v>104</v>
      </c>
      <c r="D1202" s="37" t="s">
        <v>972</v>
      </c>
      <c r="E1202" s="862">
        <v>1368</v>
      </c>
      <c r="F1202" s="37" t="s">
        <v>1845</v>
      </c>
      <c r="G1202" s="79"/>
    </row>
    <row r="1203" spans="1:7" hidden="1">
      <c r="A1203" s="78">
        <v>42675</v>
      </c>
      <c r="B1203" s="37" t="s">
        <v>790</v>
      </c>
      <c r="C1203" s="1" t="s">
        <v>215</v>
      </c>
      <c r="D1203" s="37" t="s">
        <v>92</v>
      </c>
      <c r="E1203" s="37">
        <v>663</v>
      </c>
      <c r="F1203" s="37" t="s">
        <v>1846</v>
      </c>
      <c r="G1203" s="79"/>
    </row>
    <row r="1204" spans="1:7" hidden="1">
      <c r="A1204" s="78">
        <v>42675</v>
      </c>
      <c r="B1204" s="37" t="s">
        <v>1786</v>
      </c>
      <c r="C1204" s="1" t="s">
        <v>171</v>
      </c>
      <c r="D1204" s="37" t="s">
        <v>1787</v>
      </c>
      <c r="E1204" s="37">
        <v>155.58000000000001</v>
      </c>
      <c r="F1204" s="37" t="s">
        <v>943</v>
      </c>
      <c r="G1204" s="79"/>
    </row>
    <row r="1205" spans="1:7" hidden="1">
      <c r="A1205" s="78">
        <v>42675</v>
      </c>
      <c r="B1205" s="37" t="s">
        <v>629</v>
      </c>
      <c r="C1205" s="1" t="s">
        <v>171</v>
      </c>
      <c r="D1205" s="37" t="s">
        <v>827</v>
      </c>
      <c r="E1205" s="37">
        <v>517.5</v>
      </c>
      <c r="F1205" s="37" t="s">
        <v>403</v>
      </c>
      <c r="G1205" s="79"/>
    </row>
    <row r="1206" spans="1:7" hidden="1">
      <c r="A1206" s="78">
        <v>42675</v>
      </c>
      <c r="B1206" s="37" t="s">
        <v>629</v>
      </c>
      <c r="C1206" s="1" t="s">
        <v>171</v>
      </c>
      <c r="D1206" s="37" t="s">
        <v>827</v>
      </c>
      <c r="E1206" s="37">
        <v>716.31</v>
      </c>
      <c r="F1206" s="37" t="s">
        <v>1847</v>
      </c>
      <c r="G1206" s="79"/>
    </row>
    <row r="1207" spans="1:7" hidden="1">
      <c r="A1207" s="78">
        <v>42675</v>
      </c>
      <c r="B1207" s="37" t="s">
        <v>1848</v>
      </c>
      <c r="C1207" s="1" t="s">
        <v>215</v>
      </c>
      <c r="D1207" s="37" t="s">
        <v>673</v>
      </c>
      <c r="E1207" s="37">
        <v>33.549999999999997</v>
      </c>
      <c r="F1207" s="37" t="s">
        <v>1079</v>
      </c>
      <c r="G1207" s="79"/>
    </row>
    <row r="1208" spans="1:7" hidden="1">
      <c r="A1208" s="78">
        <v>42675</v>
      </c>
      <c r="B1208" s="37" t="s">
        <v>826</v>
      </c>
      <c r="C1208" s="1" t="s">
        <v>215</v>
      </c>
      <c r="D1208" s="37" t="s">
        <v>827</v>
      </c>
      <c r="E1208" s="37">
        <v>46</v>
      </c>
      <c r="F1208" s="37" t="s">
        <v>335</v>
      </c>
      <c r="G1208" s="79"/>
    </row>
    <row r="1209" spans="1:7" hidden="1">
      <c r="A1209" s="78">
        <v>42675</v>
      </c>
      <c r="B1209" s="37" t="s">
        <v>1330</v>
      </c>
      <c r="C1209" s="1" t="s">
        <v>215</v>
      </c>
      <c r="D1209" s="37" t="s">
        <v>1560</v>
      </c>
      <c r="E1209" s="37">
        <v>28.27</v>
      </c>
      <c r="F1209" s="37" t="s">
        <v>335</v>
      </c>
      <c r="G1209" s="79"/>
    </row>
    <row r="1210" spans="1:7" hidden="1">
      <c r="A1210" s="78">
        <v>42705</v>
      </c>
      <c r="B1210" s="37" t="s">
        <v>172</v>
      </c>
      <c r="C1210" s="1" t="s">
        <v>103</v>
      </c>
      <c r="D1210" s="37" t="s">
        <v>972</v>
      </c>
      <c r="E1210" s="37">
        <v>810</v>
      </c>
      <c r="F1210" s="37" t="s">
        <v>1717</v>
      </c>
      <c r="G1210" s="79"/>
    </row>
    <row r="1211" spans="1:7" hidden="1">
      <c r="A1211" s="78">
        <v>42705</v>
      </c>
      <c r="B1211" s="37" t="s">
        <v>172</v>
      </c>
      <c r="C1211" s="1" t="s">
        <v>104</v>
      </c>
      <c r="D1211" s="37" t="s">
        <v>972</v>
      </c>
      <c r="E1211" s="37">
        <v>468</v>
      </c>
      <c r="F1211" s="37" t="s">
        <v>1854</v>
      </c>
      <c r="G1211" s="79"/>
    </row>
    <row r="1212" spans="1:7" hidden="1">
      <c r="A1212" s="78">
        <v>42705</v>
      </c>
      <c r="B1212" s="37" t="s">
        <v>172</v>
      </c>
      <c r="C1212" s="1" t="s">
        <v>103</v>
      </c>
      <c r="D1212" s="37" t="s">
        <v>972</v>
      </c>
      <c r="E1212" s="37">
        <v>792</v>
      </c>
      <c r="F1212" s="37" t="s">
        <v>1716</v>
      </c>
      <c r="G1212" s="79"/>
    </row>
    <row r="1213" spans="1:7" hidden="1">
      <c r="A1213" s="78">
        <v>42705</v>
      </c>
      <c r="B1213" s="37" t="s">
        <v>172</v>
      </c>
      <c r="C1213" s="1" t="s">
        <v>171</v>
      </c>
      <c r="D1213" s="37" t="s">
        <v>972</v>
      </c>
      <c r="E1213" s="37">
        <v>234</v>
      </c>
      <c r="F1213" s="37" t="s">
        <v>1087</v>
      </c>
      <c r="G1213" s="79">
        <v>39</v>
      </c>
    </row>
    <row r="1214" spans="1:7" hidden="1">
      <c r="A1214" s="78">
        <v>42705</v>
      </c>
      <c r="B1214" s="37" t="s">
        <v>172</v>
      </c>
      <c r="C1214" s="1" t="s">
        <v>104</v>
      </c>
      <c r="D1214" s="37" t="s">
        <v>972</v>
      </c>
      <c r="E1214" s="37">
        <v>234</v>
      </c>
      <c r="F1214" s="37" t="s">
        <v>1855</v>
      </c>
      <c r="G1214" s="79"/>
    </row>
    <row r="1215" spans="1:7" hidden="1">
      <c r="A1215" s="78">
        <v>42705</v>
      </c>
      <c r="B1215" s="37" t="s">
        <v>55</v>
      </c>
      <c r="C1215" s="1" t="s">
        <v>103</v>
      </c>
      <c r="D1215" s="37" t="s">
        <v>972</v>
      </c>
      <c r="E1215" s="37">
        <v>1212</v>
      </c>
      <c r="F1215" s="37" t="s">
        <v>1856</v>
      </c>
      <c r="G1215" s="79"/>
    </row>
    <row r="1216" spans="1:7" hidden="1">
      <c r="A1216" s="78">
        <v>42705</v>
      </c>
      <c r="B1216" s="37" t="s">
        <v>217</v>
      </c>
      <c r="C1216" s="1" t="s">
        <v>104</v>
      </c>
      <c r="D1216" s="37" t="s">
        <v>92</v>
      </c>
      <c r="E1216" s="37">
        <v>340</v>
      </c>
      <c r="F1216" s="37" t="s">
        <v>1198</v>
      </c>
      <c r="G1216" s="79"/>
    </row>
    <row r="1217" spans="1:8" hidden="1">
      <c r="A1217" s="78">
        <v>42705</v>
      </c>
      <c r="B1217" s="37" t="s">
        <v>217</v>
      </c>
      <c r="C1217" s="1" t="s">
        <v>104</v>
      </c>
      <c r="D1217" s="37" t="s">
        <v>92</v>
      </c>
      <c r="E1217" s="37">
        <v>2869.45</v>
      </c>
      <c r="F1217" s="37" t="s">
        <v>1684</v>
      </c>
      <c r="G1217" s="79"/>
    </row>
    <row r="1218" spans="1:8" hidden="1">
      <c r="A1218" s="78">
        <v>42675</v>
      </c>
      <c r="B1218" s="37" t="s">
        <v>6</v>
      </c>
      <c r="C1218" s="1" t="s">
        <v>215</v>
      </c>
      <c r="D1218" s="37" t="s">
        <v>673</v>
      </c>
      <c r="E1218" s="389">
        <v>647.36</v>
      </c>
      <c r="F1218" s="37" t="s">
        <v>1467</v>
      </c>
      <c r="G1218" s="79"/>
    </row>
    <row r="1219" spans="1:8" hidden="1">
      <c r="A1219" s="78">
        <v>42675</v>
      </c>
      <c r="B1219" s="37" t="s">
        <v>6</v>
      </c>
      <c r="C1219" s="1" t="s">
        <v>104</v>
      </c>
      <c r="D1219" s="37" t="s">
        <v>673</v>
      </c>
      <c r="E1219" s="389">
        <v>100</v>
      </c>
      <c r="F1219" s="37" t="s">
        <v>1475</v>
      </c>
      <c r="G1219" s="79"/>
      <c r="H1219">
        <f>E1219-E1219/1.2</f>
        <v>16.666666666666657</v>
      </c>
    </row>
    <row r="1220" spans="1:8" hidden="1">
      <c r="A1220" s="78">
        <v>42705</v>
      </c>
      <c r="B1220" s="37" t="s">
        <v>98</v>
      </c>
      <c r="C1220" s="1" t="s">
        <v>104</v>
      </c>
      <c r="D1220" s="37" t="s">
        <v>92</v>
      </c>
      <c r="E1220" s="37">
        <v>200</v>
      </c>
      <c r="F1220" s="37" t="s">
        <v>1198</v>
      </c>
      <c r="G1220" s="79"/>
    </row>
    <row r="1221" spans="1:8" hidden="1">
      <c r="A1221" s="78">
        <v>42705</v>
      </c>
      <c r="B1221" s="37" t="s">
        <v>217</v>
      </c>
      <c r="C1221" s="1" t="s">
        <v>104</v>
      </c>
      <c r="D1221" s="37" t="s">
        <v>92</v>
      </c>
      <c r="E1221" s="37">
        <v>340</v>
      </c>
      <c r="F1221" s="37" t="s">
        <v>1198</v>
      </c>
      <c r="G1221" s="79"/>
    </row>
    <row r="1222" spans="1:8" hidden="1">
      <c r="A1222" s="78">
        <v>42705</v>
      </c>
      <c r="B1222" s="37" t="s">
        <v>55</v>
      </c>
      <c r="C1222" s="1" t="s">
        <v>1493</v>
      </c>
      <c r="D1222" s="37" t="s">
        <v>972</v>
      </c>
      <c r="E1222" s="37">
        <v>615</v>
      </c>
      <c r="F1222" s="37" t="s">
        <v>1862</v>
      </c>
      <c r="G1222" s="79"/>
    </row>
    <row r="1223" spans="1:8" hidden="1">
      <c r="A1223" s="78">
        <v>42705</v>
      </c>
      <c r="B1223" s="37" t="s">
        <v>172</v>
      </c>
      <c r="C1223" s="1" t="s">
        <v>104</v>
      </c>
      <c r="D1223" s="37" t="s">
        <v>972</v>
      </c>
      <c r="E1223" s="37">
        <v>1710</v>
      </c>
      <c r="F1223" s="37" t="s">
        <v>1224</v>
      </c>
      <c r="G1223" s="79"/>
    </row>
    <row r="1224" spans="1:8" hidden="1">
      <c r="A1224" s="78">
        <v>42705</v>
      </c>
      <c r="B1224" s="37" t="s">
        <v>172</v>
      </c>
      <c r="C1224" s="1" t="s">
        <v>103</v>
      </c>
      <c r="D1224" s="37" t="s">
        <v>972</v>
      </c>
      <c r="E1224" s="37">
        <v>234</v>
      </c>
      <c r="F1224" s="37" t="s">
        <v>1863</v>
      </c>
      <c r="G1224" s="79"/>
    </row>
    <row r="1225" spans="1:8" hidden="1">
      <c r="A1225" s="78">
        <v>42705</v>
      </c>
      <c r="B1225" s="37" t="s">
        <v>172</v>
      </c>
      <c r="C1225" s="1" t="s">
        <v>103</v>
      </c>
      <c r="D1225" s="37" t="s">
        <v>972</v>
      </c>
      <c r="E1225" s="37">
        <v>72</v>
      </c>
      <c r="F1225" s="37" t="s">
        <v>1864</v>
      </c>
      <c r="G1225" s="79"/>
    </row>
    <row r="1226" spans="1:8" hidden="1">
      <c r="A1226" s="78">
        <v>42705</v>
      </c>
      <c r="B1226" s="37" t="s">
        <v>214</v>
      </c>
      <c r="C1226" s="1" t="s">
        <v>215</v>
      </c>
      <c r="D1226" s="37" t="s">
        <v>827</v>
      </c>
      <c r="E1226" s="37">
        <v>2018.7</v>
      </c>
      <c r="F1226" s="37" t="s">
        <v>1474</v>
      </c>
      <c r="G1226" s="79"/>
    </row>
    <row r="1227" spans="1:8" hidden="1">
      <c r="A1227" s="78">
        <v>42705</v>
      </c>
      <c r="B1227" s="37" t="s">
        <v>790</v>
      </c>
      <c r="C1227" s="1" t="s">
        <v>215</v>
      </c>
      <c r="D1227" s="37" t="s">
        <v>92</v>
      </c>
      <c r="E1227" s="37">
        <v>1550.37</v>
      </c>
      <c r="F1227" s="37" t="s">
        <v>1870</v>
      </c>
      <c r="G1227" s="79"/>
    </row>
    <row r="1228" spans="1:8" hidden="1">
      <c r="A1228" s="78">
        <v>42705</v>
      </c>
      <c r="B1228" s="37" t="s">
        <v>826</v>
      </c>
      <c r="C1228" s="1" t="s">
        <v>215</v>
      </c>
      <c r="D1228" s="37" t="s">
        <v>827</v>
      </c>
      <c r="E1228" s="37">
        <v>46</v>
      </c>
      <c r="F1228" s="37" t="s">
        <v>335</v>
      </c>
      <c r="G1228" s="79"/>
    </row>
    <row r="1229" spans="1:8" hidden="1">
      <c r="A1229" s="78">
        <v>42705</v>
      </c>
      <c r="B1229" s="37" t="s">
        <v>6</v>
      </c>
      <c r="C1229" s="1" t="s">
        <v>104</v>
      </c>
      <c r="D1229" s="37" t="s">
        <v>673</v>
      </c>
      <c r="E1229" s="389">
        <v>200</v>
      </c>
      <c r="F1229" s="37" t="s">
        <v>1501</v>
      </c>
      <c r="G1229" s="79"/>
      <c r="H1229">
        <f>E1229-E1229/1.2</f>
        <v>33.333333333333314</v>
      </c>
    </row>
    <row r="1230" spans="1:8" hidden="1">
      <c r="A1230" s="78">
        <v>42705</v>
      </c>
      <c r="B1230" s="37" t="s">
        <v>6</v>
      </c>
      <c r="C1230" s="1" t="s">
        <v>103</v>
      </c>
      <c r="D1230" s="37" t="s">
        <v>673</v>
      </c>
      <c r="E1230" s="389">
        <v>200</v>
      </c>
      <c r="F1230" s="37" t="s">
        <v>1501</v>
      </c>
      <c r="G1230" s="79"/>
      <c r="H1230">
        <f>E1230-E1230/1.2</f>
        <v>33.333333333333314</v>
      </c>
    </row>
    <row r="1231" spans="1:8" hidden="1">
      <c r="A1231" s="78">
        <v>42705</v>
      </c>
      <c r="B1231" s="37" t="s">
        <v>479</v>
      </c>
      <c r="C1231" s="1" t="s">
        <v>171</v>
      </c>
      <c r="D1231" s="37" t="s">
        <v>1107</v>
      </c>
      <c r="E1231" s="37">
        <v>517.5</v>
      </c>
      <c r="F1231" s="37" t="s">
        <v>1871</v>
      </c>
      <c r="G1231" s="79"/>
    </row>
    <row r="1232" spans="1:8" hidden="1">
      <c r="A1232" s="78">
        <v>42705</v>
      </c>
      <c r="B1232" s="37" t="s">
        <v>479</v>
      </c>
      <c r="C1232" s="1" t="s">
        <v>215</v>
      </c>
      <c r="D1232" s="37" t="s">
        <v>1107</v>
      </c>
      <c r="E1232" s="37">
        <v>2952.21</v>
      </c>
      <c r="F1232" s="37" t="s">
        <v>335</v>
      </c>
      <c r="G1232" s="79"/>
    </row>
    <row r="1233" spans="1:7" hidden="1">
      <c r="A1233" s="78">
        <v>42705</v>
      </c>
      <c r="B1233" s="37" t="s">
        <v>129</v>
      </c>
      <c r="C1233" s="1" t="s">
        <v>171</v>
      </c>
      <c r="D1233" s="37" t="s">
        <v>972</v>
      </c>
      <c r="E1233" s="862">
        <v>108</v>
      </c>
      <c r="F1233" s="37" t="s">
        <v>1872</v>
      </c>
      <c r="G1233" s="79"/>
    </row>
    <row r="1234" spans="1:7" hidden="1">
      <c r="A1234" s="78">
        <v>42705</v>
      </c>
      <c r="B1234" s="37" t="s">
        <v>129</v>
      </c>
      <c r="C1234" s="1" t="s">
        <v>171</v>
      </c>
      <c r="D1234" s="37" t="s">
        <v>972</v>
      </c>
      <c r="E1234" s="862">
        <v>321</v>
      </c>
      <c r="F1234" s="37" t="s">
        <v>1873</v>
      </c>
      <c r="G1234" s="79"/>
    </row>
    <row r="1235" spans="1:7" hidden="1">
      <c r="A1235" s="78">
        <v>42705</v>
      </c>
      <c r="B1235" s="37" t="s">
        <v>129</v>
      </c>
      <c r="C1235" s="1" t="s">
        <v>103</v>
      </c>
      <c r="D1235" s="37" t="s">
        <v>972</v>
      </c>
      <c r="E1235" s="862">
        <v>177</v>
      </c>
      <c r="F1235" s="37" t="s">
        <v>1875</v>
      </c>
      <c r="G1235" s="79"/>
    </row>
    <row r="1236" spans="1:7" hidden="1">
      <c r="A1236" s="78">
        <v>42705</v>
      </c>
      <c r="B1236" s="37" t="s">
        <v>129</v>
      </c>
      <c r="C1236" s="1" t="s">
        <v>336</v>
      </c>
      <c r="D1236" s="37" t="s">
        <v>972</v>
      </c>
      <c r="E1236" s="862">
        <v>102</v>
      </c>
      <c r="F1236" s="37" t="s">
        <v>1874</v>
      </c>
      <c r="G1236" s="79"/>
    </row>
    <row r="1237" spans="1:7" hidden="1">
      <c r="A1237" s="78">
        <v>42705</v>
      </c>
      <c r="B1237" s="37" t="s">
        <v>129</v>
      </c>
      <c r="C1237" s="1" t="s">
        <v>104</v>
      </c>
      <c r="D1237" s="37" t="s">
        <v>972</v>
      </c>
      <c r="E1237" s="862">
        <v>265.5</v>
      </c>
      <c r="F1237" s="37" t="s">
        <v>1876</v>
      </c>
      <c r="G1237" s="79"/>
    </row>
    <row r="1238" spans="1:7" hidden="1">
      <c r="A1238" s="78">
        <v>42705</v>
      </c>
      <c r="B1238" s="37" t="s">
        <v>129</v>
      </c>
      <c r="C1238" s="1" t="s">
        <v>104</v>
      </c>
      <c r="D1238" s="37" t="s">
        <v>972</v>
      </c>
      <c r="E1238" s="862">
        <v>136.5</v>
      </c>
      <c r="F1238" s="37" t="s">
        <v>1877</v>
      </c>
      <c r="G1238" s="79"/>
    </row>
    <row r="1239" spans="1:7" hidden="1">
      <c r="A1239" s="78">
        <v>42705</v>
      </c>
      <c r="B1239" s="37" t="s">
        <v>129</v>
      </c>
      <c r="C1239" s="1" t="s">
        <v>104</v>
      </c>
      <c r="D1239" s="37" t="s">
        <v>972</v>
      </c>
      <c r="E1239" s="862"/>
      <c r="F1239" s="37"/>
      <c r="G1239" s="79"/>
    </row>
    <row r="1240" spans="1:7" hidden="1">
      <c r="A1240" s="78">
        <v>42736</v>
      </c>
      <c r="B1240" s="37" t="s">
        <v>55</v>
      </c>
      <c r="C1240" s="1" t="s">
        <v>1898</v>
      </c>
      <c r="D1240" s="37" t="s">
        <v>972</v>
      </c>
      <c r="E1240" s="37">
        <v>1473</v>
      </c>
      <c r="F1240" s="37"/>
      <c r="G1240" s="79"/>
    </row>
    <row r="1241" spans="1:7" hidden="1">
      <c r="A1241" s="78">
        <v>42736</v>
      </c>
      <c r="B1241" s="37" t="s">
        <v>55</v>
      </c>
      <c r="C1241" s="1" t="s">
        <v>1899</v>
      </c>
      <c r="D1241" s="37" t="s">
        <v>972</v>
      </c>
      <c r="E1241" s="37">
        <v>615</v>
      </c>
      <c r="F1241" s="37" t="s">
        <v>1897</v>
      </c>
      <c r="G1241" s="79"/>
    </row>
    <row r="1242" spans="1:7" hidden="1">
      <c r="A1242" s="78">
        <v>42736</v>
      </c>
      <c r="B1242" s="37" t="s">
        <v>172</v>
      </c>
      <c r="C1242" s="1" t="s">
        <v>103</v>
      </c>
      <c r="D1242" s="37" t="s">
        <v>972</v>
      </c>
      <c r="E1242" s="37">
        <v>792</v>
      </c>
      <c r="F1242" s="37" t="s">
        <v>1716</v>
      </c>
      <c r="G1242" s="79">
        <f>E1242/1.9496</f>
        <v>406.23717685679111</v>
      </c>
    </row>
    <row r="1243" spans="1:7" hidden="1">
      <c r="A1243" s="78">
        <v>42736</v>
      </c>
      <c r="B1243" s="37" t="s">
        <v>172</v>
      </c>
      <c r="C1243" s="1" t="s">
        <v>103</v>
      </c>
      <c r="D1243" s="37" t="s">
        <v>972</v>
      </c>
      <c r="E1243" s="37">
        <v>774</v>
      </c>
      <c r="F1243" s="37" t="s">
        <v>1491</v>
      </c>
      <c r="G1243" s="79">
        <f>E1243/1.9496</f>
        <v>397.00451374640954</v>
      </c>
    </row>
    <row r="1244" spans="1:7" hidden="1">
      <c r="A1244" s="78">
        <v>42736</v>
      </c>
      <c r="B1244" s="37" t="s">
        <v>172</v>
      </c>
      <c r="C1244" s="1" t="s">
        <v>103</v>
      </c>
      <c r="D1244" s="37" t="s">
        <v>972</v>
      </c>
      <c r="E1244" s="37">
        <v>270</v>
      </c>
      <c r="F1244" s="37" t="s">
        <v>1187</v>
      </c>
      <c r="G1244" s="79"/>
    </row>
    <row r="1245" spans="1:7" hidden="1">
      <c r="A1245" s="78">
        <v>42736</v>
      </c>
      <c r="B1245" s="37" t="s">
        <v>172</v>
      </c>
      <c r="C1245" s="1" t="s">
        <v>103</v>
      </c>
      <c r="D1245" s="37" t="s">
        <v>972</v>
      </c>
      <c r="E1245" s="37">
        <v>72</v>
      </c>
      <c r="F1245" s="37" t="s">
        <v>1190</v>
      </c>
      <c r="G1245" s="79"/>
    </row>
    <row r="1246" spans="1:7" hidden="1">
      <c r="A1246" s="78">
        <v>42736</v>
      </c>
      <c r="B1246" s="37" t="s">
        <v>172</v>
      </c>
      <c r="C1246" s="1" t="s">
        <v>104</v>
      </c>
      <c r="D1246" s="37" t="s">
        <v>972</v>
      </c>
      <c r="E1246" s="37">
        <v>1116</v>
      </c>
      <c r="F1246" s="37" t="s">
        <v>1224</v>
      </c>
      <c r="G1246" s="79"/>
    </row>
    <row r="1247" spans="1:7" hidden="1">
      <c r="A1247" s="78">
        <v>42736</v>
      </c>
      <c r="B1247" s="37" t="s">
        <v>129</v>
      </c>
      <c r="C1247" s="1" t="s">
        <v>103</v>
      </c>
      <c r="D1247" s="37" t="s">
        <v>972</v>
      </c>
      <c r="E1247" s="861">
        <v>370.5</v>
      </c>
      <c r="F1247" s="37" t="s">
        <v>1906</v>
      </c>
      <c r="G1247" s="79"/>
    </row>
    <row r="1248" spans="1:7" hidden="1">
      <c r="A1248" s="78">
        <v>42736</v>
      </c>
      <c r="B1248" s="37" t="s">
        <v>129</v>
      </c>
      <c r="C1248" s="1" t="s">
        <v>103</v>
      </c>
      <c r="D1248" s="37" t="s">
        <v>972</v>
      </c>
      <c r="E1248" s="861">
        <v>97.5</v>
      </c>
      <c r="F1248" s="37" t="s">
        <v>1402</v>
      </c>
      <c r="G1248" s="79"/>
    </row>
    <row r="1249" spans="1:7" hidden="1">
      <c r="A1249" s="78">
        <v>43070</v>
      </c>
      <c r="B1249" s="37" t="s">
        <v>217</v>
      </c>
      <c r="C1249" s="1" t="s">
        <v>104</v>
      </c>
      <c r="D1249" s="37" t="s">
        <v>92</v>
      </c>
      <c r="E1249" s="37">
        <v>3226.96</v>
      </c>
      <c r="F1249" s="37" t="s">
        <v>335</v>
      </c>
      <c r="G1249" s="79"/>
    </row>
    <row r="1250" spans="1:7" hidden="1">
      <c r="A1250" s="78">
        <v>43070</v>
      </c>
      <c r="B1250" s="37" t="s">
        <v>6</v>
      </c>
      <c r="C1250" s="1" t="s">
        <v>215</v>
      </c>
      <c r="D1250" s="37" t="s">
        <v>673</v>
      </c>
      <c r="E1250" s="389">
        <v>690.31</v>
      </c>
      <c r="F1250" s="37" t="s">
        <v>335</v>
      </c>
      <c r="G1250" s="79"/>
    </row>
    <row r="1251" spans="1:7" hidden="1">
      <c r="A1251" s="78">
        <v>43070</v>
      </c>
      <c r="B1251" s="37" t="s">
        <v>1330</v>
      </c>
      <c r="C1251" s="1" t="s">
        <v>215</v>
      </c>
      <c r="D1251" s="37" t="s">
        <v>1560</v>
      </c>
      <c r="E1251" s="37">
        <v>118.86</v>
      </c>
      <c r="F1251" s="37" t="s">
        <v>335</v>
      </c>
      <c r="G1251" s="79"/>
    </row>
    <row r="1252" spans="1:7" hidden="1">
      <c r="A1252" s="78">
        <v>43070</v>
      </c>
      <c r="B1252" s="37" t="s">
        <v>1561</v>
      </c>
      <c r="C1252" s="1" t="s">
        <v>215</v>
      </c>
      <c r="D1252" s="37" t="s">
        <v>1476</v>
      </c>
      <c r="E1252" s="37">
        <v>1708.86</v>
      </c>
      <c r="F1252" s="37" t="s">
        <v>335</v>
      </c>
      <c r="G1252" s="79"/>
    </row>
    <row r="1253" spans="1:7" hidden="1">
      <c r="A1253" s="78">
        <v>42736</v>
      </c>
      <c r="B1253" s="37" t="s">
        <v>1916</v>
      </c>
      <c r="C1253" s="1" t="s">
        <v>215</v>
      </c>
      <c r="D1253" s="37" t="s">
        <v>1917</v>
      </c>
      <c r="E1253" s="37">
        <v>68.64</v>
      </c>
      <c r="F1253" s="37" t="s">
        <v>335</v>
      </c>
      <c r="G1253" s="79"/>
    </row>
    <row r="1254" spans="1:7" hidden="1">
      <c r="A1254" s="78">
        <v>42736</v>
      </c>
      <c r="B1254" s="37" t="s">
        <v>214</v>
      </c>
      <c r="C1254" s="1" t="s">
        <v>215</v>
      </c>
      <c r="D1254" s="37" t="s">
        <v>827</v>
      </c>
      <c r="E1254" s="37">
        <v>1156.5</v>
      </c>
      <c r="F1254" s="37" t="s">
        <v>335</v>
      </c>
      <c r="G1254" s="79"/>
    </row>
    <row r="1255" spans="1:7" hidden="1">
      <c r="A1255" s="78">
        <v>42736</v>
      </c>
      <c r="B1255" s="37" t="s">
        <v>1330</v>
      </c>
      <c r="C1255" s="1" t="s">
        <v>1837</v>
      </c>
      <c r="D1255" s="37" t="s">
        <v>1560</v>
      </c>
      <c r="E1255" s="37">
        <v>120</v>
      </c>
      <c r="F1255" s="37" t="s">
        <v>1918</v>
      </c>
      <c r="G1255" s="79">
        <v>50</v>
      </c>
    </row>
    <row r="1256" spans="1:7" hidden="1">
      <c r="A1256" s="78">
        <v>42736</v>
      </c>
      <c r="B1256" s="37" t="s">
        <v>217</v>
      </c>
      <c r="C1256" s="1" t="s">
        <v>215</v>
      </c>
      <c r="D1256" s="37" t="s">
        <v>92</v>
      </c>
      <c r="E1256" s="37">
        <v>1254.51</v>
      </c>
      <c r="F1256" s="37" t="s">
        <v>1794</v>
      </c>
      <c r="G1256" s="79"/>
    </row>
    <row r="1257" spans="1:7" hidden="1">
      <c r="A1257" s="78">
        <v>42736</v>
      </c>
      <c r="B1257" s="37" t="s">
        <v>6</v>
      </c>
      <c r="C1257" s="1" t="s">
        <v>215</v>
      </c>
      <c r="D1257" s="37" t="s">
        <v>673</v>
      </c>
      <c r="E1257" s="389">
        <v>518.85</v>
      </c>
      <c r="F1257" s="37" t="s">
        <v>335</v>
      </c>
      <c r="G1257" s="79"/>
    </row>
    <row r="1258" spans="1:7" hidden="1">
      <c r="A1258" s="78">
        <v>42736</v>
      </c>
      <c r="B1258" s="37" t="s">
        <v>790</v>
      </c>
      <c r="C1258" s="1" t="s">
        <v>215</v>
      </c>
      <c r="D1258" s="37" t="s">
        <v>92</v>
      </c>
      <c r="E1258" s="37">
        <v>291.33</v>
      </c>
      <c r="F1258" s="37" t="s">
        <v>1920</v>
      </c>
      <c r="G1258" s="79"/>
    </row>
    <row r="1259" spans="1:7" hidden="1">
      <c r="A1259" s="78">
        <v>42736</v>
      </c>
      <c r="B1259" s="37" t="s">
        <v>479</v>
      </c>
      <c r="C1259" s="1" t="s">
        <v>171</v>
      </c>
      <c r="D1259" s="37" t="s">
        <v>827</v>
      </c>
      <c r="E1259" s="37">
        <v>3289.58</v>
      </c>
      <c r="F1259" s="37" t="s">
        <v>1477</v>
      </c>
      <c r="G1259" s="79"/>
    </row>
    <row r="1260" spans="1:7" hidden="1">
      <c r="A1260" s="78">
        <v>42767</v>
      </c>
      <c r="B1260" s="37" t="s">
        <v>172</v>
      </c>
      <c r="C1260" s="1" t="s">
        <v>104</v>
      </c>
      <c r="D1260" s="37" t="s">
        <v>972</v>
      </c>
      <c r="E1260" s="37">
        <v>702</v>
      </c>
      <c r="F1260" s="37" t="s">
        <v>1929</v>
      </c>
      <c r="G1260" s="79"/>
    </row>
    <row r="1261" spans="1:7" hidden="1">
      <c r="A1261" s="78">
        <v>42767</v>
      </c>
      <c r="B1261" s="37" t="s">
        <v>172</v>
      </c>
      <c r="C1261" s="1" t="s">
        <v>103</v>
      </c>
      <c r="D1261" s="37" t="s">
        <v>972</v>
      </c>
      <c r="E1261" s="37">
        <v>90</v>
      </c>
      <c r="F1261" s="37" t="s">
        <v>1930</v>
      </c>
      <c r="G1261" s="79"/>
    </row>
    <row r="1262" spans="1:7" hidden="1">
      <c r="A1262" s="78">
        <v>42767</v>
      </c>
      <c r="B1262" s="37" t="s">
        <v>172</v>
      </c>
      <c r="C1262" s="1" t="s">
        <v>104</v>
      </c>
      <c r="D1262" s="37" t="s">
        <v>972</v>
      </c>
      <c r="E1262" s="37">
        <v>1044</v>
      </c>
      <c r="F1262" s="37" t="s">
        <v>1931</v>
      </c>
      <c r="G1262" s="79"/>
    </row>
    <row r="1263" spans="1:7" hidden="1">
      <c r="A1263" s="78">
        <v>42767</v>
      </c>
      <c r="B1263" s="37" t="s">
        <v>172</v>
      </c>
      <c r="C1263" s="1" t="s">
        <v>103</v>
      </c>
      <c r="D1263" s="37" t="s">
        <v>972</v>
      </c>
      <c r="E1263" s="37">
        <v>216</v>
      </c>
      <c r="F1263" s="37" t="s">
        <v>1932</v>
      </c>
      <c r="G1263" s="79"/>
    </row>
    <row r="1264" spans="1:7" hidden="1">
      <c r="A1264" s="78">
        <v>42767</v>
      </c>
      <c r="B1264" s="37" t="s">
        <v>172</v>
      </c>
      <c r="C1264" s="1" t="s">
        <v>103</v>
      </c>
      <c r="D1264" s="37" t="s">
        <v>972</v>
      </c>
      <c r="E1264" s="37">
        <v>792</v>
      </c>
      <c r="F1264" s="37" t="s">
        <v>1599</v>
      </c>
      <c r="G1264" s="79"/>
    </row>
    <row r="1265" spans="1:7" hidden="1">
      <c r="A1265" s="78">
        <v>42767</v>
      </c>
      <c r="B1265" s="37" t="s">
        <v>172</v>
      </c>
      <c r="C1265" s="1" t="s">
        <v>103</v>
      </c>
      <c r="D1265" s="37" t="s">
        <v>972</v>
      </c>
      <c r="E1265" s="37">
        <v>774</v>
      </c>
      <c r="F1265" s="37" t="s">
        <v>1933</v>
      </c>
      <c r="G1265" s="79"/>
    </row>
    <row r="1266" spans="1:7" hidden="1">
      <c r="A1266" s="78">
        <v>42767</v>
      </c>
      <c r="B1266" s="37" t="s">
        <v>55</v>
      </c>
      <c r="C1266" s="1" t="s">
        <v>1934</v>
      </c>
      <c r="D1266" s="37" t="s">
        <v>972</v>
      </c>
      <c r="E1266" s="37">
        <v>615</v>
      </c>
      <c r="F1266" s="37" t="s">
        <v>1935</v>
      </c>
      <c r="G1266" s="79"/>
    </row>
    <row r="1267" spans="1:7" hidden="1">
      <c r="A1267" s="78">
        <v>42767</v>
      </c>
      <c r="B1267" s="37" t="s">
        <v>55</v>
      </c>
      <c r="C1267" s="1" t="s">
        <v>103</v>
      </c>
      <c r="D1267" s="37" t="s">
        <v>972</v>
      </c>
      <c r="E1267" s="37">
        <v>1202.58</v>
      </c>
      <c r="F1267" s="37" t="s">
        <v>1936</v>
      </c>
      <c r="G1267" s="79"/>
    </row>
    <row r="1268" spans="1:7" hidden="1">
      <c r="A1268" s="78">
        <v>42767</v>
      </c>
      <c r="B1268" s="37" t="s">
        <v>1937</v>
      </c>
      <c r="C1268" s="1" t="s">
        <v>1940</v>
      </c>
      <c r="D1268" s="37" t="s">
        <v>1938</v>
      </c>
      <c r="E1268" s="37">
        <v>147.62</v>
      </c>
      <c r="F1268" s="37" t="s">
        <v>1939</v>
      </c>
      <c r="G1268" s="79">
        <f>E1268</f>
        <v>147.62</v>
      </c>
    </row>
    <row r="1269" spans="1:7" hidden="1">
      <c r="A1269" s="78">
        <v>42736</v>
      </c>
      <c r="B1269" s="37" t="s">
        <v>1330</v>
      </c>
      <c r="C1269" s="1" t="s">
        <v>215</v>
      </c>
      <c r="D1269" s="37" t="s">
        <v>1560</v>
      </c>
      <c r="E1269" s="37">
        <v>62.77</v>
      </c>
      <c r="F1269" s="37" t="s">
        <v>335</v>
      </c>
      <c r="G1269" s="79"/>
    </row>
    <row r="1270" spans="1:7" hidden="1">
      <c r="A1270" s="78">
        <v>42767</v>
      </c>
      <c r="B1270" s="37" t="s">
        <v>214</v>
      </c>
      <c r="C1270" s="1" t="s">
        <v>215</v>
      </c>
      <c r="D1270" s="37" t="s">
        <v>827</v>
      </c>
      <c r="E1270" s="37">
        <v>941.4</v>
      </c>
      <c r="F1270" s="37" t="s">
        <v>335</v>
      </c>
      <c r="G1270" s="79"/>
    </row>
    <row r="1271" spans="1:7" hidden="1">
      <c r="A1271" s="78">
        <v>42767</v>
      </c>
      <c r="B1271" s="37" t="s">
        <v>259</v>
      </c>
      <c r="C1271" s="1" t="s">
        <v>171</v>
      </c>
      <c r="D1271" s="37" t="s">
        <v>827</v>
      </c>
      <c r="E1271" s="37">
        <v>4638.05</v>
      </c>
      <c r="F1271" s="37" t="s">
        <v>335</v>
      </c>
      <c r="G1271" s="79"/>
    </row>
    <row r="1272" spans="1:7" hidden="1">
      <c r="A1272" s="78">
        <v>42767</v>
      </c>
      <c r="B1272" s="37" t="s">
        <v>259</v>
      </c>
      <c r="C1272" s="1" t="s">
        <v>171</v>
      </c>
      <c r="D1272" s="37" t="s">
        <v>827</v>
      </c>
      <c r="E1272" s="37">
        <v>813.5</v>
      </c>
      <c r="F1272" s="37" t="s">
        <v>1946</v>
      </c>
      <c r="G1272" s="79"/>
    </row>
    <row r="1273" spans="1:7" hidden="1">
      <c r="A1273" s="78">
        <v>42767</v>
      </c>
      <c r="B1273" s="37" t="s">
        <v>1786</v>
      </c>
      <c r="C1273" s="1" t="s">
        <v>1955</v>
      </c>
      <c r="D1273" s="37" t="s">
        <v>1954</v>
      </c>
      <c r="E1273" s="37">
        <v>150.01</v>
      </c>
      <c r="F1273" s="37" t="s">
        <v>1956</v>
      </c>
      <c r="G1273" s="79"/>
    </row>
    <row r="1274" spans="1:7" hidden="1">
      <c r="A1274" s="78">
        <v>42736</v>
      </c>
      <c r="B1274" s="37" t="s">
        <v>1916</v>
      </c>
      <c r="C1274" s="1" t="s">
        <v>215</v>
      </c>
      <c r="D1274" s="37" t="s">
        <v>1917</v>
      </c>
      <c r="E1274" s="37">
        <v>30.39</v>
      </c>
      <c r="F1274" s="37" t="s">
        <v>335</v>
      </c>
      <c r="G1274" s="79"/>
    </row>
    <row r="1275" spans="1:7" hidden="1">
      <c r="A1275" s="78">
        <v>42767</v>
      </c>
      <c r="B1275" s="37" t="s">
        <v>1961</v>
      </c>
      <c r="C1275" s="1" t="s">
        <v>215</v>
      </c>
      <c r="D1275" s="37" t="s">
        <v>722</v>
      </c>
      <c r="E1275" s="37">
        <v>30.2</v>
      </c>
      <c r="F1275" s="37" t="s">
        <v>363</v>
      </c>
      <c r="G1275" s="79"/>
    </row>
    <row r="1276" spans="1:7" hidden="1">
      <c r="A1276" s="78">
        <v>42736</v>
      </c>
      <c r="B1276" s="37" t="s">
        <v>1962</v>
      </c>
      <c r="C1276" s="1" t="s">
        <v>215</v>
      </c>
      <c r="D1276" s="37" t="s">
        <v>1938</v>
      </c>
      <c r="E1276" s="37">
        <v>17.36</v>
      </c>
      <c r="F1276" s="37" t="s">
        <v>941</v>
      </c>
      <c r="G1276" s="79"/>
    </row>
    <row r="1277" spans="1:7" hidden="1">
      <c r="A1277" s="78">
        <v>42767</v>
      </c>
      <c r="B1277" s="37" t="s">
        <v>1962</v>
      </c>
      <c r="C1277" s="1" t="s">
        <v>215</v>
      </c>
      <c r="D1277" s="37" t="s">
        <v>1938</v>
      </c>
      <c r="E1277" s="37">
        <v>30.06</v>
      </c>
      <c r="F1277" s="37" t="s">
        <v>941</v>
      </c>
      <c r="G1277" s="79"/>
    </row>
    <row r="1278" spans="1:7" hidden="1">
      <c r="A1278" s="78">
        <v>42795</v>
      </c>
      <c r="B1278" s="37" t="s">
        <v>55</v>
      </c>
      <c r="C1278" s="1" t="s">
        <v>888</v>
      </c>
      <c r="D1278" s="37" t="s">
        <v>972</v>
      </c>
      <c r="E1278" s="37">
        <v>615</v>
      </c>
      <c r="F1278" s="37" t="s">
        <v>1967</v>
      </c>
      <c r="G1278" s="79"/>
    </row>
    <row r="1279" spans="1:7" hidden="1">
      <c r="A1279" s="78">
        <v>42767</v>
      </c>
      <c r="B1279" s="37" t="s">
        <v>6</v>
      </c>
      <c r="C1279" s="1" t="s">
        <v>215</v>
      </c>
      <c r="D1279" s="37" t="s">
        <v>1938</v>
      </c>
      <c r="E1279" s="389">
        <v>340.42</v>
      </c>
      <c r="F1279" s="37" t="s">
        <v>335</v>
      </c>
      <c r="G1279" s="79"/>
    </row>
    <row r="1280" spans="1:7" hidden="1">
      <c r="A1280" s="78">
        <v>42795</v>
      </c>
      <c r="B1280" s="37" t="s">
        <v>217</v>
      </c>
      <c r="C1280" s="1" t="s">
        <v>104</v>
      </c>
      <c r="D1280" s="37" t="s">
        <v>92</v>
      </c>
      <c r="E1280" s="37">
        <v>340</v>
      </c>
      <c r="F1280" s="37" t="s">
        <v>739</v>
      </c>
      <c r="G1280" s="79"/>
    </row>
    <row r="1281" spans="1:7" hidden="1">
      <c r="A1281" s="78">
        <v>42767</v>
      </c>
      <c r="B1281" s="37" t="s">
        <v>1848</v>
      </c>
      <c r="C1281" s="1" t="s">
        <v>215</v>
      </c>
      <c r="D1281" s="37" t="s">
        <v>1968</v>
      </c>
      <c r="E1281" s="37">
        <v>16.23</v>
      </c>
      <c r="F1281" s="37" t="s">
        <v>1969</v>
      </c>
      <c r="G1281" s="79"/>
    </row>
    <row r="1282" spans="1:7" hidden="1">
      <c r="A1282" s="78">
        <v>42795</v>
      </c>
      <c r="B1282" s="37" t="s">
        <v>217</v>
      </c>
      <c r="C1282" s="1" t="s">
        <v>104</v>
      </c>
      <c r="D1282" s="37" t="s">
        <v>92</v>
      </c>
      <c r="E1282" s="37">
        <v>2139.04</v>
      </c>
      <c r="F1282" s="37" t="s">
        <v>1970</v>
      </c>
      <c r="G1282" s="79"/>
    </row>
    <row r="1283" spans="1:7" hidden="1">
      <c r="A1283" s="78">
        <v>42767</v>
      </c>
      <c r="B1283" s="37" t="s">
        <v>790</v>
      </c>
      <c r="C1283" s="1" t="s">
        <v>215</v>
      </c>
      <c r="D1283" s="37" t="s">
        <v>92</v>
      </c>
      <c r="E1283" s="37">
        <v>1510.23</v>
      </c>
      <c r="F1283" s="37" t="s">
        <v>1971</v>
      </c>
      <c r="G1283" s="79"/>
    </row>
    <row r="1284" spans="1:7" hidden="1">
      <c r="A1284" s="78">
        <v>42767</v>
      </c>
      <c r="B1284" s="37" t="s">
        <v>1972</v>
      </c>
      <c r="C1284" s="1" t="s">
        <v>1973</v>
      </c>
      <c r="D1284" s="37" t="s">
        <v>1560</v>
      </c>
      <c r="E1284" s="37">
        <v>204</v>
      </c>
      <c r="F1284" s="37" t="s">
        <v>335</v>
      </c>
      <c r="G1284" s="79"/>
    </row>
    <row r="1285" spans="1:7" hidden="1">
      <c r="A1285" s="78">
        <v>42795</v>
      </c>
      <c r="B1285" s="37" t="s">
        <v>1937</v>
      </c>
      <c r="C1285" s="1" t="s">
        <v>1973</v>
      </c>
      <c r="D1285" s="37" t="s">
        <v>1938</v>
      </c>
      <c r="E1285" s="37">
        <v>308.45999999999998</v>
      </c>
      <c r="F1285" s="37" t="s">
        <v>1310</v>
      </c>
      <c r="G1285" s="79">
        <f>E1285</f>
        <v>308.45999999999998</v>
      </c>
    </row>
    <row r="1286" spans="1:7" hidden="1">
      <c r="A1286" s="78">
        <v>42795</v>
      </c>
      <c r="B1286" s="37" t="s">
        <v>55</v>
      </c>
      <c r="C1286" s="1" t="s">
        <v>103</v>
      </c>
      <c r="D1286" s="37" t="s">
        <v>972</v>
      </c>
      <c r="E1286" s="37">
        <v>1370.92</v>
      </c>
      <c r="F1286" s="37" t="s">
        <v>1690</v>
      </c>
      <c r="G1286" s="79"/>
    </row>
    <row r="1287" spans="1:7" hidden="1">
      <c r="A1287" s="78">
        <v>42795</v>
      </c>
      <c r="B1287" s="37" t="s">
        <v>172</v>
      </c>
      <c r="C1287" s="1" t="s">
        <v>103</v>
      </c>
      <c r="D1287" s="37" t="s">
        <v>972</v>
      </c>
      <c r="E1287" s="37">
        <v>774</v>
      </c>
      <c r="F1287" s="37" t="s">
        <v>1599</v>
      </c>
      <c r="G1287" s="79"/>
    </row>
    <row r="1288" spans="1:7" hidden="1">
      <c r="A1288" s="78">
        <v>42795</v>
      </c>
      <c r="B1288" s="37" t="s">
        <v>172</v>
      </c>
      <c r="C1288" s="1" t="s">
        <v>104</v>
      </c>
      <c r="D1288" s="37" t="s">
        <v>972</v>
      </c>
      <c r="E1288" s="37">
        <v>1296</v>
      </c>
      <c r="F1288" s="37" t="s">
        <v>1224</v>
      </c>
      <c r="G1288" s="79"/>
    </row>
    <row r="1289" spans="1:7" hidden="1">
      <c r="A1289" s="78">
        <v>42795</v>
      </c>
      <c r="B1289" s="37" t="s">
        <v>172</v>
      </c>
      <c r="C1289" s="1" t="s">
        <v>103</v>
      </c>
      <c r="D1289" s="37" t="s">
        <v>972</v>
      </c>
      <c r="E1289" s="37">
        <v>918</v>
      </c>
      <c r="F1289" s="37" t="s">
        <v>1933</v>
      </c>
      <c r="G1289" s="79"/>
    </row>
    <row r="1290" spans="1:7" hidden="1">
      <c r="A1290" s="78">
        <v>42795</v>
      </c>
      <c r="B1290" s="37" t="s">
        <v>172</v>
      </c>
      <c r="C1290" s="1" t="s">
        <v>103</v>
      </c>
      <c r="D1290" s="37" t="s">
        <v>972</v>
      </c>
      <c r="E1290" s="37">
        <v>72</v>
      </c>
      <c r="F1290" s="37" t="s">
        <v>1190</v>
      </c>
      <c r="G1290" s="79"/>
    </row>
    <row r="1291" spans="1:7" hidden="1">
      <c r="A1291" s="78">
        <v>42795</v>
      </c>
      <c r="B1291" s="37" t="s">
        <v>172</v>
      </c>
      <c r="C1291" s="1" t="s">
        <v>103</v>
      </c>
      <c r="D1291" s="37" t="s">
        <v>972</v>
      </c>
      <c r="E1291" s="37">
        <v>216</v>
      </c>
      <c r="F1291" s="37" t="s">
        <v>1187</v>
      </c>
      <c r="G1291" s="79"/>
    </row>
    <row r="1292" spans="1:7" hidden="1">
      <c r="A1292" s="78">
        <v>42795</v>
      </c>
      <c r="B1292" s="37" t="s">
        <v>172</v>
      </c>
      <c r="C1292" s="1" t="s">
        <v>336</v>
      </c>
      <c r="D1292" s="37" t="s">
        <v>972</v>
      </c>
      <c r="E1292" s="37">
        <v>234</v>
      </c>
      <c r="F1292" s="37" t="s">
        <v>1978</v>
      </c>
      <c r="G1292" s="79"/>
    </row>
    <row r="1293" spans="1:7" hidden="1">
      <c r="A1293" s="78">
        <v>42795</v>
      </c>
      <c r="B1293" s="37" t="s">
        <v>826</v>
      </c>
      <c r="C1293" s="1" t="s">
        <v>215</v>
      </c>
      <c r="D1293" s="37" t="s">
        <v>827</v>
      </c>
      <c r="E1293" s="37">
        <v>155</v>
      </c>
      <c r="F1293" s="37" t="s">
        <v>1648</v>
      </c>
      <c r="G1293" s="79"/>
    </row>
    <row r="1294" spans="1:7" hidden="1">
      <c r="A1294" s="78">
        <v>42795</v>
      </c>
      <c r="B1294" s="37" t="s">
        <v>479</v>
      </c>
      <c r="C1294" s="1" t="s">
        <v>171</v>
      </c>
      <c r="D1294" s="37" t="s">
        <v>827</v>
      </c>
      <c r="E1294" s="37">
        <v>1261.57</v>
      </c>
      <c r="F1294" s="37" t="s">
        <v>1648</v>
      </c>
      <c r="G1294" s="79"/>
    </row>
    <row r="1295" spans="1:7" hidden="1">
      <c r="A1295" s="78">
        <v>42795</v>
      </c>
      <c r="B1295" s="37" t="s">
        <v>214</v>
      </c>
      <c r="C1295" s="1" t="s">
        <v>215</v>
      </c>
      <c r="D1295" s="37" t="s">
        <v>827</v>
      </c>
      <c r="E1295" s="37">
        <v>1208.7</v>
      </c>
      <c r="F1295" s="37" t="s">
        <v>1474</v>
      </c>
      <c r="G1295" s="79"/>
    </row>
    <row r="1296" spans="1:7" hidden="1">
      <c r="A1296" s="78">
        <v>42795</v>
      </c>
      <c r="B1296" s="37" t="s">
        <v>1983</v>
      </c>
      <c r="C1296" s="1" t="s">
        <v>103</v>
      </c>
      <c r="D1296" s="37" t="s">
        <v>972</v>
      </c>
      <c r="E1296" s="37">
        <v>94.3</v>
      </c>
      <c r="F1296" s="37" t="s">
        <v>1984</v>
      </c>
      <c r="G1296" s="79"/>
    </row>
    <row r="1297" spans="1:8" hidden="1">
      <c r="A1297" s="78">
        <v>42795</v>
      </c>
      <c r="B1297" s="37" t="s">
        <v>1983</v>
      </c>
      <c r="C1297" s="1" t="s">
        <v>336</v>
      </c>
      <c r="D1297" s="37" t="s">
        <v>972</v>
      </c>
      <c r="E1297" s="37">
        <v>94.3</v>
      </c>
      <c r="F1297" s="37" t="s">
        <v>1985</v>
      </c>
      <c r="G1297" s="79"/>
    </row>
    <row r="1298" spans="1:8" hidden="1">
      <c r="A1298" s="78">
        <v>42795</v>
      </c>
      <c r="B1298" s="37" t="s">
        <v>1983</v>
      </c>
      <c r="C1298" s="1" t="s">
        <v>171</v>
      </c>
      <c r="D1298" s="37" t="s">
        <v>972</v>
      </c>
      <c r="E1298" s="37">
        <v>94.3</v>
      </c>
      <c r="F1298" s="37" t="s">
        <v>1387</v>
      </c>
      <c r="G1298" s="79"/>
    </row>
    <row r="1299" spans="1:8" hidden="1">
      <c r="A1299" s="78">
        <v>42795</v>
      </c>
      <c r="B1299" s="37" t="s">
        <v>1983</v>
      </c>
      <c r="C1299" s="1" t="s">
        <v>103</v>
      </c>
      <c r="D1299" s="37" t="s">
        <v>972</v>
      </c>
      <c r="E1299" s="37">
        <v>24.73</v>
      </c>
      <c r="F1299" s="37" t="s">
        <v>1986</v>
      </c>
      <c r="G1299" s="79"/>
    </row>
    <row r="1300" spans="1:8" hidden="1">
      <c r="A1300" s="78">
        <v>42795</v>
      </c>
      <c r="B1300" s="37" t="s">
        <v>1983</v>
      </c>
      <c r="C1300" s="1" t="s">
        <v>103</v>
      </c>
      <c r="D1300" s="37" t="s">
        <v>972</v>
      </c>
      <c r="E1300" s="37">
        <v>100.73</v>
      </c>
      <c r="F1300" s="37" t="s">
        <v>1987</v>
      </c>
      <c r="G1300" s="79"/>
    </row>
    <row r="1301" spans="1:8" hidden="1">
      <c r="A1301" s="78">
        <v>42795</v>
      </c>
      <c r="B1301" s="37" t="s">
        <v>1983</v>
      </c>
      <c r="C1301" s="1" t="s">
        <v>104</v>
      </c>
      <c r="D1301" s="37" t="s">
        <v>972</v>
      </c>
      <c r="E1301" s="37">
        <v>622.02</v>
      </c>
      <c r="F1301" s="37" t="s">
        <v>1988</v>
      </c>
      <c r="G1301" s="79"/>
    </row>
    <row r="1302" spans="1:8" hidden="1">
      <c r="A1302" s="78">
        <v>42795</v>
      </c>
      <c r="B1302" s="37" t="s">
        <v>790</v>
      </c>
      <c r="C1302" s="1" t="s">
        <v>215</v>
      </c>
      <c r="D1302" s="37" t="s">
        <v>92</v>
      </c>
      <c r="E1302" s="37">
        <v>2054.75</v>
      </c>
      <c r="F1302" s="37" t="s">
        <v>1733</v>
      </c>
      <c r="G1302" s="79"/>
    </row>
    <row r="1303" spans="1:8" hidden="1">
      <c r="A1303" s="78">
        <v>42795</v>
      </c>
      <c r="B1303" s="37" t="s">
        <v>1995</v>
      </c>
      <c r="C1303" s="1" t="s">
        <v>215</v>
      </c>
      <c r="D1303" s="37" t="s">
        <v>1996</v>
      </c>
      <c r="E1303" s="37">
        <v>688.6</v>
      </c>
      <c r="F1303" s="37" t="s">
        <v>1997</v>
      </c>
      <c r="G1303" s="79"/>
    </row>
    <row r="1304" spans="1:8" hidden="1">
      <c r="A1304" s="78">
        <v>42826</v>
      </c>
      <c r="B1304" s="37" t="s">
        <v>55</v>
      </c>
      <c r="C1304" s="1" t="s">
        <v>103</v>
      </c>
      <c r="D1304" s="37" t="s">
        <v>972</v>
      </c>
      <c r="E1304" s="37">
        <v>1370.92</v>
      </c>
      <c r="F1304" s="37" t="s">
        <v>2043</v>
      </c>
      <c r="G1304" s="79"/>
    </row>
    <row r="1305" spans="1:8" hidden="1">
      <c r="A1305" s="78">
        <v>42795</v>
      </c>
      <c r="B1305" s="37" t="s">
        <v>217</v>
      </c>
      <c r="C1305" s="1" t="s">
        <v>104</v>
      </c>
      <c r="D1305" s="37" t="s">
        <v>92</v>
      </c>
      <c r="E1305" s="37">
        <v>1840.72</v>
      </c>
      <c r="F1305" s="37" t="s">
        <v>335</v>
      </c>
      <c r="G1305" s="79"/>
    </row>
    <row r="1306" spans="1:8" hidden="1">
      <c r="A1306" s="78">
        <v>42795</v>
      </c>
      <c r="B1306" s="37" t="s">
        <v>1962</v>
      </c>
      <c r="C1306" s="1" t="s">
        <v>215</v>
      </c>
      <c r="D1306" s="37" t="s">
        <v>1938</v>
      </c>
      <c r="E1306" s="37">
        <v>42.27</v>
      </c>
      <c r="F1306" s="37" t="s">
        <v>941</v>
      </c>
      <c r="G1306" s="79"/>
    </row>
    <row r="1307" spans="1:8" hidden="1">
      <c r="A1307" s="78">
        <v>42795</v>
      </c>
      <c r="B1307" s="37" t="s">
        <v>1916</v>
      </c>
      <c r="C1307" s="1" t="s">
        <v>215</v>
      </c>
      <c r="D1307" s="37" t="s">
        <v>1996</v>
      </c>
      <c r="E1307" s="37">
        <v>30.25</v>
      </c>
      <c r="F1307" s="37" t="s">
        <v>1164</v>
      </c>
      <c r="G1307" s="79"/>
    </row>
    <row r="1308" spans="1:8" hidden="1">
      <c r="A1308" s="78">
        <v>42826</v>
      </c>
      <c r="B1308" s="37" t="s">
        <v>6</v>
      </c>
      <c r="C1308" s="1" t="s">
        <v>215</v>
      </c>
      <c r="D1308" s="37" t="s">
        <v>1938</v>
      </c>
      <c r="E1308" s="389">
        <v>656.47</v>
      </c>
      <c r="F1308" s="37" t="s">
        <v>335</v>
      </c>
      <c r="G1308" s="79"/>
    </row>
    <row r="1309" spans="1:8" hidden="1">
      <c r="A1309" s="78">
        <v>42795</v>
      </c>
      <c r="B1309" s="37" t="s">
        <v>6</v>
      </c>
      <c r="C1309" s="1" t="s">
        <v>1955</v>
      </c>
      <c r="D1309" s="37" t="s">
        <v>1938</v>
      </c>
      <c r="E1309" s="389">
        <v>100</v>
      </c>
      <c r="F1309" s="37" t="s">
        <v>2044</v>
      </c>
      <c r="G1309" s="79"/>
      <c r="H1309">
        <f>E1309-E1309/1.2</f>
        <v>16.666666666666657</v>
      </c>
    </row>
    <row r="1310" spans="1:8" hidden="1">
      <c r="A1310" s="78">
        <v>42795</v>
      </c>
      <c r="B1310" s="37" t="s">
        <v>6</v>
      </c>
      <c r="C1310" s="1" t="s">
        <v>2045</v>
      </c>
      <c r="D1310" s="37" t="s">
        <v>1938</v>
      </c>
      <c r="E1310" s="389">
        <v>200</v>
      </c>
      <c r="F1310" s="37" t="s">
        <v>2046</v>
      </c>
      <c r="G1310" s="79"/>
      <c r="H1310">
        <f>E1310-E1310/1.2</f>
        <v>33.333333333333314</v>
      </c>
    </row>
    <row r="1311" spans="1:8" hidden="1">
      <c r="A1311" s="78">
        <v>42795</v>
      </c>
      <c r="B1311" s="37" t="s">
        <v>6</v>
      </c>
      <c r="C1311" s="1" t="s">
        <v>2047</v>
      </c>
      <c r="D1311" s="37" t="s">
        <v>1938</v>
      </c>
      <c r="E1311" s="389">
        <v>200</v>
      </c>
      <c r="F1311" s="37" t="s">
        <v>2048</v>
      </c>
      <c r="G1311" s="79"/>
      <c r="H1311">
        <f>E1311-E1311/1.2</f>
        <v>33.333333333333314</v>
      </c>
    </row>
    <row r="1312" spans="1:8" hidden="1">
      <c r="A1312" s="78">
        <v>42795</v>
      </c>
      <c r="B1312" s="37" t="s">
        <v>6</v>
      </c>
      <c r="C1312" s="1" t="s">
        <v>2049</v>
      </c>
      <c r="D1312" s="37" t="s">
        <v>1938</v>
      </c>
      <c r="E1312" s="389">
        <v>300</v>
      </c>
      <c r="F1312" s="37" t="s">
        <v>2050</v>
      </c>
      <c r="G1312" s="79"/>
      <c r="H1312">
        <f>E1312-E1312/1.2</f>
        <v>50</v>
      </c>
    </row>
    <row r="1313" spans="1:7" hidden="1">
      <c r="A1313" s="78">
        <v>42795</v>
      </c>
      <c r="B1313" s="37" t="s">
        <v>1330</v>
      </c>
      <c r="C1313" s="1" t="s">
        <v>215</v>
      </c>
      <c r="D1313" s="37" t="s">
        <v>1560</v>
      </c>
      <c r="E1313" s="37">
        <v>280.75</v>
      </c>
      <c r="F1313" s="37" t="s">
        <v>335</v>
      </c>
      <c r="G1313" s="79"/>
    </row>
    <row r="1314" spans="1:7" hidden="1">
      <c r="A1314" s="78">
        <v>42826</v>
      </c>
      <c r="B1314" s="37" t="s">
        <v>2058</v>
      </c>
      <c r="C1314" s="1" t="s">
        <v>1955</v>
      </c>
      <c r="D1314" s="37" t="s">
        <v>1560</v>
      </c>
      <c r="E1314" s="37">
        <v>130</v>
      </c>
      <c r="F1314" s="37" t="s">
        <v>2059</v>
      </c>
      <c r="G1314" s="79"/>
    </row>
    <row r="1315" spans="1:7" hidden="1">
      <c r="A1315" s="78">
        <v>42826</v>
      </c>
      <c r="B1315" s="37" t="s">
        <v>172</v>
      </c>
      <c r="C1315" s="1" t="s">
        <v>103</v>
      </c>
      <c r="D1315" s="37" t="s">
        <v>972</v>
      </c>
      <c r="E1315" s="37">
        <v>108</v>
      </c>
      <c r="F1315" s="37" t="s">
        <v>2067</v>
      </c>
      <c r="G1315" s="79"/>
    </row>
    <row r="1316" spans="1:7" hidden="1">
      <c r="A1316" s="78">
        <v>42826</v>
      </c>
      <c r="B1316" s="37" t="s">
        <v>172</v>
      </c>
      <c r="C1316" s="1" t="s">
        <v>104</v>
      </c>
      <c r="D1316" s="37" t="s">
        <v>972</v>
      </c>
      <c r="E1316" s="37">
        <v>234</v>
      </c>
      <c r="F1316" s="37" t="s">
        <v>2068</v>
      </c>
      <c r="G1316" s="79"/>
    </row>
    <row r="1317" spans="1:7" hidden="1">
      <c r="A1317" s="78">
        <v>42826</v>
      </c>
      <c r="B1317" s="37" t="s">
        <v>172</v>
      </c>
      <c r="C1317" s="1" t="s">
        <v>104</v>
      </c>
      <c r="D1317" s="37" t="s">
        <v>972</v>
      </c>
      <c r="E1317" s="37">
        <v>1062</v>
      </c>
      <c r="F1317" s="37" t="s">
        <v>1224</v>
      </c>
      <c r="G1317" s="79"/>
    </row>
    <row r="1318" spans="1:7" hidden="1">
      <c r="A1318" s="78">
        <v>42826</v>
      </c>
      <c r="B1318" s="37" t="s">
        <v>172</v>
      </c>
      <c r="C1318" s="1" t="s">
        <v>103</v>
      </c>
      <c r="D1318" s="37" t="s">
        <v>972</v>
      </c>
      <c r="E1318" s="37">
        <v>342</v>
      </c>
      <c r="F1318" s="37" t="s">
        <v>2069</v>
      </c>
      <c r="G1318" s="79"/>
    </row>
    <row r="1319" spans="1:7" hidden="1">
      <c r="A1319" s="78">
        <v>42826</v>
      </c>
      <c r="B1319" s="37" t="s">
        <v>172</v>
      </c>
      <c r="C1319" s="1" t="s">
        <v>336</v>
      </c>
      <c r="D1319" s="37" t="s">
        <v>972</v>
      </c>
      <c r="E1319" s="37">
        <v>90</v>
      </c>
      <c r="F1319" s="37" t="s">
        <v>2070</v>
      </c>
      <c r="G1319" s="79"/>
    </row>
    <row r="1320" spans="1:7" hidden="1">
      <c r="A1320" s="78">
        <v>42826</v>
      </c>
      <c r="B1320" s="37" t="s">
        <v>172</v>
      </c>
      <c r="C1320" s="1" t="s">
        <v>103</v>
      </c>
      <c r="D1320" s="37" t="s">
        <v>972</v>
      </c>
      <c r="E1320" s="37">
        <v>468</v>
      </c>
      <c r="F1320" s="37" t="s">
        <v>2071</v>
      </c>
      <c r="G1320" s="79"/>
    </row>
    <row r="1321" spans="1:7" hidden="1">
      <c r="A1321" s="78">
        <v>42826</v>
      </c>
      <c r="B1321" s="37" t="s">
        <v>172</v>
      </c>
      <c r="C1321" s="1" t="s">
        <v>103</v>
      </c>
      <c r="D1321" s="37" t="s">
        <v>972</v>
      </c>
      <c r="E1321" s="37">
        <v>774</v>
      </c>
      <c r="F1321" s="37" t="s">
        <v>2072</v>
      </c>
      <c r="G1321" s="79"/>
    </row>
    <row r="1322" spans="1:7" hidden="1">
      <c r="A1322" s="78">
        <v>42826</v>
      </c>
      <c r="B1322" s="37" t="s">
        <v>172</v>
      </c>
      <c r="C1322" s="1" t="s">
        <v>103</v>
      </c>
      <c r="D1322" s="37" t="s">
        <v>972</v>
      </c>
      <c r="E1322" s="37">
        <v>882</v>
      </c>
      <c r="F1322" s="37" t="s">
        <v>2074</v>
      </c>
      <c r="G1322" s="79"/>
    </row>
    <row r="1323" spans="1:7" hidden="1">
      <c r="A1323" s="78">
        <v>42825</v>
      </c>
      <c r="B1323" s="37" t="s">
        <v>1561</v>
      </c>
      <c r="C1323" s="1" t="s">
        <v>215</v>
      </c>
      <c r="D1323" s="37" t="s">
        <v>1476</v>
      </c>
      <c r="E1323" s="37">
        <v>1529.28</v>
      </c>
      <c r="F1323" s="37" t="s">
        <v>335</v>
      </c>
      <c r="G1323" s="79"/>
    </row>
    <row r="1324" spans="1:7" hidden="1">
      <c r="A1324" s="78">
        <v>42826</v>
      </c>
      <c r="B1324" s="37" t="s">
        <v>214</v>
      </c>
      <c r="C1324" s="1" t="s">
        <v>215</v>
      </c>
      <c r="D1324" s="37" t="s">
        <v>827</v>
      </c>
      <c r="E1324" s="37">
        <v>2258.1</v>
      </c>
      <c r="F1324" s="37" t="s">
        <v>1474</v>
      </c>
      <c r="G1324" s="79"/>
    </row>
    <row r="1325" spans="1:7" hidden="1">
      <c r="A1325" s="78">
        <v>42826</v>
      </c>
      <c r="B1325" s="37" t="s">
        <v>55</v>
      </c>
      <c r="C1325" s="1" t="s">
        <v>1493</v>
      </c>
      <c r="D1325" s="37" t="s">
        <v>972</v>
      </c>
      <c r="E1325" s="37">
        <v>651.9</v>
      </c>
      <c r="F1325" s="37" t="s">
        <v>2073</v>
      </c>
      <c r="G1325" s="79"/>
    </row>
    <row r="1326" spans="1:7" hidden="1">
      <c r="A1326" s="78">
        <v>42826</v>
      </c>
      <c r="B1326" s="37" t="s">
        <v>1937</v>
      </c>
      <c r="C1326" s="1" t="s">
        <v>1973</v>
      </c>
      <c r="D1326" s="37" t="s">
        <v>673</v>
      </c>
      <c r="E1326" s="37">
        <v>166.96</v>
      </c>
      <c r="F1326" s="37" t="s">
        <v>1310</v>
      </c>
      <c r="G1326" s="79">
        <f>E1326</f>
        <v>166.96</v>
      </c>
    </row>
    <row r="1327" spans="1:7" hidden="1">
      <c r="A1327" s="78">
        <v>42826</v>
      </c>
      <c r="B1327" s="37" t="s">
        <v>49</v>
      </c>
      <c r="C1327" s="1" t="s">
        <v>104</v>
      </c>
      <c r="D1327" s="37" t="s">
        <v>972</v>
      </c>
      <c r="E1327" s="37">
        <f>561.63*3</f>
        <v>1684.8899999999999</v>
      </c>
      <c r="F1327" s="37" t="s">
        <v>2087</v>
      </c>
      <c r="G1327" s="79"/>
    </row>
    <row r="1328" spans="1:7" hidden="1">
      <c r="A1328" s="78">
        <v>42826</v>
      </c>
      <c r="B1328" s="37" t="s">
        <v>49</v>
      </c>
      <c r="C1328" s="1" t="s">
        <v>103</v>
      </c>
      <c r="D1328" s="37" t="s">
        <v>972</v>
      </c>
      <c r="E1328" s="37">
        <v>784.17</v>
      </c>
      <c r="F1328" s="37" t="s">
        <v>2089</v>
      </c>
      <c r="G1328" s="79"/>
    </row>
    <row r="1329" spans="1:8" hidden="1">
      <c r="A1329" s="78">
        <v>42826</v>
      </c>
      <c r="B1329" s="37" t="s">
        <v>49</v>
      </c>
      <c r="C1329" s="1" t="s">
        <v>171</v>
      </c>
      <c r="D1329" s="37" t="s">
        <v>972</v>
      </c>
      <c r="E1329" s="37">
        <v>122.76</v>
      </c>
      <c r="F1329" s="37" t="s">
        <v>2088</v>
      </c>
      <c r="G1329" s="79"/>
    </row>
    <row r="1330" spans="1:8" hidden="1">
      <c r="A1330" s="78">
        <v>42826</v>
      </c>
      <c r="B1330" s="37" t="s">
        <v>1786</v>
      </c>
      <c r="C1330" s="1" t="s">
        <v>1955</v>
      </c>
      <c r="D1330" s="37" t="s">
        <v>2090</v>
      </c>
      <c r="E1330" s="37">
        <v>187.97</v>
      </c>
      <c r="F1330" s="37" t="s">
        <v>2059</v>
      </c>
      <c r="G1330" s="79"/>
    </row>
    <row r="1331" spans="1:8" hidden="1">
      <c r="A1331" s="78">
        <v>42826</v>
      </c>
      <c r="B1331" s="37" t="s">
        <v>790</v>
      </c>
      <c r="C1331" s="1" t="s">
        <v>215</v>
      </c>
      <c r="D1331" s="37" t="s">
        <v>92</v>
      </c>
      <c r="E1331" s="37">
        <v>789.76</v>
      </c>
      <c r="F1331" s="37" t="s">
        <v>2094</v>
      </c>
      <c r="G1331" s="79"/>
    </row>
    <row r="1332" spans="1:8" hidden="1">
      <c r="A1332" s="78">
        <v>42826</v>
      </c>
      <c r="B1332" s="37" t="s">
        <v>217</v>
      </c>
      <c r="C1332" s="1" t="s">
        <v>215</v>
      </c>
      <c r="D1332" s="37" t="s">
        <v>92</v>
      </c>
      <c r="E1332" s="37">
        <v>2566.3000000000002</v>
      </c>
      <c r="F1332" s="37" t="s">
        <v>1794</v>
      </c>
      <c r="G1332" s="79"/>
    </row>
    <row r="1333" spans="1:8" hidden="1">
      <c r="A1333" s="78">
        <v>42826</v>
      </c>
      <c r="B1333" s="37" t="s">
        <v>1961</v>
      </c>
      <c r="C1333" s="1" t="s">
        <v>215</v>
      </c>
      <c r="D1333" s="37" t="s">
        <v>722</v>
      </c>
      <c r="E1333" s="37">
        <v>23.12</v>
      </c>
      <c r="F1333" s="37" t="s">
        <v>1310</v>
      </c>
      <c r="G1333" s="79"/>
    </row>
    <row r="1334" spans="1:8" hidden="1">
      <c r="A1334" s="78">
        <v>42826</v>
      </c>
      <c r="B1334" s="37" t="s">
        <v>55</v>
      </c>
      <c r="C1334" s="1" t="s">
        <v>103</v>
      </c>
      <c r="D1334" s="37" t="s">
        <v>972</v>
      </c>
      <c r="E1334" s="37">
        <v>1443.51</v>
      </c>
      <c r="F1334" s="37" t="s">
        <v>2095</v>
      </c>
      <c r="G1334" s="79"/>
    </row>
    <row r="1335" spans="1:8" hidden="1">
      <c r="A1335" s="78">
        <v>42826</v>
      </c>
      <c r="B1335" s="37" t="s">
        <v>1916</v>
      </c>
      <c r="C1335" s="1" t="s">
        <v>215</v>
      </c>
      <c r="D1335" s="37" t="s">
        <v>1996</v>
      </c>
      <c r="E1335" s="37">
        <v>36.270000000000003</v>
      </c>
      <c r="F1335" s="37" t="s">
        <v>1164</v>
      </c>
      <c r="G1335" s="79"/>
    </row>
    <row r="1336" spans="1:8" hidden="1">
      <c r="A1336" s="78">
        <v>42826</v>
      </c>
      <c r="B1336" s="37" t="s">
        <v>2058</v>
      </c>
      <c r="C1336" s="1" t="s">
        <v>104</v>
      </c>
      <c r="D1336" s="37" t="s">
        <v>1560</v>
      </c>
      <c r="E1336" s="37">
        <v>130</v>
      </c>
      <c r="F1336" s="37" t="s">
        <v>557</v>
      </c>
      <c r="G1336" s="79"/>
    </row>
    <row r="1337" spans="1:8" hidden="1">
      <c r="A1337" s="78">
        <v>42826</v>
      </c>
      <c r="B1337" s="37" t="s">
        <v>6</v>
      </c>
      <c r="C1337" s="1" t="s">
        <v>2105</v>
      </c>
      <c r="D1337" s="37" t="s">
        <v>1938</v>
      </c>
      <c r="E1337" s="389">
        <v>200</v>
      </c>
      <c r="F1337" s="37" t="s">
        <v>2104</v>
      </c>
      <c r="G1337" s="79"/>
      <c r="H1337">
        <f>E1337-E1337/1.2</f>
        <v>33.333333333333314</v>
      </c>
    </row>
    <row r="1338" spans="1:8" hidden="1">
      <c r="A1338" s="78">
        <v>42826</v>
      </c>
      <c r="B1338" s="37" t="s">
        <v>6</v>
      </c>
      <c r="C1338" s="1" t="s">
        <v>2105</v>
      </c>
      <c r="D1338" s="37" t="s">
        <v>1938</v>
      </c>
      <c r="E1338" s="389">
        <v>200</v>
      </c>
      <c r="F1338" s="37" t="s">
        <v>2104</v>
      </c>
      <c r="G1338" s="79"/>
      <c r="H1338">
        <f>E1338-E1338/1.2</f>
        <v>33.333333333333314</v>
      </c>
    </row>
    <row r="1339" spans="1:8" hidden="1">
      <c r="A1339" s="78">
        <v>42856</v>
      </c>
      <c r="B1339" s="37" t="s">
        <v>6</v>
      </c>
      <c r="C1339" s="1" t="s">
        <v>215</v>
      </c>
      <c r="D1339" s="37" t="s">
        <v>1938</v>
      </c>
      <c r="E1339" s="389">
        <v>708.17</v>
      </c>
      <c r="F1339" s="37" t="s">
        <v>1310</v>
      </c>
      <c r="G1339" s="79"/>
    </row>
    <row r="1340" spans="1:8" hidden="1">
      <c r="A1340" s="78">
        <v>42826</v>
      </c>
      <c r="B1340" s="37" t="s">
        <v>2106</v>
      </c>
      <c r="C1340" s="1" t="s">
        <v>171</v>
      </c>
      <c r="D1340" s="37" t="s">
        <v>972</v>
      </c>
      <c r="E1340" s="37">
        <v>131.04</v>
      </c>
      <c r="F1340" s="37" t="s">
        <v>2107</v>
      </c>
      <c r="G1340" s="79"/>
    </row>
    <row r="1341" spans="1:8" hidden="1">
      <c r="A1341" s="78">
        <v>42826</v>
      </c>
      <c r="B1341" s="37" t="s">
        <v>259</v>
      </c>
      <c r="C1341" s="1" t="s">
        <v>171</v>
      </c>
      <c r="D1341" s="37" t="s">
        <v>827</v>
      </c>
      <c r="E1341" s="37">
        <v>2888.26</v>
      </c>
      <c r="F1341" s="37" t="s">
        <v>1477</v>
      </c>
      <c r="G1341" s="79"/>
    </row>
    <row r="1342" spans="1:8" hidden="1">
      <c r="A1342" s="78">
        <v>42826</v>
      </c>
      <c r="B1342" s="37" t="s">
        <v>259</v>
      </c>
      <c r="C1342" s="1" t="s">
        <v>171</v>
      </c>
      <c r="D1342" s="37" t="s">
        <v>827</v>
      </c>
      <c r="E1342" s="37">
        <v>517.5</v>
      </c>
      <c r="F1342" s="37" t="s">
        <v>1232</v>
      </c>
      <c r="G1342" s="79"/>
    </row>
    <row r="1343" spans="1:8" hidden="1">
      <c r="A1343" s="78">
        <v>42856</v>
      </c>
      <c r="B1343" s="37" t="s">
        <v>2110</v>
      </c>
      <c r="C1343" s="1" t="s">
        <v>2111</v>
      </c>
      <c r="D1343" s="37" t="s">
        <v>1996</v>
      </c>
      <c r="E1343" s="37">
        <v>213.28</v>
      </c>
      <c r="F1343" s="37" t="s">
        <v>1210</v>
      </c>
      <c r="G1343" s="79"/>
    </row>
    <row r="1344" spans="1:8" hidden="1">
      <c r="A1344" s="78">
        <v>42856</v>
      </c>
      <c r="B1344" s="37" t="s">
        <v>1937</v>
      </c>
      <c r="C1344" s="1" t="s">
        <v>171</v>
      </c>
      <c r="D1344" s="37" t="s">
        <v>1938</v>
      </c>
      <c r="E1344" s="107">
        <v>185.84</v>
      </c>
      <c r="F1344" s="37" t="s">
        <v>2112</v>
      </c>
      <c r="G1344" s="79">
        <f>E1344/1.2</f>
        <v>154.86666666666667</v>
      </c>
      <c r="H1344">
        <f>E1344-G1344</f>
        <v>30.973333333333329</v>
      </c>
    </row>
    <row r="1345" spans="1:7" hidden="1">
      <c r="A1345" s="78">
        <v>42856</v>
      </c>
      <c r="B1345" s="37" t="s">
        <v>214</v>
      </c>
      <c r="C1345" s="1" t="s">
        <v>726</v>
      </c>
      <c r="D1345" s="37" t="s">
        <v>827</v>
      </c>
      <c r="E1345" s="37">
        <v>715.8</v>
      </c>
      <c r="F1345" s="37" t="s">
        <v>1474</v>
      </c>
      <c r="G1345" s="79"/>
    </row>
    <row r="1346" spans="1:7" hidden="1">
      <c r="A1346" s="78">
        <v>42856</v>
      </c>
      <c r="B1346" s="37" t="s">
        <v>172</v>
      </c>
      <c r="C1346" s="1" t="s">
        <v>103</v>
      </c>
      <c r="D1346" s="37" t="s">
        <v>972</v>
      </c>
      <c r="E1346" s="37">
        <v>882</v>
      </c>
      <c r="F1346" s="37" t="s">
        <v>2074</v>
      </c>
      <c r="G1346" s="79"/>
    </row>
    <row r="1347" spans="1:7" hidden="1">
      <c r="A1347" s="78">
        <v>42856</v>
      </c>
      <c r="B1347" s="37" t="s">
        <v>172</v>
      </c>
      <c r="C1347" s="1" t="s">
        <v>103</v>
      </c>
      <c r="D1347" s="37" t="s">
        <v>972</v>
      </c>
      <c r="E1347" s="37">
        <v>774</v>
      </c>
      <c r="F1347" s="37" t="s">
        <v>2072</v>
      </c>
      <c r="G1347" s="79"/>
    </row>
    <row r="1348" spans="1:7" hidden="1">
      <c r="A1348" s="78">
        <v>42856</v>
      </c>
      <c r="B1348" s="37" t="s">
        <v>172</v>
      </c>
      <c r="C1348" s="1" t="s">
        <v>103</v>
      </c>
      <c r="D1348" s="37" t="s">
        <v>972</v>
      </c>
      <c r="E1348" s="37">
        <v>144</v>
      </c>
      <c r="F1348" s="37" t="s">
        <v>2118</v>
      </c>
      <c r="G1348" s="79"/>
    </row>
    <row r="1349" spans="1:7" hidden="1">
      <c r="A1349" s="78">
        <v>42856</v>
      </c>
      <c r="B1349" s="37" t="s">
        <v>172</v>
      </c>
      <c r="C1349" s="1" t="s">
        <v>103</v>
      </c>
      <c r="D1349" s="37" t="s">
        <v>972</v>
      </c>
      <c r="E1349" s="37">
        <v>864</v>
      </c>
      <c r="F1349" s="37" t="s">
        <v>2119</v>
      </c>
      <c r="G1349" s="79"/>
    </row>
    <row r="1350" spans="1:7" hidden="1">
      <c r="A1350" s="78">
        <v>42856</v>
      </c>
      <c r="B1350" s="37" t="s">
        <v>172</v>
      </c>
      <c r="C1350" s="1" t="s">
        <v>104</v>
      </c>
      <c r="D1350" s="37" t="s">
        <v>972</v>
      </c>
      <c r="E1350" s="37">
        <v>2664</v>
      </c>
      <c r="F1350" s="37" t="s">
        <v>2120</v>
      </c>
      <c r="G1350" s="79"/>
    </row>
    <row r="1351" spans="1:7" hidden="1">
      <c r="A1351" s="78">
        <v>42856</v>
      </c>
      <c r="B1351" s="37" t="s">
        <v>172</v>
      </c>
      <c r="C1351" s="1" t="s">
        <v>103</v>
      </c>
      <c r="D1351" s="37" t="s">
        <v>972</v>
      </c>
      <c r="E1351" s="37">
        <v>414</v>
      </c>
      <c r="F1351" s="37" t="s">
        <v>2121</v>
      </c>
      <c r="G1351" s="79"/>
    </row>
    <row r="1352" spans="1:7" hidden="1">
      <c r="A1352" s="78">
        <v>42856</v>
      </c>
      <c r="B1352" s="37" t="s">
        <v>172</v>
      </c>
      <c r="C1352" s="1" t="s">
        <v>1792</v>
      </c>
      <c r="D1352" s="37" t="s">
        <v>972</v>
      </c>
      <c r="E1352" s="37">
        <v>1368</v>
      </c>
      <c r="F1352" s="37" t="s">
        <v>2122</v>
      </c>
      <c r="G1352" s="79"/>
    </row>
    <row r="1353" spans="1:7" hidden="1">
      <c r="A1353" s="78">
        <v>42856</v>
      </c>
      <c r="B1353" s="37" t="s">
        <v>55</v>
      </c>
      <c r="C1353" s="1" t="s">
        <v>888</v>
      </c>
      <c r="D1353" s="37" t="s">
        <v>972</v>
      </c>
      <c r="E1353" s="37">
        <v>973.5</v>
      </c>
      <c r="F1353" s="37" t="s">
        <v>2134</v>
      </c>
      <c r="G1353" s="79"/>
    </row>
    <row r="1354" spans="1:7" hidden="1">
      <c r="A1354" s="78">
        <v>42856</v>
      </c>
      <c r="B1354" s="37" t="s">
        <v>49</v>
      </c>
      <c r="C1354" s="1" t="s">
        <v>104</v>
      </c>
      <c r="D1354" s="37" t="s">
        <v>972</v>
      </c>
      <c r="E1354" s="37">
        <v>93.46</v>
      </c>
      <c r="F1354" s="37" t="s">
        <v>2133</v>
      </c>
      <c r="G1354" s="79"/>
    </row>
    <row r="1355" spans="1:7" hidden="1">
      <c r="A1355" s="78">
        <v>42856</v>
      </c>
      <c r="B1355" s="37" t="s">
        <v>49</v>
      </c>
      <c r="C1355" s="1" t="s">
        <v>104</v>
      </c>
      <c r="D1355" s="37" t="s">
        <v>972</v>
      </c>
      <c r="E1355" s="37">
        <v>17.12</v>
      </c>
      <c r="F1355" s="37" t="s">
        <v>2129</v>
      </c>
      <c r="G1355" s="79"/>
    </row>
    <row r="1356" spans="1:7" hidden="1">
      <c r="A1356" s="78">
        <v>42856</v>
      </c>
      <c r="B1356" s="37" t="s">
        <v>49</v>
      </c>
      <c r="C1356" s="1" t="s">
        <v>171</v>
      </c>
      <c r="D1356" s="37" t="s">
        <v>972</v>
      </c>
      <c r="E1356" s="37">
        <v>93.46</v>
      </c>
      <c r="F1356" s="37" t="s">
        <v>2130</v>
      </c>
      <c r="G1356" s="79"/>
    </row>
    <row r="1357" spans="1:7" hidden="1">
      <c r="A1357" s="78">
        <v>42856</v>
      </c>
      <c r="B1357" s="37" t="s">
        <v>49</v>
      </c>
      <c r="C1357" s="1" t="s">
        <v>171</v>
      </c>
      <c r="D1357" s="37" t="s">
        <v>972</v>
      </c>
      <c r="E1357" s="37">
        <v>93.46</v>
      </c>
      <c r="F1357" s="37" t="s">
        <v>2131</v>
      </c>
      <c r="G1357" s="79"/>
    </row>
    <row r="1358" spans="1:7" hidden="1">
      <c r="A1358" s="78">
        <v>42856</v>
      </c>
      <c r="B1358" s="37" t="s">
        <v>49</v>
      </c>
      <c r="C1358" s="1" t="s">
        <v>104</v>
      </c>
      <c r="D1358" s="37" t="s">
        <v>972</v>
      </c>
      <c r="E1358" s="37">
        <v>93.46</v>
      </c>
      <c r="F1358" s="37" t="s">
        <v>2132</v>
      </c>
      <c r="G1358" s="79"/>
    </row>
    <row r="1359" spans="1:7" hidden="1">
      <c r="A1359" s="78">
        <v>42856</v>
      </c>
      <c r="B1359" s="37" t="s">
        <v>259</v>
      </c>
      <c r="C1359" s="1" t="s">
        <v>171</v>
      </c>
      <c r="D1359" s="37" t="s">
        <v>827</v>
      </c>
      <c r="E1359" s="37">
        <v>1120.29</v>
      </c>
      <c r="F1359" s="37" t="s">
        <v>2135</v>
      </c>
      <c r="G1359" s="79"/>
    </row>
    <row r="1360" spans="1:7" hidden="1">
      <c r="A1360" s="78">
        <v>42856</v>
      </c>
      <c r="B1360" s="37" t="s">
        <v>259</v>
      </c>
      <c r="C1360" s="1" t="s">
        <v>171</v>
      </c>
      <c r="D1360" s="37" t="s">
        <v>827</v>
      </c>
      <c r="E1360" s="37">
        <v>1495</v>
      </c>
      <c r="F1360" s="37" t="s">
        <v>2136</v>
      </c>
      <c r="G1360" s="79"/>
    </row>
    <row r="1361" spans="1:8" hidden="1">
      <c r="A1361" s="78">
        <v>42826</v>
      </c>
      <c r="B1361" s="37" t="s">
        <v>1330</v>
      </c>
      <c r="C1361" s="1" t="s">
        <v>215</v>
      </c>
      <c r="D1361" s="37" t="s">
        <v>1560</v>
      </c>
      <c r="E1361" s="37">
        <v>354.11</v>
      </c>
      <c r="F1361" s="37" t="s">
        <v>2145</v>
      </c>
      <c r="G1361" s="79"/>
    </row>
    <row r="1362" spans="1:8" hidden="1">
      <c r="A1362" s="78">
        <v>42865</v>
      </c>
      <c r="B1362" s="37" t="s">
        <v>1330</v>
      </c>
      <c r="C1362" s="1" t="s">
        <v>104</v>
      </c>
      <c r="D1362" s="37" t="s">
        <v>1560</v>
      </c>
      <c r="E1362" s="37">
        <v>60</v>
      </c>
      <c r="F1362" s="37" t="s">
        <v>793</v>
      </c>
      <c r="G1362" s="79"/>
    </row>
    <row r="1363" spans="1:8" hidden="1">
      <c r="A1363" s="78">
        <v>42856</v>
      </c>
      <c r="B1363" s="37" t="s">
        <v>619</v>
      </c>
      <c r="C1363" s="1" t="s">
        <v>171</v>
      </c>
      <c r="D1363" s="37" t="s">
        <v>92</v>
      </c>
      <c r="E1363" s="37">
        <v>447.41</v>
      </c>
      <c r="F1363" s="37" t="s">
        <v>2146</v>
      </c>
      <c r="G1363" s="79"/>
      <c r="H1363">
        <f>E1363/1.2</f>
        <v>372.8416666666667</v>
      </c>
    </row>
    <row r="1364" spans="1:8" hidden="1">
      <c r="A1364" s="78">
        <v>42856</v>
      </c>
      <c r="B1364" s="37" t="s">
        <v>790</v>
      </c>
      <c r="C1364" s="1" t="s">
        <v>215</v>
      </c>
      <c r="D1364" s="37" t="s">
        <v>92</v>
      </c>
      <c r="E1364" s="37">
        <v>699.57</v>
      </c>
      <c r="F1364" s="37" t="s">
        <v>2147</v>
      </c>
      <c r="G1364" s="79"/>
    </row>
    <row r="1365" spans="1:8" hidden="1">
      <c r="A1365" s="78">
        <v>42887</v>
      </c>
      <c r="B1365" s="37" t="s">
        <v>217</v>
      </c>
      <c r="C1365" s="1" t="s">
        <v>104</v>
      </c>
      <c r="D1365" s="37" t="s">
        <v>92</v>
      </c>
      <c r="E1365" s="37">
        <v>680</v>
      </c>
      <c r="F1365" s="37" t="s">
        <v>1385</v>
      </c>
      <c r="G1365" s="79"/>
    </row>
    <row r="1366" spans="1:8" hidden="1">
      <c r="A1366" s="78">
        <v>42856</v>
      </c>
      <c r="B1366" s="37" t="s">
        <v>1962</v>
      </c>
      <c r="C1366" s="1" t="s">
        <v>215</v>
      </c>
      <c r="D1366" s="37" t="s">
        <v>1938</v>
      </c>
      <c r="E1366" s="37">
        <v>18.100000000000001</v>
      </c>
      <c r="F1366" s="37" t="s">
        <v>335</v>
      </c>
      <c r="G1366" s="79"/>
    </row>
    <row r="1367" spans="1:8" hidden="1">
      <c r="A1367" s="78">
        <v>42856</v>
      </c>
      <c r="B1367" s="37" t="s">
        <v>1916</v>
      </c>
      <c r="C1367" s="1" t="s">
        <v>215</v>
      </c>
      <c r="D1367" s="37" t="s">
        <v>1996</v>
      </c>
      <c r="E1367" s="37">
        <v>205.63</v>
      </c>
      <c r="F1367" s="37" t="s">
        <v>1164</v>
      </c>
      <c r="G1367" s="79"/>
    </row>
    <row r="1368" spans="1:8" hidden="1">
      <c r="A1368" s="78">
        <v>42856</v>
      </c>
      <c r="B1368" s="37" t="s">
        <v>1330</v>
      </c>
      <c r="C1368" s="1" t="s">
        <v>215</v>
      </c>
      <c r="D1368" s="37" t="s">
        <v>1560</v>
      </c>
      <c r="E1368" s="37">
        <v>1.9</v>
      </c>
      <c r="F1368" s="37" t="s">
        <v>335</v>
      </c>
      <c r="G1368" s="79"/>
    </row>
    <row r="1369" spans="1:8" hidden="1">
      <c r="A1369" s="78">
        <v>42887</v>
      </c>
      <c r="B1369" s="37" t="s">
        <v>1937</v>
      </c>
      <c r="C1369" s="1" t="s">
        <v>215</v>
      </c>
      <c r="D1369" s="37" t="s">
        <v>1938</v>
      </c>
      <c r="E1369" s="37">
        <v>185.06</v>
      </c>
      <c r="F1369" s="37" t="s">
        <v>1310</v>
      </c>
      <c r="G1369" s="79">
        <f>E1369</f>
        <v>185.06</v>
      </c>
    </row>
    <row r="1370" spans="1:8" hidden="1">
      <c r="A1370" s="78">
        <v>42887</v>
      </c>
      <c r="B1370" s="37" t="s">
        <v>2058</v>
      </c>
      <c r="C1370" s="1" t="s">
        <v>1955</v>
      </c>
      <c r="D1370" s="37" t="s">
        <v>1560</v>
      </c>
      <c r="E1370" s="37">
        <v>130</v>
      </c>
      <c r="F1370" s="37" t="s">
        <v>2152</v>
      </c>
      <c r="G1370" s="79"/>
    </row>
    <row r="1371" spans="1:8" hidden="1">
      <c r="A1371" s="78">
        <v>42886</v>
      </c>
      <c r="B1371" s="37" t="s">
        <v>217</v>
      </c>
      <c r="C1371" s="1" t="s">
        <v>215</v>
      </c>
      <c r="D1371" s="37" t="s">
        <v>92</v>
      </c>
      <c r="E1371" s="37">
        <v>2613.4699999999998</v>
      </c>
      <c r="F1371" s="37" t="s">
        <v>1794</v>
      </c>
      <c r="G1371" s="79"/>
    </row>
    <row r="1372" spans="1:8" hidden="1">
      <c r="A1372" s="78">
        <v>42887</v>
      </c>
      <c r="B1372" s="37" t="s">
        <v>6</v>
      </c>
      <c r="C1372" s="1" t="s">
        <v>215</v>
      </c>
      <c r="D1372" s="1" t="s">
        <v>1938</v>
      </c>
      <c r="E1372" s="389">
        <v>690.13</v>
      </c>
      <c r="F1372" s="37" t="s">
        <v>1477</v>
      </c>
      <c r="G1372" s="79"/>
    </row>
    <row r="1373" spans="1:8" hidden="1">
      <c r="A1373" s="78">
        <v>42887</v>
      </c>
      <c r="B1373" s="37" t="s">
        <v>55</v>
      </c>
      <c r="C1373" s="1" t="s">
        <v>888</v>
      </c>
      <c r="D1373" s="37" t="s">
        <v>972</v>
      </c>
      <c r="E1373" s="37">
        <v>34.85</v>
      </c>
      <c r="F1373" s="37" t="s">
        <v>2159</v>
      </c>
      <c r="G1373" s="79"/>
    </row>
    <row r="1374" spans="1:8" hidden="1">
      <c r="A1374" s="78">
        <v>42887</v>
      </c>
      <c r="B1374" s="37" t="s">
        <v>55</v>
      </c>
      <c r="C1374" s="1" t="s">
        <v>336</v>
      </c>
      <c r="D1374" s="37" t="s">
        <v>972</v>
      </c>
      <c r="E1374" s="37">
        <v>52.17</v>
      </c>
      <c r="F1374" s="37" t="s">
        <v>2160</v>
      </c>
      <c r="G1374" s="79"/>
    </row>
    <row r="1375" spans="1:8" hidden="1">
      <c r="A1375" s="78">
        <v>42887</v>
      </c>
      <c r="B1375" s="37" t="s">
        <v>55</v>
      </c>
      <c r="C1375" s="1" t="s">
        <v>2161</v>
      </c>
      <c r="D1375" s="37" t="s">
        <v>972</v>
      </c>
      <c r="E1375" s="37">
        <v>754.4</v>
      </c>
      <c r="F1375" s="37" t="s">
        <v>2162</v>
      </c>
      <c r="G1375" s="79"/>
    </row>
    <row r="1376" spans="1:8" hidden="1">
      <c r="A1376" s="78">
        <v>42887</v>
      </c>
      <c r="B1376" s="37" t="s">
        <v>214</v>
      </c>
      <c r="C1376" s="1" t="s">
        <v>215</v>
      </c>
      <c r="D1376" s="37" t="s">
        <v>827</v>
      </c>
      <c r="E1376" s="37">
        <v>2183.4</v>
      </c>
      <c r="F1376" s="37" t="s">
        <v>335</v>
      </c>
      <c r="G1376" s="79"/>
    </row>
    <row r="1377" spans="1:7" hidden="1">
      <c r="A1377" s="78">
        <v>42887</v>
      </c>
      <c r="B1377" s="37" t="s">
        <v>172</v>
      </c>
      <c r="C1377" s="1" t="s">
        <v>104</v>
      </c>
      <c r="D1377" s="37" t="s">
        <v>972</v>
      </c>
      <c r="E1377" s="37">
        <v>684</v>
      </c>
      <c r="F1377" s="37" t="s">
        <v>2164</v>
      </c>
      <c r="G1377" s="79"/>
    </row>
    <row r="1378" spans="1:7" hidden="1">
      <c r="A1378" s="78">
        <v>42887</v>
      </c>
      <c r="B1378" s="37" t="s">
        <v>172</v>
      </c>
      <c r="C1378" s="1" t="s">
        <v>336</v>
      </c>
      <c r="D1378" s="37" t="s">
        <v>972</v>
      </c>
      <c r="E1378" s="37">
        <v>342</v>
      </c>
      <c r="F1378" s="37" t="s">
        <v>2163</v>
      </c>
      <c r="G1378" s="79"/>
    </row>
    <row r="1379" spans="1:7" hidden="1">
      <c r="A1379" s="78">
        <v>42887</v>
      </c>
      <c r="B1379" s="37" t="s">
        <v>172</v>
      </c>
      <c r="C1379" s="1" t="s">
        <v>336</v>
      </c>
      <c r="D1379" s="37" t="s">
        <v>972</v>
      </c>
      <c r="E1379" s="37">
        <v>18</v>
      </c>
      <c r="F1379" s="37" t="s">
        <v>1310</v>
      </c>
      <c r="G1379" s="79"/>
    </row>
    <row r="1380" spans="1:7" hidden="1">
      <c r="A1380" s="78">
        <v>42887</v>
      </c>
      <c r="B1380" s="37" t="s">
        <v>172</v>
      </c>
      <c r="C1380" s="1" t="s">
        <v>103</v>
      </c>
      <c r="D1380" s="37" t="s">
        <v>972</v>
      </c>
      <c r="E1380" s="37">
        <v>450</v>
      </c>
      <c r="F1380" s="37" t="s">
        <v>2165</v>
      </c>
      <c r="G1380" s="79"/>
    </row>
    <row r="1381" spans="1:7" hidden="1">
      <c r="A1381" s="78">
        <v>42887</v>
      </c>
      <c r="B1381" s="37" t="s">
        <v>172</v>
      </c>
      <c r="C1381" s="1" t="s">
        <v>103</v>
      </c>
      <c r="D1381" s="37" t="s">
        <v>972</v>
      </c>
      <c r="E1381" s="37">
        <v>558</v>
      </c>
      <c r="F1381" s="37" t="s">
        <v>2166</v>
      </c>
      <c r="G1381" s="79"/>
    </row>
    <row r="1382" spans="1:7" hidden="1">
      <c r="A1382" s="78">
        <v>42887</v>
      </c>
      <c r="B1382" s="37" t="s">
        <v>172</v>
      </c>
      <c r="C1382" s="1" t="s">
        <v>104</v>
      </c>
      <c r="D1382" s="37" t="s">
        <v>972</v>
      </c>
      <c r="E1382" s="37">
        <v>1530</v>
      </c>
      <c r="F1382" s="37" t="s">
        <v>1224</v>
      </c>
      <c r="G1382" s="79"/>
    </row>
    <row r="1383" spans="1:7" hidden="1">
      <c r="A1383" s="78">
        <v>42887</v>
      </c>
      <c r="B1383" s="37" t="s">
        <v>172</v>
      </c>
      <c r="C1383" s="1" t="s">
        <v>103</v>
      </c>
      <c r="D1383" s="37" t="s">
        <v>972</v>
      </c>
      <c r="E1383" s="37">
        <v>1476</v>
      </c>
      <c r="F1383" s="37" t="s">
        <v>1160</v>
      </c>
      <c r="G1383" s="79">
        <f>E1383/2</f>
        <v>738</v>
      </c>
    </row>
    <row r="1384" spans="1:7" hidden="1">
      <c r="A1384" s="78">
        <v>42887</v>
      </c>
      <c r="B1384" s="37" t="s">
        <v>172</v>
      </c>
      <c r="C1384" s="1" t="s">
        <v>103</v>
      </c>
      <c r="D1384" s="37" t="s">
        <v>972</v>
      </c>
      <c r="E1384" s="37">
        <v>1098</v>
      </c>
      <c r="F1384" s="37" t="s">
        <v>2167</v>
      </c>
      <c r="G1384" s="79">
        <f>E1384/2</f>
        <v>549</v>
      </c>
    </row>
    <row r="1385" spans="1:7" hidden="1">
      <c r="A1385" s="78">
        <v>42856</v>
      </c>
      <c r="B1385" s="37" t="s">
        <v>456</v>
      </c>
      <c r="C1385" s="1" t="s">
        <v>171</v>
      </c>
      <c r="D1385" s="37" t="s">
        <v>827</v>
      </c>
      <c r="E1385" s="37">
        <v>200.02</v>
      </c>
      <c r="F1385" s="37" t="s">
        <v>1310</v>
      </c>
      <c r="G1385" s="79"/>
    </row>
    <row r="1386" spans="1:7" hidden="1">
      <c r="A1386" s="78">
        <v>42887</v>
      </c>
      <c r="B1386" s="37" t="s">
        <v>2110</v>
      </c>
      <c r="C1386" s="1" t="s">
        <v>215</v>
      </c>
      <c r="D1386" s="37" t="s">
        <v>1996</v>
      </c>
      <c r="E1386" s="37">
        <v>192.09</v>
      </c>
      <c r="F1386" s="37" t="s">
        <v>1467</v>
      </c>
      <c r="G1386" s="79"/>
    </row>
    <row r="1387" spans="1:7" hidden="1">
      <c r="A1387" s="78">
        <v>42887</v>
      </c>
      <c r="B1387" s="37" t="s">
        <v>49</v>
      </c>
      <c r="C1387" s="1" t="s">
        <v>103</v>
      </c>
      <c r="D1387" s="37" t="s">
        <v>972</v>
      </c>
      <c r="E1387" s="37">
        <v>120.43</v>
      </c>
      <c r="F1387" s="37" t="s">
        <v>1597</v>
      </c>
      <c r="G1387" s="79"/>
    </row>
    <row r="1388" spans="1:7" hidden="1">
      <c r="A1388" s="78">
        <v>42887</v>
      </c>
      <c r="B1388" s="37" t="s">
        <v>49</v>
      </c>
      <c r="C1388" s="1" t="s">
        <v>103</v>
      </c>
      <c r="D1388" s="37" t="s">
        <v>972</v>
      </c>
      <c r="E1388" s="37">
        <v>3.4</v>
      </c>
      <c r="F1388" s="37" t="s">
        <v>2169</v>
      </c>
      <c r="G1388" s="79"/>
    </row>
    <row r="1389" spans="1:7" hidden="1">
      <c r="A1389" s="78">
        <v>42887</v>
      </c>
      <c r="B1389" s="37" t="s">
        <v>49</v>
      </c>
      <c r="C1389" s="1" t="s">
        <v>104</v>
      </c>
      <c r="D1389" s="37" t="s">
        <v>972</v>
      </c>
      <c r="E1389" s="37">
        <v>93.37</v>
      </c>
      <c r="F1389" s="37" t="s">
        <v>1475</v>
      </c>
      <c r="G1389" s="79"/>
    </row>
    <row r="1390" spans="1:7" hidden="1">
      <c r="A1390" s="78">
        <v>42887</v>
      </c>
      <c r="B1390" s="37" t="s">
        <v>49</v>
      </c>
      <c r="C1390" s="1" t="s">
        <v>104</v>
      </c>
      <c r="D1390" s="37" t="s">
        <v>972</v>
      </c>
      <c r="E1390" s="37">
        <v>135.16999999999999</v>
      </c>
      <c r="F1390" s="37" t="s">
        <v>2170</v>
      </c>
      <c r="G1390" s="79"/>
    </row>
    <row r="1391" spans="1:7" hidden="1">
      <c r="A1391" s="78">
        <v>42917</v>
      </c>
      <c r="B1391" s="37" t="s">
        <v>1962</v>
      </c>
      <c r="C1391" s="1" t="s">
        <v>215</v>
      </c>
      <c r="D1391" s="37" t="s">
        <v>1938</v>
      </c>
      <c r="E1391" s="37">
        <v>13.6</v>
      </c>
      <c r="F1391" s="37" t="s">
        <v>335</v>
      </c>
      <c r="G1391" s="79"/>
    </row>
    <row r="1392" spans="1:7" hidden="1">
      <c r="A1392" s="78">
        <v>42887</v>
      </c>
      <c r="B1392" s="37" t="s">
        <v>790</v>
      </c>
      <c r="C1392" s="1" t="s">
        <v>215</v>
      </c>
      <c r="D1392" s="37" t="s">
        <v>92</v>
      </c>
      <c r="E1392" s="37">
        <v>1350.1</v>
      </c>
      <c r="F1392" s="37" t="s">
        <v>2186</v>
      </c>
      <c r="G1392" s="79"/>
    </row>
    <row r="1393" spans="1:8" hidden="1">
      <c r="A1393" s="78">
        <v>42856</v>
      </c>
      <c r="B1393" s="37" t="s">
        <v>6</v>
      </c>
      <c r="C1393" s="1" t="s">
        <v>103</v>
      </c>
      <c r="D1393" s="1" t="s">
        <v>1938</v>
      </c>
      <c r="E1393" s="389">
        <v>100</v>
      </c>
      <c r="F1393" s="37" t="s">
        <v>1475</v>
      </c>
      <c r="G1393" s="79"/>
      <c r="H1393">
        <f>E1393-E1393/1.2</f>
        <v>16.666666666666657</v>
      </c>
    </row>
    <row r="1394" spans="1:8" hidden="1">
      <c r="A1394" s="78">
        <v>42887</v>
      </c>
      <c r="B1394" s="37" t="s">
        <v>259</v>
      </c>
      <c r="C1394" s="1" t="s">
        <v>171</v>
      </c>
      <c r="D1394" s="37" t="s">
        <v>827</v>
      </c>
      <c r="E1394" s="37">
        <v>3422.66</v>
      </c>
      <c r="F1394" s="37" t="s">
        <v>1477</v>
      </c>
      <c r="G1394" s="79"/>
    </row>
    <row r="1395" spans="1:8" hidden="1">
      <c r="A1395" s="78">
        <v>42887</v>
      </c>
      <c r="B1395" s="37" t="s">
        <v>259</v>
      </c>
      <c r="C1395" s="1" t="s">
        <v>171</v>
      </c>
      <c r="D1395" s="37" t="s">
        <v>827</v>
      </c>
      <c r="E1395" s="37">
        <v>1035</v>
      </c>
      <c r="F1395" s="37" t="s">
        <v>1501</v>
      </c>
      <c r="G1395" s="79"/>
    </row>
    <row r="1396" spans="1:8" hidden="1">
      <c r="A1396" s="78">
        <v>42887</v>
      </c>
      <c r="B1396" s="37" t="s">
        <v>1561</v>
      </c>
      <c r="C1396" s="1" t="s">
        <v>215</v>
      </c>
      <c r="D1396" s="37" t="s">
        <v>1476</v>
      </c>
      <c r="E1396" s="37">
        <v>1825.2</v>
      </c>
      <c r="F1396" s="37" t="s">
        <v>2199</v>
      </c>
      <c r="G1396" s="79"/>
    </row>
    <row r="1397" spans="1:8" hidden="1">
      <c r="A1397" s="78">
        <v>42917</v>
      </c>
      <c r="B1397" s="37" t="s">
        <v>2110</v>
      </c>
      <c r="C1397" s="1" t="s">
        <v>215</v>
      </c>
      <c r="D1397" s="37" t="s">
        <v>1996</v>
      </c>
      <c r="E1397" s="37">
        <v>188.63</v>
      </c>
      <c r="F1397" s="37" t="s">
        <v>2200</v>
      </c>
      <c r="G1397" s="79"/>
    </row>
    <row r="1398" spans="1:8" hidden="1">
      <c r="A1398" s="78">
        <v>42887</v>
      </c>
      <c r="B1398" s="37" t="s">
        <v>826</v>
      </c>
      <c r="C1398" s="1" t="s">
        <v>215</v>
      </c>
      <c r="D1398" s="37" t="s">
        <v>827</v>
      </c>
      <c r="E1398" s="37">
        <v>227.89</v>
      </c>
      <c r="F1398" s="37" t="s">
        <v>1648</v>
      </c>
      <c r="G1398" s="79"/>
    </row>
    <row r="1399" spans="1:8" hidden="1">
      <c r="A1399" s="78">
        <v>42887</v>
      </c>
      <c r="B1399" s="37" t="s">
        <v>217</v>
      </c>
      <c r="C1399" s="1" t="s">
        <v>215</v>
      </c>
      <c r="D1399" s="37" t="s">
        <v>92</v>
      </c>
      <c r="E1399" s="37">
        <v>2337.87</v>
      </c>
      <c r="F1399" s="37" t="s">
        <v>1733</v>
      </c>
      <c r="G1399" s="79"/>
    </row>
    <row r="1400" spans="1:8" hidden="1">
      <c r="A1400" s="78">
        <v>42917</v>
      </c>
      <c r="B1400" s="37" t="s">
        <v>55</v>
      </c>
      <c r="C1400" s="1" t="s">
        <v>103</v>
      </c>
      <c r="D1400" s="37" t="s">
        <v>972</v>
      </c>
      <c r="E1400" s="37">
        <v>1221.42</v>
      </c>
      <c r="F1400" s="37" t="s">
        <v>2201</v>
      </c>
      <c r="G1400" s="79"/>
    </row>
    <row r="1401" spans="1:8" hidden="1">
      <c r="A1401" s="78">
        <v>42856</v>
      </c>
      <c r="B1401" s="37" t="s">
        <v>790</v>
      </c>
      <c r="C1401" s="1" t="s">
        <v>104</v>
      </c>
      <c r="D1401" s="37" t="s">
        <v>92</v>
      </c>
      <c r="E1401" s="37">
        <v>120</v>
      </c>
      <c r="F1401" s="37" t="s">
        <v>1501</v>
      </c>
      <c r="G1401" s="79"/>
    </row>
    <row r="1402" spans="1:8" hidden="1">
      <c r="A1402" s="78">
        <v>42917</v>
      </c>
      <c r="B1402" s="37" t="s">
        <v>1937</v>
      </c>
      <c r="C1402" s="1" t="s">
        <v>2202</v>
      </c>
      <c r="D1402" s="37" t="s">
        <v>1938</v>
      </c>
      <c r="E1402" s="107">
        <v>96.9</v>
      </c>
      <c r="F1402" s="37" t="s">
        <v>1310</v>
      </c>
      <c r="G1402" s="79"/>
    </row>
    <row r="1403" spans="1:8" hidden="1">
      <c r="A1403" s="78">
        <v>42887</v>
      </c>
      <c r="B1403" s="37" t="s">
        <v>1961</v>
      </c>
      <c r="C1403" s="1" t="s">
        <v>215</v>
      </c>
      <c r="D1403" s="37" t="s">
        <v>722</v>
      </c>
      <c r="E1403" s="37">
        <v>16.32</v>
      </c>
      <c r="F1403" s="37" t="s">
        <v>1310</v>
      </c>
      <c r="G1403" s="79"/>
    </row>
    <row r="1404" spans="1:8" hidden="1">
      <c r="A1404" s="78">
        <v>42887</v>
      </c>
      <c r="B1404" s="37" t="s">
        <v>1330</v>
      </c>
      <c r="C1404" s="1" t="s">
        <v>171</v>
      </c>
      <c r="D1404" s="37" t="s">
        <v>1560</v>
      </c>
      <c r="E1404" s="37">
        <v>60</v>
      </c>
      <c r="F1404" s="37" t="s">
        <v>2213</v>
      </c>
      <c r="G1404" s="79">
        <v>50</v>
      </c>
    </row>
    <row r="1405" spans="1:8" hidden="1">
      <c r="A1405" s="78">
        <v>42887</v>
      </c>
      <c r="B1405" s="37" t="s">
        <v>1995</v>
      </c>
      <c r="C1405" s="1" t="s">
        <v>215</v>
      </c>
      <c r="D1405" s="37" t="s">
        <v>1996</v>
      </c>
      <c r="E1405" s="37">
        <v>1965.43</v>
      </c>
      <c r="F1405" s="37" t="s">
        <v>1474</v>
      </c>
      <c r="G1405" s="79"/>
    </row>
    <row r="1406" spans="1:8" hidden="1">
      <c r="A1406" s="78">
        <v>42917</v>
      </c>
      <c r="B1406" s="37" t="s">
        <v>1330</v>
      </c>
      <c r="C1406" s="1" t="s">
        <v>171</v>
      </c>
      <c r="D1406" s="37" t="s">
        <v>1560</v>
      </c>
      <c r="E1406" s="37">
        <v>60</v>
      </c>
      <c r="F1406" s="37" t="s">
        <v>2213</v>
      </c>
      <c r="G1406" s="79">
        <v>50</v>
      </c>
    </row>
    <row r="1407" spans="1:8" hidden="1">
      <c r="A1407" s="78">
        <v>42887</v>
      </c>
      <c r="B1407" s="37" t="s">
        <v>1916</v>
      </c>
      <c r="C1407" s="1" t="s">
        <v>215</v>
      </c>
      <c r="D1407" s="37" t="s">
        <v>1996</v>
      </c>
      <c r="E1407" s="37">
        <v>84.49</v>
      </c>
      <c r="F1407" s="37" t="s">
        <v>2214</v>
      </c>
      <c r="G1407" s="79"/>
    </row>
    <row r="1408" spans="1:8" hidden="1">
      <c r="A1408" s="78">
        <v>42887</v>
      </c>
      <c r="B1408" s="37" t="s">
        <v>1962</v>
      </c>
      <c r="C1408" s="1" t="s">
        <v>215</v>
      </c>
      <c r="D1408" s="37" t="s">
        <v>1938</v>
      </c>
      <c r="E1408" s="37">
        <v>25.14</v>
      </c>
      <c r="F1408" s="37" t="s">
        <v>335</v>
      </c>
      <c r="G1408" s="79"/>
    </row>
    <row r="1409" spans="1:8" hidden="1">
      <c r="A1409" s="78">
        <v>42917</v>
      </c>
      <c r="B1409" s="37" t="s">
        <v>6</v>
      </c>
      <c r="C1409" s="1" t="s">
        <v>215</v>
      </c>
      <c r="D1409" s="37" t="s">
        <v>1938</v>
      </c>
      <c r="E1409" s="389">
        <v>903.37</v>
      </c>
      <c r="F1409" s="37" t="s">
        <v>335</v>
      </c>
      <c r="G1409" s="79"/>
    </row>
    <row r="1410" spans="1:8" hidden="1">
      <c r="A1410" s="78">
        <v>42917</v>
      </c>
      <c r="B1410" s="37" t="s">
        <v>2218</v>
      </c>
      <c r="C1410" s="1" t="s">
        <v>215</v>
      </c>
      <c r="D1410" s="37" t="s">
        <v>1996</v>
      </c>
      <c r="E1410" s="37">
        <v>38.49</v>
      </c>
      <c r="F1410" s="37" t="s">
        <v>1310</v>
      </c>
      <c r="G1410" s="79"/>
    </row>
    <row r="1411" spans="1:8" hidden="1">
      <c r="A1411" s="78">
        <v>42917</v>
      </c>
      <c r="B1411" s="37" t="s">
        <v>2058</v>
      </c>
      <c r="C1411" s="1" t="s">
        <v>104</v>
      </c>
      <c r="D1411" s="37" t="s">
        <v>1560</v>
      </c>
      <c r="E1411" s="37">
        <v>130</v>
      </c>
      <c r="F1411" s="37" t="s">
        <v>557</v>
      </c>
      <c r="G1411" s="79"/>
    </row>
    <row r="1412" spans="1:8" hidden="1">
      <c r="A1412" s="78">
        <v>42887</v>
      </c>
      <c r="B1412" s="37" t="s">
        <v>619</v>
      </c>
      <c r="C1412" s="1" t="s">
        <v>171</v>
      </c>
      <c r="D1412" s="37" t="s">
        <v>92</v>
      </c>
      <c r="E1412" s="37">
        <v>24</v>
      </c>
      <c r="F1412" s="37" t="s">
        <v>1310</v>
      </c>
      <c r="G1412" s="79"/>
      <c r="H1412">
        <f>E1412/1.2</f>
        <v>20</v>
      </c>
    </row>
    <row r="1413" spans="1:8" hidden="1">
      <c r="A1413" s="78">
        <v>42887</v>
      </c>
      <c r="B1413" s="37" t="s">
        <v>619</v>
      </c>
      <c r="C1413" s="1" t="s">
        <v>171</v>
      </c>
      <c r="D1413" s="37" t="s">
        <v>92</v>
      </c>
      <c r="E1413" s="37">
        <v>464.06</v>
      </c>
      <c r="F1413" s="37" t="s">
        <v>2146</v>
      </c>
      <c r="G1413" s="79"/>
      <c r="H1413">
        <f>E1413/1.2</f>
        <v>386.7166666666667</v>
      </c>
    </row>
    <row r="1414" spans="1:8" hidden="1">
      <c r="A1414" s="78">
        <v>42917</v>
      </c>
      <c r="B1414" s="37" t="s">
        <v>55</v>
      </c>
      <c r="C1414" s="1" t="s">
        <v>888</v>
      </c>
      <c r="D1414" s="37" t="s">
        <v>972</v>
      </c>
      <c r="E1414" s="37">
        <v>717.5</v>
      </c>
      <c r="F1414" s="37" t="s">
        <v>2220</v>
      </c>
      <c r="G1414" s="79">
        <f>E1414/1.86</f>
        <v>385.75268817204301</v>
      </c>
    </row>
    <row r="1415" spans="1:8" hidden="1">
      <c r="A1415" s="78">
        <v>42856</v>
      </c>
      <c r="B1415" s="37" t="s">
        <v>2222</v>
      </c>
      <c r="C1415" s="1" t="s">
        <v>171</v>
      </c>
      <c r="D1415" s="37" t="s">
        <v>1476</v>
      </c>
      <c r="E1415" s="37">
        <v>1864.32</v>
      </c>
      <c r="F1415" s="37" t="s">
        <v>1467</v>
      </c>
      <c r="G1415" s="79"/>
    </row>
    <row r="1416" spans="1:8" hidden="1">
      <c r="A1416" s="78">
        <v>42917</v>
      </c>
      <c r="B1416" s="37" t="s">
        <v>214</v>
      </c>
      <c r="C1416" s="1" t="s">
        <v>215</v>
      </c>
      <c r="D1416" s="37" t="s">
        <v>827</v>
      </c>
      <c r="E1416" s="37">
        <v>2606.4</v>
      </c>
      <c r="F1416" s="37" t="s">
        <v>1474</v>
      </c>
      <c r="G1416" s="79"/>
    </row>
    <row r="1417" spans="1:8" hidden="1">
      <c r="A1417" s="78">
        <v>42917</v>
      </c>
      <c r="B1417" s="37" t="s">
        <v>172</v>
      </c>
      <c r="C1417" s="1" t="s">
        <v>104</v>
      </c>
      <c r="D1417" s="37" t="s">
        <v>972</v>
      </c>
      <c r="E1417" s="37">
        <v>702</v>
      </c>
      <c r="F1417" s="37" t="s">
        <v>2223</v>
      </c>
      <c r="G1417" s="79"/>
    </row>
    <row r="1418" spans="1:8" hidden="1">
      <c r="A1418" s="78">
        <v>42917</v>
      </c>
      <c r="B1418" s="37" t="s">
        <v>172</v>
      </c>
      <c r="C1418" s="1" t="s">
        <v>104</v>
      </c>
      <c r="D1418" s="37" t="s">
        <v>972</v>
      </c>
      <c r="E1418" s="37">
        <v>342</v>
      </c>
      <c r="F1418" s="37" t="s">
        <v>2224</v>
      </c>
      <c r="G1418" s="79"/>
    </row>
    <row r="1419" spans="1:8" hidden="1">
      <c r="A1419" s="78">
        <v>42917</v>
      </c>
      <c r="B1419" s="37" t="s">
        <v>172</v>
      </c>
      <c r="C1419" s="1" t="s">
        <v>103</v>
      </c>
      <c r="D1419" s="37" t="s">
        <v>972</v>
      </c>
      <c r="E1419" s="37">
        <v>396</v>
      </c>
      <c r="F1419" s="37" t="s">
        <v>2166</v>
      </c>
      <c r="G1419" s="79"/>
    </row>
    <row r="1420" spans="1:8" hidden="1">
      <c r="A1420" s="78">
        <v>42917</v>
      </c>
      <c r="B1420" s="37" t="s">
        <v>172</v>
      </c>
      <c r="C1420" s="1" t="s">
        <v>104</v>
      </c>
      <c r="D1420" s="37" t="s">
        <v>972</v>
      </c>
      <c r="E1420" s="37">
        <v>2142</v>
      </c>
      <c r="F1420" s="37" t="s">
        <v>1224</v>
      </c>
      <c r="G1420" s="79"/>
    </row>
    <row r="1421" spans="1:8" hidden="1">
      <c r="A1421" s="78">
        <v>42917</v>
      </c>
      <c r="B1421" s="37" t="s">
        <v>172</v>
      </c>
      <c r="C1421" s="1" t="s">
        <v>103</v>
      </c>
      <c r="D1421" s="37" t="s">
        <v>972</v>
      </c>
      <c r="E1421" s="37">
        <v>1080</v>
      </c>
      <c r="F1421" s="37" t="s">
        <v>2225</v>
      </c>
      <c r="G1421" s="79"/>
    </row>
    <row r="1422" spans="1:8" hidden="1">
      <c r="A1422" s="78">
        <v>42917</v>
      </c>
      <c r="B1422" s="37" t="s">
        <v>172</v>
      </c>
      <c r="C1422" s="1" t="s">
        <v>103</v>
      </c>
      <c r="D1422" s="37" t="s">
        <v>972</v>
      </c>
      <c r="E1422" s="37">
        <v>450</v>
      </c>
      <c r="F1422" s="37" t="s">
        <v>2226</v>
      </c>
      <c r="G1422" s="79"/>
    </row>
    <row r="1423" spans="1:8" hidden="1">
      <c r="A1423" s="78">
        <v>42917</v>
      </c>
      <c r="B1423" s="37" t="s">
        <v>172</v>
      </c>
      <c r="C1423" s="1" t="s">
        <v>104</v>
      </c>
      <c r="D1423" s="37" t="s">
        <v>972</v>
      </c>
      <c r="E1423" s="37">
        <v>252</v>
      </c>
      <c r="F1423" s="37" t="s">
        <v>2227</v>
      </c>
      <c r="G1423" s="79"/>
    </row>
    <row r="1424" spans="1:8" hidden="1">
      <c r="A1424" s="78">
        <v>42917</v>
      </c>
      <c r="B1424" s="37" t="s">
        <v>172</v>
      </c>
      <c r="C1424" s="1" t="s">
        <v>103</v>
      </c>
      <c r="D1424" s="37" t="s">
        <v>972</v>
      </c>
      <c r="E1424" s="37">
        <v>1350</v>
      </c>
      <c r="F1424" s="37" t="s">
        <v>2228</v>
      </c>
      <c r="G1424" s="79"/>
    </row>
    <row r="1425" spans="1:8" hidden="1">
      <c r="A1425" s="78">
        <v>42917</v>
      </c>
      <c r="B1425" s="37" t="s">
        <v>49</v>
      </c>
      <c r="C1425" s="1" t="s">
        <v>104</v>
      </c>
      <c r="D1425" s="37" t="s">
        <v>972</v>
      </c>
      <c r="E1425" s="37">
        <v>232.96</v>
      </c>
      <c r="F1425" s="37" t="s">
        <v>2231</v>
      </c>
      <c r="G1425" s="79"/>
    </row>
    <row r="1426" spans="1:8" hidden="1">
      <c r="A1426" s="78">
        <v>42917</v>
      </c>
      <c r="B1426" s="37" t="s">
        <v>49</v>
      </c>
      <c r="C1426" s="1" t="s">
        <v>171</v>
      </c>
      <c r="D1426" s="37" t="s">
        <v>972</v>
      </c>
      <c r="E1426" s="37">
        <v>117.81</v>
      </c>
      <c r="F1426" s="37" t="s">
        <v>2232</v>
      </c>
      <c r="G1426" s="79"/>
    </row>
    <row r="1427" spans="1:8" hidden="1">
      <c r="A1427" s="78">
        <v>42917</v>
      </c>
      <c r="B1427" s="37" t="s">
        <v>49</v>
      </c>
      <c r="C1427" s="1" t="s">
        <v>103</v>
      </c>
      <c r="D1427" s="37" t="s">
        <v>972</v>
      </c>
      <c r="E1427" s="37">
        <v>45.22</v>
      </c>
      <c r="F1427" s="37" t="s">
        <v>1597</v>
      </c>
      <c r="G1427" s="79"/>
    </row>
    <row r="1428" spans="1:8" hidden="1">
      <c r="A1428" s="78">
        <v>42917</v>
      </c>
      <c r="B1428" s="37" t="s">
        <v>49</v>
      </c>
      <c r="C1428" s="1" t="s">
        <v>104</v>
      </c>
      <c r="D1428" s="37" t="s">
        <v>972</v>
      </c>
      <c r="E1428" s="37">
        <v>65.12</v>
      </c>
      <c r="F1428" s="37" t="s">
        <v>2231</v>
      </c>
      <c r="G1428" s="79"/>
    </row>
    <row r="1429" spans="1:8" hidden="1">
      <c r="A1429" s="78">
        <v>42917</v>
      </c>
      <c r="B1429" s="37" t="s">
        <v>259</v>
      </c>
      <c r="C1429" s="1" t="s">
        <v>171</v>
      </c>
      <c r="D1429" s="37" t="s">
        <v>827</v>
      </c>
      <c r="E1429" s="37">
        <v>4560.6400000000003</v>
      </c>
      <c r="F1429" s="37" t="s">
        <v>1310</v>
      </c>
      <c r="G1429" s="79"/>
    </row>
    <row r="1430" spans="1:8" hidden="1">
      <c r="A1430" s="78">
        <v>42948</v>
      </c>
      <c r="B1430" s="37" t="s">
        <v>55</v>
      </c>
      <c r="C1430" s="1" t="s">
        <v>2244</v>
      </c>
      <c r="D1430" s="37" t="s">
        <v>972</v>
      </c>
      <c r="E1430" s="37">
        <v>1221.42</v>
      </c>
      <c r="F1430" s="37" t="s">
        <v>2248</v>
      </c>
      <c r="G1430" s="79"/>
    </row>
    <row r="1431" spans="1:8" hidden="1">
      <c r="A1431" s="78">
        <v>42917</v>
      </c>
      <c r="B1431" s="37" t="s">
        <v>790</v>
      </c>
      <c r="C1431" s="1" t="s">
        <v>1973</v>
      </c>
      <c r="D1431" s="37" t="s">
        <v>92</v>
      </c>
      <c r="E1431" s="37">
        <v>1364.7</v>
      </c>
      <c r="F1431" s="37" t="s">
        <v>2245</v>
      </c>
      <c r="G1431" s="79"/>
    </row>
    <row r="1432" spans="1:8" hidden="1">
      <c r="A1432" s="78">
        <v>42917</v>
      </c>
      <c r="B1432" s="37" t="s">
        <v>619</v>
      </c>
      <c r="C1432" s="1" t="s">
        <v>171</v>
      </c>
      <c r="D1432" s="37" t="s">
        <v>92</v>
      </c>
      <c r="E1432" s="37">
        <v>465.5</v>
      </c>
      <c r="F1432" s="37" t="s">
        <v>2247</v>
      </c>
      <c r="G1432" s="79"/>
      <c r="H1432">
        <f>E1432/1.2</f>
        <v>387.91666666666669</v>
      </c>
    </row>
    <row r="1433" spans="1:8" hidden="1">
      <c r="A1433" s="78">
        <v>42917</v>
      </c>
      <c r="B1433" s="37" t="s">
        <v>619</v>
      </c>
      <c r="C1433" s="1" t="s">
        <v>171</v>
      </c>
      <c r="D1433" s="37" t="s">
        <v>92</v>
      </c>
      <c r="E1433" s="37">
        <v>192</v>
      </c>
      <c r="F1433" s="37" t="s">
        <v>2246</v>
      </c>
      <c r="G1433" s="79"/>
      <c r="H1433">
        <f>E1433/1.2</f>
        <v>160</v>
      </c>
    </row>
    <row r="1434" spans="1:8" hidden="1">
      <c r="A1434" s="78">
        <v>42917</v>
      </c>
      <c r="B1434" s="37" t="s">
        <v>2255</v>
      </c>
      <c r="C1434" s="1" t="s">
        <v>215</v>
      </c>
      <c r="D1434" s="37" t="s">
        <v>1968</v>
      </c>
      <c r="E1434" s="37">
        <v>25.05</v>
      </c>
      <c r="F1434" s="37" t="s">
        <v>335</v>
      </c>
      <c r="G1434" s="79"/>
    </row>
    <row r="1435" spans="1:8" hidden="1">
      <c r="A1435" s="78">
        <v>42948</v>
      </c>
      <c r="B1435" s="37" t="s">
        <v>6</v>
      </c>
      <c r="C1435" s="1" t="s">
        <v>215</v>
      </c>
      <c r="D1435" s="37" t="s">
        <v>1938</v>
      </c>
      <c r="E1435" s="389">
        <v>32.479999999999997</v>
      </c>
      <c r="F1435" s="37" t="s">
        <v>1310</v>
      </c>
      <c r="G1435" s="79"/>
    </row>
    <row r="1436" spans="1:8" hidden="1">
      <c r="A1436" s="78">
        <v>42917</v>
      </c>
      <c r="B1436" s="37" t="s">
        <v>1786</v>
      </c>
      <c r="C1436" s="1" t="s">
        <v>1955</v>
      </c>
      <c r="D1436" s="37" t="s">
        <v>2090</v>
      </c>
      <c r="E1436" s="37">
        <v>291.87</v>
      </c>
      <c r="F1436" s="37" t="s">
        <v>2256</v>
      </c>
      <c r="G1436" s="79"/>
    </row>
    <row r="1437" spans="1:8" hidden="1">
      <c r="A1437" s="78">
        <v>42955</v>
      </c>
      <c r="B1437" s="37" t="s">
        <v>1786</v>
      </c>
      <c r="C1437" s="1" t="s">
        <v>1955</v>
      </c>
      <c r="D1437" s="37" t="s">
        <v>2090</v>
      </c>
      <c r="E1437" s="37">
        <v>593.82000000000005</v>
      </c>
      <c r="F1437" s="37" t="s">
        <v>2257</v>
      </c>
      <c r="G1437" s="79"/>
    </row>
    <row r="1438" spans="1:8" hidden="1">
      <c r="A1438" s="78">
        <v>42917</v>
      </c>
      <c r="B1438" s="37" t="s">
        <v>1330</v>
      </c>
      <c r="C1438" s="1" t="s">
        <v>215</v>
      </c>
      <c r="D1438" s="37" t="s">
        <v>1560</v>
      </c>
      <c r="E1438" s="37">
        <v>119.22</v>
      </c>
      <c r="F1438" s="37" t="s">
        <v>1224</v>
      </c>
      <c r="G1438" s="79"/>
    </row>
    <row r="1439" spans="1:8" hidden="1">
      <c r="A1439" s="78">
        <v>42948</v>
      </c>
      <c r="B1439" s="37" t="s">
        <v>1937</v>
      </c>
      <c r="C1439" s="1" t="s">
        <v>1973</v>
      </c>
      <c r="D1439" s="37" t="s">
        <v>1938</v>
      </c>
      <c r="E1439" s="37">
        <v>253.96</v>
      </c>
      <c r="F1439" s="37" t="s">
        <v>1310</v>
      </c>
      <c r="G1439" s="79">
        <f>E1439</f>
        <v>253.96</v>
      </c>
    </row>
    <row r="1440" spans="1:8" hidden="1">
      <c r="A1440" s="78">
        <v>42917</v>
      </c>
      <c r="B1440" s="37" t="s">
        <v>2222</v>
      </c>
      <c r="C1440" s="1" t="s">
        <v>171</v>
      </c>
      <c r="D1440" s="37" t="s">
        <v>1476</v>
      </c>
      <c r="E1440" s="37">
        <v>535.99</v>
      </c>
      <c r="F1440" s="37" t="s">
        <v>1467</v>
      </c>
      <c r="G1440" s="79"/>
    </row>
    <row r="1441" spans="1:7" hidden="1">
      <c r="A1441" s="78">
        <v>42917</v>
      </c>
      <c r="B1441" s="37" t="s">
        <v>2261</v>
      </c>
      <c r="C1441" s="1" t="s">
        <v>103</v>
      </c>
      <c r="D1441" s="37" t="s">
        <v>92</v>
      </c>
      <c r="E1441" s="37">
        <v>25.49</v>
      </c>
      <c r="F1441" s="37" t="s">
        <v>2262</v>
      </c>
      <c r="G1441" s="79"/>
    </row>
    <row r="1442" spans="1:7" hidden="1">
      <c r="A1442" s="78">
        <v>42948</v>
      </c>
      <c r="B1442" s="37" t="s">
        <v>2110</v>
      </c>
      <c r="C1442" s="1" t="s">
        <v>1973</v>
      </c>
      <c r="D1442" s="37" t="s">
        <v>1996</v>
      </c>
      <c r="E1442" s="37">
        <v>235.69</v>
      </c>
      <c r="F1442" s="37" t="s">
        <v>1210</v>
      </c>
      <c r="G1442" s="79"/>
    </row>
    <row r="1443" spans="1:7" hidden="1">
      <c r="A1443" s="78">
        <v>42917</v>
      </c>
      <c r="B1443" s="37" t="s">
        <v>1916</v>
      </c>
      <c r="C1443" s="1" t="s">
        <v>215</v>
      </c>
      <c r="D1443" s="37" t="s">
        <v>1996</v>
      </c>
      <c r="E1443" s="37">
        <v>164.77</v>
      </c>
      <c r="F1443" s="37" t="s">
        <v>1164</v>
      </c>
      <c r="G1443" s="79"/>
    </row>
    <row r="1444" spans="1:7" hidden="1">
      <c r="A1444" s="78">
        <v>42948</v>
      </c>
      <c r="B1444" s="37" t="s">
        <v>217</v>
      </c>
      <c r="C1444" s="1" t="s">
        <v>104</v>
      </c>
      <c r="D1444" s="37" t="s">
        <v>92</v>
      </c>
      <c r="E1444" s="37">
        <v>680</v>
      </c>
      <c r="F1444" s="37" t="s">
        <v>2287</v>
      </c>
      <c r="G1444" s="79"/>
    </row>
    <row r="1445" spans="1:7" hidden="1">
      <c r="A1445" s="78">
        <v>42917</v>
      </c>
      <c r="B1445" s="37" t="s">
        <v>217</v>
      </c>
      <c r="C1445" s="1" t="s">
        <v>104</v>
      </c>
      <c r="D1445" s="37" t="s">
        <v>92</v>
      </c>
      <c r="E1445" s="37">
        <v>2468.4299999999998</v>
      </c>
      <c r="F1445" s="37" t="s">
        <v>2288</v>
      </c>
      <c r="G1445" s="79"/>
    </row>
    <row r="1446" spans="1:7" hidden="1">
      <c r="A1446" s="78">
        <v>42917</v>
      </c>
      <c r="B1446" s="37" t="s">
        <v>2289</v>
      </c>
      <c r="C1446" s="1" t="s">
        <v>2290</v>
      </c>
      <c r="D1446" s="37" t="s">
        <v>722</v>
      </c>
      <c r="E1446" s="37">
        <v>100</v>
      </c>
      <c r="F1446" s="37" t="s">
        <v>1501</v>
      </c>
      <c r="G1446" s="79">
        <f>E1446/1.2</f>
        <v>83.333333333333343</v>
      </c>
    </row>
    <row r="1447" spans="1:7" hidden="1">
      <c r="A1447" s="78">
        <v>42948</v>
      </c>
      <c r="B1447" s="37" t="s">
        <v>49</v>
      </c>
      <c r="C1447" s="1" t="s">
        <v>104</v>
      </c>
      <c r="D1447" s="37" t="s">
        <v>972</v>
      </c>
      <c r="E1447" s="37">
        <v>120.65</v>
      </c>
      <c r="F1447" s="37" t="s">
        <v>1540</v>
      </c>
      <c r="G1447" s="79"/>
    </row>
    <row r="1448" spans="1:7" hidden="1">
      <c r="A1448" s="78">
        <v>42948</v>
      </c>
      <c r="B1448" s="37" t="s">
        <v>49</v>
      </c>
      <c r="C1448" s="1" t="s">
        <v>103</v>
      </c>
      <c r="D1448" s="37" t="s">
        <v>972</v>
      </c>
      <c r="E1448" s="37">
        <v>28.81</v>
      </c>
      <c r="F1448" s="37" t="s">
        <v>1597</v>
      </c>
      <c r="G1448" s="79"/>
    </row>
    <row r="1449" spans="1:7" hidden="1">
      <c r="A1449" s="78">
        <v>42948</v>
      </c>
      <c r="B1449" s="37" t="s">
        <v>172</v>
      </c>
      <c r="C1449" s="1" t="s">
        <v>104</v>
      </c>
      <c r="D1449" s="37" t="s">
        <v>972</v>
      </c>
      <c r="E1449" s="37">
        <v>1044</v>
      </c>
      <c r="F1449" s="37" t="s">
        <v>1620</v>
      </c>
      <c r="G1449" s="79"/>
    </row>
    <row r="1450" spans="1:7" hidden="1">
      <c r="A1450" s="78">
        <v>42948</v>
      </c>
      <c r="B1450" s="37" t="s">
        <v>172</v>
      </c>
      <c r="C1450" s="1" t="s">
        <v>103</v>
      </c>
      <c r="D1450" s="37" t="s">
        <v>972</v>
      </c>
      <c r="E1450" s="37">
        <v>486</v>
      </c>
      <c r="F1450" s="37" t="s">
        <v>2166</v>
      </c>
      <c r="G1450" s="79"/>
    </row>
    <row r="1451" spans="1:7" hidden="1">
      <c r="A1451" s="78">
        <v>42948</v>
      </c>
      <c r="B1451" s="37" t="s">
        <v>172</v>
      </c>
      <c r="C1451" s="1" t="s">
        <v>104</v>
      </c>
      <c r="D1451" s="37" t="s">
        <v>972</v>
      </c>
      <c r="E1451" s="37">
        <v>2484</v>
      </c>
      <c r="F1451" s="37" t="s">
        <v>1224</v>
      </c>
      <c r="G1451" s="79"/>
    </row>
    <row r="1452" spans="1:7" hidden="1">
      <c r="A1452" s="78">
        <v>42948</v>
      </c>
      <c r="B1452" s="37" t="s">
        <v>172</v>
      </c>
      <c r="C1452" s="1" t="s">
        <v>103</v>
      </c>
      <c r="D1452" s="37" t="s">
        <v>972</v>
      </c>
      <c r="E1452" s="37">
        <v>1080</v>
      </c>
      <c r="F1452" s="37" t="s">
        <v>2225</v>
      </c>
      <c r="G1452" s="79"/>
    </row>
    <row r="1453" spans="1:7" hidden="1">
      <c r="A1453" s="78">
        <v>42948</v>
      </c>
      <c r="B1453" s="37" t="s">
        <v>214</v>
      </c>
      <c r="C1453" s="1" t="s">
        <v>215</v>
      </c>
      <c r="D1453" s="37" t="s">
        <v>827</v>
      </c>
      <c r="E1453" s="37">
        <v>1503.9</v>
      </c>
      <c r="F1453" s="37" t="s">
        <v>1474</v>
      </c>
      <c r="G1453" s="79"/>
    </row>
    <row r="1454" spans="1:7" hidden="1">
      <c r="A1454" s="78">
        <v>42948</v>
      </c>
      <c r="B1454" s="37" t="s">
        <v>172</v>
      </c>
      <c r="C1454" s="1" t="s">
        <v>103</v>
      </c>
      <c r="D1454" s="37" t="s">
        <v>972</v>
      </c>
      <c r="E1454" s="37">
        <v>522</v>
      </c>
      <c r="F1454" s="37" t="s">
        <v>2294</v>
      </c>
      <c r="G1454" s="79"/>
    </row>
    <row r="1455" spans="1:7" hidden="1">
      <c r="A1455" s="78">
        <v>42948</v>
      </c>
      <c r="B1455" s="37" t="s">
        <v>172</v>
      </c>
      <c r="C1455" s="1" t="s">
        <v>103</v>
      </c>
      <c r="D1455" s="37" t="s">
        <v>972</v>
      </c>
      <c r="E1455" s="37">
        <v>1350</v>
      </c>
      <c r="F1455" s="37" t="s">
        <v>2228</v>
      </c>
      <c r="G1455" s="79"/>
    </row>
    <row r="1456" spans="1:7" hidden="1">
      <c r="A1456" s="78">
        <v>42948</v>
      </c>
      <c r="B1456" s="37" t="s">
        <v>2058</v>
      </c>
      <c r="C1456" s="1" t="s">
        <v>2290</v>
      </c>
      <c r="D1456" s="37" t="s">
        <v>1560</v>
      </c>
      <c r="E1456" s="37">
        <v>70</v>
      </c>
      <c r="F1456" s="37" t="s">
        <v>2295</v>
      </c>
      <c r="G1456" s="79"/>
    </row>
    <row r="1457" spans="1:7" hidden="1">
      <c r="A1457" s="78">
        <v>42979</v>
      </c>
      <c r="B1457" s="37" t="s">
        <v>1916</v>
      </c>
      <c r="C1457" s="1" t="s">
        <v>215</v>
      </c>
      <c r="D1457" s="37" t="s">
        <v>1996</v>
      </c>
      <c r="E1457" s="37">
        <v>181.16</v>
      </c>
      <c r="F1457" s="37" t="s">
        <v>1210</v>
      </c>
      <c r="G1457" s="79"/>
    </row>
    <row r="1458" spans="1:7" hidden="1">
      <c r="A1458" s="78">
        <v>42948</v>
      </c>
      <c r="B1458" s="37" t="s">
        <v>790</v>
      </c>
      <c r="C1458" s="1" t="s">
        <v>215</v>
      </c>
      <c r="D1458" s="37" t="s">
        <v>92</v>
      </c>
      <c r="E1458" s="37">
        <v>1694.21</v>
      </c>
      <c r="F1458" s="37" t="s">
        <v>2311</v>
      </c>
      <c r="G1458" s="79"/>
    </row>
    <row r="1459" spans="1:7" hidden="1">
      <c r="A1459" s="78">
        <v>42979</v>
      </c>
      <c r="B1459" s="37" t="s">
        <v>98</v>
      </c>
      <c r="C1459" s="1" t="s">
        <v>103</v>
      </c>
      <c r="D1459" s="37" t="s">
        <v>92</v>
      </c>
      <c r="E1459" s="37">
        <v>600</v>
      </c>
      <c r="F1459" s="37" t="s">
        <v>2312</v>
      </c>
      <c r="G1459" s="79"/>
    </row>
    <row r="1460" spans="1:7" hidden="1">
      <c r="A1460" s="78">
        <v>42948</v>
      </c>
      <c r="B1460" s="37" t="s">
        <v>259</v>
      </c>
      <c r="C1460" s="1" t="s">
        <v>171</v>
      </c>
      <c r="D1460" s="37" t="s">
        <v>827</v>
      </c>
      <c r="E1460" s="37">
        <v>5614.54</v>
      </c>
      <c r="F1460" s="37" t="s">
        <v>1003</v>
      </c>
      <c r="G1460" s="79"/>
    </row>
    <row r="1461" spans="1:7" hidden="1">
      <c r="A1461" s="78">
        <v>42948</v>
      </c>
      <c r="B1461" s="37" t="s">
        <v>259</v>
      </c>
      <c r="C1461" s="1" t="s">
        <v>171</v>
      </c>
      <c r="D1461" s="37" t="s">
        <v>827</v>
      </c>
      <c r="E1461" s="37">
        <v>977.5</v>
      </c>
      <c r="F1461" s="37" t="s">
        <v>2313</v>
      </c>
      <c r="G1461" s="79">
        <f>E1461/1.2</f>
        <v>814.58333333333337</v>
      </c>
    </row>
    <row r="1462" spans="1:7" hidden="1">
      <c r="A1462" s="78">
        <v>42948</v>
      </c>
      <c r="B1462" s="37" t="s">
        <v>2289</v>
      </c>
      <c r="C1462" s="1" t="s">
        <v>103</v>
      </c>
      <c r="D1462" s="37" t="s">
        <v>722</v>
      </c>
      <c r="E1462" s="37">
        <v>100</v>
      </c>
      <c r="F1462" s="37" t="s">
        <v>2318</v>
      </c>
      <c r="G1462" s="79"/>
    </row>
    <row r="1463" spans="1:7" hidden="1">
      <c r="A1463" s="78">
        <v>42948</v>
      </c>
      <c r="B1463" s="37" t="s">
        <v>1916</v>
      </c>
      <c r="C1463" s="1" t="s">
        <v>215</v>
      </c>
      <c r="D1463" s="37" t="s">
        <v>1996</v>
      </c>
      <c r="E1463" s="37">
        <v>163.05000000000001</v>
      </c>
      <c r="F1463" s="37" t="s">
        <v>1164</v>
      </c>
      <c r="G1463" s="79"/>
    </row>
    <row r="1464" spans="1:7" hidden="1">
      <c r="A1464" s="78">
        <v>42948</v>
      </c>
      <c r="B1464" s="37" t="s">
        <v>2261</v>
      </c>
      <c r="C1464" s="1" t="s">
        <v>103</v>
      </c>
      <c r="D1464" s="37" t="s">
        <v>92</v>
      </c>
      <c r="E1464" s="37">
        <v>19.77</v>
      </c>
      <c r="F1464" s="37" t="s">
        <v>2319</v>
      </c>
      <c r="G1464" s="79"/>
    </row>
    <row r="1465" spans="1:7" hidden="1">
      <c r="A1465" s="78">
        <v>42948</v>
      </c>
      <c r="B1465" s="37" t="s">
        <v>790</v>
      </c>
      <c r="C1465" s="1" t="s">
        <v>104</v>
      </c>
      <c r="D1465" s="37" t="s">
        <v>92</v>
      </c>
      <c r="E1465" s="37">
        <v>120</v>
      </c>
      <c r="F1465" s="37" t="s">
        <v>1198</v>
      </c>
      <c r="G1465" s="79"/>
    </row>
    <row r="1466" spans="1:7" hidden="1">
      <c r="A1466" s="78">
        <v>42979</v>
      </c>
      <c r="B1466" s="37" t="s">
        <v>6</v>
      </c>
      <c r="C1466" s="1" t="s">
        <v>215</v>
      </c>
      <c r="D1466" s="37" t="s">
        <v>1938</v>
      </c>
      <c r="E1466" s="389">
        <v>392.54</v>
      </c>
      <c r="F1466" s="37" t="s">
        <v>335</v>
      </c>
      <c r="G1466" s="79"/>
    </row>
    <row r="1467" spans="1:7" hidden="1">
      <c r="A1467" s="78">
        <v>42948</v>
      </c>
      <c r="B1467" s="37" t="s">
        <v>1330</v>
      </c>
      <c r="C1467" s="1" t="s">
        <v>215</v>
      </c>
      <c r="D1467" s="37" t="s">
        <v>1560</v>
      </c>
      <c r="E1467" s="37">
        <v>126.2</v>
      </c>
      <c r="F1467" s="37" t="s">
        <v>1224</v>
      </c>
      <c r="G1467" s="79"/>
    </row>
    <row r="1468" spans="1:7" hidden="1">
      <c r="A1468" s="78">
        <v>42979</v>
      </c>
      <c r="B1468" s="37" t="s">
        <v>55</v>
      </c>
      <c r="C1468" s="1" t="s">
        <v>2322</v>
      </c>
      <c r="D1468" s="37" t="s">
        <v>972</v>
      </c>
      <c r="E1468" s="37">
        <v>791.3</v>
      </c>
      <c r="F1468" s="37" t="s">
        <v>2321</v>
      </c>
      <c r="G1468" s="79"/>
    </row>
    <row r="1469" spans="1:7" hidden="1">
      <c r="A1469" s="78">
        <v>42979</v>
      </c>
      <c r="B1469" s="37" t="s">
        <v>55</v>
      </c>
      <c r="C1469" s="1" t="s">
        <v>103</v>
      </c>
      <c r="D1469" s="37" t="s">
        <v>972</v>
      </c>
      <c r="E1469" s="37">
        <v>1196.5</v>
      </c>
      <c r="F1469" s="37" t="s">
        <v>2323</v>
      </c>
      <c r="G1469" s="79"/>
    </row>
    <row r="1470" spans="1:7" hidden="1">
      <c r="A1470" s="78">
        <v>42948</v>
      </c>
      <c r="B1470" s="37" t="s">
        <v>217</v>
      </c>
      <c r="C1470" s="1" t="s">
        <v>104</v>
      </c>
      <c r="D1470" s="37" t="s">
        <v>92</v>
      </c>
      <c r="E1470" s="37">
        <v>2557.66</v>
      </c>
      <c r="F1470" s="37" t="s">
        <v>335</v>
      </c>
      <c r="G1470" s="79"/>
    </row>
    <row r="1471" spans="1:7" hidden="1">
      <c r="A1471" s="78">
        <v>42979</v>
      </c>
      <c r="B1471" s="37" t="s">
        <v>172</v>
      </c>
      <c r="C1471" s="1" t="s">
        <v>103</v>
      </c>
      <c r="D1471" s="37" t="s">
        <v>972</v>
      </c>
      <c r="E1471" s="37">
        <v>1350</v>
      </c>
      <c r="F1471" s="37" t="s">
        <v>2228</v>
      </c>
      <c r="G1471" s="79"/>
    </row>
    <row r="1472" spans="1:7" hidden="1">
      <c r="A1472" s="78">
        <v>42979</v>
      </c>
      <c r="B1472" s="37" t="s">
        <v>172</v>
      </c>
      <c r="C1472" s="1" t="s">
        <v>103</v>
      </c>
      <c r="D1472" s="37" t="s">
        <v>972</v>
      </c>
      <c r="E1472" s="37">
        <v>1080</v>
      </c>
      <c r="F1472" s="37" t="s">
        <v>2225</v>
      </c>
      <c r="G1472" s="79"/>
    </row>
    <row r="1473" spans="1:8" hidden="1">
      <c r="A1473" s="78">
        <v>42948</v>
      </c>
      <c r="B1473" s="37" t="s">
        <v>619</v>
      </c>
      <c r="C1473" s="1" t="s">
        <v>171</v>
      </c>
      <c r="D1473" s="37" t="s">
        <v>92</v>
      </c>
      <c r="E1473" s="37">
        <v>48</v>
      </c>
      <c r="F1473" s="37" t="s">
        <v>335</v>
      </c>
      <c r="G1473" s="79">
        <f>E1473/1.2</f>
        <v>40</v>
      </c>
      <c r="H1473">
        <f>E1473/1.2</f>
        <v>40</v>
      </c>
    </row>
    <row r="1474" spans="1:8" hidden="1">
      <c r="A1474" s="78">
        <v>42979</v>
      </c>
      <c r="B1474" s="37" t="s">
        <v>1937</v>
      </c>
      <c r="C1474" s="1" t="s">
        <v>215</v>
      </c>
      <c r="D1474" s="37" t="s">
        <v>1938</v>
      </c>
      <c r="E1474" s="37">
        <v>202.38</v>
      </c>
      <c r="F1474" s="37" t="s">
        <v>1310</v>
      </c>
      <c r="G1474" s="79">
        <f>E1474</f>
        <v>202.38</v>
      </c>
    </row>
    <row r="1475" spans="1:8" hidden="1">
      <c r="A1475" s="78">
        <v>42979</v>
      </c>
      <c r="B1475" s="37" t="s">
        <v>1937</v>
      </c>
      <c r="C1475" s="1" t="s">
        <v>2290</v>
      </c>
      <c r="D1475" s="37" t="s">
        <v>1938</v>
      </c>
      <c r="E1475" s="37">
        <v>20</v>
      </c>
      <c r="F1475" s="37" t="s">
        <v>2324</v>
      </c>
      <c r="G1475" s="79">
        <f>E1475/1.2</f>
        <v>16.666666666666668</v>
      </c>
    </row>
    <row r="1476" spans="1:8" hidden="1">
      <c r="A1476" s="78">
        <v>42979</v>
      </c>
      <c r="B1476" s="37" t="s">
        <v>2058</v>
      </c>
      <c r="C1476" s="1" t="s">
        <v>103</v>
      </c>
      <c r="D1476" s="37" t="s">
        <v>1560</v>
      </c>
      <c r="E1476" s="37">
        <v>70</v>
      </c>
      <c r="F1476" s="37" t="s">
        <v>2325</v>
      </c>
      <c r="G1476" s="79"/>
    </row>
    <row r="1477" spans="1:8" hidden="1">
      <c r="A1477" s="78">
        <v>42917</v>
      </c>
      <c r="B1477" s="37" t="s">
        <v>1962</v>
      </c>
      <c r="C1477" s="1" t="s">
        <v>1973</v>
      </c>
      <c r="D1477" s="37" t="s">
        <v>1938</v>
      </c>
      <c r="E1477" s="37">
        <v>38.409999999999997</v>
      </c>
      <c r="F1477" s="37" t="s">
        <v>941</v>
      </c>
      <c r="G1477" s="79"/>
    </row>
    <row r="1478" spans="1:8" hidden="1">
      <c r="A1478" s="78">
        <v>42948</v>
      </c>
      <c r="B1478" s="37" t="s">
        <v>1962</v>
      </c>
      <c r="C1478" s="1" t="s">
        <v>1973</v>
      </c>
      <c r="D1478" s="37" t="s">
        <v>1938</v>
      </c>
      <c r="E1478" s="37">
        <v>8.48</v>
      </c>
      <c r="F1478" s="37" t="s">
        <v>941</v>
      </c>
      <c r="G1478" s="79"/>
    </row>
    <row r="1479" spans="1:8" hidden="1">
      <c r="A1479" s="78">
        <v>42979</v>
      </c>
      <c r="B1479" s="37" t="s">
        <v>2289</v>
      </c>
      <c r="C1479" s="1" t="s">
        <v>2290</v>
      </c>
      <c r="D1479" s="37" t="s">
        <v>722</v>
      </c>
      <c r="E1479" s="37">
        <v>150</v>
      </c>
      <c r="F1479" s="37" t="s">
        <v>557</v>
      </c>
      <c r="G1479" s="79">
        <f>E1479/1.2</f>
        <v>125</v>
      </c>
    </row>
    <row r="1480" spans="1:8" hidden="1">
      <c r="A1480" s="78">
        <v>42979</v>
      </c>
      <c r="B1480" s="37" t="s">
        <v>214</v>
      </c>
      <c r="C1480" s="1" t="s">
        <v>2339</v>
      </c>
      <c r="D1480" s="37" t="s">
        <v>827</v>
      </c>
      <c r="E1480" s="37">
        <v>906.3</v>
      </c>
      <c r="F1480" s="37" t="s">
        <v>1474</v>
      </c>
      <c r="G1480" s="79"/>
    </row>
    <row r="1481" spans="1:8" hidden="1">
      <c r="A1481" s="78">
        <v>42979</v>
      </c>
      <c r="B1481" s="37" t="s">
        <v>1330</v>
      </c>
      <c r="C1481" s="1" t="s">
        <v>2290</v>
      </c>
      <c r="D1481" s="37" t="s">
        <v>1560</v>
      </c>
      <c r="E1481" s="37">
        <v>75</v>
      </c>
      <c r="F1481" s="37" t="s">
        <v>557</v>
      </c>
      <c r="G1481" s="79"/>
    </row>
    <row r="1482" spans="1:8" hidden="1">
      <c r="A1482" s="78">
        <v>42979</v>
      </c>
      <c r="B1482" s="37" t="s">
        <v>49</v>
      </c>
      <c r="C1482" s="1" t="s">
        <v>103</v>
      </c>
      <c r="D1482" s="37" t="s">
        <v>972</v>
      </c>
      <c r="E1482" s="37">
        <v>17.920000000000002</v>
      </c>
      <c r="F1482" s="37" t="s">
        <v>2340</v>
      </c>
      <c r="G1482" s="79"/>
    </row>
    <row r="1483" spans="1:8" hidden="1">
      <c r="A1483" s="78">
        <v>42979</v>
      </c>
      <c r="B1483" s="37" t="s">
        <v>49</v>
      </c>
      <c r="C1483" s="1" t="s">
        <v>103</v>
      </c>
      <c r="D1483" s="37" t="s">
        <v>972</v>
      </c>
      <c r="E1483" s="37">
        <v>46.2</v>
      </c>
      <c r="F1483" s="37" t="s">
        <v>316</v>
      </c>
      <c r="G1483" s="1159"/>
    </row>
    <row r="1484" spans="1:8" hidden="1">
      <c r="A1484" s="78">
        <v>42979</v>
      </c>
      <c r="B1484" s="37" t="s">
        <v>49</v>
      </c>
      <c r="C1484" s="1" t="s">
        <v>104</v>
      </c>
      <c r="D1484" s="37" t="s">
        <v>972</v>
      </c>
      <c r="E1484" s="37">
        <v>116.12</v>
      </c>
      <c r="F1484" s="37" t="s">
        <v>1768</v>
      </c>
      <c r="G1484" s="79"/>
    </row>
    <row r="1485" spans="1:8" hidden="1">
      <c r="A1485" s="78">
        <v>42979</v>
      </c>
      <c r="B1485" s="37" t="s">
        <v>172</v>
      </c>
      <c r="C1485" s="1" t="s">
        <v>103</v>
      </c>
      <c r="D1485" s="37" t="s">
        <v>972</v>
      </c>
      <c r="E1485" s="37">
        <v>540</v>
      </c>
      <c r="F1485" s="37" t="s">
        <v>2166</v>
      </c>
      <c r="G1485" s="79"/>
    </row>
    <row r="1486" spans="1:8" hidden="1">
      <c r="A1486" s="78">
        <v>42979</v>
      </c>
      <c r="B1486" s="37" t="s">
        <v>172</v>
      </c>
      <c r="C1486" s="1" t="s">
        <v>103</v>
      </c>
      <c r="D1486" s="37" t="s">
        <v>972</v>
      </c>
      <c r="E1486" s="37">
        <v>540</v>
      </c>
      <c r="F1486" s="37" t="s">
        <v>2341</v>
      </c>
      <c r="G1486" s="79"/>
    </row>
    <row r="1487" spans="1:8" hidden="1">
      <c r="A1487" s="78">
        <v>42979</v>
      </c>
      <c r="B1487" s="37" t="s">
        <v>172</v>
      </c>
      <c r="C1487" s="1" t="s">
        <v>104</v>
      </c>
      <c r="D1487" s="37" t="s">
        <v>972</v>
      </c>
      <c r="E1487" s="37">
        <v>1494</v>
      </c>
      <c r="F1487" s="37" t="s">
        <v>1224</v>
      </c>
      <c r="G1487" s="79"/>
    </row>
    <row r="1488" spans="1:8" hidden="1">
      <c r="A1488" s="78">
        <v>42979</v>
      </c>
      <c r="B1488" s="37" t="s">
        <v>2058</v>
      </c>
      <c r="C1488" s="1" t="s">
        <v>171</v>
      </c>
      <c r="D1488" s="37" t="s">
        <v>1560</v>
      </c>
      <c r="E1488" s="37">
        <v>70</v>
      </c>
      <c r="F1488" s="37" t="s">
        <v>2346</v>
      </c>
      <c r="G1488" s="79"/>
    </row>
    <row r="1489" spans="1:7" hidden="1">
      <c r="A1489" s="78">
        <v>42979</v>
      </c>
      <c r="B1489" s="37" t="s">
        <v>790</v>
      </c>
      <c r="C1489" s="1" t="s">
        <v>215</v>
      </c>
      <c r="D1489" s="37" t="s">
        <v>92</v>
      </c>
      <c r="E1489" s="37">
        <v>2380.69</v>
      </c>
      <c r="F1489" s="37" t="s">
        <v>2354</v>
      </c>
      <c r="G1489" s="79"/>
    </row>
    <row r="1490" spans="1:7" hidden="1">
      <c r="A1490" s="78">
        <v>42979</v>
      </c>
      <c r="B1490" s="37" t="s">
        <v>1786</v>
      </c>
      <c r="C1490" s="1" t="s">
        <v>2290</v>
      </c>
      <c r="D1490" s="37" t="s">
        <v>2090</v>
      </c>
      <c r="E1490" s="37">
        <v>582.15</v>
      </c>
      <c r="F1490" s="37" t="s">
        <v>2360</v>
      </c>
      <c r="G1490" s="79"/>
    </row>
    <row r="1491" spans="1:7" hidden="1">
      <c r="A1491" s="78">
        <v>42979</v>
      </c>
      <c r="B1491" s="37" t="s">
        <v>826</v>
      </c>
      <c r="C1491" s="1" t="s">
        <v>215</v>
      </c>
      <c r="D1491" s="37" t="s">
        <v>827</v>
      </c>
      <c r="E1491" s="37">
        <v>329.78</v>
      </c>
      <c r="F1491" s="37" t="s">
        <v>1648</v>
      </c>
      <c r="G1491" s="79"/>
    </row>
    <row r="1492" spans="1:7" hidden="1">
      <c r="A1492" s="78">
        <v>43009</v>
      </c>
      <c r="B1492" s="37" t="s">
        <v>2110</v>
      </c>
      <c r="C1492" s="1" t="s">
        <v>215</v>
      </c>
      <c r="D1492" s="37" t="s">
        <v>1996</v>
      </c>
      <c r="E1492" s="37">
        <v>170.62</v>
      </c>
      <c r="F1492" s="37" t="s">
        <v>1210</v>
      </c>
      <c r="G1492" s="79"/>
    </row>
    <row r="1493" spans="1:7" hidden="1">
      <c r="A1493" s="78">
        <v>43009</v>
      </c>
      <c r="B1493" s="37" t="s">
        <v>6</v>
      </c>
      <c r="C1493" s="1" t="s">
        <v>215</v>
      </c>
      <c r="D1493" s="37" t="s">
        <v>1938</v>
      </c>
      <c r="E1493" s="389">
        <v>541.42999999999995</v>
      </c>
      <c r="F1493" s="37" t="s">
        <v>335</v>
      </c>
      <c r="G1493" s="79"/>
    </row>
    <row r="1494" spans="1:7" hidden="1">
      <c r="A1494" s="78">
        <v>42979</v>
      </c>
      <c r="B1494" s="37" t="s">
        <v>1961</v>
      </c>
      <c r="C1494" s="1" t="s">
        <v>215</v>
      </c>
      <c r="D1494" s="37" t="s">
        <v>722</v>
      </c>
      <c r="E1494" s="37">
        <v>49.14</v>
      </c>
      <c r="F1494" s="37" t="s">
        <v>1310</v>
      </c>
      <c r="G1494" s="79"/>
    </row>
    <row r="1495" spans="1:7" hidden="1">
      <c r="A1495" s="78">
        <v>42979</v>
      </c>
      <c r="B1495" s="37" t="s">
        <v>2361</v>
      </c>
      <c r="C1495" s="1" t="s">
        <v>215</v>
      </c>
      <c r="D1495" s="37" t="s">
        <v>673</v>
      </c>
      <c r="E1495" s="37">
        <v>10.17</v>
      </c>
      <c r="F1495" s="37" t="s">
        <v>1474</v>
      </c>
      <c r="G1495" s="79"/>
    </row>
    <row r="1496" spans="1:7" hidden="1">
      <c r="A1496" s="78">
        <v>42979</v>
      </c>
      <c r="B1496" s="37" t="s">
        <v>1916</v>
      </c>
      <c r="C1496" s="1" t="s">
        <v>215</v>
      </c>
      <c r="D1496" s="37" t="s">
        <v>1996</v>
      </c>
      <c r="E1496" s="37">
        <v>33.94</v>
      </c>
      <c r="F1496" s="37" t="s">
        <v>1164</v>
      </c>
      <c r="G1496" s="79"/>
    </row>
    <row r="1497" spans="1:7" hidden="1">
      <c r="A1497" s="78">
        <v>43009</v>
      </c>
      <c r="B1497" s="37" t="s">
        <v>98</v>
      </c>
      <c r="C1497" s="1" t="s">
        <v>103</v>
      </c>
      <c r="D1497" s="37" t="s">
        <v>92</v>
      </c>
      <c r="E1497" s="37">
        <v>900</v>
      </c>
      <c r="F1497" s="37" t="s">
        <v>2362</v>
      </c>
      <c r="G1497" s="79"/>
    </row>
    <row r="1498" spans="1:7" hidden="1">
      <c r="A1498" s="78">
        <v>43010</v>
      </c>
      <c r="B1498" s="37" t="s">
        <v>1937</v>
      </c>
      <c r="C1498" s="1" t="s">
        <v>215</v>
      </c>
      <c r="D1498" s="37" t="s">
        <v>1938</v>
      </c>
      <c r="E1498" s="37">
        <v>269.18</v>
      </c>
      <c r="F1498" s="37" t="s">
        <v>1310</v>
      </c>
      <c r="G1498" s="79">
        <f>E1498</f>
        <v>269.18</v>
      </c>
    </row>
    <row r="1499" spans="1:7" hidden="1">
      <c r="A1499" s="78">
        <v>43010</v>
      </c>
      <c r="B1499" s="37" t="s">
        <v>1937</v>
      </c>
      <c r="C1499" s="1" t="s">
        <v>1955</v>
      </c>
      <c r="D1499" s="37" t="s">
        <v>1938</v>
      </c>
      <c r="E1499" s="37">
        <v>40</v>
      </c>
      <c r="F1499" s="37" t="s">
        <v>282</v>
      </c>
      <c r="G1499" s="79">
        <f>E1499/1.2</f>
        <v>33.333333333333336</v>
      </c>
    </row>
    <row r="1500" spans="1:7" hidden="1">
      <c r="A1500" s="78">
        <v>42979</v>
      </c>
      <c r="B1500" s="37" t="s">
        <v>1995</v>
      </c>
      <c r="C1500" s="1" t="s">
        <v>2366</v>
      </c>
      <c r="D1500" s="37" t="s">
        <v>1996</v>
      </c>
      <c r="E1500" s="37">
        <v>1192.3499999999999</v>
      </c>
      <c r="F1500" s="37" t="s">
        <v>2367</v>
      </c>
      <c r="G1500" s="79"/>
    </row>
    <row r="1501" spans="1:7" hidden="1">
      <c r="A1501" s="78">
        <v>42979</v>
      </c>
      <c r="B1501" s="37" t="s">
        <v>1330</v>
      </c>
      <c r="C1501" s="1" t="s">
        <v>2366</v>
      </c>
      <c r="D1501" s="37" t="s">
        <v>1560</v>
      </c>
      <c r="E1501" s="37">
        <v>192.37</v>
      </c>
      <c r="F1501" s="37" t="s">
        <v>1224</v>
      </c>
      <c r="G1501" s="79"/>
    </row>
    <row r="1502" spans="1:7" hidden="1">
      <c r="A1502" s="78">
        <v>42979</v>
      </c>
      <c r="B1502" s="37" t="s">
        <v>619</v>
      </c>
      <c r="C1502" s="1" t="s">
        <v>215</v>
      </c>
      <c r="D1502" s="37" t="s">
        <v>92</v>
      </c>
      <c r="E1502" s="37">
        <v>72</v>
      </c>
      <c r="F1502" s="37" t="s">
        <v>1310</v>
      </c>
      <c r="G1502" s="79">
        <f>E1502/1.2</f>
        <v>60</v>
      </c>
    </row>
    <row r="1503" spans="1:7" hidden="1">
      <c r="A1503" s="78">
        <v>42979</v>
      </c>
      <c r="B1503" s="37" t="s">
        <v>619</v>
      </c>
      <c r="C1503" s="1" t="s">
        <v>171</v>
      </c>
      <c r="D1503" s="37" t="s">
        <v>92</v>
      </c>
      <c r="E1503" s="37">
        <v>240</v>
      </c>
      <c r="F1503" s="37" t="s">
        <v>2368</v>
      </c>
      <c r="G1503" s="79">
        <f>E1503/1.2</f>
        <v>200</v>
      </c>
    </row>
    <row r="1504" spans="1:7" hidden="1">
      <c r="A1504" s="78">
        <v>42979</v>
      </c>
      <c r="B1504" s="37" t="s">
        <v>1962</v>
      </c>
      <c r="C1504" s="1" t="s">
        <v>215</v>
      </c>
      <c r="D1504" s="37" t="s">
        <v>1938</v>
      </c>
      <c r="E1504" s="37">
        <v>9.2200000000000006</v>
      </c>
      <c r="F1504" s="37" t="s">
        <v>2369</v>
      </c>
      <c r="G1504" s="79"/>
    </row>
    <row r="1505" spans="1:7" hidden="1">
      <c r="A1505" s="78">
        <v>43009</v>
      </c>
      <c r="B1505" s="37" t="s">
        <v>2370</v>
      </c>
      <c r="C1505" s="1" t="s">
        <v>215</v>
      </c>
      <c r="D1505" s="37" t="s">
        <v>92</v>
      </c>
      <c r="E1505" s="37">
        <v>193.86</v>
      </c>
      <c r="F1505" s="37" t="s">
        <v>1310</v>
      </c>
      <c r="G1505" s="79"/>
    </row>
    <row r="1506" spans="1:7" hidden="1">
      <c r="A1506" s="78">
        <v>43009</v>
      </c>
      <c r="B1506" s="37" t="s">
        <v>2218</v>
      </c>
      <c r="C1506" s="1" t="s">
        <v>215</v>
      </c>
      <c r="D1506" s="37" t="s">
        <v>1996</v>
      </c>
      <c r="E1506" s="37">
        <v>59.28</v>
      </c>
      <c r="F1506" s="1175" t="s">
        <v>2262</v>
      </c>
      <c r="G1506" s="79"/>
    </row>
    <row r="1507" spans="1:7" hidden="1">
      <c r="A1507" s="78">
        <v>43009</v>
      </c>
      <c r="B1507" s="37" t="s">
        <v>217</v>
      </c>
      <c r="C1507" s="1" t="s">
        <v>104</v>
      </c>
      <c r="D1507" s="37" t="s">
        <v>92</v>
      </c>
      <c r="E1507" s="37">
        <v>340</v>
      </c>
      <c r="F1507" s="37" t="s">
        <v>739</v>
      </c>
      <c r="G1507" s="79"/>
    </row>
    <row r="1508" spans="1:7" hidden="1">
      <c r="A1508" s="78">
        <v>42979</v>
      </c>
      <c r="B1508" s="37" t="s">
        <v>259</v>
      </c>
      <c r="C1508" s="1" t="s">
        <v>171</v>
      </c>
      <c r="D1508" s="37" t="s">
        <v>827</v>
      </c>
      <c r="E1508" s="37">
        <v>1326.52</v>
      </c>
      <c r="F1508" s="37" t="s">
        <v>1477</v>
      </c>
      <c r="G1508" s="79"/>
    </row>
    <row r="1509" spans="1:7" hidden="1">
      <c r="A1509" s="78">
        <v>43009</v>
      </c>
      <c r="B1509" s="37" t="s">
        <v>259</v>
      </c>
      <c r="C1509" s="1" t="s">
        <v>171</v>
      </c>
      <c r="D1509" s="37" t="s">
        <v>827</v>
      </c>
      <c r="E1509" s="37">
        <v>4649.04</v>
      </c>
      <c r="F1509" s="37" t="s">
        <v>1477</v>
      </c>
      <c r="G1509" s="79"/>
    </row>
    <row r="1510" spans="1:7" hidden="1">
      <c r="A1510" s="78">
        <v>42979</v>
      </c>
      <c r="B1510" s="37" t="s">
        <v>259</v>
      </c>
      <c r="C1510" s="1" t="s">
        <v>171</v>
      </c>
      <c r="D1510" s="37" t="s">
        <v>827</v>
      </c>
      <c r="E1510" s="37">
        <v>517.5</v>
      </c>
      <c r="F1510" s="37" t="s">
        <v>1188</v>
      </c>
      <c r="G1510" s="79">
        <f>E1510-86.25</f>
        <v>431.25</v>
      </c>
    </row>
    <row r="1511" spans="1:7" hidden="1">
      <c r="A1511" s="78">
        <v>43009</v>
      </c>
      <c r="B1511" s="37" t="s">
        <v>2058</v>
      </c>
      <c r="C1511" s="1" t="s">
        <v>1955</v>
      </c>
      <c r="D1511" s="37" t="s">
        <v>1560</v>
      </c>
      <c r="E1511" s="37">
        <v>140</v>
      </c>
      <c r="F1511" s="37" t="s">
        <v>2372</v>
      </c>
      <c r="G1511" s="79"/>
    </row>
    <row r="1512" spans="1:7" hidden="1">
      <c r="A1512" s="78">
        <v>43009</v>
      </c>
      <c r="B1512" s="37" t="s">
        <v>55</v>
      </c>
      <c r="C1512" s="1" t="s">
        <v>103</v>
      </c>
      <c r="D1512" s="37" t="s">
        <v>972</v>
      </c>
      <c r="E1512" s="37">
        <v>1196.5</v>
      </c>
      <c r="F1512" s="37" t="s">
        <v>2373</v>
      </c>
      <c r="G1512" s="79"/>
    </row>
    <row r="1513" spans="1:7" hidden="1">
      <c r="A1513" s="78">
        <v>43009</v>
      </c>
      <c r="B1513" s="37" t="s">
        <v>217</v>
      </c>
      <c r="C1513" s="1" t="s">
        <v>104</v>
      </c>
      <c r="D1513" s="37" t="s">
        <v>92</v>
      </c>
      <c r="E1513" s="37">
        <v>1340.69</v>
      </c>
      <c r="F1513" s="37" t="s">
        <v>2374</v>
      </c>
      <c r="G1513" s="79"/>
    </row>
    <row r="1514" spans="1:7" hidden="1">
      <c r="A1514" s="78">
        <v>42979</v>
      </c>
      <c r="B1514" s="37" t="s">
        <v>1561</v>
      </c>
      <c r="C1514" s="1" t="s">
        <v>215</v>
      </c>
      <c r="D1514" s="37" t="s">
        <v>1476</v>
      </c>
      <c r="E1514" s="37">
        <v>2514.2399999999998</v>
      </c>
      <c r="F1514" s="37" t="s">
        <v>2377</v>
      </c>
      <c r="G1514" s="79"/>
    </row>
    <row r="1515" spans="1:7" hidden="1">
      <c r="A1515" s="78">
        <v>43009</v>
      </c>
      <c r="B1515" s="37" t="s">
        <v>172</v>
      </c>
      <c r="C1515" s="1" t="s">
        <v>336</v>
      </c>
      <c r="D1515" s="37" t="s">
        <v>972</v>
      </c>
      <c r="E1515" s="37">
        <v>18</v>
      </c>
      <c r="F1515" s="37" t="s">
        <v>2389</v>
      </c>
      <c r="G1515" s="79"/>
    </row>
    <row r="1516" spans="1:7" hidden="1">
      <c r="A1516" s="78">
        <v>43009</v>
      </c>
      <c r="B1516" s="37" t="s">
        <v>172</v>
      </c>
      <c r="C1516" s="1" t="s">
        <v>104</v>
      </c>
      <c r="D1516" s="37" t="s">
        <v>972</v>
      </c>
      <c r="E1516" s="37">
        <v>702</v>
      </c>
      <c r="F1516" s="37" t="s">
        <v>2390</v>
      </c>
      <c r="G1516" s="79"/>
    </row>
    <row r="1517" spans="1:7" hidden="1">
      <c r="A1517" s="78">
        <v>43009</v>
      </c>
      <c r="B1517" s="37" t="s">
        <v>172</v>
      </c>
      <c r="C1517" s="1" t="s">
        <v>103</v>
      </c>
      <c r="D1517" s="37" t="s">
        <v>972</v>
      </c>
      <c r="E1517" s="37">
        <v>1098</v>
      </c>
      <c r="F1517" s="37" t="s">
        <v>2225</v>
      </c>
      <c r="G1517" s="79">
        <f>E1512-110</f>
        <v>1086.5</v>
      </c>
    </row>
    <row r="1518" spans="1:7" hidden="1">
      <c r="A1518" s="78">
        <v>43009</v>
      </c>
      <c r="B1518" s="37" t="s">
        <v>172</v>
      </c>
      <c r="C1518" s="1" t="s">
        <v>103</v>
      </c>
      <c r="D1518" s="37" t="s">
        <v>972</v>
      </c>
      <c r="E1518" s="37">
        <v>1368</v>
      </c>
      <c r="F1518" s="37" t="s">
        <v>2228</v>
      </c>
      <c r="G1518" s="79">
        <f>360+168+168</f>
        <v>696</v>
      </c>
    </row>
    <row r="1519" spans="1:7" hidden="1">
      <c r="A1519" s="78">
        <v>43009</v>
      </c>
      <c r="B1519" s="37" t="s">
        <v>172</v>
      </c>
      <c r="C1519" s="1" t="s">
        <v>104</v>
      </c>
      <c r="D1519" s="37" t="s">
        <v>972</v>
      </c>
      <c r="E1519" s="37">
        <v>5760</v>
      </c>
      <c r="F1519" s="37" t="s">
        <v>1191</v>
      </c>
      <c r="G1519" s="79"/>
    </row>
    <row r="1520" spans="1:7" hidden="1">
      <c r="A1520" s="78">
        <v>43009</v>
      </c>
      <c r="B1520" s="37" t="s">
        <v>172</v>
      </c>
      <c r="C1520" s="1" t="s">
        <v>103</v>
      </c>
      <c r="D1520" s="37" t="s">
        <v>972</v>
      </c>
      <c r="E1520" s="37">
        <v>450</v>
      </c>
      <c r="F1520" s="37" t="s">
        <v>2391</v>
      </c>
      <c r="G1520" s="79"/>
    </row>
    <row r="1521" spans="1:7" hidden="1">
      <c r="A1521" s="78">
        <v>43009</v>
      </c>
      <c r="B1521" s="37" t="s">
        <v>172</v>
      </c>
      <c r="C1521" s="1" t="s">
        <v>103</v>
      </c>
      <c r="D1521" s="37" t="s">
        <v>972</v>
      </c>
      <c r="E1521" s="37">
        <v>540</v>
      </c>
      <c r="F1521" s="37" t="s">
        <v>2392</v>
      </c>
      <c r="G1521" s="79"/>
    </row>
    <row r="1522" spans="1:7" hidden="1">
      <c r="A1522" s="78">
        <v>43009</v>
      </c>
      <c r="B1522" s="37" t="s">
        <v>172</v>
      </c>
      <c r="C1522" s="1" t="s">
        <v>104</v>
      </c>
      <c r="D1522" s="37" t="s">
        <v>972</v>
      </c>
      <c r="E1522" s="37">
        <v>1062</v>
      </c>
      <c r="F1522" s="37" t="s">
        <v>2400</v>
      </c>
      <c r="G1522" s="79"/>
    </row>
    <row r="1523" spans="1:7" hidden="1">
      <c r="A1523" s="78">
        <v>43009</v>
      </c>
      <c r="B1523" s="37" t="s">
        <v>172</v>
      </c>
      <c r="C1523" s="1" t="s">
        <v>1685</v>
      </c>
      <c r="D1523" s="37" t="s">
        <v>972</v>
      </c>
      <c r="E1523" s="37">
        <v>1062</v>
      </c>
      <c r="F1523" s="37" t="s">
        <v>2401</v>
      </c>
      <c r="G1523" s="79"/>
    </row>
    <row r="1524" spans="1:7" hidden="1">
      <c r="A1524" s="78">
        <v>43009</v>
      </c>
      <c r="B1524" s="37" t="s">
        <v>1455</v>
      </c>
      <c r="C1524" s="1" t="s">
        <v>215</v>
      </c>
      <c r="D1524" s="37" t="s">
        <v>1938</v>
      </c>
      <c r="E1524" s="37">
        <v>289.98</v>
      </c>
      <c r="F1524" s="37" t="s">
        <v>1467</v>
      </c>
      <c r="G1524" s="79"/>
    </row>
    <row r="1525" spans="1:7" hidden="1">
      <c r="A1525" s="78">
        <v>43009</v>
      </c>
      <c r="B1525" s="37" t="s">
        <v>55</v>
      </c>
      <c r="C1525" s="1" t="s">
        <v>1493</v>
      </c>
      <c r="D1525" s="37" t="s">
        <v>972</v>
      </c>
      <c r="E1525" s="37">
        <v>791.3</v>
      </c>
      <c r="F1525" s="37" t="s">
        <v>2399</v>
      </c>
      <c r="G1525" s="79"/>
    </row>
    <row r="1526" spans="1:7" hidden="1">
      <c r="A1526" s="78">
        <v>43009</v>
      </c>
      <c r="B1526" s="37" t="s">
        <v>49</v>
      </c>
      <c r="C1526" s="1" t="s">
        <v>104</v>
      </c>
      <c r="D1526" s="37" t="s">
        <v>972</v>
      </c>
      <c r="E1526" s="37">
        <v>64.680000000000007</v>
      </c>
      <c r="F1526" s="37" t="s">
        <v>2404</v>
      </c>
      <c r="G1526" s="79"/>
    </row>
    <row r="1527" spans="1:7" hidden="1">
      <c r="A1527" s="78">
        <v>43009</v>
      </c>
      <c r="B1527" s="37" t="s">
        <v>49</v>
      </c>
      <c r="C1527" s="1" t="s">
        <v>104</v>
      </c>
      <c r="D1527" s="37" t="s">
        <v>972</v>
      </c>
      <c r="E1527" s="37">
        <v>400.79</v>
      </c>
      <c r="F1527" s="37" t="s">
        <v>2405</v>
      </c>
      <c r="G1527" s="79"/>
    </row>
    <row r="1528" spans="1:7" hidden="1">
      <c r="A1528" s="78">
        <v>43009</v>
      </c>
      <c r="B1528" s="37" t="s">
        <v>49</v>
      </c>
      <c r="C1528" s="1" t="s">
        <v>103</v>
      </c>
      <c r="D1528" s="37" t="s">
        <v>972</v>
      </c>
      <c r="E1528" s="37">
        <v>20.75</v>
      </c>
      <c r="F1528" s="37" t="s">
        <v>1597</v>
      </c>
      <c r="G1528" s="79"/>
    </row>
    <row r="1529" spans="1:7" hidden="1">
      <c r="A1529" s="78">
        <v>43009</v>
      </c>
      <c r="B1529" s="37" t="s">
        <v>49</v>
      </c>
      <c r="C1529" s="1" t="s">
        <v>104</v>
      </c>
      <c r="D1529" s="37" t="s">
        <v>972</v>
      </c>
      <c r="E1529" s="37">
        <v>393.23</v>
      </c>
      <c r="F1529" s="37" t="s">
        <v>2406</v>
      </c>
      <c r="G1529" s="79"/>
    </row>
    <row r="1530" spans="1:7" hidden="1">
      <c r="A1530" s="78">
        <v>43009</v>
      </c>
      <c r="B1530" s="37" t="s">
        <v>214</v>
      </c>
      <c r="C1530" s="1" t="s">
        <v>215</v>
      </c>
      <c r="D1530" s="37" t="s">
        <v>827</v>
      </c>
      <c r="E1530" s="37">
        <v>854.1</v>
      </c>
      <c r="F1530" s="37" t="s">
        <v>1474</v>
      </c>
      <c r="G1530" s="79"/>
    </row>
    <row r="1531" spans="1:7" hidden="1">
      <c r="A1531" s="78">
        <v>43009</v>
      </c>
      <c r="B1531" s="37" t="s">
        <v>790</v>
      </c>
      <c r="C1531" s="1" t="s">
        <v>215</v>
      </c>
      <c r="D1531" s="37" t="s">
        <v>92</v>
      </c>
      <c r="E1531" s="107">
        <v>109.66</v>
      </c>
      <c r="F1531" s="37" t="s">
        <v>1794</v>
      </c>
      <c r="G1531" s="79"/>
    </row>
    <row r="1532" spans="1:7" hidden="1">
      <c r="A1532" s="78">
        <v>43009</v>
      </c>
      <c r="B1532" s="37" t="s">
        <v>2289</v>
      </c>
      <c r="C1532" s="1" t="s">
        <v>103</v>
      </c>
      <c r="D1532" s="37" t="s">
        <v>722</v>
      </c>
      <c r="E1532" s="37">
        <v>110</v>
      </c>
      <c r="F1532" s="37" t="s">
        <v>2409</v>
      </c>
      <c r="G1532" s="79"/>
    </row>
    <row r="1533" spans="1:7" hidden="1">
      <c r="A1533" s="78">
        <v>43040</v>
      </c>
      <c r="B1533" s="37" t="s">
        <v>98</v>
      </c>
      <c r="C1533" s="1" t="s">
        <v>103</v>
      </c>
      <c r="D1533" s="37" t="s">
        <v>92</v>
      </c>
      <c r="E1533" s="37">
        <v>900</v>
      </c>
      <c r="F1533" s="37" t="s">
        <v>2414</v>
      </c>
      <c r="G1533" s="79"/>
    </row>
    <row r="1534" spans="1:7" hidden="1">
      <c r="A1534" s="78">
        <v>43009</v>
      </c>
      <c r="B1534" s="37" t="s">
        <v>1916</v>
      </c>
      <c r="C1534" s="1" t="s">
        <v>215</v>
      </c>
      <c r="D1534" s="37" t="s">
        <v>1996</v>
      </c>
      <c r="E1534" s="37">
        <v>177.35</v>
      </c>
      <c r="F1534" s="37" t="s">
        <v>1164</v>
      </c>
      <c r="G1534" s="79"/>
    </row>
    <row r="1535" spans="1:7" hidden="1">
      <c r="A1535" s="78">
        <v>43040</v>
      </c>
      <c r="B1535" s="37" t="s">
        <v>2110</v>
      </c>
      <c r="C1535" s="1" t="s">
        <v>215</v>
      </c>
      <c r="D1535" s="37" t="s">
        <v>1996</v>
      </c>
      <c r="E1535" s="37">
        <v>181.54</v>
      </c>
      <c r="F1535" s="37" t="s">
        <v>1210</v>
      </c>
      <c r="G1535" s="79"/>
    </row>
    <row r="1536" spans="1:7" hidden="1">
      <c r="A1536" s="78">
        <v>43009</v>
      </c>
      <c r="B1536" s="37" t="s">
        <v>2415</v>
      </c>
      <c r="C1536" s="1" t="s">
        <v>2290</v>
      </c>
      <c r="D1536" s="37" t="s">
        <v>92</v>
      </c>
      <c r="E1536" s="37">
        <v>7.49</v>
      </c>
      <c r="F1536" s="37" t="s">
        <v>1310</v>
      </c>
      <c r="G1536" s="79"/>
    </row>
    <row r="1537" spans="1:8" hidden="1">
      <c r="A1537" s="78">
        <v>43009</v>
      </c>
      <c r="B1537" s="37" t="s">
        <v>2415</v>
      </c>
      <c r="C1537" s="1" t="s">
        <v>103</v>
      </c>
      <c r="D1537" s="37" t="s">
        <v>92</v>
      </c>
      <c r="E1537" s="37">
        <v>8.27</v>
      </c>
      <c r="F1537" s="37" t="s">
        <v>1310</v>
      </c>
      <c r="G1537" s="79"/>
    </row>
    <row r="1538" spans="1:8" hidden="1">
      <c r="A1538" s="78">
        <v>43009</v>
      </c>
      <c r="B1538" s="37" t="s">
        <v>790</v>
      </c>
      <c r="C1538" s="1" t="s">
        <v>104</v>
      </c>
      <c r="D1538" s="37" t="s">
        <v>92</v>
      </c>
      <c r="E1538" s="37">
        <v>120</v>
      </c>
      <c r="F1538" s="37" t="s">
        <v>1691</v>
      </c>
      <c r="G1538" s="79"/>
    </row>
    <row r="1539" spans="1:8" hidden="1">
      <c r="A1539" s="78">
        <v>43009</v>
      </c>
      <c r="B1539" s="37" t="s">
        <v>790</v>
      </c>
      <c r="C1539" s="1" t="s">
        <v>2290</v>
      </c>
      <c r="D1539" s="37" t="s">
        <v>92</v>
      </c>
      <c r="E1539" s="37">
        <v>120</v>
      </c>
      <c r="F1539" s="37" t="s">
        <v>2416</v>
      </c>
      <c r="G1539" s="79"/>
    </row>
    <row r="1540" spans="1:8" hidden="1">
      <c r="A1540" s="78">
        <v>43009</v>
      </c>
      <c r="B1540" s="37" t="s">
        <v>790</v>
      </c>
      <c r="C1540" s="1" t="s">
        <v>104</v>
      </c>
      <c r="D1540" s="37" t="s">
        <v>92</v>
      </c>
      <c r="E1540" s="37">
        <v>120</v>
      </c>
      <c r="F1540" s="37" t="s">
        <v>1691</v>
      </c>
      <c r="G1540" s="79"/>
    </row>
    <row r="1541" spans="1:8" hidden="1">
      <c r="A1541" s="78">
        <v>43009</v>
      </c>
      <c r="B1541" s="37" t="s">
        <v>619</v>
      </c>
      <c r="C1541" s="1" t="s">
        <v>171</v>
      </c>
      <c r="D1541" s="37" t="s">
        <v>92</v>
      </c>
      <c r="E1541" s="37">
        <v>360</v>
      </c>
      <c r="F1541" s="37" t="s">
        <v>2418</v>
      </c>
      <c r="G1541" s="79">
        <f>E1541/1.2</f>
        <v>300</v>
      </c>
      <c r="H1541">
        <f>E1541-G1541</f>
        <v>60</v>
      </c>
    </row>
    <row r="1542" spans="1:8" hidden="1">
      <c r="A1542" s="78">
        <v>43009</v>
      </c>
      <c r="B1542" s="37" t="s">
        <v>619</v>
      </c>
      <c r="C1542" s="1" t="s">
        <v>171</v>
      </c>
      <c r="D1542" s="37" t="s">
        <v>92</v>
      </c>
      <c r="E1542" s="37">
        <v>120</v>
      </c>
      <c r="F1542" s="37" t="s">
        <v>1080</v>
      </c>
      <c r="G1542" s="79">
        <f>E1542/1.2</f>
        <v>100</v>
      </c>
      <c r="H1542">
        <f>E1542-G1542</f>
        <v>20</v>
      </c>
    </row>
    <row r="1543" spans="1:8" hidden="1">
      <c r="A1543" s="78">
        <v>43009</v>
      </c>
      <c r="B1543" s="37" t="s">
        <v>619</v>
      </c>
      <c r="C1543" s="1" t="s">
        <v>171</v>
      </c>
      <c r="D1543" s="37" t="s">
        <v>92</v>
      </c>
      <c r="E1543" s="37">
        <v>24</v>
      </c>
      <c r="F1543" s="37" t="s">
        <v>2418</v>
      </c>
      <c r="G1543" s="79">
        <f>E1543/1.2</f>
        <v>20</v>
      </c>
      <c r="H1543">
        <f>E1543-G1543</f>
        <v>4</v>
      </c>
    </row>
    <row r="1544" spans="1:8" hidden="1">
      <c r="A1544" s="78">
        <v>43040</v>
      </c>
      <c r="B1544" s="37" t="s">
        <v>2058</v>
      </c>
      <c r="C1544" s="1" t="s">
        <v>103</v>
      </c>
      <c r="D1544" s="37" t="s">
        <v>1560</v>
      </c>
      <c r="E1544" s="37">
        <v>70</v>
      </c>
      <c r="F1544" s="37" t="s">
        <v>2419</v>
      </c>
      <c r="G1544" s="79"/>
    </row>
    <row r="1545" spans="1:8" hidden="1">
      <c r="A1545" s="78">
        <v>43009</v>
      </c>
      <c r="B1545" s="37" t="s">
        <v>217</v>
      </c>
      <c r="C1545" s="1" t="s">
        <v>104</v>
      </c>
      <c r="D1545" s="37" t="s">
        <v>92</v>
      </c>
      <c r="E1545" s="37">
        <v>2401.87</v>
      </c>
      <c r="F1545" s="37" t="s">
        <v>335</v>
      </c>
      <c r="G1545" s="79"/>
    </row>
    <row r="1546" spans="1:8" hidden="1">
      <c r="A1546" s="78">
        <v>43009</v>
      </c>
      <c r="B1546" s="37" t="s">
        <v>2361</v>
      </c>
      <c r="C1546" s="1" t="s">
        <v>2427</v>
      </c>
      <c r="D1546" s="37" t="s">
        <v>673</v>
      </c>
      <c r="E1546" s="37">
        <v>50.47</v>
      </c>
      <c r="F1546" s="37" t="s">
        <v>1474</v>
      </c>
      <c r="G1546" s="79"/>
    </row>
    <row r="1547" spans="1:8" hidden="1">
      <c r="A1547" s="78">
        <v>43009</v>
      </c>
      <c r="B1547" s="37" t="s">
        <v>1330</v>
      </c>
      <c r="C1547" s="1" t="s">
        <v>2427</v>
      </c>
      <c r="D1547" s="37" t="s">
        <v>1560</v>
      </c>
      <c r="E1547" s="37">
        <v>127.82</v>
      </c>
      <c r="F1547" s="37" t="s">
        <v>335</v>
      </c>
      <c r="G1547" s="79"/>
    </row>
    <row r="1548" spans="1:8" hidden="1">
      <c r="A1548" s="78">
        <v>43040</v>
      </c>
      <c r="B1548" s="37" t="s">
        <v>1937</v>
      </c>
      <c r="C1548" s="1" t="s">
        <v>2427</v>
      </c>
      <c r="D1548" s="37" t="s">
        <v>1938</v>
      </c>
      <c r="E1548" s="107">
        <v>113.02</v>
      </c>
      <c r="F1548" s="37" t="s">
        <v>1310</v>
      </c>
      <c r="G1548" s="79"/>
    </row>
    <row r="1549" spans="1:8" hidden="1">
      <c r="A1549" s="78">
        <v>43040</v>
      </c>
      <c r="B1549" s="37" t="s">
        <v>6</v>
      </c>
      <c r="C1549" s="1" t="s">
        <v>2427</v>
      </c>
      <c r="D1549" s="37" t="s">
        <v>1938</v>
      </c>
      <c r="E1549" s="389">
        <v>293.64999999999998</v>
      </c>
      <c r="F1549" s="37" t="s">
        <v>335</v>
      </c>
      <c r="G1549" s="79"/>
    </row>
    <row r="1550" spans="1:8" hidden="1">
      <c r="A1550" s="78">
        <v>43009</v>
      </c>
      <c r="B1550" s="37" t="s">
        <v>6</v>
      </c>
      <c r="C1550" s="1" t="s">
        <v>1340</v>
      </c>
      <c r="D1550" s="37" t="s">
        <v>1938</v>
      </c>
      <c r="E1550" s="389">
        <v>200</v>
      </c>
      <c r="F1550" s="37" t="s">
        <v>1475</v>
      </c>
      <c r="G1550" s="79"/>
      <c r="H1550">
        <f>E1550-E1550/1.2</f>
        <v>33.333333333333314</v>
      </c>
    </row>
    <row r="1551" spans="1:8" hidden="1">
      <c r="A1551" s="78">
        <v>43040</v>
      </c>
      <c r="B1551" s="37" t="s">
        <v>1330</v>
      </c>
      <c r="C1551" s="1" t="s">
        <v>2432</v>
      </c>
      <c r="D1551" s="37" t="s">
        <v>1560</v>
      </c>
      <c r="E1551" s="37">
        <v>75</v>
      </c>
      <c r="F1551" s="37" t="s">
        <v>2433</v>
      </c>
      <c r="G1551" s="79"/>
    </row>
    <row r="1552" spans="1:8" hidden="1">
      <c r="A1552" s="78">
        <v>43040</v>
      </c>
      <c r="B1552" s="37" t="s">
        <v>1330</v>
      </c>
      <c r="C1552" s="1" t="s">
        <v>1898</v>
      </c>
      <c r="D1552" s="37" t="s">
        <v>1560</v>
      </c>
      <c r="E1552" s="37">
        <v>75</v>
      </c>
      <c r="F1552" s="37" t="s">
        <v>2434</v>
      </c>
      <c r="G1552" s="79"/>
    </row>
    <row r="1553" spans="1:8" hidden="1">
      <c r="A1553" s="78">
        <v>43040</v>
      </c>
      <c r="B1553" s="37" t="s">
        <v>55</v>
      </c>
      <c r="C1553" s="1" t="s">
        <v>1934</v>
      </c>
      <c r="D1553" s="37" t="s">
        <v>972</v>
      </c>
      <c r="E1553" s="37">
        <v>791.3</v>
      </c>
      <c r="F1553" s="37" t="s">
        <v>2435</v>
      </c>
      <c r="G1553" s="79"/>
    </row>
    <row r="1554" spans="1:8" hidden="1">
      <c r="A1554" s="78">
        <v>43040</v>
      </c>
      <c r="B1554" s="37" t="s">
        <v>55</v>
      </c>
      <c r="C1554" s="1" t="s">
        <v>103</v>
      </c>
      <c r="D1554" s="37" t="s">
        <v>972</v>
      </c>
      <c r="E1554" s="37">
        <v>1168.5</v>
      </c>
      <c r="F1554" s="37" t="s">
        <v>2436</v>
      </c>
      <c r="G1554" s="79"/>
    </row>
    <row r="1555" spans="1:8" hidden="1">
      <c r="A1555" s="78">
        <v>43040</v>
      </c>
      <c r="B1555" s="37" t="s">
        <v>49</v>
      </c>
      <c r="C1555" s="1" t="s">
        <v>103</v>
      </c>
      <c r="D1555" s="37" t="s">
        <v>972</v>
      </c>
      <c r="E1555" s="37">
        <v>39.85</v>
      </c>
      <c r="F1555" s="37" t="s">
        <v>1597</v>
      </c>
      <c r="G1555" s="79"/>
    </row>
    <row r="1556" spans="1:8" hidden="1">
      <c r="A1556" s="78">
        <v>43040</v>
      </c>
      <c r="B1556" s="37" t="s">
        <v>49</v>
      </c>
      <c r="C1556" s="1" t="s">
        <v>104</v>
      </c>
      <c r="D1556" s="37" t="s">
        <v>972</v>
      </c>
      <c r="E1556" s="37">
        <v>3.85</v>
      </c>
      <c r="F1556" s="37" t="s">
        <v>1450</v>
      </c>
      <c r="G1556" s="79"/>
    </row>
    <row r="1557" spans="1:8" hidden="1">
      <c r="A1557" s="78">
        <v>43009</v>
      </c>
      <c r="B1557" s="37" t="s">
        <v>1962</v>
      </c>
      <c r="C1557" s="1" t="s">
        <v>215</v>
      </c>
      <c r="D1557" s="37" t="s">
        <v>1938</v>
      </c>
      <c r="E1557" s="37">
        <v>17.600000000000001</v>
      </c>
      <c r="F1557" s="37" t="s">
        <v>335</v>
      </c>
      <c r="G1557" s="79"/>
    </row>
    <row r="1558" spans="1:8" hidden="1">
      <c r="A1558" s="78">
        <v>43009</v>
      </c>
      <c r="B1558" s="37" t="s">
        <v>214</v>
      </c>
      <c r="C1558" s="1" t="s">
        <v>215</v>
      </c>
      <c r="D1558" s="37" t="s">
        <v>2452</v>
      </c>
      <c r="E1558" s="37">
        <v>493.2</v>
      </c>
      <c r="F1558" s="37" t="s">
        <v>2453</v>
      </c>
      <c r="G1558" s="79"/>
    </row>
    <row r="1559" spans="1:8" hidden="1">
      <c r="A1559" s="78">
        <v>43040</v>
      </c>
      <c r="B1559" s="37" t="s">
        <v>172</v>
      </c>
      <c r="C1559" s="1" t="s">
        <v>104</v>
      </c>
      <c r="D1559" s="37" t="s">
        <v>972</v>
      </c>
      <c r="E1559" s="37">
        <v>2034</v>
      </c>
      <c r="F1559" s="37" t="s">
        <v>1224</v>
      </c>
      <c r="G1559" s="79"/>
    </row>
    <row r="1560" spans="1:8" hidden="1">
      <c r="A1560" s="78">
        <v>43040</v>
      </c>
      <c r="B1560" s="37" t="s">
        <v>172</v>
      </c>
      <c r="C1560" s="1" t="s">
        <v>103</v>
      </c>
      <c r="D1560" s="37" t="s">
        <v>972</v>
      </c>
      <c r="E1560" s="37">
        <v>396</v>
      </c>
      <c r="F1560" s="37" t="s">
        <v>2166</v>
      </c>
      <c r="G1560" s="79"/>
    </row>
    <row r="1561" spans="1:8" hidden="1">
      <c r="A1561" s="78">
        <v>43040</v>
      </c>
      <c r="B1561" s="37" t="s">
        <v>172</v>
      </c>
      <c r="C1561" s="1" t="s">
        <v>103</v>
      </c>
      <c r="D1561" s="37" t="s">
        <v>972</v>
      </c>
      <c r="E1561" s="37">
        <v>1098</v>
      </c>
      <c r="F1561" s="37" t="s">
        <v>2225</v>
      </c>
      <c r="G1561" s="79"/>
    </row>
    <row r="1562" spans="1:8" hidden="1">
      <c r="A1562" s="78">
        <v>43040</v>
      </c>
      <c r="B1562" s="37" t="s">
        <v>172</v>
      </c>
      <c r="C1562" s="1" t="s">
        <v>103</v>
      </c>
      <c r="D1562" s="37" t="s">
        <v>972</v>
      </c>
      <c r="E1562" s="37">
        <v>1368</v>
      </c>
      <c r="F1562" s="37" t="s">
        <v>2228</v>
      </c>
      <c r="G1562" s="79"/>
    </row>
    <row r="1563" spans="1:8" hidden="1">
      <c r="A1563" s="78">
        <v>43040</v>
      </c>
      <c r="B1563" s="37" t="s">
        <v>172</v>
      </c>
      <c r="C1563" s="1" t="s">
        <v>103</v>
      </c>
      <c r="D1563" s="37" t="s">
        <v>972</v>
      </c>
      <c r="E1563" s="37">
        <v>504</v>
      </c>
      <c r="F1563" s="37" t="s">
        <v>2468</v>
      </c>
      <c r="G1563" s="79"/>
    </row>
    <row r="1564" spans="1:8" hidden="1">
      <c r="A1564" s="78">
        <v>43040</v>
      </c>
      <c r="B1564" s="37" t="s">
        <v>172</v>
      </c>
      <c r="C1564" s="1" t="s">
        <v>104</v>
      </c>
      <c r="D1564" s="37" t="s">
        <v>972</v>
      </c>
      <c r="E1564" s="37">
        <v>468</v>
      </c>
      <c r="F1564" s="37" t="s">
        <v>2469</v>
      </c>
      <c r="G1564" s="79"/>
      <c r="H1564">
        <f>E1564/E1602*300</f>
        <v>195</v>
      </c>
    </row>
    <row r="1565" spans="1:8" hidden="1">
      <c r="A1565" s="78">
        <v>43040</v>
      </c>
      <c r="B1565" s="37" t="s">
        <v>172</v>
      </c>
      <c r="C1565" s="1"/>
      <c r="D1565" s="37" t="s">
        <v>972</v>
      </c>
      <c r="E1565" s="37"/>
      <c r="F1565" s="37"/>
      <c r="G1565" s="79"/>
    </row>
    <row r="1566" spans="1:8" hidden="1">
      <c r="A1566" s="78">
        <v>43040</v>
      </c>
      <c r="B1566" s="37" t="s">
        <v>2289</v>
      </c>
      <c r="C1566" s="1" t="s">
        <v>104</v>
      </c>
      <c r="D1566" s="37" t="s">
        <v>722</v>
      </c>
      <c r="E1566" s="37">
        <v>110</v>
      </c>
      <c r="F1566" s="37" t="s">
        <v>557</v>
      </c>
      <c r="G1566" s="79"/>
    </row>
    <row r="1567" spans="1:8" hidden="1">
      <c r="A1567" s="78">
        <v>43040</v>
      </c>
      <c r="B1567" s="37" t="s">
        <v>259</v>
      </c>
      <c r="C1567" s="1" t="s">
        <v>171</v>
      </c>
      <c r="D1567" s="37" t="s">
        <v>2483</v>
      </c>
      <c r="E1567" s="37">
        <v>3970.82</v>
      </c>
      <c r="F1567" s="37" t="s">
        <v>1477</v>
      </c>
      <c r="G1567" s="79"/>
    </row>
    <row r="1568" spans="1:8" hidden="1">
      <c r="A1568" s="78">
        <v>43040</v>
      </c>
      <c r="B1568" s="37" t="s">
        <v>259</v>
      </c>
      <c r="C1568" s="1" t="s">
        <v>171</v>
      </c>
      <c r="D1568" s="37" t="s">
        <v>2483</v>
      </c>
      <c r="E1568" s="37">
        <v>1035</v>
      </c>
      <c r="F1568" s="37" t="s">
        <v>1188</v>
      </c>
      <c r="G1568" s="79"/>
    </row>
    <row r="1569" spans="1:7" hidden="1">
      <c r="A1569" s="78">
        <v>43040</v>
      </c>
      <c r="B1569" s="37" t="s">
        <v>1330</v>
      </c>
      <c r="C1569" s="1" t="s">
        <v>215</v>
      </c>
      <c r="D1569" s="37" t="s">
        <v>1560</v>
      </c>
      <c r="E1569" s="37">
        <v>124.29</v>
      </c>
      <c r="F1569" s="37" t="s">
        <v>335</v>
      </c>
      <c r="G1569" s="79"/>
    </row>
    <row r="1570" spans="1:7" hidden="1">
      <c r="A1570" s="78">
        <v>43040</v>
      </c>
      <c r="B1570" s="37" t="s">
        <v>1916</v>
      </c>
      <c r="C1570" s="1" t="s">
        <v>215</v>
      </c>
      <c r="D1570" s="37" t="s">
        <v>1996</v>
      </c>
      <c r="E1570" s="37">
        <v>151.71</v>
      </c>
      <c r="F1570" s="37" t="s">
        <v>1164</v>
      </c>
      <c r="G1570" s="79"/>
    </row>
    <row r="1571" spans="1:7" hidden="1">
      <c r="A1571" s="78">
        <v>43040</v>
      </c>
      <c r="B1571" s="37" t="s">
        <v>1962</v>
      </c>
      <c r="C1571" s="1" t="s">
        <v>215</v>
      </c>
      <c r="D1571" s="37" t="s">
        <v>1938</v>
      </c>
      <c r="E1571" s="37">
        <v>21.51</v>
      </c>
      <c r="F1571" s="37" t="s">
        <v>2369</v>
      </c>
      <c r="G1571" s="79"/>
    </row>
    <row r="1572" spans="1:7" hidden="1">
      <c r="A1572" s="78">
        <v>43040</v>
      </c>
      <c r="B1572" s="37" t="s">
        <v>217</v>
      </c>
      <c r="C1572" s="1" t="s">
        <v>2472</v>
      </c>
      <c r="D1572" s="37" t="s">
        <v>92</v>
      </c>
      <c r="E1572" s="37">
        <v>2231.61</v>
      </c>
      <c r="F1572" s="37" t="s">
        <v>2473</v>
      </c>
      <c r="G1572" s="79"/>
    </row>
    <row r="1573" spans="1:7" hidden="1">
      <c r="A1573" s="78">
        <v>43040</v>
      </c>
      <c r="B1573" s="37" t="s">
        <v>790</v>
      </c>
      <c r="C1573" s="1" t="s">
        <v>104</v>
      </c>
      <c r="D1573" s="37" t="s">
        <v>92</v>
      </c>
      <c r="E1573" s="37">
        <v>120</v>
      </c>
      <c r="F1573" s="37" t="s">
        <v>1198</v>
      </c>
      <c r="G1573" s="79"/>
    </row>
    <row r="1574" spans="1:7" hidden="1">
      <c r="A1574" s="78">
        <v>43040</v>
      </c>
      <c r="B1574" s="37" t="s">
        <v>790</v>
      </c>
      <c r="C1574" s="1" t="s">
        <v>104</v>
      </c>
      <c r="D1574" s="37" t="s">
        <v>92</v>
      </c>
      <c r="E1574" s="37">
        <v>120</v>
      </c>
      <c r="F1574" s="37" t="s">
        <v>1198</v>
      </c>
      <c r="G1574" s="79"/>
    </row>
    <row r="1575" spans="1:7" hidden="1">
      <c r="A1575" s="78">
        <v>43040</v>
      </c>
      <c r="B1575" s="37" t="s">
        <v>790</v>
      </c>
      <c r="C1575" s="1" t="s">
        <v>2290</v>
      </c>
      <c r="D1575" s="37" t="s">
        <v>92</v>
      </c>
      <c r="E1575" s="37">
        <v>120</v>
      </c>
      <c r="F1575" s="37" t="s">
        <v>2474</v>
      </c>
      <c r="G1575" s="79"/>
    </row>
    <row r="1576" spans="1:7" hidden="1">
      <c r="A1576" s="78">
        <v>43040</v>
      </c>
      <c r="B1576" s="37" t="s">
        <v>790</v>
      </c>
      <c r="C1576" s="1" t="s">
        <v>215</v>
      </c>
      <c r="D1576" s="37" t="s">
        <v>92</v>
      </c>
      <c r="E1576" s="37">
        <v>120</v>
      </c>
      <c r="F1576" s="37" t="s">
        <v>2475</v>
      </c>
      <c r="G1576" s="79"/>
    </row>
    <row r="1577" spans="1:7" hidden="1">
      <c r="A1577" s="78">
        <v>43070</v>
      </c>
      <c r="B1577" s="37" t="s">
        <v>2110</v>
      </c>
      <c r="C1577" s="1" t="s">
        <v>215</v>
      </c>
      <c r="D1577" s="37" t="s">
        <v>1996</v>
      </c>
      <c r="E1577" s="37">
        <v>170.23</v>
      </c>
      <c r="F1577" s="37" t="s">
        <v>1210</v>
      </c>
      <c r="G1577" s="79"/>
    </row>
    <row r="1578" spans="1:7" hidden="1">
      <c r="A1578" s="78">
        <v>43040</v>
      </c>
      <c r="B1578" s="37" t="s">
        <v>619</v>
      </c>
      <c r="C1578" s="1" t="s">
        <v>171</v>
      </c>
      <c r="D1578" s="37" t="s">
        <v>92</v>
      </c>
      <c r="E1578" s="37">
        <v>192</v>
      </c>
      <c r="F1578" s="37" t="s">
        <v>1310</v>
      </c>
      <c r="G1578" s="79"/>
    </row>
    <row r="1579" spans="1:7" hidden="1">
      <c r="A1579" s="78">
        <v>43040</v>
      </c>
      <c r="B1579" s="37" t="s">
        <v>619</v>
      </c>
      <c r="C1579" s="1" t="s">
        <v>171</v>
      </c>
      <c r="D1579" s="37" t="s">
        <v>92</v>
      </c>
      <c r="E1579" s="37">
        <v>768</v>
      </c>
      <c r="F1579" s="37" t="s">
        <v>1764</v>
      </c>
      <c r="G1579" s="79"/>
    </row>
    <row r="1580" spans="1:7" hidden="1">
      <c r="A1580" s="78">
        <v>43040</v>
      </c>
      <c r="B1580" s="37" t="s">
        <v>2261</v>
      </c>
      <c r="C1580" s="1" t="s">
        <v>103</v>
      </c>
      <c r="D1580" s="37" t="s">
        <v>92</v>
      </c>
      <c r="E1580" s="37">
        <v>45.22</v>
      </c>
      <c r="F1580" s="37" t="s">
        <v>1310</v>
      </c>
      <c r="G1580" s="79"/>
    </row>
    <row r="1581" spans="1:7" hidden="1">
      <c r="A1581" s="78">
        <v>43040</v>
      </c>
      <c r="B1581" s="37" t="s">
        <v>2476</v>
      </c>
      <c r="C1581" s="1" t="s">
        <v>103</v>
      </c>
      <c r="D1581" s="37" t="s">
        <v>92</v>
      </c>
      <c r="E1581" s="37">
        <v>3.52</v>
      </c>
      <c r="F1581" s="37" t="s">
        <v>1310</v>
      </c>
      <c r="G1581" s="79"/>
    </row>
    <row r="1582" spans="1:7" hidden="1">
      <c r="A1582" s="78">
        <v>43040</v>
      </c>
      <c r="B1582" s="37" t="s">
        <v>2477</v>
      </c>
      <c r="C1582" s="1" t="s">
        <v>103</v>
      </c>
      <c r="D1582" s="37" t="s">
        <v>92</v>
      </c>
      <c r="E1582" s="37">
        <v>3.52</v>
      </c>
      <c r="F1582" s="37" t="s">
        <v>1310</v>
      </c>
      <c r="G1582" s="79"/>
    </row>
    <row r="1583" spans="1:7" hidden="1">
      <c r="A1583" s="78">
        <v>43040</v>
      </c>
      <c r="B1583" s="37" t="s">
        <v>2478</v>
      </c>
      <c r="C1583" s="1" t="s">
        <v>103</v>
      </c>
      <c r="D1583" s="37" t="s">
        <v>92</v>
      </c>
      <c r="E1583" s="37">
        <v>3.52</v>
      </c>
      <c r="F1583" s="37" t="s">
        <v>1310</v>
      </c>
      <c r="G1583" s="79"/>
    </row>
    <row r="1584" spans="1:7" hidden="1">
      <c r="A1584" s="78">
        <v>43040</v>
      </c>
      <c r="B1584" s="37" t="s">
        <v>2479</v>
      </c>
      <c r="C1584" s="1" t="s">
        <v>103</v>
      </c>
      <c r="D1584" s="37" t="s">
        <v>92</v>
      </c>
      <c r="E1584" s="37">
        <v>3.52</v>
      </c>
      <c r="F1584" s="37" t="s">
        <v>1310</v>
      </c>
      <c r="G1584" s="79"/>
    </row>
    <row r="1585" spans="1:8" hidden="1">
      <c r="A1585" s="78">
        <v>43040</v>
      </c>
      <c r="B1585" s="37" t="s">
        <v>2480</v>
      </c>
      <c r="C1585" s="1" t="s">
        <v>103</v>
      </c>
      <c r="D1585" s="37" t="s">
        <v>92</v>
      </c>
      <c r="E1585" s="37">
        <v>69.39</v>
      </c>
      <c r="F1585" s="37" t="s">
        <v>1310</v>
      </c>
      <c r="G1585" s="79"/>
    </row>
    <row r="1586" spans="1:8" hidden="1">
      <c r="A1586" s="78">
        <v>43040</v>
      </c>
      <c r="B1586" s="37" t="s">
        <v>2481</v>
      </c>
      <c r="C1586" s="1" t="s">
        <v>103</v>
      </c>
      <c r="D1586" s="37" t="s">
        <v>92</v>
      </c>
      <c r="E1586" s="37">
        <v>24.65</v>
      </c>
      <c r="F1586" s="37" t="s">
        <v>1310</v>
      </c>
      <c r="G1586" s="79"/>
    </row>
    <row r="1587" spans="1:8" hidden="1">
      <c r="A1587" s="78">
        <v>43040</v>
      </c>
      <c r="B1587" s="37" t="s">
        <v>2482</v>
      </c>
      <c r="C1587" s="1" t="s">
        <v>103</v>
      </c>
      <c r="D1587" s="37" t="s">
        <v>92</v>
      </c>
      <c r="E1587" s="37">
        <v>15.34</v>
      </c>
      <c r="F1587" s="37" t="s">
        <v>1310</v>
      </c>
      <c r="G1587" s="79"/>
    </row>
    <row r="1588" spans="1:8" hidden="1">
      <c r="A1588" s="78">
        <v>43070</v>
      </c>
      <c r="B1588" s="37" t="s">
        <v>1937</v>
      </c>
      <c r="C1588" s="1" t="s">
        <v>215</v>
      </c>
      <c r="D1588" s="37" t="s">
        <v>1938</v>
      </c>
      <c r="E1588" s="107">
        <v>384.56</v>
      </c>
      <c r="F1588" s="37" t="s">
        <v>1310</v>
      </c>
      <c r="G1588" s="79"/>
    </row>
    <row r="1589" spans="1:8" hidden="1">
      <c r="A1589" s="78">
        <v>43070</v>
      </c>
      <c r="B1589" s="37" t="s">
        <v>1937</v>
      </c>
      <c r="C1589" s="1" t="s">
        <v>2290</v>
      </c>
      <c r="D1589" s="37" t="s">
        <v>1938</v>
      </c>
      <c r="E1589" s="107">
        <v>40</v>
      </c>
      <c r="F1589" s="37" t="s">
        <v>557</v>
      </c>
      <c r="G1589" s="79">
        <f>E1589/1.2</f>
        <v>33.333333333333336</v>
      </c>
      <c r="H1589">
        <f>E1589-G1589</f>
        <v>6.6666666666666643</v>
      </c>
    </row>
    <row r="1590" spans="1:8" hidden="1">
      <c r="A1590" s="78">
        <v>43070</v>
      </c>
      <c r="B1590" s="37" t="s">
        <v>6</v>
      </c>
      <c r="C1590" s="1" t="s">
        <v>215</v>
      </c>
      <c r="D1590" s="37" t="s">
        <v>1938</v>
      </c>
      <c r="E1590" s="389">
        <v>456.79</v>
      </c>
      <c r="F1590" s="37" t="s">
        <v>1310</v>
      </c>
      <c r="G1590" s="79"/>
    </row>
    <row r="1591" spans="1:8" hidden="1">
      <c r="A1591" s="78">
        <v>43040</v>
      </c>
      <c r="B1591" s="37" t="s">
        <v>6</v>
      </c>
      <c r="C1591" s="1" t="s">
        <v>2290</v>
      </c>
      <c r="D1591" s="37" t="s">
        <v>1938</v>
      </c>
      <c r="E1591" s="389">
        <v>200</v>
      </c>
      <c r="F1591" s="37" t="s">
        <v>557</v>
      </c>
      <c r="G1591" s="79"/>
      <c r="H1591">
        <f>E1591-E1591/1.2</f>
        <v>33.333333333333314</v>
      </c>
    </row>
    <row r="1592" spans="1:8" hidden="1">
      <c r="A1592" s="78">
        <v>43070</v>
      </c>
      <c r="B1592" s="37" t="s">
        <v>2058</v>
      </c>
      <c r="C1592" s="1" t="s">
        <v>2290</v>
      </c>
      <c r="D1592" s="37" t="s">
        <v>1560</v>
      </c>
      <c r="E1592" s="37">
        <v>70</v>
      </c>
      <c r="F1592" s="37" t="s">
        <v>557</v>
      </c>
      <c r="G1592" s="79">
        <f>E1592/1.2</f>
        <v>58.333333333333336</v>
      </c>
    </row>
    <row r="1593" spans="1:8" hidden="1">
      <c r="A1593" s="78">
        <v>43070</v>
      </c>
      <c r="B1593" s="37" t="s">
        <v>217</v>
      </c>
      <c r="C1593" s="1" t="s">
        <v>104</v>
      </c>
      <c r="D1593" s="37" t="s">
        <v>92</v>
      </c>
      <c r="E1593" s="37">
        <v>200</v>
      </c>
      <c r="F1593" s="37" t="s">
        <v>557</v>
      </c>
      <c r="G1593" s="79"/>
    </row>
    <row r="1594" spans="1:8" hidden="1">
      <c r="A1594" s="78">
        <v>43040</v>
      </c>
      <c r="B1594" s="37" t="s">
        <v>2361</v>
      </c>
      <c r="C1594" s="1" t="s">
        <v>215</v>
      </c>
      <c r="D1594" s="37" t="s">
        <v>1938</v>
      </c>
      <c r="E1594" s="37">
        <v>8.48</v>
      </c>
      <c r="F1594" s="37" t="s">
        <v>1474</v>
      </c>
      <c r="G1594" s="79"/>
    </row>
    <row r="1595" spans="1:8" hidden="1">
      <c r="A1595" s="78">
        <v>43070</v>
      </c>
      <c r="B1595" s="37" t="s">
        <v>1786</v>
      </c>
      <c r="C1595" s="1" t="s">
        <v>2290</v>
      </c>
      <c r="D1595" s="37" t="s">
        <v>2090</v>
      </c>
      <c r="E1595" s="37">
        <v>300</v>
      </c>
      <c r="F1595" s="37" t="s">
        <v>2487</v>
      </c>
      <c r="G1595" s="79">
        <f>E1595/1.2</f>
        <v>250</v>
      </c>
    </row>
    <row r="1596" spans="1:8" hidden="1">
      <c r="A1596" s="78">
        <v>43070</v>
      </c>
      <c r="B1596" s="37" t="s">
        <v>790</v>
      </c>
      <c r="C1596" s="1" t="s">
        <v>2290</v>
      </c>
      <c r="D1596" s="37" t="s">
        <v>92</v>
      </c>
      <c r="E1596" s="37">
        <v>60</v>
      </c>
      <c r="F1596" s="37" t="s">
        <v>2490</v>
      </c>
      <c r="G1596" s="79">
        <f>E1596/1.2</f>
        <v>50</v>
      </c>
    </row>
    <row r="1597" spans="1:8" hidden="1">
      <c r="A1597" s="78">
        <v>43070</v>
      </c>
      <c r="B1597" s="37" t="s">
        <v>214</v>
      </c>
      <c r="C1597" s="1" t="s">
        <v>215</v>
      </c>
      <c r="D1597" s="37" t="s">
        <v>2483</v>
      </c>
      <c r="E1597" s="37">
        <v>493.2</v>
      </c>
      <c r="F1597" s="37" t="s">
        <v>2492</v>
      </c>
      <c r="G1597" s="79"/>
    </row>
    <row r="1598" spans="1:8" hidden="1">
      <c r="A1598" s="78">
        <v>43070</v>
      </c>
      <c r="B1598" s="37" t="s">
        <v>55</v>
      </c>
      <c r="C1598" s="1" t="s">
        <v>886</v>
      </c>
      <c r="D1598" s="37" t="s">
        <v>972</v>
      </c>
      <c r="E1598" s="37">
        <v>1216.08</v>
      </c>
      <c r="F1598" s="37" t="s">
        <v>2493</v>
      </c>
      <c r="G1598" s="79"/>
    </row>
    <row r="1599" spans="1:8" hidden="1">
      <c r="A1599" s="78">
        <v>43070</v>
      </c>
      <c r="B1599" s="37" t="s">
        <v>172</v>
      </c>
      <c r="C1599" s="1" t="s">
        <v>103</v>
      </c>
      <c r="D1599" s="37" t="s">
        <v>972</v>
      </c>
      <c r="E1599" s="37">
        <v>1116</v>
      </c>
      <c r="F1599" s="37" t="s">
        <v>2494</v>
      </c>
      <c r="G1599" s="79"/>
    </row>
    <row r="1600" spans="1:8" hidden="1">
      <c r="A1600" s="78">
        <v>43070</v>
      </c>
      <c r="B1600" s="37" t="s">
        <v>172</v>
      </c>
      <c r="C1600" s="1" t="s">
        <v>336</v>
      </c>
      <c r="D1600" s="37" t="s">
        <v>972</v>
      </c>
      <c r="E1600" s="37">
        <v>18</v>
      </c>
      <c r="F1600" s="37" t="s">
        <v>2495</v>
      </c>
      <c r="G1600" s="79"/>
    </row>
    <row r="1601" spans="1:8" hidden="1">
      <c r="A1601" s="78">
        <v>43070</v>
      </c>
      <c r="B1601" s="37" t="s">
        <v>172</v>
      </c>
      <c r="C1601" s="1" t="s">
        <v>104</v>
      </c>
      <c r="D1601" s="37" t="s">
        <v>972</v>
      </c>
      <c r="E1601" s="37">
        <v>3474</v>
      </c>
      <c r="F1601" s="37" t="s">
        <v>1224</v>
      </c>
      <c r="G1601" s="79"/>
    </row>
    <row r="1602" spans="1:8" hidden="1">
      <c r="A1602" s="78">
        <v>43070</v>
      </c>
      <c r="B1602" s="37" t="s">
        <v>172</v>
      </c>
      <c r="C1602" s="1" t="s">
        <v>104</v>
      </c>
      <c r="D1602" s="37" t="s">
        <v>972</v>
      </c>
      <c r="E1602" s="37">
        <v>720</v>
      </c>
      <c r="F1602" s="37" t="s">
        <v>2496</v>
      </c>
      <c r="G1602" s="79"/>
      <c r="H1602">
        <v>300</v>
      </c>
    </row>
    <row r="1603" spans="1:8" hidden="1">
      <c r="A1603" s="78">
        <v>43070</v>
      </c>
      <c r="B1603" s="37" t="s">
        <v>172</v>
      </c>
      <c r="C1603" s="1" t="s">
        <v>103</v>
      </c>
      <c r="D1603" s="37" t="s">
        <v>972</v>
      </c>
      <c r="E1603" s="37">
        <v>360</v>
      </c>
      <c r="F1603" s="37" t="s">
        <v>2166</v>
      </c>
      <c r="G1603" s="79"/>
    </row>
    <row r="1604" spans="1:8" hidden="1">
      <c r="A1604" s="78">
        <v>43070</v>
      </c>
      <c r="B1604" s="37" t="s">
        <v>172</v>
      </c>
      <c r="C1604" s="1" t="s">
        <v>103</v>
      </c>
      <c r="D1604" s="37" t="s">
        <v>972</v>
      </c>
      <c r="E1604" s="37">
        <v>1386</v>
      </c>
      <c r="F1604" s="37" t="s">
        <v>2228</v>
      </c>
      <c r="G1604" s="79">
        <f>168/1.2</f>
        <v>140</v>
      </c>
    </row>
    <row r="1605" spans="1:8" hidden="1">
      <c r="A1605" s="78">
        <v>43070</v>
      </c>
      <c r="B1605" s="37" t="s">
        <v>172</v>
      </c>
      <c r="C1605" s="1" t="s">
        <v>103</v>
      </c>
      <c r="D1605" s="37" t="s">
        <v>972</v>
      </c>
      <c r="E1605" s="37">
        <v>540</v>
      </c>
      <c r="F1605" s="37" t="s">
        <v>2497</v>
      </c>
      <c r="G1605" s="79"/>
    </row>
    <row r="1606" spans="1:8" hidden="1">
      <c r="A1606" s="78">
        <v>43070</v>
      </c>
      <c r="B1606" s="37" t="s">
        <v>432</v>
      </c>
      <c r="C1606" s="1" t="s">
        <v>104</v>
      </c>
      <c r="D1606" s="37" t="s">
        <v>972</v>
      </c>
      <c r="E1606" s="37">
        <v>94.71</v>
      </c>
      <c r="F1606" s="37" t="s">
        <v>2502</v>
      </c>
      <c r="G1606" s="79"/>
    </row>
    <row r="1607" spans="1:8" hidden="1">
      <c r="A1607" s="78">
        <v>43070</v>
      </c>
      <c r="B1607" s="37" t="s">
        <v>432</v>
      </c>
      <c r="C1607" s="1" t="s">
        <v>103</v>
      </c>
      <c r="D1607" s="37" t="s">
        <v>972</v>
      </c>
      <c r="E1607" s="37">
        <v>10.86</v>
      </c>
      <c r="F1607" s="37" t="s">
        <v>1597</v>
      </c>
      <c r="G1607" s="79"/>
    </row>
    <row r="1608" spans="1:8" hidden="1">
      <c r="A1608" s="78">
        <v>43070</v>
      </c>
      <c r="B1608" s="37" t="s">
        <v>432</v>
      </c>
      <c r="C1608" s="1" t="s">
        <v>171</v>
      </c>
      <c r="D1608" s="37" t="s">
        <v>972</v>
      </c>
      <c r="E1608" s="37">
        <v>104.97</v>
      </c>
      <c r="F1608" s="37" t="s">
        <v>2503</v>
      </c>
      <c r="G1608" s="79"/>
    </row>
    <row r="1609" spans="1:8" hidden="1">
      <c r="A1609" s="78">
        <v>43070</v>
      </c>
      <c r="B1609" s="37" t="s">
        <v>432</v>
      </c>
      <c r="C1609" s="1" t="s">
        <v>103</v>
      </c>
      <c r="D1609" s="37" t="s">
        <v>972</v>
      </c>
      <c r="E1609" s="37">
        <v>333.52</v>
      </c>
      <c r="F1609" s="37" t="s">
        <v>2504</v>
      </c>
      <c r="G1609" s="79"/>
    </row>
    <row r="1610" spans="1:8" hidden="1">
      <c r="A1610" s="78">
        <v>43070</v>
      </c>
      <c r="B1610" s="37" t="s">
        <v>55</v>
      </c>
      <c r="C1610" s="1" t="s">
        <v>888</v>
      </c>
      <c r="D1610" s="37" t="s">
        <v>972</v>
      </c>
      <c r="E1610" s="37">
        <v>831.6</v>
      </c>
      <c r="F1610" s="37" t="s">
        <v>2508</v>
      </c>
      <c r="G1610" s="79"/>
    </row>
    <row r="1611" spans="1:8" hidden="1">
      <c r="A1611" s="78">
        <v>43070</v>
      </c>
      <c r="B1611" s="37" t="s">
        <v>259</v>
      </c>
      <c r="C1611" s="1" t="s">
        <v>171</v>
      </c>
      <c r="D1611" s="37" t="s">
        <v>2483</v>
      </c>
      <c r="E1611" s="37">
        <v>889.88</v>
      </c>
      <c r="F1611" s="37" t="s">
        <v>1477</v>
      </c>
      <c r="G1611" s="79"/>
    </row>
    <row r="1612" spans="1:8" hidden="1">
      <c r="A1612" s="78">
        <v>43070</v>
      </c>
      <c r="B1612" s="37" t="s">
        <v>1916</v>
      </c>
      <c r="C1612" s="1" t="s">
        <v>1973</v>
      </c>
      <c r="D1612" s="37" t="s">
        <v>1917</v>
      </c>
      <c r="E1612" s="37">
        <v>92.15</v>
      </c>
      <c r="F1612" s="37" t="s">
        <v>1164</v>
      </c>
      <c r="G1612" s="79"/>
    </row>
    <row r="1613" spans="1:8" hidden="1">
      <c r="A1613" s="78">
        <v>43070</v>
      </c>
      <c r="B1613" s="37" t="s">
        <v>1995</v>
      </c>
      <c r="C1613" s="1" t="s">
        <v>1973</v>
      </c>
      <c r="D1613" s="37" t="s">
        <v>1917</v>
      </c>
      <c r="E1613" s="37">
        <v>859.75</v>
      </c>
      <c r="F1613" s="37" t="s">
        <v>1474</v>
      </c>
      <c r="G1613" s="79"/>
    </row>
    <row r="1614" spans="1:8" hidden="1">
      <c r="A1614" s="78">
        <v>43070</v>
      </c>
      <c r="B1614" s="37" t="s">
        <v>1961</v>
      </c>
      <c r="C1614" s="1" t="s">
        <v>1973</v>
      </c>
      <c r="D1614" s="37" t="s">
        <v>722</v>
      </c>
      <c r="E1614" s="37">
        <v>20.96</v>
      </c>
      <c r="F1614" s="37" t="s">
        <v>1310</v>
      </c>
      <c r="G1614" s="79"/>
    </row>
    <row r="1615" spans="1:8" hidden="1">
      <c r="A1615" s="78">
        <v>43070</v>
      </c>
      <c r="B1615" s="37" t="s">
        <v>1561</v>
      </c>
      <c r="C1615" s="1" t="s">
        <v>1973</v>
      </c>
      <c r="D1615" s="37" t="s">
        <v>1938</v>
      </c>
      <c r="E1615" s="37">
        <v>2175.84</v>
      </c>
      <c r="F1615" s="37" t="s">
        <v>1477</v>
      </c>
      <c r="G1615" s="79"/>
    </row>
    <row r="1616" spans="1:8" hidden="1">
      <c r="A1616" s="78">
        <v>43070</v>
      </c>
      <c r="B1616" s="37" t="s">
        <v>2516</v>
      </c>
      <c r="C1616" s="1" t="s">
        <v>1973</v>
      </c>
      <c r="D1616" s="37" t="s">
        <v>1938</v>
      </c>
      <c r="E1616" s="37">
        <v>57.18</v>
      </c>
      <c r="F1616" s="37" t="s">
        <v>1310</v>
      </c>
      <c r="G1616" s="79"/>
    </row>
    <row r="1617" spans="1:7" hidden="1">
      <c r="A1617" s="78">
        <v>43070</v>
      </c>
      <c r="B1617" s="37" t="s">
        <v>2517</v>
      </c>
      <c r="C1617" s="1" t="s">
        <v>1973</v>
      </c>
      <c r="D1617" s="37" t="s">
        <v>1938</v>
      </c>
      <c r="E1617" s="37">
        <v>120.17</v>
      </c>
      <c r="F1617" s="37" t="s">
        <v>1310</v>
      </c>
      <c r="G1617" s="79"/>
    </row>
    <row r="1618" spans="1:7" hidden="1">
      <c r="A1618" s="78">
        <v>43101</v>
      </c>
      <c r="B1618" s="37" t="s">
        <v>217</v>
      </c>
      <c r="C1618" s="1" t="s">
        <v>104</v>
      </c>
      <c r="D1618" s="37" t="s">
        <v>92</v>
      </c>
      <c r="E1618" s="37">
        <v>200</v>
      </c>
      <c r="F1618" s="37" t="s">
        <v>557</v>
      </c>
      <c r="G1618" s="79"/>
    </row>
    <row r="1619" spans="1:7" hidden="1">
      <c r="A1619" s="78">
        <v>43070</v>
      </c>
      <c r="B1619" s="37" t="s">
        <v>2289</v>
      </c>
      <c r="C1619" s="1" t="s">
        <v>2290</v>
      </c>
      <c r="D1619" s="37" t="s">
        <v>722</v>
      </c>
      <c r="E1619" s="37">
        <v>240</v>
      </c>
      <c r="F1619" s="37" t="s">
        <v>2518</v>
      </c>
      <c r="G1619" s="79">
        <f>E1619/1.2</f>
        <v>200</v>
      </c>
    </row>
    <row r="1620" spans="1:7" hidden="1">
      <c r="A1620" s="78">
        <v>43070</v>
      </c>
      <c r="B1620" s="37" t="s">
        <v>2058</v>
      </c>
      <c r="C1620" s="1" t="s">
        <v>2519</v>
      </c>
      <c r="D1620" s="37" t="s">
        <v>1560</v>
      </c>
      <c r="E1620" s="37">
        <v>304.19</v>
      </c>
      <c r="F1620" s="37" t="s">
        <v>335</v>
      </c>
      <c r="G1620" s="79"/>
    </row>
    <row r="1621" spans="1:7" hidden="1">
      <c r="A1621" s="78">
        <v>43070</v>
      </c>
      <c r="B1621" s="37" t="s">
        <v>2261</v>
      </c>
      <c r="C1621" s="1" t="s">
        <v>103</v>
      </c>
      <c r="D1621" s="37" t="s">
        <v>92</v>
      </c>
      <c r="E1621" s="37">
        <v>5.89</v>
      </c>
      <c r="F1621" s="37" t="s">
        <v>1310</v>
      </c>
      <c r="G1621" s="79"/>
    </row>
    <row r="1622" spans="1:7" hidden="1">
      <c r="A1622" s="78">
        <v>43070</v>
      </c>
      <c r="B1622" s="37" t="s">
        <v>2476</v>
      </c>
      <c r="C1622" s="1" t="s">
        <v>103</v>
      </c>
      <c r="D1622" s="37" t="s">
        <v>92</v>
      </c>
      <c r="E1622" s="37">
        <v>3.15</v>
      </c>
      <c r="F1622" s="37" t="s">
        <v>1310</v>
      </c>
      <c r="G1622" s="79"/>
    </row>
    <row r="1623" spans="1:7" hidden="1">
      <c r="A1623" s="78">
        <v>43070</v>
      </c>
      <c r="B1623" s="37" t="s">
        <v>2477</v>
      </c>
      <c r="C1623" s="1" t="s">
        <v>103</v>
      </c>
      <c r="D1623" s="37" t="s">
        <v>92</v>
      </c>
      <c r="E1623" s="37"/>
      <c r="F1623" s="37" t="s">
        <v>1310</v>
      </c>
      <c r="G1623" s="79"/>
    </row>
    <row r="1624" spans="1:7" hidden="1">
      <c r="A1624" s="78">
        <v>43070</v>
      </c>
      <c r="B1624" s="37" t="s">
        <v>2478</v>
      </c>
      <c r="C1624" s="1" t="s">
        <v>103</v>
      </c>
      <c r="D1624" s="37" t="s">
        <v>92</v>
      </c>
      <c r="E1624" s="37"/>
      <c r="F1624" s="37" t="s">
        <v>1310</v>
      </c>
      <c r="G1624" s="79"/>
    </row>
    <row r="1625" spans="1:7" hidden="1">
      <c r="A1625" s="78">
        <v>43070</v>
      </c>
      <c r="B1625" s="37" t="s">
        <v>2479</v>
      </c>
      <c r="C1625" s="1" t="s">
        <v>103</v>
      </c>
      <c r="D1625" s="37" t="s">
        <v>92</v>
      </c>
      <c r="E1625" s="37"/>
      <c r="F1625" s="37" t="s">
        <v>1310</v>
      </c>
      <c r="G1625" s="79"/>
    </row>
    <row r="1626" spans="1:7" hidden="1">
      <c r="A1626" s="78">
        <v>43070</v>
      </c>
      <c r="B1626" s="37" t="s">
        <v>2480</v>
      </c>
      <c r="C1626" s="1" t="s">
        <v>103</v>
      </c>
      <c r="D1626" s="37" t="s">
        <v>92</v>
      </c>
      <c r="E1626" s="37">
        <v>26.71</v>
      </c>
      <c r="F1626" s="37" t="s">
        <v>1310</v>
      </c>
      <c r="G1626" s="79"/>
    </row>
    <row r="1627" spans="1:7" hidden="1">
      <c r="A1627" s="78">
        <v>43070</v>
      </c>
      <c r="B1627" s="37" t="s">
        <v>2481</v>
      </c>
      <c r="C1627" s="1" t="s">
        <v>103</v>
      </c>
      <c r="D1627" s="37" t="s">
        <v>92</v>
      </c>
      <c r="E1627" s="37">
        <v>14.08</v>
      </c>
      <c r="F1627" s="37" t="s">
        <v>1310</v>
      </c>
      <c r="G1627" s="79"/>
    </row>
    <row r="1628" spans="1:7" hidden="1">
      <c r="A1628" s="78">
        <v>43070</v>
      </c>
      <c r="B1628" s="37" t="s">
        <v>2482</v>
      </c>
      <c r="C1628" s="1" t="s">
        <v>103</v>
      </c>
      <c r="D1628" s="37" t="s">
        <v>92</v>
      </c>
      <c r="E1628" s="37">
        <v>4.6900000000000004</v>
      </c>
      <c r="F1628" s="37" t="s">
        <v>1310</v>
      </c>
      <c r="G1628" s="79"/>
    </row>
    <row r="1629" spans="1:7" hidden="1">
      <c r="A1629" s="78">
        <v>43070</v>
      </c>
      <c r="B1629" s="37" t="s">
        <v>826</v>
      </c>
      <c r="C1629" s="1" t="s">
        <v>215</v>
      </c>
      <c r="D1629" s="37" t="s">
        <v>2483</v>
      </c>
      <c r="E1629" s="37">
        <v>571.91</v>
      </c>
      <c r="F1629" s="37" t="s">
        <v>335</v>
      </c>
      <c r="G1629" s="79"/>
    </row>
    <row r="1630" spans="1:7" hidden="1">
      <c r="A1630" s="78">
        <v>43101</v>
      </c>
      <c r="B1630" s="37" t="s">
        <v>2522</v>
      </c>
      <c r="C1630" s="1" t="s">
        <v>215</v>
      </c>
      <c r="D1630" s="37" t="s">
        <v>1938</v>
      </c>
      <c r="E1630" s="37">
        <v>6.67</v>
      </c>
      <c r="F1630" s="37" t="s">
        <v>1310</v>
      </c>
      <c r="G1630" s="79"/>
    </row>
    <row r="1631" spans="1:7" hidden="1">
      <c r="A1631" s="78">
        <v>43435</v>
      </c>
      <c r="B1631" s="37" t="s">
        <v>217</v>
      </c>
      <c r="C1631" s="1" t="s">
        <v>215</v>
      </c>
      <c r="D1631" s="37" t="s">
        <v>92</v>
      </c>
      <c r="E1631" s="37">
        <v>1733.2</v>
      </c>
      <c r="F1631" s="37" t="s">
        <v>1794</v>
      </c>
      <c r="G1631" s="79"/>
    </row>
    <row r="1632" spans="1:7" hidden="1">
      <c r="A1632" s="78">
        <v>43435</v>
      </c>
      <c r="B1632" s="37" t="s">
        <v>619</v>
      </c>
      <c r="C1632" s="1" t="s">
        <v>171</v>
      </c>
      <c r="D1632" s="37" t="s">
        <v>215</v>
      </c>
      <c r="E1632" s="37">
        <v>48</v>
      </c>
      <c r="F1632" s="37" t="s">
        <v>1310</v>
      </c>
      <c r="G1632" s="79"/>
    </row>
    <row r="1633" spans="1:8" hidden="1">
      <c r="A1633" s="78">
        <v>43070</v>
      </c>
      <c r="B1633" s="37" t="s">
        <v>2361</v>
      </c>
      <c r="C1633" s="1" t="s">
        <v>215</v>
      </c>
      <c r="D1633" s="37" t="s">
        <v>1938</v>
      </c>
      <c r="E1633" s="37">
        <v>32.08</v>
      </c>
      <c r="F1633" s="37" t="s">
        <v>1474</v>
      </c>
      <c r="G1633" s="79"/>
    </row>
    <row r="1634" spans="1:8" hidden="1">
      <c r="A1634" s="78">
        <v>43101</v>
      </c>
      <c r="B1634" s="37" t="s">
        <v>49</v>
      </c>
      <c r="C1634" s="1" t="s">
        <v>104</v>
      </c>
      <c r="D1634" s="37" t="s">
        <v>972</v>
      </c>
      <c r="E1634" s="37">
        <v>428.86</v>
      </c>
      <c r="F1634" s="37" t="s">
        <v>2524</v>
      </c>
      <c r="G1634" s="79"/>
    </row>
    <row r="1635" spans="1:8" hidden="1">
      <c r="A1635" s="78">
        <v>43101</v>
      </c>
      <c r="B1635" s="37" t="s">
        <v>49</v>
      </c>
      <c r="C1635" s="1" t="s">
        <v>103</v>
      </c>
      <c r="D1635" s="37" t="s">
        <v>972</v>
      </c>
      <c r="E1635" s="37">
        <v>86.76</v>
      </c>
      <c r="F1635" s="37" t="s">
        <v>1597</v>
      </c>
      <c r="G1635" s="79"/>
    </row>
    <row r="1636" spans="1:8" hidden="1">
      <c r="A1636" s="78">
        <v>43070</v>
      </c>
      <c r="B1636" s="37" t="s">
        <v>1962</v>
      </c>
      <c r="C1636" s="1" t="s">
        <v>215</v>
      </c>
      <c r="D1636" s="37" t="s">
        <v>1938</v>
      </c>
      <c r="E1636" s="37">
        <v>10.72</v>
      </c>
      <c r="F1636" s="37" t="s">
        <v>2369</v>
      </c>
      <c r="G1636" s="79"/>
    </row>
    <row r="1637" spans="1:8" hidden="1">
      <c r="A1637" s="78">
        <v>43101</v>
      </c>
      <c r="B1637" s="37" t="s">
        <v>55</v>
      </c>
      <c r="C1637" s="1" t="s">
        <v>888</v>
      </c>
      <c r="D1637" s="37" t="s">
        <v>972</v>
      </c>
      <c r="E1637" s="37">
        <v>411.6</v>
      </c>
      <c r="F1637" s="37" t="s">
        <v>2525</v>
      </c>
      <c r="G1637" s="79"/>
    </row>
    <row r="1638" spans="1:8" hidden="1">
      <c r="A1638" s="78">
        <v>43101</v>
      </c>
      <c r="B1638" s="37" t="s">
        <v>55</v>
      </c>
      <c r="C1638" s="1" t="s">
        <v>886</v>
      </c>
      <c r="D1638" s="37" t="s">
        <v>972</v>
      </c>
      <c r="E1638" s="37">
        <v>1197</v>
      </c>
      <c r="F1638" s="37" t="s">
        <v>2493</v>
      </c>
      <c r="G1638" s="79"/>
    </row>
    <row r="1639" spans="1:8" hidden="1">
      <c r="A1639" s="78">
        <v>43101</v>
      </c>
      <c r="B1639" s="37" t="s">
        <v>172</v>
      </c>
      <c r="C1639" s="1" t="s">
        <v>103</v>
      </c>
      <c r="D1639" s="37" t="s">
        <v>972</v>
      </c>
      <c r="E1639" s="37">
        <v>702</v>
      </c>
      <c r="F1639" s="37" t="s">
        <v>2528</v>
      </c>
      <c r="G1639" s="79"/>
    </row>
    <row r="1640" spans="1:8" hidden="1">
      <c r="A1640" s="78">
        <v>43101</v>
      </c>
      <c r="B1640" s="37" t="s">
        <v>172</v>
      </c>
      <c r="C1640" s="1" t="s">
        <v>104</v>
      </c>
      <c r="D1640" s="37" t="s">
        <v>972</v>
      </c>
      <c r="E1640" s="37">
        <v>360</v>
      </c>
      <c r="F1640" s="37" t="s">
        <v>1617</v>
      </c>
      <c r="G1640" s="79"/>
    </row>
    <row r="1641" spans="1:8" hidden="1">
      <c r="A1641" s="78">
        <v>43101</v>
      </c>
      <c r="B1641" s="37" t="s">
        <v>172</v>
      </c>
      <c r="C1641" s="1" t="s">
        <v>104</v>
      </c>
      <c r="D1641" s="37" t="s">
        <v>972</v>
      </c>
      <c r="E1641" s="37">
        <v>702</v>
      </c>
      <c r="F1641" s="37" t="s">
        <v>2529</v>
      </c>
      <c r="G1641" s="79"/>
    </row>
    <row r="1642" spans="1:8" hidden="1">
      <c r="A1642" s="78">
        <v>43101</v>
      </c>
      <c r="B1642" s="37" t="s">
        <v>172</v>
      </c>
      <c r="C1642" s="1" t="s">
        <v>104</v>
      </c>
      <c r="D1642" s="37" t="s">
        <v>972</v>
      </c>
      <c r="E1642" s="37">
        <v>360</v>
      </c>
      <c r="F1642" s="37" t="s">
        <v>2530</v>
      </c>
      <c r="G1642" s="79"/>
    </row>
    <row r="1643" spans="1:8" hidden="1">
      <c r="A1643" s="78">
        <v>43101</v>
      </c>
      <c r="B1643" s="37" t="s">
        <v>172</v>
      </c>
      <c r="C1643" s="1" t="s">
        <v>104</v>
      </c>
      <c r="D1643" s="37" t="s">
        <v>972</v>
      </c>
      <c r="E1643" s="37">
        <v>702</v>
      </c>
      <c r="F1643" s="37" t="s">
        <v>2531</v>
      </c>
      <c r="G1643" s="79"/>
    </row>
    <row r="1644" spans="1:8" hidden="1">
      <c r="A1644" s="78">
        <v>43101</v>
      </c>
      <c r="B1644" s="37" t="s">
        <v>172</v>
      </c>
      <c r="C1644" s="1" t="s">
        <v>103</v>
      </c>
      <c r="D1644" s="37" t="s">
        <v>972</v>
      </c>
      <c r="E1644" s="37">
        <v>792</v>
      </c>
      <c r="F1644" s="37" t="s">
        <v>2166</v>
      </c>
      <c r="G1644" s="79"/>
    </row>
    <row r="1645" spans="1:8" hidden="1">
      <c r="A1645" s="78">
        <v>43101</v>
      </c>
      <c r="B1645" s="37" t="s">
        <v>172</v>
      </c>
      <c r="C1645" s="1" t="s">
        <v>104</v>
      </c>
      <c r="D1645" s="37" t="s">
        <v>972</v>
      </c>
      <c r="E1645" s="37">
        <v>1386</v>
      </c>
      <c r="F1645" s="37" t="s">
        <v>1224</v>
      </c>
      <c r="G1645" s="79"/>
    </row>
    <row r="1646" spans="1:8" hidden="1">
      <c r="A1646" s="78">
        <v>43101</v>
      </c>
      <c r="B1646" s="37" t="s">
        <v>172</v>
      </c>
      <c r="C1646" s="1" t="s">
        <v>103</v>
      </c>
      <c r="D1646" s="37" t="s">
        <v>972</v>
      </c>
      <c r="E1646" s="37">
        <v>1368</v>
      </c>
      <c r="F1646" s="37" t="s">
        <v>2228</v>
      </c>
      <c r="G1646" s="79">
        <f>360+168+168</f>
        <v>696</v>
      </c>
      <c r="H1646">
        <f>E1646/G1646</f>
        <v>1.9655172413793103</v>
      </c>
    </row>
    <row r="1647" spans="1:8" hidden="1">
      <c r="A1647" s="78">
        <v>43101</v>
      </c>
      <c r="B1647" s="37" t="s">
        <v>172</v>
      </c>
      <c r="C1647" s="1" t="s">
        <v>103</v>
      </c>
      <c r="D1647" s="37" t="s">
        <v>972</v>
      </c>
      <c r="E1647" s="37">
        <v>1098</v>
      </c>
      <c r="F1647" s="37" t="s">
        <v>2494</v>
      </c>
      <c r="G1647" s="79">
        <f>9*25+20*12</f>
        <v>465</v>
      </c>
      <c r="H1647">
        <f>G1647*1.2</f>
        <v>558</v>
      </c>
    </row>
    <row r="1648" spans="1:8" hidden="1">
      <c r="A1648" s="78">
        <v>43101</v>
      </c>
      <c r="B1648" s="37" t="s">
        <v>6</v>
      </c>
      <c r="C1648" s="1" t="s">
        <v>215</v>
      </c>
      <c r="D1648" s="37" t="s">
        <v>1938</v>
      </c>
      <c r="E1648" s="389">
        <v>402.96</v>
      </c>
      <c r="F1648" s="37" t="s">
        <v>1310</v>
      </c>
      <c r="G1648" s="79"/>
    </row>
    <row r="1649" spans="1:8" hidden="1">
      <c r="A1649" s="78">
        <v>43101</v>
      </c>
      <c r="B1649" s="37" t="s">
        <v>1916</v>
      </c>
      <c r="C1649" s="1" t="s">
        <v>215</v>
      </c>
      <c r="D1649" s="37" t="s">
        <v>2539</v>
      </c>
      <c r="E1649" s="37">
        <v>247.46</v>
      </c>
      <c r="F1649" s="37" t="s">
        <v>1210</v>
      </c>
      <c r="G1649" s="79"/>
    </row>
    <row r="1650" spans="1:8" hidden="1">
      <c r="A1650" s="78">
        <v>43101</v>
      </c>
      <c r="B1650" s="37" t="s">
        <v>2058</v>
      </c>
      <c r="C1650" s="1" t="s">
        <v>2541</v>
      </c>
      <c r="D1650" s="37" t="s">
        <v>1560</v>
      </c>
      <c r="E1650" s="37">
        <v>70</v>
      </c>
      <c r="F1650" s="37" t="s">
        <v>2540</v>
      </c>
      <c r="G1650" s="79">
        <f>E1650/1.2</f>
        <v>58.333333333333336</v>
      </c>
    </row>
    <row r="1651" spans="1:8" hidden="1">
      <c r="A1651" s="78">
        <v>43101</v>
      </c>
      <c r="B1651" s="37" t="s">
        <v>214</v>
      </c>
      <c r="C1651" s="1" t="s">
        <v>215</v>
      </c>
      <c r="D1651" s="37" t="s">
        <v>2483</v>
      </c>
      <c r="E1651" s="37">
        <v>1739.7</v>
      </c>
      <c r="F1651" s="37" t="s">
        <v>1474</v>
      </c>
      <c r="G1651" s="79"/>
    </row>
    <row r="1652" spans="1:8" hidden="1">
      <c r="A1652" s="78">
        <v>43101</v>
      </c>
      <c r="B1652" s="37" t="s">
        <v>172</v>
      </c>
      <c r="C1652" s="1" t="s">
        <v>104</v>
      </c>
      <c r="D1652" s="37" t="s">
        <v>972</v>
      </c>
      <c r="E1652" s="37">
        <v>612</v>
      </c>
      <c r="F1652" s="37" t="s">
        <v>2542</v>
      </c>
      <c r="G1652" s="79"/>
      <c r="H1652">
        <v>300</v>
      </c>
    </row>
    <row r="1653" spans="1:8" hidden="1">
      <c r="A1653" s="78">
        <v>43101</v>
      </c>
      <c r="B1653" s="37" t="s">
        <v>479</v>
      </c>
      <c r="C1653" s="1" t="s">
        <v>171</v>
      </c>
      <c r="D1653" s="37" t="s">
        <v>2483</v>
      </c>
      <c r="E1653" s="37">
        <v>3580.96</v>
      </c>
      <c r="F1653" s="37" t="s">
        <v>1477</v>
      </c>
      <c r="G1653" s="79"/>
    </row>
    <row r="1654" spans="1:8" hidden="1">
      <c r="A1654" s="78">
        <v>43101</v>
      </c>
      <c r="B1654" s="37" t="s">
        <v>2110</v>
      </c>
      <c r="C1654" s="1" t="s">
        <v>215</v>
      </c>
      <c r="D1654" s="37" t="s">
        <v>2539</v>
      </c>
      <c r="E1654" s="37">
        <v>247.46</v>
      </c>
      <c r="F1654" s="37" t="s">
        <v>1210</v>
      </c>
      <c r="G1654" s="79"/>
    </row>
    <row r="1655" spans="1:8" hidden="1">
      <c r="A1655" s="78">
        <v>43132</v>
      </c>
      <c r="B1655" s="37" t="s">
        <v>2110</v>
      </c>
      <c r="C1655" s="1" t="s">
        <v>215</v>
      </c>
      <c r="D1655" s="37" t="s">
        <v>2539</v>
      </c>
      <c r="E1655" s="37">
        <v>246.57</v>
      </c>
      <c r="F1655" s="37" t="s">
        <v>1210</v>
      </c>
      <c r="G1655" s="79"/>
    </row>
    <row r="1656" spans="1:8" hidden="1">
      <c r="A1656" s="78">
        <v>43101</v>
      </c>
      <c r="B1656" s="37" t="s">
        <v>790</v>
      </c>
      <c r="C1656" s="1" t="s">
        <v>215</v>
      </c>
      <c r="D1656" s="37" t="s">
        <v>92</v>
      </c>
      <c r="E1656" s="107">
        <v>2895.14</v>
      </c>
      <c r="F1656" s="37" t="s">
        <v>2554</v>
      </c>
      <c r="G1656" s="79"/>
    </row>
    <row r="1657" spans="1:8" hidden="1">
      <c r="A1657" s="78">
        <v>43101</v>
      </c>
      <c r="B1657" s="37" t="s">
        <v>790</v>
      </c>
      <c r="C1657" s="1" t="s">
        <v>104</v>
      </c>
      <c r="D1657" s="37" t="s">
        <v>92</v>
      </c>
      <c r="E1657" s="37">
        <v>120</v>
      </c>
      <c r="F1657" s="37" t="s">
        <v>2562</v>
      </c>
      <c r="G1657" s="79"/>
    </row>
    <row r="1658" spans="1:8" hidden="1">
      <c r="A1658" s="78">
        <v>43132</v>
      </c>
      <c r="B1658" s="37" t="s">
        <v>790</v>
      </c>
      <c r="C1658" s="1" t="s">
        <v>104</v>
      </c>
      <c r="D1658" s="37" t="s">
        <v>92</v>
      </c>
      <c r="E1658" s="37">
        <v>120</v>
      </c>
      <c r="F1658" s="37" t="s">
        <v>2562</v>
      </c>
      <c r="G1658" s="79"/>
    </row>
    <row r="1659" spans="1:8" hidden="1">
      <c r="A1659" s="78">
        <v>43101</v>
      </c>
      <c r="B1659" s="37" t="s">
        <v>1961</v>
      </c>
      <c r="C1659" s="1" t="s">
        <v>215</v>
      </c>
      <c r="D1659" s="37" t="s">
        <v>722</v>
      </c>
      <c r="E1659" s="37">
        <v>18.09</v>
      </c>
      <c r="F1659" s="37" t="s">
        <v>1310</v>
      </c>
      <c r="G1659" s="79"/>
    </row>
    <row r="1660" spans="1:8" hidden="1">
      <c r="A1660" s="78">
        <v>43101</v>
      </c>
      <c r="B1660" s="37" t="s">
        <v>1916</v>
      </c>
      <c r="C1660" s="1" t="s">
        <v>215</v>
      </c>
      <c r="D1660" s="37" t="s">
        <v>2539</v>
      </c>
      <c r="E1660" s="37">
        <v>276.08</v>
      </c>
      <c r="F1660" s="37" t="s">
        <v>1164</v>
      </c>
      <c r="G1660" s="79"/>
    </row>
    <row r="1661" spans="1:8" hidden="1">
      <c r="A1661" s="78">
        <v>43132</v>
      </c>
      <c r="B1661" s="37" t="s">
        <v>2058</v>
      </c>
      <c r="C1661" s="1" t="s">
        <v>2290</v>
      </c>
      <c r="D1661" s="37" t="s">
        <v>1560</v>
      </c>
      <c r="E1661" s="37">
        <v>70</v>
      </c>
      <c r="F1661" s="37" t="s">
        <v>2568</v>
      </c>
      <c r="G1661" s="79">
        <f>E1661/1.2</f>
        <v>58.333333333333336</v>
      </c>
    </row>
    <row r="1662" spans="1:8" hidden="1">
      <c r="A1662" s="78">
        <v>43101</v>
      </c>
      <c r="B1662" s="37" t="s">
        <v>2289</v>
      </c>
      <c r="C1662" s="1" t="s">
        <v>2290</v>
      </c>
      <c r="D1662" s="37" t="s">
        <v>722</v>
      </c>
      <c r="E1662" s="37">
        <v>180</v>
      </c>
      <c r="F1662" s="37" t="s">
        <v>2569</v>
      </c>
      <c r="G1662" s="79"/>
    </row>
    <row r="1663" spans="1:8" hidden="1">
      <c r="A1663" s="78">
        <v>43101</v>
      </c>
      <c r="B1663" s="37" t="s">
        <v>619</v>
      </c>
      <c r="C1663" s="1" t="s">
        <v>171</v>
      </c>
      <c r="D1663" s="37" t="s">
        <v>92</v>
      </c>
      <c r="E1663" s="37">
        <v>576</v>
      </c>
      <c r="F1663" s="37" t="s">
        <v>2578</v>
      </c>
      <c r="G1663" s="79"/>
    </row>
    <row r="1664" spans="1:8" hidden="1">
      <c r="A1664" s="78">
        <v>43101</v>
      </c>
      <c r="B1664" s="37" t="s">
        <v>217</v>
      </c>
      <c r="C1664" s="1" t="s">
        <v>104</v>
      </c>
      <c r="D1664" s="37" t="s">
        <v>92</v>
      </c>
      <c r="E1664" s="37">
        <v>1918.17</v>
      </c>
      <c r="F1664" s="37" t="s">
        <v>1794</v>
      </c>
      <c r="G1664" s="79"/>
    </row>
    <row r="1665" spans="1:8" hidden="1">
      <c r="A1665" s="78">
        <v>43132</v>
      </c>
      <c r="B1665" s="37" t="s">
        <v>217</v>
      </c>
      <c r="C1665" s="1" t="s">
        <v>104</v>
      </c>
      <c r="D1665" s="37" t="s">
        <v>92</v>
      </c>
      <c r="E1665" s="37">
        <v>200</v>
      </c>
      <c r="F1665" s="37" t="s">
        <v>557</v>
      </c>
      <c r="G1665" s="79"/>
    </row>
    <row r="1666" spans="1:8" hidden="1">
      <c r="A1666" s="78">
        <v>43101</v>
      </c>
      <c r="B1666" s="37" t="s">
        <v>790</v>
      </c>
      <c r="C1666" s="1" t="s">
        <v>104</v>
      </c>
      <c r="D1666" s="37" t="s">
        <v>92</v>
      </c>
      <c r="E1666" s="37">
        <v>120</v>
      </c>
      <c r="F1666" s="37" t="s">
        <v>2562</v>
      </c>
    </row>
    <row r="1667" spans="1:8" hidden="1">
      <c r="A1667" s="78">
        <v>43101</v>
      </c>
      <c r="B1667" s="37" t="s">
        <v>619</v>
      </c>
      <c r="C1667" s="1" t="s">
        <v>171</v>
      </c>
      <c r="D1667" s="37" t="s">
        <v>92</v>
      </c>
      <c r="E1667" s="37">
        <v>48</v>
      </c>
      <c r="F1667" s="37" t="s">
        <v>1310</v>
      </c>
      <c r="G1667" s="79"/>
    </row>
    <row r="1668" spans="1:8" hidden="1">
      <c r="A1668" s="78">
        <v>43132</v>
      </c>
      <c r="B1668" s="37" t="s">
        <v>1937</v>
      </c>
      <c r="C1668" s="1" t="s">
        <v>215</v>
      </c>
      <c r="D1668" s="37" t="s">
        <v>1938</v>
      </c>
      <c r="E1668" s="37">
        <v>256.45999999999998</v>
      </c>
      <c r="F1668" s="37" t="s">
        <v>1310</v>
      </c>
      <c r="G1668" s="79"/>
    </row>
    <row r="1669" spans="1:8" hidden="1">
      <c r="A1669" s="78">
        <v>43132</v>
      </c>
      <c r="B1669" s="37" t="s">
        <v>1937</v>
      </c>
      <c r="C1669" s="1" t="s">
        <v>2290</v>
      </c>
      <c r="D1669" s="37" t="s">
        <v>1938</v>
      </c>
      <c r="E1669" s="37">
        <v>60</v>
      </c>
      <c r="F1669" s="37" t="s">
        <v>2112</v>
      </c>
      <c r="G1669" s="79"/>
    </row>
    <row r="1670" spans="1:8" hidden="1">
      <c r="A1670" s="78">
        <v>43101</v>
      </c>
      <c r="B1670" s="37" t="s">
        <v>6</v>
      </c>
      <c r="C1670" s="1" t="s">
        <v>104</v>
      </c>
      <c r="D1670" s="37" t="s">
        <v>1938</v>
      </c>
      <c r="E1670" s="389">
        <v>200</v>
      </c>
      <c r="F1670" s="37" t="s">
        <v>2579</v>
      </c>
      <c r="G1670" s="79"/>
      <c r="H1670">
        <f>E1670-E1670/1.2</f>
        <v>33.333333333333314</v>
      </c>
    </row>
    <row r="1671" spans="1:8" hidden="1">
      <c r="A1671" s="78">
        <v>43101</v>
      </c>
      <c r="B1671" s="37" t="s">
        <v>2361</v>
      </c>
      <c r="C1671" s="1" t="s">
        <v>2582</v>
      </c>
      <c r="D1671" s="37"/>
      <c r="E1671" s="37">
        <v>42.73</v>
      </c>
      <c r="F1671" s="1175" t="s">
        <v>2583</v>
      </c>
      <c r="G1671" s="79"/>
    </row>
    <row r="1672" spans="1:8" hidden="1">
      <c r="A1672" s="78">
        <v>43132</v>
      </c>
      <c r="B1672" s="37" t="s">
        <v>432</v>
      </c>
      <c r="C1672" s="1" t="s">
        <v>104</v>
      </c>
      <c r="D1672" s="37" t="s">
        <v>972</v>
      </c>
      <c r="E1672" s="37">
        <v>232.46</v>
      </c>
      <c r="F1672" s="37" t="s">
        <v>2584</v>
      </c>
      <c r="G1672" s="79"/>
    </row>
    <row r="1673" spans="1:8" hidden="1">
      <c r="A1673" s="78">
        <v>43132</v>
      </c>
      <c r="B1673" s="37" t="s">
        <v>432</v>
      </c>
      <c r="C1673" s="1" t="s">
        <v>103</v>
      </c>
      <c r="D1673" s="37" t="s">
        <v>972</v>
      </c>
      <c r="E1673" s="37">
        <v>288.39999999999998</v>
      </c>
      <c r="F1673" s="37" t="s">
        <v>2585</v>
      </c>
      <c r="G1673" s="79"/>
    </row>
    <row r="1674" spans="1:8" hidden="1">
      <c r="A1674" s="78">
        <v>43101</v>
      </c>
      <c r="B1674" s="37" t="s">
        <v>211</v>
      </c>
      <c r="C1674" s="1" t="s">
        <v>215</v>
      </c>
      <c r="D1674" s="37" t="s">
        <v>92</v>
      </c>
      <c r="E1674" s="37">
        <v>21.6</v>
      </c>
      <c r="F1674" s="37" t="s">
        <v>1310</v>
      </c>
      <c r="G1674" s="79"/>
    </row>
    <row r="1675" spans="1:8" hidden="1">
      <c r="A1675" s="78">
        <v>43132</v>
      </c>
      <c r="B1675" s="37" t="s">
        <v>172</v>
      </c>
      <c r="C1675" s="1" t="s">
        <v>104</v>
      </c>
      <c r="D1675" s="37" t="s">
        <v>972</v>
      </c>
      <c r="E1675" s="37">
        <v>1764</v>
      </c>
      <c r="F1675" s="37" t="s">
        <v>2586</v>
      </c>
      <c r="G1675" s="79"/>
    </row>
    <row r="1676" spans="1:8" hidden="1">
      <c r="A1676" s="78">
        <v>43132</v>
      </c>
      <c r="B1676" s="37" t="s">
        <v>172</v>
      </c>
      <c r="C1676" s="1" t="s">
        <v>103</v>
      </c>
      <c r="D1676" s="37" t="s">
        <v>972</v>
      </c>
      <c r="E1676" s="37">
        <v>540</v>
      </c>
      <c r="F1676" s="37" t="s">
        <v>2166</v>
      </c>
      <c r="G1676" s="79"/>
    </row>
    <row r="1677" spans="1:8" hidden="1">
      <c r="A1677" s="78">
        <v>43132</v>
      </c>
      <c r="B1677" s="37" t="s">
        <v>172</v>
      </c>
      <c r="C1677" s="1" t="s">
        <v>103</v>
      </c>
      <c r="D1677" s="37" t="s">
        <v>972</v>
      </c>
      <c r="E1677" s="37">
        <v>522</v>
      </c>
      <c r="F1677" s="37" t="s">
        <v>2587</v>
      </c>
      <c r="G1677" s="79"/>
    </row>
    <row r="1678" spans="1:8" hidden="1">
      <c r="A1678" s="78">
        <v>43132</v>
      </c>
      <c r="B1678" s="37" t="s">
        <v>172</v>
      </c>
      <c r="C1678" s="1" t="s">
        <v>104</v>
      </c>
      <c r="D1678" s="37" t="s">
        <v>972</v>
      </c>
      <c r="E1678" s="37">
        <v>720</v>
      </c>
      <c r="F1678" s="37" t="s">
        <v>2469</v>
      </c>
      <c r="G1678" s="79"/>
      <c r="H1678">
        <v>300</v>
      </c>
    </row>
    <row r="1679" spans="1:8" hidden="1">
      <c r="A1679" s="78">
        <v>43132</v>
      </c>
      <c r="B1679" s="37" t="s">
        <v>172</v>
      </c>
      <c r="C1679" s="1" t="s">
        <v>103</v>
      </c>
      <c r="D1679" s="37" t="s">
        <v>972</v>
      </c>
      <c r="E1679" s="37">
        <v>1098</v>
      </c>
      <c r="F1679" s="37" t="s">
        <v>2494</v>
      </c>
      <c r="G1679" s="79">
        <v>465</v>
      </c>
    </row>
    <row r="1680" spans="1:8" hidden="1">
      <c r="A1680" s="78">
        <v>43132</v>
      </c>
      <c r="B1680" s="37" t="s">
        <v>172</v>
      </c>
      <c r="C1680" s="1" t="s">
        <v>103</v>
      </c>
      <c r="D1680" s="37" t="s">
        <v>972</v>
      </c>
      <c r="E1680" s="37">
        <v>1386</v>
      </c>
      <c r="F1680" s="37" t="s">
        <v>2228</v>
      </c>
      <c r="G1680" s="79">
        <f>360+168+168</f>
        <v>696</v>
      </c>
      <c r="H1680">
        <f>G1680/1.2</f>
        <v>580</v>
      </c>
    </row>
    <row r="1681" spans="1:9" hidden="1">
      <c r="A1681" s="78">
        <v>43132</v>
      </c>
      <c r="B1681" s="37" t="s">
        <v>172</v>
      </c>
      <c r="C1681" s="1" t="s">
        <v>104</v>
      </c>
      <c r="D1681" s="37" t="s">
        <v>972</v>
      </c>
      <c r="E1681" s="37">
        <v>342</v>
      </c>
      <c r="F1681" s="37" t="s">
        <v>2588</v>
      </c>
      <c r="G1681" s="79"/>
    </row>
    <row r="1682" spans="1:9" hidden="1">
      <c r="A1682" s="78">
        <v>43132</v>
      </c>
      <c r="B1682" s="37" t="s">
        <v>214</v>
      </c>
      <c r="C1682" s="1" t="s">
        <v>215</v>
      </c>
      <c r="D1682" s="37" t="s">
        <v>2483</v>
      </c>
      <c r="E1682" s="37">
        <v>1035</v>
      </c>
      <c r="F1682" s="37" t="s">
        <v>1474</v>
      </c>
      <c r="G1682" s="79"/>
    </row>
    <row r="1683" spans="1:9" hidden="1">
      <c r="A1683" s="78">
        <v>43132</v>
      </c>
      <c r="B1683" s="37" t="s">
        <v>790</v>
      </c>
      <c r="C1683" s="1" t="s">
        <v>215</v>
      </c>
      <c r="D1683" s="37" t="s">
        <v>92</v>
      </c>
      <c r="E1683" s="107">
        <v>1362.58</v>
      </c>
      <c r="F1683" s="37" t="s">
        <v>1794</v>
      </c>
      <c r="G1683" s="79"/>
    </row>
    <row r="1684" spans="1:9" hidden="1">
      <c r="A1684" s="78">
        <v>43132</v>
      </c>
      <c r="B1684" s="37" t="s">
        <v>55</v>
      </c>
      <c r="C1684" s="1" t="s">
        <v>886</v>
      </c>
      <c r="D1684" s="37" t="s">
        <v>972</v>
      </c>
      <c r="E1684" s="37">
        <v>1029</v>
      </c>
      <c r="F1684" s="37" t="s">
        <v>2592</v>
      </c>
      <c r="G1684" s="79">
        <f>530</f>
        <v>530</v>
      </c>
      <c r="H1684">
        <f>190/530*E1684</f>
        <v>368.88679245283015</v>
      </c>
      <c r="I1684">
        <f>E1684-H1684</f>
        <v>660.11320754716985</v>
      </c>
    </row>
    <row r="1685" spans="1:9" hidden="1">
      <c r="A1685" s="78">
        <v>43132</v>
      </c>
      <c r="B1685" s="37" t="s">
        <v>1455</v>
      </c>
      <c r="C1685" s="1" t="s">
        <v>215</v>
      </c>
      <c r="D1685" s="37" t="s">
        <v>1938</v>
      </c>
      <c r="E1685" s="37">
        <v>153.46</v>
      </c>
      <c r="F1685" s="37" t="s">
        <v>335</v>
      </c>
      <c r="G1685" s="79"/>
    </row>
    <row r="1686" spans="1:9" hidden="1">
      <c r="A1686" s="78">
        <v>43132</v>
      </c>
      <c r="B1686" s="37" t="s">
        <v>2361</v>
      </c>
      <c r="C1686" s="1" t="s">
        <v>215</v>
      </c>
      <c r="D1686" s="37" t="s">
        <v>673</v>
      </c>
      <c r="E1686" s="37">
        <v>50.52</v>
      </c>
      <c r="F1686" s="37" t="s">
        <v>1474</v>
      </c>
      <c r="G1686" s="79"/>
    </row>
    <row r="1687" spans="1:9" hidden="1">
      <c r="A1687" s="78">
        <v>43160</v>
      </c>
      <c r="B1687" s="37" t="s">
        <v>2110</v>
      </c>
      <c r="C1687" s="1" t="s">
        <v>215</v>
      </c>
      <c r="D1687" s="37" t="s">
        <v>2539</v>
      </c>
      <c r="E1687" s="37">
        <v>208.43</v>
      </c>
      <c r="F1687" s="37" t="s">
        <v>1210</v>
      </c>
      <c r="G1687" s="79"/>
    </row>
    <row r="1688" spans="1:9" hidden="1">
      <c r="A1688" s="78">
        <v>43132</v>
      </c>
      <c r="B1688" s="37" t="s">
        <v>217</v>
      </c>
      <c r="C1688" s="1" t="s">
        <v>215</v>
      </c>
      <c r="D1688" s="37" t="s">
        <v>92</v>
      </c>
      <c r="E1688" s="37">
        <v>2709.52</v>
      </c>
      <c r="F1688" s="37" t="s">
        <v>1794</v>
      </c>
      <c r="G1688" s="79"/>
    </row>
    <row r="1689" spans="1:9" hidden="1">
      <c r="A1689" s="78">
        <v>43132</v>
      </c>
      <c r="B1689" s="37" t="s">
        <v>619</v>
      </c>
      <c r="C1689" s="1" t="s">
        <v>171</v>
      </c>
      <c r="D1689" s="37" t="s">
        <v>92</v>
      </c>
      <c r="E1689" s="37">
        <v>48</v>
      </c>
      <c r="F1689" s="37" t="s">
        <v>1310</v>
      </c>
      <c r="G1689" s="79"/>
    </row>
    <row r="1690" spans="1:9" hidden="1">
      <c r="A1690" s="78">
        <v>43132</v>
      </c>
      <c r="B1690" s="37" t="s">
        <v>1330</v>
      </c>
      <c r="C1690" s="1" t="s">
        <v>215</v>
      </c>
      <c r="D1690" s="37" t="s">
        <v>1560</v>
      </c>
      <c r="E1690" s="37">
        <v>566.07000000000005</v>
      </c>
      <c r="F1690" s="37" t="s">
        <v>1224</v>
      </c>
      <c r="G1690" s="79"/>
    </row>
    <row r="1691" spans="1:9" hidden="1">
      <c r="A1691" s="78">
        <v>43132</v>
      </c>
      <c r="B1691" s="37" t="s">
        <v>259</v>
      </c>
      <c r="C1691" s="1" t="s">
        <v>171</v>
      </c>
      <c r="D1691" s="37" t="s">
        <v>2483</v>
      </c>
      <c r="E1691" s="37">
        <v>816.66</v>
      </c>
      <c r="F1691" s="37" t="s">
        <v>2609</v>
      </c>
      <c r="G1691" s="79">
        <f>E1691+163.44</f>
        <v>980.09999999999991</v>
      </c>
    </row>
    <row r="1692" spans="1:9" hidden="1">
      <c r="A1692" s="78">
        <v>43132</v>
      </c>
      <c r="B1692" s="37" t="s">
        <v>2289</v>
      </c>
      <c r="C1692" s="1" t="s">
        <v>2290</v>
      </c>
      <c r="D1692" s="37" t="s">
        <v>722</v>
      </c>
      <c r="E1692" s="37">
        <v>150</v>
      </c>
      <c r="F1692" s="37" t="s">
        <v>2610</v>
      </c>
      <c r="G1692" s="79"/>
    </row>
    <row r="1693" spans="1:9" hidden="1">
      <c r="A1693" s="78">
        <v>43160</v>
      </c>
      <c r="B1693" s="37" t="s">
        <v>1937</v>
      </c>
      <c r="C1693" s="1" t="s">
        <v>215</v>
      </c>
      <c r="D1693" s="37" t="s">
        <v>1938</v>
      </c>
      <c r="E1693" s="37">
        <v>251.74</v>
      </c>
      <c r="F1693" s="37" t="s">
        <v>1310</v>
      </c>
      <c r="G1693" s="79">
        <v>251.74</v>
      </c>
    </row>
    <row r="1694" spans="1:9" hidden="1">
      <c r="A1694" s="78">
        <v>43160</v>
      </c>
      <c r="B1694" s="37" t="s">
        <v>1937</v>
      </c>
      <c r="C1694" s="1" t="s">
        <v>2611</v>
      </c>
      <c r="D1694" s="37" t="s">
        <v>1938</v>
      </c>
      <c r="E1694" s="37">
        <v>50</v>
      </c>
      <c r="F1694" s="37" t="s">
        <v>2612</v>
      </c>
      <c r="G1694" s="79">
        <v>60</v>
      </c>
    </row>
    <row r="1695" spans="1:9" hidden="1">
      <c r="A1695" s="78">
        <v>43160</v>
      </c>
      <c r="B1695" s="37" t="s">
        <v>1937</v>
      </c>
      <c r="C1695" s="1" t="s">
        <v>2613</v>
      </c>
      <c r="D1695" s="37" t="s">
        <v>1938</v>
      </c>
      <c r="E1695" s="37">
        <v>66.67</v>
      </c>
      <c r="F1695" s="37" t="s">
        <v>2614</v>
      </c>
      <c r="G1695" s="79">
        <v>80</v>
      </c>
    </row>
    <row r="1696" spans="1:9" hidden="1">
      <c r="A1696" s="78">
        <v>43160</v>
      </c>
      <c r="B1696" s="37" t="s">
        <v>6</v>
      </c>
      <c r="C1696" s="1" t="s">
        <v>215</v>
      </c>
      <c r="D1696" s="37" t="s">
        <v>1938</v>
      </c>
      <c r="E1696" s="37">
        <v>1009.02</v>
      </c>
      <c r="F1696" s="37" t="s">
        <v>1310</v>
      </c>
      <c r="G1696" s="79"/>
    </row>
    <row r="1697" spans="1:11" hidden="1">
      <c r="A1697" s="78">
        <v>43160</v>
      </c>
      <c r="B1697" s="37" t="s">
        <v>217</v>
      </c>
      <c r="C1697" s="1" t="s">
        <v>1837</v>
      </c>
      <c r="D1697" s="37" t="s">
        <v>92</v>
      </c>
      <c r="E1697" s="37">
        <v>400</v>
      </c>
      <c r="F1697" s="37" t="s">
        <v>1385</v>
      </c>
      <c r="G1697" s="79"/>
    </row>
    <row r="1698" spans="1:11" hidden="1">
      <c r="A1698" s="78">
        <v>43160</v>
      </c>
      <c r="B1698" s="37" t="s">
        <v>2058</v>
      </c>
      <c r="C1698" s="1" t="s">
        <v>103</v>
      </c>
      <c r="D1698" s="37" t="s">
        <v>1560</v>
      </c>
      <c r="E1698" s="37">
        <v>58.33</v>
      </c>
      <c r="F1698" s="37" t="s">
        <v>2619</v>
      </c>
      <c r="G1698" s="79"/>
    </row>
    <row r="1699" spans="1:11" hidden="1">
      <c r="A1699" s="78">
        <v>43160</v>
      </c>
      <c r="B1699" s="37" t="s">
        <v>2620</v>
      </c>
      <c r="C1699" s="1" t="s">
        <v>103</v>
      </c>
      <c r="D1699" s="37" t="s">
        <v>972</v>
      </c>
      <c r="E1699" s="37">
        <v>21.73</v>
      </c>
      <c r="F1699" s="37" t="s">
        <v>2621</v>
      </c>
      <c r="G1699" s="79"/>
    </row>
    <row r="1700" spans="1:11" hidden="1">
      <c r="A1700" s="78">
        <v>43160</v>
      </c>
      <c r="B1700" s="37" t="s">
        <v>2620</v>
      </c>
      <c r="C1700" s="1" t="s">
        <v>104</v>
      </c>
      <c r="D1700" s="37" t="s">
        <v>972</v>
      </c>
      <c r="E1700" s="37">
        <v>117.34</v>
      </c>
      <c r="F1700" s="37" t="s">
        <v>2622</v>
      </c>
      <c r="G1700" s="1497"/>
    </row>
    <row r="1701" spans="1:11" hidden="1">
      <c r="A1701" s="78">
        <v>43160</v>
      </c>
      <c r="B1701" s="37" t="s">
        <v>214</v>
      </c>
      <c r="C1701" s="1" t="s">
        <v>215</v>
      </c>
      <c r="D1701" s="37" t="s">
        <v>2483</v>
      </c>
      <c r="E1701" s="37">
        <v>1674</v>
      </c>
      <c r="F1701" s="37" t="s">
        <v>2623</v>
      </c>
      <c r="G1701" s="79"/>
    </row>
    <row r="1702" spans="1:11" hidden="1">
      <c r="A1702" s="78">
        <v>43160</v>
      </c>
      <c r="B1702" s="37" t="s">
        <v>55</v>
      </c>
      <c r="C1702" s="1" t="s">
        <v>1899</v>
      </c>
      <c r="D1702" s="37" t="s">
        <v>972</v>
      </c>
      <c r="E1702" s="37">
        <v>925.65</v>
      </c>
      <c r="F1702" s="37" t="s">
        <v>2626</v>
      </c>
      <c r="G1702" s="79"/>
      <c r="H1702">
        <f>44.88+57.57</f>
        <v>102.45</v>
      </c>
      <c r="I1702">
        <f>E1702-H1702</f>
        <v>823.19999999999993</v>
      </c>
      <c r="J1702">
        <f>I1702/392</f>
        <v>2.0999999999999996</v>
      </c>
      <c r="K1702">
        <f>72*2.1</f>
        <v>151.20000000000002</v>
      </c>
    </row>
    <row r="1703" spans="1:11" hidden="1">
      <c r="A1703" s="78">
        <v>43160</v>
      </c>
      <c r="B1703" s="37" t="s">
        <v>55</v>
      </c>
      <c r="C1703" s="1" t="s">
        <v>886</v>
      </c>
      <c r="D1703" s="37" t="s">
        <v>972</v>
      </c>
      <c r="E1703" s="37">
        <v>1120.21</v>
      </c>
      <c r="F1703" s="37" t="s">
        <v>2625</v>
      </c>
      <c r="G1703" s="79">
        <f>E1703-76.74-182.47</f>
        <v>861</v>
      </c>
      <c r="H1703">
        <f>90/400*G1703</f>
        <v>193.72499999999999</v>
      </c>
      <c r="I1703">
        <f>G1703-H1703</f>
        <v>667.27499999999998</v>
      </c>
    </row>
    <row r="1704" spans="1:11" hidden="1">
      <c r="A1704" s="78">
        <v>43132</v>
      </c>
      <c r="B1704" s="37" t="s">
        <v>1962</v>
      </c>
      <c r="C1704" s="1" t="s">
        <v>215</v>
      </c>
      <c r="D1704" s="37" t="s">
        <v>1938</v>
      </c>
      <c r="E1704" s="37">
        <v>24.86</v>
      </c>
      <c r="F1704" s="37" t="s">
        <v>2369</v>
      </c>
      <c r="G1704" s="79"/>
    </row>
    <row r="1705" spans="1:11" hidden="1">
      <c r="A1705" s="78">
        <v>43160</v>
      </c>
      <c r="B1705" s="37" t="s">
        <v>172</v>
      </c>
      <c r="C1705" s="1" t="s">
        <v>104</v>
      </c>
      <c r="D1705" s="37" t="s">
        <v>972</v>
      </c>
      <c r="E1705" s="37">
        <v>1368</v>
      </c>
      <c r="F1705" s="37" t="s">
        <v>1224</v>
      </c>
      <c r="G1705" s="79"/>
    </row>
    <row r="1706" spans="1:11" hidden="1">
      <c r="A1706" s="78">
        <v>43160</v>
      </c>
      <c r="B1706" s="37" t="s">
        <v>172</v>
      </c>
      <c r="C1706" s="1" t="s">
        <v>103</v>
      </c>
      <c r="D1706" s="37" t="s">
        <v>972</v>
      </c>
      <c r="E1706" s="37">
        <v>414</v>
      </c>
      <c r="F1706" s="37" t="s">
        <v>2392</v>
      </c>
      <c r="G1706" s="79"/>
    </row>
    <row r="1707" spans="1:11" hidden="1">
      <c r="A1707" s="78">
        <v>43160</v>
      </c>
      <c r="B1707" s="37" t="s">
        <v>172</v>
      </c>
      <c r="C1707" s="1" t="s">
        <v>103</v>
      </c>
      <c r="D1707" s="37" t="s">
        <v>972</v>
      </c>
      <c r="E1707" s="37">
        <v>1008</v>
      </c>
      <c r="F1707" s="37" t="s">
        <v>2166</v>
      </c>
      <c r="G1707" s="79"/>
    </row>
    <row r="1708" spans="1:11" hidden="1">
      <c r="A1708" s="78">
        <v>43160</v>
      </c>
      <c r="B1708" s="37" t="s">
        <v>172</v>
      </c>
      <c r="C1708" s="1" t="s">
        <v>1797</v>
      </c>
      <c r="D1708" s="37" t="s">
        <v>972</v>
      </c>
      <c r="E1708" s="37">
        <f>352.8*5</f>
        <v>1764</v>
      </c>
      <c r="F1708" s="37" t="s">
        <v>2632</v>
      </c>
      <c r="G1708" s="1497">
        <f>352.8/1.2</f>
        <v>294</v>
      </c>
    </row>
    <row r="1709" spans="1:11" hidden="1">
      <c r="A1709" s="78">
        <v>43160</v>
      </c>
      <c r="B1709" s="37" t="s">
        <v>172</v>
      </c>
      <c r="C1709" s="1" t="s">
        <v>104</v>
      </c>
      <c r="D1709" s="37" t="s">
        <v>972</v>
      </c>
      <c r="E1709" s="37">
        <v>1368</v>
      </c>
      <c r="F1709" s="37" t="s">
        <v>2633</v>
      </c>
      <c r="G1709" s="79"/>
    </row>
    <row r="1710" spans="1:11" hidden="1">
      <c r="A1710" s="78">
        <v>43160</v>
      </c>
      <c r="B1710" s="37" t="s">
        <v>172</v>
      </c>
      <c r="C1710" s="1" t="s">
        <v>103</v>
      </c>
      <c r="D1710" s="37" t="s">
        <v>972</v>
      </c>
      <c r="E1710" s="37">
        <v>612</v>
      </c>
      <c r="F1710" s="37" t="s">
        <v>2634</v>
      </c>
      <c r="G1710" s="79">
        <f>E1710/1.2</f>
        <v>510</v>
      </c>
    </row>
    <row r="1711" spans="1:11" hidden="1">
      <c r="A1711" s="78">
        <v>43160</v>
      </c>
      <c r="B1711" s="37" t="s">
        <v>55</v>
      </c>
      <c r="C1711" s="1" t="s">
        <v>336</v>
      </c>
      <c r="D1711" s="37" t="s">
        <v>972</v>
      </c>
      <c r="E1711" s="37">
        <v>9.1199999999999992</v>
      </c>
      <c r="F1711" s="37" t="s">
        <v>2635</v>
      </c>
      <c r="G1711" s="79"/>
    </row>
    <row r="1712" spans="1:11" hidden="1">
      <c r="A1712" s="78">
        <v>43160</v>
      </c>
      <c r="B1712" s="37" t="s">
        <v>2058</v>
      </c>
      <c r="C1712" s="1" t="s">
        <v>336</v>
      </c>
      <c r="D1712" s="37" t="s">
        <v>1560</v>
      </c>
      <c r="E1712" s="37">
        <v>210</v>
      </c>
      <c r="F1712" s="37" t="s">
        <v>2639</v>
      </c>
      <c r="G1712" s="79"/>
    </row>
    <row r="1713" spans="1:7" hidden="1">
      <c r="A1713" s="78">
        <v>43160</v>
      </c>
      <c r="B1713" s="37" t="s">
        <v>790</v>
      </c>
      <c r="C1713" s="1" t="s">
        <v>215</v>
      </c>
      <c r="D1713" s="37" t="s">
        <v>92</v>
      </c>
      <c r="E1713" s="107">
        <v>1601.13</v>
      </c>
      <c r="F1713" s="37" t="s">
        <v>2640</v>
      </c>
      <c r="G1713" s="79"/>
    </row>
    <row r="1714" spans="1:7" hidden="1">
      <c r="A1714" s="78">
        <v>43160</v>
      </c>
      <c r="B1714" s="37" t="s">
        <v>479</v>
      </c>
      <c r="C1714" s="1" t="s">
        <v>2641</v>
      </c>
      <c r="D1714" s="37" t="s">
        <v>2483</v>
      </c>
      <c r="E1714" s="37">
        <v>2032.18</v>
      </c>
      <c r="F1714" s="37" t="s">
        <v>335</v>
      </c>
      <c r="G1714" s="79"/>
    </row>
    <row r="1715" spans="1:7" hidden="1">
      <c r="A1715" s="78">
        <v>43160</v>
      </c>
      <c r="B1715" s="37" t="s">
        <v>2517</v>
      </c>
      <c r="C1715" s="1" t="s">
        <v>1973</v>
      </c>
      <c r="D1715" s="37" t="s">
        <v>1938</v>
      </c>
      <c r="E1715" s="37">
        <v>113.63</v>
      </c>
      <c r="F1715" s="37" t="s">
        <v>1310</v>
      </c>
      <c r="G1715" s="79"/>
    </row>
    <row r="1716" spans="1:7" hidden="1">
      <c r="A1716" s="78">
        <v>43160</v>
      </c>
      <c r="B1716" s="37" t="s">
        <v>217</v>
      </c>
      <c r="C1716" s="1" t="s">
        <v>104</v>
      </c>
      <c r="D1716" s="37" t="s">
        <v>92</v>
      </c>
      <c r="E1716" s="37">
        <v>1455.88</v>
      </c>
      <c r="F1716" s="37" t="s">
        <v>1794</v>
      </c>
      <c r="G1716" s="79"/>
    </row>
    <row r="1717" spans="1:7" hidden="1">
      <c r="A1717" s="78">
        <v>43160</v>
      </c>
      <c r="B1717" s="37" t="s">
        <v>6</v>
      </c>
      <c r="C1717" s="1" t="s">
        <v>2644</v>
      </c>
      <c r="D1717" s="37" t="s">
        <v>1938</v>
      </c>
      <c r="E1717" s="37">
        <v>200</v>
      </c>
      <c r="F1717" s="37" t="s">
        <v>2645</v>
      </c>
      <c r="G1717" s="79"/>
    </row>
    <row r="1718" spans="1:7" hidden="1">
      <c r="A1718" s="78">
        <v>43160</v>
      </c>
      <c r="B1718" s="37" t="s">
        <v>2361</v>
      </c>
      <c r="C1718" s="1" t="s">
        <v>215</v>
      </c>
      <c r="D1718" s="37" t="s">
        <v>1938</v>
      </c>
      <c r="E1718" s="37">
        <v>52.27</v>
      </c>
      <c r="F1718" s="37" t="s">
        <v>1474</v>
      </c>
      <c r="G1718" s="79"/>
    </row>
    <row r="1719" spans="1:7" hidden="1">
      <c r="A1719" s="78">
        <v>43191</v>
      </c>
      <c r="B1719" s="37" t="s">
        <v>2110</v>
      </c>
      <c r="C1719" s="1" t="s">
        <v>215</v>
      </c>
      <c r="D1719" s="37" t="s">
        <v>2539</v>
      </c>
      <c r="E1719" s="37">
        <v>201.57</v>
      </c>
      <c r="F1719" s="37" t="s">
        <v>1210</v>
      </c>
      <c r="G1719" s="79"/>
    </row>
    <row r="1720" spans="1:7" hidden="1">
      <c r="A1720" s="78">
        <v>43160</v>
      </c>
      <c r="B1720" s="37" t="s">
        <v>2654</v>
      </c>
      <c r="C1720" s="1" t="s">
        <v>215</v>
      </c>
      <c r="D1720" s="37" t="s">
        <v>1938</v>
      </c>
      <c r="E1720" s="37">
        <v>13.32</v>
      </c>
      <c r="F1720" s="37" t="s">
        <v>1210</v>
      </c>
      <c r="G1720" s="79"/>
    </row>
    <row r="1721" spans="1:7" hidden="1">
      <c r="A1721" s="78">
        <v>43191</v>
      </c>
      <c r="B1721" s="37" t="s">
        <v>2058</v>
      </c>
      <c r="C1721" s="1" t="s">
        <v>171</v>
      </c>
      <c r="D1721" s="37" t="s">
        <v>1560</v>
      </c>
      <c r="E1721" s="37">
        <v>70</v>
      </c>
      <c r="F1721" s="37" t="s">
        <v>2213</v>
      </c>
      <c r="G1721" s="79"/>
    </row>
    <row r="1722" spans="1:7" hidden="1">
      <c r="A1722" s="78">
        <v>43160</v>
      </c>
      <c r="B1722" s="37" t="s">
        <v>2289</v>
      </c>
      <c r="C1722" s="1" t="s">
        <v>1955</v>
      </c>
      <c r="D1722" s="37" t="s">
        <v>722</v>
      </c>
      <c r="E1722" s="37">
        <v>180</v>
      </c>
      <c r="F1722" s="37" t="s">
        <v>2664</v>
      </c>
      <c r="G1722" s="1497"/>
    </row>
    <row r="1723" spans="1:7" hidden="1">
      <c r="A1723" s="78">
        <v>43191</v>
      </c>
      <c r="B1723" s="37" t="s">
        <v>566</v>
      </c>
      <c r="C1723" s="1" t="s">
        <v>171</v>
      </c>
      <c r="D1723" s="37" t="s">
        <v>92</v>
      </c>
      <c r="E1723" s="37">
        <v>7128</v>
      </c>
      <c r="F1723" s="37" t="s">
        <v>2665</v>
      </c>
      <c r="G1723" s="79"/>
    </row>
    <row r="1724" spans="1:7" hidden="1">
      <c r="A1724" s="78">
        <v>43160</v>
      </c>
      <c r="B1724" s="37" t="s">
        <v>1916</v>
      </c>
      <c r="C1724" s="1" t="s">
        <v>215</v>
      </c>
      <c r="D1724" s="37" t="s">
        <v>2539</v>
      </c>
      <c r="E1724" s="37">
        <v>179.06</v>
      </c>
      <c r="F1724" s="37" t="s">
        <v>1164</v>
      </c>
      <c r="G1724" s="79"/>
    </row>
    <row r="1725" spans="1:7" hidden="1">
      <c r="A1725" s="78">
        <v>43191</v>
      </c>
      <c r="B1725" s="37" t="s">
        <v>790</v>
      </c>
      <c r="C1725" s="1" t="s">
        <v>104</v>
      </c>
      <c r="D1725" s="37" t="s">
        <v>92</v>
      </c>
      <c r="E1725" s="37">
        <v>120</v>
      </c>
      <c r="F1725" s="37" t="s">
        <v>1501</v>
      </c>
      <c r="G1725" s="79"/>
    </row>
    <row r="1726" spans="1:7" hidden="1">
      <c r="A1726" s="78">
        <v>43160</v>
      </c>
      <c r="B1726" s="37" t="s">
        <v>619</v>
      </c>
      <c r="C1726" s="1" t="s">
        <v>171</v>
      </c>
      <c r="D1726" s="37" t="s">
        <v>92</v>
      </c>
      <c r="E1726" s="37">
        <v>744</v>
      </c>
      <c r="F1726" s="37" t="s">
        <v>2666</v>
      </c>
      <c r="G1726" s="79"/>
    </row>
    <row r="1727" spans="1:7" hidden="1">
      <c r="A1727" s="78">
        <v>43160</v>
      </c>
      <c r="B1727" s="37" t="s">
        <v>619</v>
      </c>
      <c r="C1727" s="1" t="s">
        <v>171</v>
      </c>
      <c r="D1727" s="37" t="s">
        <v>92</v>
      </c>
      <c r="E1727" s="37">
        <v>192</v>
      </c>
      <c r="F1727" s="37" t="s">
        <v>1543</v>
      </c>
      <c r="G1727" s="79"/>
    </row>
    <row r="1728" spans="1:7" hidden="1">
      <c r="A1728" s="78">
        <v>43160</v>
      </c>
      <c r="B1728" s="37" t="s">
        <v>1330</v>
      </c>
      <c r="C1728" s="1" t="s">
        <v>215</v>
      </c>
      <c r="D1728" s="37" t="s">
        <v>1560</v>
      </c>
      <c r="E1728" s="37">
        <v>295.32</v>
      </c>
      <c r="F1728" s="37" t="s">
        <v>1286</v>
      </c>
      <c r="G1728" s="79"/>
    </row>
    <row r="1729" spans="1:7" hidden="1">
      <c r="A1729" s="78">
        <v>43160</v>
      </c>
      <c r="B1729" s="37" t="s">
        <v>1561</v>
      </c>
      <c r="C1729" s="1" t="s">
        <v>215</v>
      </c>
      <c r="D1729" s="37" t="s">
        <v>1938</v>
      </c>
      <c r="E1729" s="37">
        <v>2320.56</v>
      </c>
      <c r="F1729" s="37" t="s">
        <v>2667</v>
      </c>
      <c r="G1729" s="79"/>
    </row>
    <row r="1730" spans="1:7" hidden="1">
      <c r="A1730" s="78">
        <v>43160</v>
      </c>
      <c r="B1730" s="37" t="s">
        <v>826</v>
      </c>
      <c r="C1730" s="1" t="s">
        <v>215</v>
      </c>
      <c r="D1730" s="37" t="s">
        <v>2483</v>
      </c>
      <c r="E1730" s="37">
        <v>86.8</v>
      </c>
      <c r="F1730" s="37" t="s">
        <v>2668</v>
      </c>
      <c r="G1730" s="79"/>
    </row>
    <row r="1731" spans="1:7" hidden="1">
      <c r="A1731" s="78">
        <v>43160</v>
      </c>
      <c r="B1731" s="37" t="s">
        <v>1786</v>
      </c>
      <c r="C1731" s="1" t="s">
        <v>2669</v>
      </c>
      <c r="D1731" s="37" t="s">
        <v>1560</v>
      </c>
      <c r="E1731" s="37">
        <v>291.95999999999998</v>
      </c>
      <c r="F1731" s="37" t="s">
        <v>2670</v>
      </c>
      <c r="G1731" s="79"/>
    </row>
    <row r="1732" spans="1:7" hidden="1">
      <c r="A1732" s="78">
        <v>43160</v>
      </c>
      <c r="B1732" s="37" t="s">
        <v>1995</v>
      </c>
      <c r="C1732" s="1" t="s">
        <v>2519</v>
      </c>
      <c r="D1732" s="37" t="s">
        <v>2539</v>
      </c>
      <c r="E1732" s="37">
        <v>984</v>
      </c>
      <c r="F1732" s="37" t="s">
        <v>1474</v>
      </c>
      <c r="G1732" s="79"/>
    </row>
    <row r="1733" spans="1:7" hidden="1">
      <c r="A1733" s="78">
        <v>43191</v>
      </c>
      <c r="B1733" s="37" t="s">
        <v>217</v>
      </c>
      <c r="C1733" s="1" t="s">
        <v>104</v>
      </c>
      <c r="D1733" s="37" t="s">
        <v>92</v>
      </c>
      <c r="E1733" s="37">
        <v>200</v>
      </c>
      <c r="F1733" s="37" t="s">
        <v>2676</v>
      </c>
      <c r="G1733" s="79"/>
    </row>
    <row r="1734" spans="1:7" hidden="1">
      <c r="A1734" s="78">
        <v>43191</v>
      </c>
      <c r="B1734" s="37" t="s">
        <v>49</v>
      </c>
      <c r="C1734" s="1" t="s">
        <v>104</v>
      </c>
      <c r="D1734" s="37" t="s">
        <v>972</v>
      </c>
      <c r="E1734" s="37">
        <v>118.62</v>
      </c>
      <c r="F1734" s="37" t="s">
        <v>2686</v>
      </c>
      <c r="G1734" s="79"/>
    </row>
    <row r="1735" spans="1:7" hidden="1">
      <c r="A1735" s="78">
        <v>43191</v>
      </c>
      <c r="B1735" s="37" t="s">
        <v>49</v>
      </c>
      <c r="C1735" s="1" t="s">
        <v>103</v>
      </c>
      <c r="D1735" s="37" t="s">
        <v>972</v>
      </c>
      <c r="E1735" s="37">
        <v>37.32</v>
      </c>
      <c r="F1735" s="37" t="s">
        <v>2621</v>
      </c>
      <c r="G1735" s="79"/>
    </row>
    <row r="1736" spans="1:7" hidden="1">
      <c r="A1736" s="78">
        <v>43191</v>
      </c>
      <c r="B1736" s="37" t="s">
        <v>49</v>
      </c>
      <c r="C1736" s="1" t="s">
        <v>104</v>
      </c>
      <c r="D1736" s="37" t="s">
        <v>972</v>
      </c>
      <c r="E1736" s="37">
        <v>261.3</v>
      </c>
      <c r="F1736" s="37" t="s">
        <v>2687</v>
      </c>
      <c r="G1736" s="79"/>
    </row>
    <row r="1737" spans="1:7" hidden="1">
      <c r="A1737" s="78">
        <v>43191</v>
      </c>
      <c r="B1737" s="37" t="s">
        <v>2058</v>
      </c>
      <c r="C1737" s="1" t="s">
        <v>2689</v>
      </c>
      <c r="D1737" s="37" t="s">
        <v>1560</v>
      </c>
      <c r="E1737" s="37">
        <v>210</v>
      </c>
      <c r="F1737" s="37" t="s">
        <v>2690</v>
      </c>
      <c r="G1737" s="79"/>
    </row>
    <row r="1738" spans="1:7" hidden="1">
      <c r="A1738" s="78">
        <v>43191</v>
      </c>
      <c r="B1738" s="37" t="s">
        <v>55</v>
      </c>
      <c r="C1738" s="1" t="s">
        <v>336</v>
      </c>
      <c r="D1738" s="37" t="s">
        <v>972</v>
      </c>
      <c r="E1738" s="37">
        <v>90.74</v>
      </c>
      <c r="F1738" s="37" t="s">
        <v>2691</v>
      </c>
      <c r="G1738" s="79"/>
    </row>
    <row r="1739" spans="1:7" hidden="1">
      <c r="A1739" s="78">
        <v>43191</v>
      </c>
      <c r="B1739" s="37" t="s">
        <v>55</v>
      </c>
      <c r="C1739" s="1" t="s">
        <v>1898</v>
      </c>
      <c r="D1739" s="37" t="s">
        <v>972</v>
      </c>
      <c r="E1739" s="37">
        <v>777</v>
      </c>
      <c r="F1739" s="37" t="s">
        <v>2694</v>
      </c>
      <c r="G1739" s="79">
        <f>E1739/380</f>
        <v>2.0447368421052632</v>
      </c>
    </row>
    <row r="1740" spans="1:7" hidden="1">
      <c r="A1740" s="78">
        <v>43191</v>
      </c>
      <c r="B1740" s="37" t="s">
        <v>1937</v>
      </c>
      <c r="C1740" s="1" t="s">
        <v>215</v>
      </c>
      <c r="D1740" s="37" t="s">
        <v>1938</v>
      </c>
      <c r="E1740" s="37">
        <v>353.59</v>
      </c>
      <c r="F1740" s="37" t="s">
        <v>1310</v>
      </c>
      <c r="G1740" s="79"/>
    </row>
    <row r="1741" spans="1:7" hidden="1">
      <c r="A1741" s="78">
        <v>43191</v>
      </c>
      <c r="B1741" s="37" t="s">
        <v>1937</v>
      </c>
      <c r="C1741" s="1" t="s">
        <v>2692</v>
      </c>
      <c r="D1741" s="37" t="s">
        <v>1938</v>
      </c>
      <c r="E1741" s="37">
        <v>60</v>
      </c>
      <c r="F1741" s="37" t="s">
        <v>2693</v>
      </c>
      <c r="G1741" s="79"/>
    </row>
    <row r="1742" spans="1:7" hidden="1">
      <c r="A1742" s="78">
        <v>43191</v>
      </c>
      <c r="B1742" s="37" t="s">
        <v>6</v>
      </c>
      <c r="C1742" s="1" t="s">
        <v>215</v>
      </c>
      <c r="D1742" s="37" t="s">
        <v>1938</v>
      </c>
      <c r="E1742" s="37">
        <v>458.04</v>
      </c>
      <c r="F1742" s="37" t="s">
        <v>1310</v>
      </c>
      <c r="G1742" s="79"/>
    </row>
    <row r="1743" spans="1:7" hidden="1">
      <c r="A1743" s="78">
        <v>43191</v>
      </c>
      <c r="B1743" s="37" t="s">
        <v>172</v>
      </c>
      <c r="C1743" s="1" t="s">
        <v>103</v>
      </c>
      <c r="D1743" s="37" t="s">
        <v>972</v>
      </c>
      <c r="E1743" s="37">
        <v>360</v>
      </c>
      <c r="F1743" s="37" t="s">
        <v>2704</v>
      </c>
      <c r="G1743" s="79"/>
    </row>
    <row r="1744" spans="1:7" hidden="1">
      <c r="A1744" s="78">
        <v>43191</v>
      </c>
      <c r="B1744" s="37" t="s">
        <v>172</v>
      </c>
      <c r="C1744" s="1" t="s">
        <v>104</v>
      </c>
      <c r="D1744" s="37" t="s">
        <v>972</v>
      </c>
      <c r="E1744" s="37">
        <v>4122</v>
      </c>
      <c r="F1744" s="37" t="s">
        <v>1224</v>
      </c>
      <c r="G1744" s="79"/>
    </row>
    <row r="1745" spans="1:8" hidden="1">
      <c r="A1745" s="78">
        <v>43191</v>
      </c>
      <c r="B1745" s="37" t="s">
        <v>172</v>
      </c>
      <c r="C1745" s="1" t="s">
        <v>104</v>
      </c>
      <c r="D1745" s="37" t="s">
        <v>972</v>
      </c>
      <c r="E1745" s="37">
        <v>1620</v>
      </c>
      <c r="F1745" s="37" t="s">
        <v>2705</v>
      </c>
      <c r="G1745" s="79"/>
      <c r="H1745">
        <v>300</v>
      </c>
    </row>
    <row r="1746" spans="1:8" hidden="1">
      <c r="A1746" s="78">
        <v>43191</v>
      </c>
      <c r="B1746" s="37" t="s">
        <v>172</v>
      </c>
      <c r="C1746" s="1" t="s">
        <v>103</v>
      </c>
      <c r="D1746" s="37" t="s">
        <v>972</v>
      </c>
      <c r="E1746" s="37">
        <v>612</v>
      </c>
      <c r="F1746" s="37" t="s">
        <v>2706</v>
      </c>
      <c r="G1746" s="79">
        <f>3*40+4*35</f>
        <v>260</v>
      </c>
    </row>
    <row r="1747" spans="1:8" hidden="1">
      <c r="A1747" s="78">
        <v>43191</v>
      </c>
      <c r="B1747" s="37" t="s">
        <v>172</v>
      </c>
      <c r="C1747" s="1" t="s">
        <v>103</v>
      </c>
      <c r="D1747" s="37" t="s">
        <v>972</v>
      </c>
      <c r="E1747" s="37">
        <v>918</v>
      </c>
      <c r="F1747" s="37" t="s">
        <v>2707</v>
      </c>
      <c r="G1747" s="79"/>
    </row>
    <row r="1748" spans="1:8" hidden="1">
      <c r="A1748" s="78">
        <v>43191</v>
      </c>
      <c r="B1748" s="37" t="s">
        <v>214</v>
      </c>
      <c r="C1748" s="1" t="s">
        <v>215</v>
      </c>
      <c r="D1748" s="37" t="s">
        <v>2483</v>
      </c>
      <c r="E1748" s="37">
        <v>1035</v>
      </c>
      <c r="F1748" s="37" t="s">
        <v>1474</v>
      </c>
      <c r="G1748" s="79"/>
    </row>
    <row r="1749" spans="1:8" hidden="1">
      <c r="A1749" s="78">
        <v>43160</v>
      </c>
      <c r="B1749" s="37" t="s">
        <v>2654</v>
      </c>
      <c r="C1749" s="1" t="s">
        <v>215</v>
      </c>
      <c r="D1749" s="37" t="s">
        <v>1938</v>
      </c>
      <c r="E1749" s="37">
        <v>164.19</v>
      </c>
      <c r="F1749" s="37" t="s">
        <v>2710</v>
      </c>
      <c r="G1749" s="79"/>
    </row>
    <row r="1750" spans="1:8" hidden="1">
      <c r="A1750" s="78">
        <v>43191</v>
      </c>
      <c r="B1750" s="37" t="s">
        <v>172</v>
      </c>
      <c r="C1750" s="1" t="s">
        <v>171</v>
      </c>
      <c r="D1750" s="37" t="s">
        <v>972</v>
      </c>
      <c r="E1750" s="37">
        <v>360</v>
      </c>
      <c r="F1750" s="37" t="s">
        <v>2715</v>
      </c>
      <c r="G1750" s="79"/>
    </row>
    <row r="1751" spans="1:8" hidden="1">
      <c r="A1751" s="78">
        <v>43132</v>
      </c>
      <c r="B1751" s="37" t="s">
        <v>2654</v>
      </c>
      <c r="C1751" s="1" t="s">
        <v>215</v>
      </c>
      <c r="D1751" s="37" t="s">
        <v>1938</v>
      </c>
      <c r="E1751" s="37">
        <v>62.85</v>
      </c>
      <c r="F1751" s="37" t="s">
        <v>2710</v>
      </c>
      <c r="G1751" s="79"/>
    </row>
    <row r="1752" spans="1:8" hidden="1">
      <c r="A1752" s="78">
        <v>43221</v>
      </c>
      <c r="B1752" s="37" t="s">
        <v>2058</v>
      </c>
      <c r="C1752" s="1" t="s">
        <v>2719</v>
      </c>
      <c r="D1752" s="37" t="s">
        <v>1560</v>
      </c>
      <c r="E1752" s="37">
        <v>140</v>
      </c>
      <c r="F1752" s="37" t="s">
        <v>2720</v>
      </c>
      <c r="G1752" s="79"/>
    </row>
    <row r="1753" spans="1:8" hidden="1">
      <c r="A1753" s="78">
        <v>43191</v>
      </c>
      <c r="B1753" s="37" t="s">
        <v>479</v>
      </c>
      <c r="C1753" s="1" t="s">
        <v>2669</v>
      </c>
      <c r="D1753" s="37" t="s">
        <v>2483</v>
      </c>
      <c r="E1753" s="37">
        <v>520</v>
      </c>
      <c r="F1753" s="37" t="s">
        <v>1501</v>
      </c>
      <c r="G1753" s="79"/>
    </row>
    <row r="1754" spans="1:8" hidden="1">
      <c r="A1754" s="78">
        <v>43191</v>
      </c>
      <c r="B1754" s="37" t="s">
        <v>479</v>
      </c>
      <c r="C1754" s="1" t="s">
        <v>215</v>
      </c>
      <c r="D1754" s="37" t="s">
        <v>2483</v>
      </c>
      <c r="E1754" s="37">
        <v>2824.25</v>
      </c>
      <c r="F1754" s="37" t="s">
        <v>1477</v>
      </c>
      <c r="G1754" s="79"/>
    </row>
    <row r="1755" spans="1:8" hidden="1">
      <c r="A1755" s="78">
        <v>43221</v>
      </c>
      <c r="B1755" s="37" t="s">
        <v>2110</v>
      </c>
      <c r="C1755" s="1" t="s">
        <v>215</v>
      </c>
      <c r="D1755" s="37" t="s">
        <v>2539</v>
      </c>
      <c r="E1755" s="37">
        <v>188.93</v>
      </c>
      <c r="F1755" s="37" t="s">
        <v>1210</v>
      </c>
      <c r="G1755" s="79"/>
    </row>
    <row r="1756" spans="1:8" hidden="1">
      <c r="A1756" s="78">
        <v>43191</v>
      </c>
      <c r="B1756" s="37" t="s">
        <v>2261</v>
      </c>
      <c r="C1756" s="1" t="s">
        <v>215</v>
      </c>
      <c r="D1756" s="37" t="s">
        <v>92</v>
      </c>
      <c r="E1756" s="37">
        <v>17.350000000000001</v>
      </c>
      <c r="F1756" s="37" t="s">
        <v>2262</v>
      </c>
      <c r="G1756" s="79"/>
    </row>
    <row r="1757" spans="1:8" hidden="1">
      <c r="A1757" s="78">
        <v>43191</v>
      </c>
      <c r="B1757" s="37" t="s">
        <v>2481</v>
      </c>
      <c r="C1757" s="1" t="s">
        <v>215</v>
      </c>
      <c r="D1757" s="37" t="s">
        <v>92</v>
      </c>
      <c r="E1757" s="37">
        <v>7.29</v>
      </c>
      <c r="F1757" s="37" t="s">
        <v>2262</v>
      </c>
      <c r="G1757" s="79"/>
    </row>
    <row r="1758" spans="1:8" hidden="1">
      <c r="A1758" s="78">
        <v>43191</v>
      </c>
      <c r="B1758" s="37" t="s">
        <v>2415</v>
      </c>
      <c r="C1758" s="1" t="s">
        <v>215</v>
      </c>
      <c r="D1758" s="37" t="s">
        <v>92</v>
      </c>
      <c r="E1758" s="37">
        <v>16.05</v>
      </c>
      <c r="F1758" s="37" t="s">
        <v>2262</v>
      </c>
      <c r="G1758" s="79"/>
    </row>
    <row r="1759" spans="1:8" hidden="1">
      <c r="A1759" s="78">
        <v>43191</v>
      </c>
      <c r="B1759" s="37" t="s">
        <v>2480</v>
      </c>
      <c r="C1759" s="1" t="s">
        <v>215</v>
      </c>
      <c r="D1759" s="37" t="s">
        <v>92</v>
      </c>
      <c r="E1759" s="37">
        <v>16.47</v>
      </c>
      <c r="F1759" s="37" t="s">
        <v>2262</v>
      </c>
      <c r="G1759" s="79"/>
    </row>
    <row r="1760" spans="1:8" hidden="1">
      <c r="A1760" s="78">
        <v>43191</v>
      </c>
      <c r="B1760" s="37" t="s">
        <v>217</v>
      </c>
      <c r="C1760" s="1" t="s">
        <v>215</v>
      </c>
      <c r="D1760" s="37" t="s">
        <v>92</v>
      </c>
      <c r="E1760" s="37">
        <v>2750.17</v>
      </c>
      <c r="F1760" s="37" t="s">
        <v>1794</v>
      </c>
      <c r="G1760" s="79"/>
    </row>
    <row r="1761" spans="1:7" hidden="1">
      <c r="A1761" s="78">
        <v>43191</v>
      </c>
      <c r="B1761" s="37" t="s">
        <v>1916</v>
      </c>
      <c r="C1761" s="1" t="s">
        <v>215</v>
      </c>
      <c r="D1761" s="37" t="s">
        <v>2539</v>
      </c>
      <c r="E1761" s="37">
        <v>170.63</v>
      </c>
      <c r="F1761" s="37" t="s">
        <v>1164</v>
      </c>
      <c r="G1761" s="79"/>
    </row>
    <row r="1762" spans="1:7" hidden="1">
      <c r="A1762" s="78">
        <v>43191</v>
      </c>
      <c r="B1762" s="37" t="s">
        <v>790</v>
      </c>
      <c r="C1762" s="1" t="s">
        <v>1973</v>
      </c>
      <c r="D1762" s="37" t="s">
        <v>92</v>
      </c>
      <c r="E1762" s="2719">
        <v>1270.22</v>
      </c>
      <c r="F1762" s="37" t="s">
        <v>2831</v>
      </c>
      <c r="G1762" s="79"/>
    </row>
    <row r="1763" spans="1:7" hidden="1">
      <c r="A1763" s="78">
        <v>43191</v>
      </c>
      <c r="B1763" s="37" t="s">
        <v>1330</v>
      </c>
      <c r="C1763" s="1" t="s">
        <v>1973</v>
      </c>
      <c r="D1763" s="37" t="s">
        <v>1560</v>
      </c>
      <c r="E1763" s="37">
        <v>252.69</v>
      </c>
      <c r="F1763" s="37" t="s">
        <v>1224</v>
      </c>
      <c r="G1763" s="79"/>
    </row>
    <row r="1764" spans="1:7" hidden="1">
      <c r="A1764" s="78">
        <v>43191</v>
      </c>
      <c r="B1764" s="37" t="s">
        <v>6</v>
      </c>
      <c r="C1764" s="1" t="s">
        <v>2290</v>
      </c>
      <c r="D1764" s="37" t="s">
        <v>1938</v>
      </c>
      <c r="E1764" s="37">
        <v>120</v>
      </c>
      <c r="F1764" s="37" t="s">
        <v>1540</v>
      </c>
      <c r="G1764" s="79"/>
    </row>
    <row r="1765" spans="1:7" hidden="1">
      <c r="A1765" s="78">
        <v>43191</v>
      </c>
      <c r="B1765" s="37" t="s">
        <v>2289</v>
      </c>
      <c r="C1765" s="1" t="s">
        <v>2724</v>
      </c>
      <c r="D1765" s="37" t="s">
        <v>722</v>
      </c>
      <c r="E1765" s="37">
        <v>180</v>
      </c>
      <c r="F1765" s="37" t="s">
        <v>2725</v>
      </c>
      <c r="G1765" s="79"/>
    </row>
    <row r="1766" spans="1:7" hidden="1">
      <c r="A1766" s="78">
        <v>43222</v>
      </c>
      <c r="B1766" s="37" t="s">
        <v>217</v>
      </c>
      <c r="C1766" s="1" t="s">
        <v>104</v>
      </c>
      <c r="D1766" s="37" t="s">
        <v>92</v>
      </c>
      <c r="E1766" s="37">
        <v>400</v>
      </c>
      <c r="F1766" s="37" t="s">
        <v>1385</v>
      </c>
      <c r="G1766" s="79"/>
    </row>
    <row r="1767" spans="1:7" hidden="1">
      <c r="A1767" s="78">
        <v>43160</v>
      </c>
      <c r="B1767" s="37" t="s">
        <v>1962</v>
      </c>
      <c r="C1767" s="1" t="s">
        <v>215</v>
      </c>
      <c r="D1767" s="37" t="s">
        <v>1938</v>
      </c>
      <c r="E1767" s="37">
        <v>37.08</v>
      </c>
      <c r="F1767" s="37" t="s">
        <v>2369</v>
      </c>
      <c r="G1767" s="79"/>
    </row>
    <row r="1768" spans="1:7" hidden="1">
      <c r="A1768" s="78">
        <v>43191</v>
      </c>
      <c r="B1768" s="37" t="s">
        <v>1962</v>
      </c>
      <c r="C1768" s="1" t="s">
        <v>215</v>
      </c>
      <c r="D1768" s="37" t="s">
        <v>1938</v>
      </c>
      <c r="E1768" s="37">
        <v>42.33</v>
      </c>
      <c r="F1768" s="37" t="s">
        <v>2369</v>
      </c>
      <c r="G1768" s="79"/>
    </row>
    <row r="1769" spans="1:7" hidden="1">
      <c r="A1769" s="78">
        <v>43191</v>
      </c>
      <c r="B1769" s="37" t="s">
        <v>55</v>
      </c>
      <c r="C1769" s="1" t="s">
        <v>336</v>
      </c>
      <c r="D1769" s="37" t="s">
        <v>972</v>
      </c>
      <c r="E1769" s="37">
        <v>75.599999999999994</v>
      </c>
      <c r="F1769" s="37" t="s">
        <v>2732</v>
      </c>
      <c r="G1769" s="79"/>
    </row>
    <row r="1770" spans="1:7" hidden="1">
      <c r="A1770" s="78">
        <v>43191</v>
      </c>
      <c r="B1770" s="37" t="s">
        <v>619</v>
      </c>
      <c r="C1770" s="1" t="s">
        <v>171</v>
      </c>
      <c r="D1770" s="37" t="s">
        <v>92</v>
      </c>
      <c r="E1770" s="37">
        <v>24</v>
      </c>
      <c r="F1770" s="37" t="s">
        <v>2733</v>
      </c>
      <c r="G1770" s="79"/>
    </row>
    <row r="1771" spans="1:7" hidden="1">
      <c r="A1771" s="78">
        <v>43221</v>
      </c>
      <c r="B1771" s="37" t="s">
        <v>432</v>
      </c>
      <c r="C1771" s="1" t="s">
        <v>103</v>
      </c>
      <c r="D1771" s="37" t="s">
        <v>972</v>
      </c>
      <c r="E1771" s="37">
        <v>252.11</v>
      </c>
      <c r="F1771" s="37" t="s">
        <v>2734</v>
      </c>
      <c r="G1771" s="79"/>
    </row>
    <row r="1772" spans="1:7" hidden="1">
      <c r="A1772" s="78">
        <v>43221</v>
      </c>
      <c r="B1772" s="37" t="s">
        <v>2058</v>
      </c>
      <c r="C1772" s="1" t="s">
        <v>1955</v>
      </c>
      <c r="D1772" s="37" t="s">
        <v>1560</v>
      </c>
      <c r="E1772" s="37">
        <v>70</v>
      </c>
      <c r="F1772" s="37" t="s">
        <v>2735</v>
      </c>
      <c r="G1772" s="79"/>
    </row>
    <row r="1773" spans="1:7" hidden="1">
      <c r="A1773" s="78">
        <v>43221</v>
      </c>
      <c r="B1773" s="37" t="s">
        <v>1937</v>
      </c>
      <c r="C1773" s="1" t="s">
        <v>215</v>
      </c>
      <c r="D1773" s="37" t="s">
        <v>1938</v>
      </c>
      <c r="E1773" s="37">
        <v>104.69</v>
      </c>
      <c r="F1773" s="37" t="s">
        <v>1310</v>
      </c>
      <c r="G1773" s="79"/>
    </row>
    <row r="1774" spans="1:7" hidden="1">
      <c r="A1774" s="78">
        <v>43191</v>
      </c>
      <c r="B1774" s="37" t="s">
        <v>2654</v>
      </c>
      <c r="C1774" s="1" t="s">
        <v>215</v>
      </c>
      <c r="D1774" s="37" t="s">
        <v>1938</v>
      </c>
      <c r="E1774" s="37">
        <v>105.74</v>
      </c>
      <c r="F1774" s="37" t="s">
        <v>2710</v>
      </c>
      <c r="G1774" s="79"/>
    </row>
    <row r="1775" spans="1:7" hidden="1">
      <c r="A1775" s="78">
        <v>43221</v>
      </c>
      <c r="B1775" s="37" t="s">
        <v>49</v>
      </c>
      <c r="C1775" s="1" t="s">
        <v>103</v>
      </c>
      <c r="D1775" s="37" t="s">
        <v>972</v>
      </c>
      <c r="E1775" s="37">
        <v>418.49</v>
      </c>
      <c r="F1775" s="37" t="s">
        <v>2752</v>
      </c>
      <c r="G1775" s="79">
        <f>147.66/2</f>
        <v>73.83</v>
      </c>
    </row>
    <row r="1776" spans="1:7" hidden="1">
      <c r="A1776" s="78">
        <v>43221</v>
      </c>
      <c r="B1776" s="37" t="s">
        <v>172</v>
      </c>
      <c r="C1776" s="1" t="s">
        <v>103</v>
      </c>
      <c r="D1776" s="37" t="s">
        <v>972</v>
      </c>
      <c r="E1776" s="37">
        <v>576</v>
      </c>
      <c r="F1776" s="37" t="s">
        <v>2753</v>
      </c>
      <c r="G1776" s="79"/>
    </row>
    <row r="1777" spans="1:7" hidden="1">
      <c r="A1777" s="78">
        <v>43221</v>
      </c>
      <c r="B1777" s="37" t="s">
        <v>172</v>
      </c>
      <c r="C1777" s="1" t="s">
        <v>171</v>
      </c>
      <c r="D1777" s="37" t="s">
        <v>972</v>
      </c>
      <c r="E1777" s="37">
        <v>360</v>
      </c>
      <c r="F1777" s="37" t="s">
        <v>2754</v>
      </c>
      <c r="G1777" s="79"/>
    </row>
    <row r="1778" spans="1:7" hidden="1">
      <c r="A1778" s="78">
        <v>43221</v>
      </c>
      <c r="B1778" s="37" t="s">
        <v>172</v>
      </c>
      <c r="C1778" s="1" t="s">
        <v>104</v>
      </c>
      <c r="D1778" s="37" t="s">
        <v>972</v>
      </c>
      <c r="E1778" s="37">
        <v>360</v>
      </c>
      <c r="F1778" s="37" t="s">
        <v>2755</v>
      </c>
      <c r="G1778" s="79"/>
    </row>
    <row r="1779" spans="1:7" hidden="1">
      <c r="A1779" s="78">
        <v>43221</v>
      </c>
      <c r="B1779" s="37" t="s">
        <v>172</v>
      </c>
      <c r="C1779" s="1" t="s">
        <v>104</v>
      </c>
      <c r="D1779" s="37" t="s">
        <v>972</v>
      </c>
      <c r="E1779" s="37">
        <v>1620</v>
      </c>
      <c r="F1779" s="37" t="s">
        <v>1224</v>
      </c>
      <c r="G1779" s="79"/>
    </row>
    <row r="1780" spans="1:7" hidden="1">
      <c r="A1780" s="78">
        <v>43221</v>
      </c>
      <c r="B1780" s="37" t="s">
        <v>172</v>
      </c>
      <c r="C1780" s="1" t="s">
        <v>103</v>
      </c>
      <c r="D1780" s="37" t="s">
        <v>972</v>
      </c>
      <c r="E1780" s="37">
        <v>630</v>
      </c>
      <c r="F1780" s="37" t="s">
        <v>2756</v>
      </c>
      <c r="G1780" s="79"/>
    </row>
    <row r="1781" spans="1:7" hidden="1">
      <c r="A1781" s="78">
        <v>43221</v>
      </c>
      <c r="B1781" s="37" t="s">
        <v>172</v>
      </c>
      <c r="C1781" s="1" t="s">
        <v>103</v>
      </c>
      <c r="D1781" s="37" t="s">
        <v>972</v>
      </c>
      <c r="E1781" s="37">
        <v>1422</v>
      </c>
      <c r="F1781" s="37" t="s">
        <v>2758</v>
      </c>
      <c r="G1781" s="79"/>
    </row>
    <row r="1782" spans="1:7" hidden="1">
      <c r="A1782" s="78">
        <v>43221</v>
      </c>
      <c r="B1782" s="37" t="s">
        <v>55</v>
      </c>
      <c r="C1782" s="1" t="s">
        <v>886</v>
      </c>
      <c r="D1782" s="37" t="s">
        <v>972</v>
      </c>
      <c r="E1782" s="37">
        <v>777</v>
      </c>
      <c r="F1782" s="37" t="s">
        <v>2757</v>
      </c>
      <c r="G1782" s="79"/>
    </row>
    <row r="1783" spans="1:7" hidden="1">
      <c r="A1783" s="78">
        <v>43221</v>
      </c>
      <c r="B1783" s="37" t="s">
        <v>479</v>
      </c>
      <c r="C1783" s="1" t="s">
        <v>171</v>
      </c>
      <c r="D1783" s="37" t="s">
        <v>2483</v>
      </c>
      <c r="E1783" s="37">
        <v>362.11</v>
      </c>
      <c r="F1783" s="37" t="s">
        <v>2759</v>
      </c>
      <c r="G1783" s="79"/>
    </row>
    <row r="1784" spans="1:7" hidden="1">
      <c r="A1784" s="78">
        <v>43221</v>
      </c>
      <c r="B1784" s="37" t="s">
        <v>2058</v>
      </c>
      <c r="C1784" s="1" t="s">
        <v>2774</v>
      </c>
      <c r="D1784" s="37" t="s">
        <v>1560</v>
      </c>
      <c r="E1784" s="37">
        <v>140</v>
      </c>
      <c r="F1784" s="37" t="s">
        <v>2790</v>
      </c>
      <c r="G1784" s="79"/>
    </row>
    <row r="1785" spans="1:7" hidden="1">
      <c r="A1785" s="78">
        <v>43221</v>
      </c>
      <c r="B1785" s="37" t="s">
        <v>790</v>
      </c>
      <c r="C1785" s="1" t="s">
        <v>215</v>
      </c>
      <c r="D1785" s="37" t="s">
        <v>92</v>
      </c>
      <c r="E1785" s="107">
        <v>970.22</v>
      </c>
      <c r="F1785" s="37" t="s">
        <v>2775</v>
      </c>
      <c r="G1785" s="79"/>
    </row>
    <row r="1786" spans="1:7" hidden="1">
      <c r="A1786" s="78">
        <v>43221</v>
      </c>
      <c r="B1786" s="37" t="s">
        <v>1916</v>
      </c>
      <c r="C1786" s="1" t="s">
        <v>215</v>
      </c>
      <c r="D1786" s="37" t="s">
        <v>2539</v>
      </c>
      <c r="E1786" s="37">
        <v>187.24</v>
      </c>
      <c r="F1786" s="37" t="s">
        <v>1164</v>
      </c>
      <c r="G1786" s="79"/>
    </row>
    <row r="1787" spans="1:7" hidden="1">
      <c r="A1787" s="78">
        <v>43221</v>
      </c>
      <c r="B1787" s="37" t="s">
        <v>214</v>
      </c>
      <c r="C1787" s="1" t="s">
        <v>215</v>
      </c>
      <c r="D1787" s="37" t="s">
        <v>2483</v>
      </c>
      <c r="E1787" s="37">
        <v>828</v>
      </c>
      <c r="F1787" s="37" t="s">
        <v>1474</v>
      </c>
      <c r="G1787" s="79"/>
    </row>
    <row r="1788" spans="1:7" hidden="1">
      <c r="A1788" s="78">
        <v>43221</v>
      </c>
      <c r="B1788" s="37" t="s">
        <v>217</v>
      </c>
      <c r="C1788" s="1" t="s">
        <v>2783</v>
      </c>
      <c r="D1788" s="37" t="s">
        <v>92</v>
      </c>
      <c r="E1788" s="37">
        <v>1383.9</v>
      </c>
      <c r="F1788" s="37" t="s">
        <v>1794</v>
      </c>
      <c r="G1788" s="79"/>
    </row>
    <row r="1789" spans="1:7" hidden="1">
      <c r="A1789" s="78">
        <v>43252</v>
      </c>
      <c r="B1789" s="37" t="s">
        <v>2785</v>
      </c>
      <c r="C1789" s="1" t="s">
        <v>215</v>
      </c>
      <c r="D1789" s="37" t="s">
        <v>2539</v>
      </c>
      <c r="E1789" s="37">
        <v>268.77999999999997</v>
      </c>
      <c r="F1789" s="37" t="s">
        <v>2786</v>
      </c>
      <c r="G1789" s="79"/>
    </row>
    <row r="1790" spans="1:7" hidden="1">
      <c r="A1790" s="78">
        <v>43252</v>
      </c>
      <c r="B1790" s="37" t="s">
        <v>790</v>
      </c>
      <c r="C1790" s="1" t="s">
        <v>104</v>
      </c>
      <c r="D1790" s="37" t="s">
        <v>92</v>
      </c>
      <c r="E1790" s="37">
        <v>60</v>
      </c>
      <c r="F1790" s="37" t="s">
        <v>557</v>
      </c>
      <c r="G1790" s="79"/>
    </row>
    <row r="1791" spans="1:7" hidden="1">
      <c r="A1791" s="78">
        <v>43221</v>
      </c>
      <c r="B1791" s="37" t="s">
        <v>1962</v>
      </c>
      <c r="C1791" s="1" t="s">
        <v>215</v>
      </c>
      <c r="D1791" s="37" t="s">
        <v>1938</v>
      </c>
      <c r="E1791" s="37">
        <v>39.380000000000003</v>
      </c>
      <c r="F1791" s="37" t="s">
        <v>2369</v>
      </c>
      <c r="G1791" s="79"/>
    </row>
    <row r="1792" spans="1:7" hidden="1">
      <c r="A1792" s="78">
        <v>43221</v>
      </c>
      <c r="B1792" s="37" t="s">
        <v>2289</v>
      </c>
      <c r="C1792" s="1" t="s">
        <v>2290</v>
      </c>
      <c r="D1792" s="37" t="s">
        <v>722</v>
      </c>
      <c r="E1792" s="37">
        <v>120</v>
      </c>
      <c r="F1792" s="37" t="s">
        <v>2789</v>
      </c>
      <c r="G1792" s="79"/>
    </row>
    <row r="1793" spans="1:7" hidden="1">
      <c r="A1793" s="78">
        <v>43252</v>
      </c>
      <c r="B1793" s="37" t="s">
        <v>55</v>
      </c>
      <c r="C1793" s="1" t="s">
        <v>1898</v>
      </c>
      <c r="D1793" s="37" t="s">
        <v>972</v>
      </c>
      <c r="E1793" s="37">
        <v>651</v>
      </c>
      <c r="F1793" s="37" t="s">
        <v>2795</v>
      </c>
      <c r="G1793" s="79"/>
    </row>
    <row r="1794" spans="1:7" hidden="1">
      <c r="A1794" s="78">
        <v>43252</v>
      </c>
      <c r="B1794" s="37" t="s">
        <v>2058</v>
      </c>
      <c r="C1794" s="1" t="s">
        <v>2290</v>
      </c>
      <c r="D1794" s="37" t="s">
        <v>1560</v>
      </c>
      <c r="E1794" s="37">
        <v>140</v>
      </c>
      <c r="F1794" s="37" t="s">
        <v>1501</v>
      </c>
      <c r="G1794" s="79"/>
    </row>
    <row r="1795" spans="1:7" hidden="1">
      <c r="A1795" s="78">
        <v>43221</v>
      </c>
      <c r="B1795" s="37" t="s">
        <v>619</v>
      </c>
      <c r="C1795" s="1" t="s">
        <v>171</v>
      </c>
      <c r="D1795" s="37" t="s">
        <v>92</v>
      </c>
      <c r="E1795" s="37">
        <v>168</v>
      </c>
      <c r="F1795" s="37" t="s">
        <v>1310</v>
      </c>
      <c r="G1795" s="79"/>
    </row>
    <row r="1796" spans="1:7" hidden="1">
      <c r="A1796" s="78">
        <v>43221</v>
      </c>
      <c r="B1796" s="37" t="s">
        <v>619</v>
      </c>
      <c r="C1796" s="1" t="s">
        <v>171</v>
      </c>
      <c r="D1796" s="37" t="s">
        <v>92</v>
      </c>
      <c r="E1796" s="37">
        <v>808.9</v>
      </c>
      <c r="F1796" s="37" t="s">
        <v>2816</v>
      </c>
      <c r="G1796" s="79"/>
    </row>
    <row r="1797" spans="1:7" hidden="1">
      <c r="A1797" s="78">
        <v>43221</v>
      </c>
      <c r="B1797" s="37" t="s">
        <v>619</v>
      </c>
      <c r="C1797" s="1" t="s">
        <v>171</v>
      </c>
      <c r="D1797" s="37" t="s">
        <v>92</v>
      </c>
      <c r="E1797" s="37">
        <v>216</v>
      </c>
      <c r="F1797" s="37" t="s">
        <v>2817</v>
      </c>
      <c r="G1797" s="79"/>
    </row>
    <row r="1798" spans="1:7" hidden="1">
      <c r="A1798" s="78">
        <v>43252</v>
      </c>
      <c r="B1798" s="37" t="s">
        <v>6</v>
      </c>
      <c r="C1798" s="1" t="s">
        <v>215</v>
      </c>
      <c r="D1798" s="37" t="s">
        <v>1938</v>
      </c>
      <c r="E1798" s="37">
        <v>626.70000000000005</v>
      </c>
      <c r="F1798" s="37" t="s">
        <v>2818</v>
      </c>
      <c r="G1798" s="79"/>
    </row>
    <row r="1799" spans="1:7" hidden="1">
      <c r="A1799" s="78">
        <v>43221</v>
      </c>
      <c r="B1799" s="37" t="s">
        <v>6</v>
      </c>
      <c r="C1799" s="1" t="s">
        <v>104</v>
      </c>
      <c r="D1799" s="37" t="s">
        <v>1938</v>
      </c>
      <c r="E1799" s="37">
        <v>180</v>
      </c>
      <c r="F1799" s="37" t="s">
        <v>1475</v>
      </c>
      <c r="G1799" s="79"/>
    </row>
    <row r="1800" spans="1:7" hidden="1">
      <c r="A1800" s="78">
        <v>43252</v>
      </c>
      <c r="B1800" s="37" t="s">
        <v>1937</v>
      </c>
      <c r="C1800" s="1" t="s">
        <v>215</v>
      </c>
      <c r="D1800" s="37" t="s">
        <v>1938</v>
      </c>
      <c r="E1800" s="37">
        <v>356.5</v>
      </c>
      <c r="F1800" s="37" t="s">
        <v>1310</v>
      </c>
      <c r="G1800" s="79"/>
    </row>
    <row r="1801" spans="1:7" hidden="1">
      <c r="A1801" s="78">
        <v>43252</v>
      </c>
      <c r="B1801" s="37" t="s">
        <v>1937</v>
      </c>
      <c r="C1801" s="1" t="s">
        <v>2819</v>
      </c>
      <c r="D1801" s="37" t="s">
        <v>1938</v>
      </c>
      <c r="E1801" s="37">
        <v>100</v>
      </c>
      <c r="F1801" s="37" t="s">
        <v>2820</v>
      </c>
      <c r="G1801" s="79"/>
    </row>
    <row r="1802" spans="1:7" hidden="1">
      <c r="A1802" s="78">
        <v>43272</v>
      </c>
      <c r="B1802" s="37" t="s">
        <v>217</v>
      </c>
      <c r="C1802" s="1" t="s">
        <v>104</v>
      </c>
      <c r="D1802" s="37" t="s">
        <v>92</v>
      </c>
      <c r="E1802" s="37">
        <v>200</v>
      </c>
      <c r="F1802" s="37" t="s">
        <v>557</v>
      </c>
      <c r="G1802" s="79"/>
    </row>
    <row r="1803" spans="1:7" hidden="1">
      <c r="A1803" s="78">
        <v>43272</v>
      </c>
      <c r="B1803" s="37" t="s">
        <v>49</v>
      </c>
      <c r="C1803" s="1" t="s">
        <v>104</v>
      </c>
      <c r="D1803" s="37" t="s">
        <v>972</v>
      </c>
      <c r="E1803" s="37">
        <v>126.86</v>
      </c>
      <c r="F1803" s="37" t="s">
        <v>557</v>
      </c>
      <c r="G1803" s="79"/>
    </row>
    <row r="1804" spans="1:7" hidden="1">
      <c r="A1804" s="78">
        <v>43272</v>
      </c>
      <c r="B1804" s="37" t="s">
        <v>49</v>
      </c>
      <c r="C1804" s="1" t="s">
        <v>103</v>
      </c>
      <c r="D1804" s="37" t="s">
        <v>972</v>
      </c>
      <c r="E1804" s="37">
        <v>85.34</v>
      </c>
      <c r="F1804" s="37" t="s">
        <v>1310</v>
      </c>
      <c r="G1804" s="79"/>
    </row>
    <row r="1805" spans="1:7" hidden="1">
      <c r="A1805" s="78">
        <v>43272</v>
      </c>
      <c r="B1805" s="37" t="s">
        <v>55</v>
      </c>
      <c r="C1805" s="1" t="s">
        <v>336</v>
      </c>
      <c r="D1805" s="37" t="s">
        <v>972</v>
      </c>
      <c r="E1805" s="37">
        <v>90.74</v>
      </c>
      <c r="F1805" s="37" t="s">
        <v>2833</v>
      </c>
      <c r="G1805" s="79"/>
    </row>
    <row r="1806" spans="1:7" hidden="1">
      <c r="A1806" s="78">
        <v>43272</v>
      </c>
      <c r="B1806" s="37" t="s">
        <v>214</v>
      </c>
      <c r="C1806" s="1" t="s">
        <v>2111</v>
      </c>
      <c r="D1806" s="37" t="s">
        <v>2483</v>
      </c>
      <c r="E1806" s="37">
        <v>1290.5999999999999</v>
      </c>
      <c r="F1806" s="37" t="s">
        <v>1474</v>
      </c>
      <c r="G1806" s="79"/>
    </row>
    <row r="1807" spans="1:7" hidden="1">
      <c r="A1807" s="78">
        <v>43272</v>
      </c>
      <c r="B1807" s="37" t="s">
        <v>479</v>
      </c>
      <c r="C1807" s="1" t="s">
        <v>171</v>
      </c>
      <c r="D1807" s="37" t="s">
        <v>2483</v>
      </c>
      <c r="E1807" s="37">
        <v>520</v>
      </c>
      <c r="F1807" s="37" t="s">
        <v>1232</v>
      </c>
      <c r="G1807" s="79"/>
    </row>
    <row r="1808" spans="1:7" hidden="1">
      <c r="A1808" s="78">
        <v>43272</v>
      </c>
      <c r="B1808" s="37" t="s">
        <v>479</v>
      </c>
      <c r="C1808" s="1" t="s">
        <v>2841</v>
      </c>
      <c r="D1808" s="37" t="s">
        <v>2483</v>
      </c>
      <c r="E1808" s="37">
        <v>902.17</v>
      </c>
      <c r="F1808" s="37" t="s">
        <v>1477</v>
      </c>
      <c r="G1808" s="79"/>
    </row>
    <row r="1809" spans="1:7" hidden="1">
      <c r="A1809" s="78">
        <v>43272</v>
      </c>
      <c r="B1809" s="37" t="s">
        <v>172</v>
      </c>
      <c r="C1809" s="1" t="s">
        <v>104</v>
      </c>
      <c r="D1809" s="37" t="s">
        <v>972</v>
      </c>
      <c r="E1809" s="37">
        <v>2394</v>
      </c>
      <c r="F1809" s="37" t="s">
        <v>1191</v>
      </c>
      <c r="G1809" s="79"/>
    </row>
    <row r="1810" spans="1:7" hidden="1">
      <c r="A1810" s="78">
        <v>43272</v>
      </c>
      <c r="B1810" s="37" t="s">
        <v>172</v>
      </c>
      <c r="C1810" s="1" t="s">
        <v>103</v>
      </c>
      <c r="D1810" s="37" t="s">
        <v>972</v>
      </c>
      <c r="E1810" s="37">
        <v>900</v>
      </c>
      <c r="F1810" s="37" t="s">
        <v>2166</v>
      </c>
      <c r="G1810" s="79"/>
    </row>
    <row r="1811" spans="1:7" hidden="1">
      <c r="A1811" s="78">
        <v>43272</v>
      </c>
      <c r="B1811" s="37" t="s">
        <v>172</v>
      </c>
      <c r="C1811" s="1" t="s">
        <v>104</v>
      </c>
      <c r="D1811" s="37" t="s">
        <v>972</v>
      </c>
      <c r="E1811" s="37">
        <v>1188</v>
      </c>
      <c r="F1811" s="37" t="s">
        <v>2842</v>
      </c>
      <c r="G1811" s="79"/>
    </row>
    <row r="1812" spans="1:7" hidden="1">
      <c r="A1812" s="78">
        <v>43272</v>
      </c>
      <c r="B1812" s="37" t="s">
        <v>172</v>
      </c>
      <c r="C1812" s="1" t="s">
        <v>103</v>
      </c>
      <c r="D1812" s="37" t="s">
        <v>972</v>
      </c>
      <c r="E1812" s="37">
        <v>90</v>
      </c>
      <c r="F1812" s="37" t="s">
        <v>2843</v>
      </c>
      <c r="G1812" s="79"/>
    </row>
    <row r="1813" spans="1:7" hidden="1">
      <c r="A1813" s="78">
        <v>43272</v>
      </c>
      <c r="B1813" s="37" t="s">
        <v>172</v>
      </c>
      <c r="C1813" s="1" t="s">
        <v>103</v>
      </c>
      <c r="D1813" s="37" t="s">
        <v>972</v>
      </c>
      <c r="E1813" s="37">
        <v>360</v>
      </c>
      <c r="F1813" s="37" t="s">
        <v>2844</v>
      </c>
      <c r="G1813" s="79"/>
    </row>
    <row r="1814" spans="1:7" hidden="1">
      <c r="A1814" s="78">
        <v>43272</v>
      </c>
      <c r="B1814" s="37" t="s">
        <v>172</v>
      </c>
      <c r="C1814" s="1" t="s">
        <v>104</v>
      </c>
      <c r="D1814" s="37" t="s">
        <v>972</v>
      </c>
      <c r="E1814" s="37">
        <v>720</v>
      </c>
      <c r="F1814" s="37" t="s">
        <v>2845</v>
      </c>
      <c r="G1814" s="79"/>
    </row>
    <row r="1815" spans="1:7" hidden="1">
      <c r="A1815" s="78">
        <v>43272</v>
      </c>
      <c r="B1815" s="37" t="s">
        <v>172</v>
      </c>
      <c r="C1815" s="1" t="s">
        <v>103</v>
      </c>
      <c r="D1815" s="37" t="s">
        <v>972</v>
      </c>
      <c r="E1815" s="37">
        <v>666</v>
      </c>
      <c r="F1815" s="37" t="s">
        <v>2756</v>
      </c>
      <c r="G1815" s="79"/>
    </row>
    <row r="1816" spans="1:7" hidden="1">
      <c r="A1816" s="78">
        <v>43272</v>
      </c>
      <c r="B1816" s="37" t="s">
        <v>172</v>
      </c>
      <c r="C1816" s="1" t="s">
        <v>103</v>
      </c>
      <c r="D1816" s="37" t="s">
        <v>972</v>
      </c>
      <c r="E1816" s="37">
        <v>1422</v>
      </c>
      <c r="F1816" s="37" t="s">
        <v>2846</v>
      </c>
      <c r="G1816" s="79">
        <f>E1816/1.2</f>
        <v>1185</v>
      </c>
    </row>
    <row r="1817" spans="1:7" hidden="1">
      <c r="A1817" s="78">
        <v>43272</v>
      </c>
      <c r="B1817" s="37" t="s">
        <v>172</v>
      </c>
      <c r="C1817" s="1" t="s">
        <v>215</v>
      </c>
      <c r="D1817" s="37" t="s">
        <v>972</v>
      </c>
      <c r="E1817" s="37">
        <v>54</v>
      </c>
      <c r="F1817" s="37" t="s">
        <v>2933</v>
      </c>
      <c r="G1817" s="79"/>
    </row>
    <row r="1818" spans="1:7" hidden="1">
      <c r="A1818" s="78">
        <v>43272</v>
      </c>
      <c r="B1818" s="37" t="s">
        <v>790</v>
      </c>
      <c r="C1818" s="1" t="s">
        <v>1973</v>
      </c>
      <c r="D1818" s="37" t="s">
        <v>92</v>
      </c>
      <c r="E1818" s="107">
        <v>1821.06</v>
      </c>
      <c r="F1818" s="37" t="s">
        <v>2853</v>
      </c>
      <c r="G1818" s="79"/>
    </row>
    <row r="1819" spans="1:7" hidden="1">
      <c r="A1819" s="78">
        <v>43272</v>
      </c>
      <c r="B1819" s="37" t="s">
        <v>619</v>
      </c>
      <c r="C1819" s="1" t="s">
        <v>171</v>
      </c>
      <c r="D1819" s="37" t="s">
        <v>92</v>
      </c>
      <c r="E1819" s="37">
        <v>168</v>
      </c>
      <c r="F1819" s="37" t="s">
        <v>1310</v>
      </c>
      <c r="G1819" s="79"/>
    </row>
    <row r="1820" spans="1:7" hidden="1">
      <c r="A1820" s="78">
        <v>43272</v>
      </c>
      <c r="B1820" s="37" t="s">
        <v>619</v>
      </c>
      <c r="C1820" s="1" t="s">
        <v>171</v>
      </c>
      <c r="D1820" s="37" t="s">
        <v>92</v>
      </c>
      <c r="E1820" s="37">
        <v>796</v>
      </c>
      <c r="F1820" s="37" t="s">
        <v>2854</v>
      </c>
      <c r="G1820" s="79">
        <f>E1820/1.2</f>
        <v>663.33333333333337</v>
      </c>
    </row>
    <row r="1821" spans="1:7" hidden="1">
      <c r="A1821" s="78">
        <v>43272</v>
      </c>
      <c r="B1821" s="37" t="s">
        <v>2289</v>
      </c>
      <c r="C1821" s="1" t="s">
        <v>2859</v>
      </c>
      <c r="D1821" s="37" t="s">
        <v>722</v>
      </c>
      <c r="E1821" s="37">
        <v>220</v>
      </c>
      <c r="F1821" s="37" t="s">
        <v>2860</v>
      </c>
      <c r="G1821" s="79"/>
    </row>
    <row r="1822" spans="1:7" hidden="1">
      <c r="A1822" s="78">
        <v>43272</v>
      </c>
      <c r="B1822" s="37" t="s">
        <v>826</v>
      </c>
      <c r="C1822" s="1" t="s">
        <v>215</v>
      </c>
      <c r="D1822" s="37" t="s">
        <v>2483</v>
      </c>
      <c r="E1822" s="37">
        <v>117.5</v>
      </c>
      <c r="F1822" s="37" t="s">
        <v>2668</v>
      </c>
      <c r="G1822" s="79"/>
    </row>
    <row r="1823" spans="1:7" hidden="1">
      <c r="A1823" s="78">
        <v>43221</v>
      </c>
      <c r="B1823" s="37" t="s">
        <v>2654</v>
      </c>
      <c r="C1823" s="1" t="s">
        <v>215</v>
      </c>
      <c r="D1823" s="37" t="s">
        <v>1938</v>
      </c>
      <c r="E1823" s="37">
        <v>72.599999999999994</v>
      </c>
      <c r="F1823" s="37" t="s">
        <v>2710</v>
      </c>
      <c r="G1823" s="79"/>
    </row>
    <row r="1824" spans="1:7" hidden="1">
      <c r="A1824" s="78">
        <v>43252</v>
      </c>
      <c r="B1824" s="37" t="s">
        <v>2058</v>
      </c>
      <c r="C1824" s="1" t="s">
        <v>2861</v>
      </c>
      <c r="D1824" s="37" t="s">
        <v>1560</v>
      </c>
      <c r="E1824" s="37">
        <v>140</v>
      </c>
      <c r="F1824" s="37" t="s">
        <v>2862</v>
      </c>
      <c r="G1824" s="79"/>
    </row>
    <row r="1825" spans="1:7" hidden="1">
      <c r="A1825" s="78">
        <v>43252</v>
      </c>
      <c r="B1825" s="37" t="s">
        <v>2361</v>
      </c>
      <c r="C1825" s="1" t="s">
        <v>215</v>
      </c>
      <c r="D1825" s="37" t="s">
        <v>673</v>
      </c>
      <c r="E1825" s="37">
        <v>135.47</v>
      </c>
      <c r="F1825" s="37" t="s">
        <v>1474</v>
      </c>
      <c r="G1825" s="79"/>
    </row>
    <row r="1826" spans="1:7" hidden="1">
      <c r="A1826" s="78">
        <v>43252</v>
      </c>
      <c r="B1826" s="37" t="s">
        <v>1916</v>
      </c>
      <c r="C1826" s="1" t="s">
        <v>215</v>
      </c>
      <c r="D1826" s="37" t="s">
        <v>2539</v>
      </c>
      <c r="E1826" s="37">
        <v>131.4</v>
      </c>
      <c r="F1826" s="37" t="s">
        <v>1164</v>
      </c>
      <c r="G1826" s="79"/>
    </row>
    <row r="1827" spans="1:7" hidden="1">
      <c r="A1827" s="78">
        <v>43252</v>
      </c>
      <c r="B1827" s="37" t="s">
        <v>1786</v>
      </c>
      <c r="C1827" s="1" t="s">
        <v>2290</v>
      </c>
      <c r="D1827" s="37" t="s">
        <v>1560</v>
      </c>
      <c r="E1827" s="37">
        <v>201.52</v>
      </c>
      <c r="F1827" s="37" t="s">
        <v>2867</v>
      </c>
      <c r="G1827" s="79"/>
    </row>
    <row r="1828" spans="1:7" hidden="1">
      <c r="A1828" s="78">
        <v>43252</v>
      </c>
      <c r="B1828" s="37" t="s">
        <v>619</v>
      </c>
      <c r="C1828" s="1" t="s">
        <v>171</v>
      </c>
      <c r="D1828" s="37" t="s">
        <v>92</v>
      </c>
      <c r="E1828" s="37">
        <v>336</v>
      </c>
      <c r="F1828" s="37" t="s">
        <v>2869</v>
      </c>
      <c r="G1828" s="79">
        <f>E1828/1.2</f>
        <v>280</v>
      </c>
    </row>
    <row r="1829" spans="1:7" hidden="1">
      <c r="A1829" s="78">
        <v>43282</v>
      </c>
      <c r="B1829" s="37" t="s">
        <v>2110</v>
      </c>
      <c r="C1829" s="1" t="s">
        <v>215</v>
      </c>
      <c r="D1829" s="37" t="s">
        <v>2539</v>
      </c>
      <c r="E1829" s="37">
        <v>258.10000000000002</v>
      </c>
      <c r="F1829" s="37" t="s">
        <v>1210</v>
      </c>
      <c r="G1829" s="79"/>
    </row>
    <row r="1830" spans="1:7" hidden="1">
      <c r="A1830" s="78">
        <v>43252</v>
      </c>
      <c r="B1830" s="37" t="s">
        <v>1962</v>
      </c>
      <c r="C1830" s="1" t="s">
        <v>215</v>
      </c>
      <c r="D1830" s="37" t="s">
        <v>1938</v>
      </c>
      <c r="E1830" s="37">
        <v>34.869999999999997</v>
      </c>
      <c r="F1830" s="37" t="s">
        <v>2369</v>
      </c>
      <c r="G1830" s="79"/>
    </row>
    <row r="1831" spans="1:7" hidden="1">
      <c r="A1831" s="78">
        <v>43252</v>
      </c>
      <c r="B1831" s="37" t="s">
        <v>2480</v>
      </c>
      <c r="C1831" s="1" t="s">
        <v>215</v>
      </c>
      <c r="D1831" s="37" t="s">
        <v>92</v>
      </c>
      <c r="E1831" s="37">
        <v>19.71</v>
      </c>
      <c r="F1831" s="37" t="s">
        <v>1467</v>
      </c>
      <c r="G1831" s="79"/>
    </row>
    <row r="1832" spans="1:7" hidden="1">
      <c r="A1832" s="78">
        <v>43252</v>
      </c>
      <c r="B1832" s="37" t="s">
        <v>2415</v>
      </c>
      <c r="C1832" s="1" t="s">
        <v>215</v>
      </c>
      <c r="D1832" s="37" t="s">
        <v>92</v>
      </c>
      <c r="E1832" s="37">
        <v>34.47</v>
      </c>
      <c r="F1832" s="37" t="s">
        <v>1467</v>
      </c>
      <c r="G1832" s="79"/>
    </row>
    <row r="1833" spans="1:7" hidden="1">
      <c r="A1833" s="78">
        <v>43252</v>
      </c>
      <c r="B1833" s="37" t="s">
        <v>2654</v>
      </c>
      <c r="C1833" s="1" t="s">
        <v>215</v>
      </c>
      <c r="D1833" s="37" t="s">
        <v>1938</v>
      </c>
      <c r="E1833" s="37">
        <v>84.36</v>
      </c>
      <c r="F1833" s="37" t="s">
        <v>1210</v>
      </c>
      <c r="G1833" s="79"/>
    </row>
    <row r="1834" spans="1:7" hidden="1">
      <c r="A1834" s="78">
        <v>43252</v>
      </c>
      <c r="B1834" s="37" t="s">
        <v>6</v>
      </c>
      <c r="C1834" s="1" t="s">
        <v>104</v>
      </c>
      <c r="D1834" s="37" t="s">
        <v>1938</v>
      </c>
      <c r="E1834" s="37">
        <v>180</v>
      </c>
      <c r="F1834" s="37" t="s">
        <v>1475</v>
      </c>
      <c r="G1834" s="79"/>
    </row>
    <row r="1835" spans="1:7" hidden="1">
      <c r="A1835" s="78">
        <v>43252</v>
      </c>
      <c r="B1835" s="37" t="s">
        <v>6</v>
      </c>
      <c r="C1835" s="1" t="s">
        <v>215</v>
      </c>
      <c r="D1835" s="37" t="s">
        <v>1938</v>
      </c>
      <c r="E1835" s="37">
        <v>526.9</v>
      </c>
      <c r="F1835" s="37" t="s">
        <v>2818</v>
      </c>
      <c r="G1835" s="79"/>
    </row>
    <row r="1836" spans="1:7" hidden="1">
      <c r="A1836" s="78">
        <v>43252</v>
      </c>
      <c r="B1836" s="37" t="s">
        <v>1995</v>
      </c>
      <c r="C1836" s="1" t="s">
        <v>215</v>
      </c>
      <c r="D1836" s="37" t="s">
        <v>2539</v>
      </c>
      <c r="E1836" s="37">
        <v>4752.49</v>
      </c>
      <c r="F1836" s="37" t="s">
        <v>2874</v>
      </c>
      <c r="G1836" s="79"/>
    </row>
    <row r="1837" spans="1:7" hidden="1">
      <c r="A1837" s="78">
        <v>43252</v>
      </c>
      <c r="B1837" s="37" t="s">
        <v>1330</v>
      </c>
      <c r="C1837" s="1" t="s">
        <v>215</v>
      </c>
      <c r="D1837" s="37" t="s">
        <v>1560</v>
      </c>
      <c r="E1837" s="37">
        <v>373.94</v>
      </c>
      <c r="F1837" s="37" t="s">
        <v>1224</v>
      </c>
      <c r="G1837" s="79"/>
    </row>
    <row r="1838" spans="1:7" hidden="1">
      <c r="A1838" s="78">
        <v>43282</v>
      </c>
      <c r="B1838" s="37" t="s">
        <v>2058</v>
      </c>
      <c r="C1838" s="1" t="s">
        <v>2875</v>
      </c>
      <c r="D1838" s="37" t="s">
        <v>1560</v>
      </c>
      <c r="E1838" s="37">
        <v>140</v>
      </c>
      <c r="F1838" s="37" t="s">
        <v>2372</v>
      </c>
      <c r="G1838" s="79"/>
    </row>
    <row r="1839" spans="1:7" hidden="1">
      <c r="A1839" s="78">
        <v>43282</v>
      </c>
      <c r="B1839" s="37" t="s">
        <v>1937</v>
      </c>
      <c r="C1839" s="1" t="s">
        <v>215</v>
      </c>
      <c r="D1839" s="37" t="s">
        <v>1938</v>
      </c>
      <c r="E1839" s="37">
        <v>180.57</v>
      </c>
      <c r="F1839" s="37" t="s">
        <v>1310</v>
      </c>
      <c r="G1839" s="79"/>
    </row>
    <row r="1840" spans="1:7" hidden="1">
      <c r="A1840" s="78">
        <v>43282</v>
      </c>
      <c r="B1840" s="37" t="s">
        <v>1937</v>
      </c>
      <c r="C1840" s="1" t="s">
        <v>2877</v>
      </c>
      <c r="D1840" s="37" t="s">
        <v>1938</v>
      </c>
      <c r="E1840" s="37">
        <v>60</v>
      </c>
      <c r="F1840" s="37" t="s">
        <v>2876</v>
      </c>
      <c r="G1840" s="79">
        <f>50*0.67</f>
        <v>33.5</v>
      </c>
    </row>
    <row r="1841" spans="1:7" hidden="1">
      <c r="A1841" s="78">
        <v>43282</v>
      </c>
      <c r="B1841" s="37" t="s">
        <v>432</v>
      </c>
      <c r="C1841" s="1" t="s">
        <v>104</v>
      </c>
      <c r="D1841" s="37" t="s">
        <v>972</v>
      </c>
      <c r="E1841" s="37">
        <v>10.8</v>
      </c>
      <c r="F1841" s="37" t="s">
        <v>2884</v>
      </c>
      <c r="G1841" s="79"/>
    </row>
    <row r="1842" spans="1:7" hidden="1">
      <c r="A1842" s="78">
        <v>43282</v>
      </c>
      <c r="B1842" s="37" t="s">
        <v>2516</v>
      </c>
      <c r="C1842" s="1" t="s">
        <v>215</v>
      </c>
      <c r="D1842" s="37" t="s">
        <v>1938</v>
      </c>
      <c r="E1842" s="37">
        <v>67.83</v>
      </c>
      <c r="F1842" s="37" t="s">
        <v>1939</v>
      </c>
      <c r="G1842" s="79"/>
    </row>
    <row r="1843" spans="1:7" hidden="1">
      <c r="A1843" s="78">
        <v>43252</v>
      </c>
      <c r="B1843" s="37" t="s">
        <v>2654</v>
      </c>
      <c r="C1843" s="1" t="s">
        <v>215</v>
      </c>
      <c r="D1843" s="37" t="s">
        <v>1938</v>
      </c>
      <c r="E1843" s="37">
        <v>259.86</v>
      </c>
      <c r="F1843" s="37" t="s">
        <v>2885</v>
      </c>
      <c r="G1843" s="79"/>
    </row>
    <row r="1844" spans="1:7" hidden="1">
      <c r="A1844" s="78">
        <v>43282</v>
      </c>
      <c r="B1844" s="37" t="s">
        <v>55</v>
      </c>
      <c r="C1844" s="1" t="s">
        <v>336</v>
      </c>
      <c r="D1844" s="37" t="s">
        <v>972</v>
      </c>
      <c r="E1844" s="37">
        <v>90.74</v>
      </c>
      <c r="F1844" s="37" t="s">
        <v>2888</v>
      </c>
      <c r="G1844" s="79"/>
    </row>
    <row r="1845" spans="1:7" hidden="1">
      <c r="A1845" s="78">
        <v>43282</v>
      </c>
      <c r="B1845" s="1" t="s">
        <v>2891</v>
      </c>
      <c r="C1845" s="1" t="s">
        <v>215</v>
      </c>
      <c r="D1845" s="37" t="s">
        <v>2483</v>
      </c>
      <c r="E1845" s="37">
        <v>67.2</v>
      </c>
      <c r="F1845" s="37" t="s">
        <v>1474</v>
      </c>
      <c r="G1845" s="79"/>
    </row>
    <row r="1846" spans="1:7" hidden="1">
      <c r="A1846" s="78">
        <v>43282</v>
      </c>
      <c r="B1846" s="37" t="s">
        <v>790</v>
      </c>
      <c r="C1846" s="1" t="s">
        <v>2045</v>
      </c>
      <c r="D1846" s="37" t="s">
        <v>92</v>
      </c>
      <c r="E1846" s="37">
        <v>240</v>
      </c>
      <c r="F1846" s="37" t="s">
        <v>2892</v>
      </c>
      <c r="G1846" s="79"/>
    </row>
    <row r="1847" spans="1:7" hidden="1">
      <c r="A1847" s="78">
        <v>43282</v>
      </c>
      <c r="B1847" s="37" t="s">
        <v>217</v>
      </c>
      <c r="C1847" s="1" t="s">
        <v>104</v>
      </c>
      <c r="D1847" s="37" t="s">
        <v>92</v>
      </c>
      <c r="E1847" s="37">
        <v>200</v>
      </c>
      <c r="F1847" s="37" t="s">
        <v>557</v>
      </c>
      <c r="G1847" s="79"/>
    </row>
    <row r="1848" spans="1:7" hidden="1">
      <c r="A1848" s="78">
        <v>43282</v>
      </c>
      <c r="B1848" s="37" t="s">
        <v>217</v>
      </c>
      <c r="C1848" s="1" t="s">
        <v>1973</v>
      </c>
      <c r="D1848" s="37" t="s">
        <v>92</v>
      </c>
      <c r="E1848" s="37">
        <v>2041.71</v>
      </c>
      <c r="F1848" s="37" t="s">
        <v>335</v>
      </c>
      <c r="G1848" s="79"/>
    </row>
    <row r="1849" spans="1:7" hidden="1">
      <c r="A1849" s="78">
        <v>43282</v>
      </c>
      <c r="B1849" s="37" t="s">
        <v>55</v>
      </c>
      <c r="C1849" s="1" t="s">
        <v>1898</v>
      </c>
      <c r="D1849" s="37" t="s">
        <v>972</v>
      </c>
      <c r="E1849" s="37">
        <v>739.84</v>
      </c>
      <c r="F1849" s="37" t="s">
        <v>2893</v>
      </c>
      <c r="G1849" s="79"/>
    </row>
    <row r="1850" spans="1:7" hidden="1">
      <c r="A1850" s="78">
        <v>43252</v>
      </c>
      <c r="B1850" s="37" t="s">
        <v>2894</v>
      </c>
      <c r="C1850" s="1" t="s">
        <v>171</v>
      </c>
      <c r="D1850" s="37" t="s">
        <v>92</v>
      </c>
      <c r="E1850" s="37">
        <v>10.23</v>
      </c>
      <c r="F1850" s="37" t="s">
        <v>2895</v>
      </c>
      <c r="G1850" s="79"/>
    </row>
    <row r="1851" spans="1:7" hidden="1">
      <c r="A1851" s="78">
        <v>43252</v>
      </c>
      <c r="B1851" s="37" t="s">
        <v>2894</v>
      </c>
      <c r="C1851" s="1" t="s">
        <v>171</v>
      </c>
      <c r="D1851" s="37" t="s">
        <v>92</v>
      </c>
      <c r="E1851" s="37">
        <v>4.09</v>
      </c>
      <c r="F1851" s="37" t="s">
        <v>2895</v>
      </c>
      <c r="G1851" s="79"/>
    </row>
    <row r="1852" spans="1:7" hidden="1">
      <c r="A1852" s="78">
        <v>43282</v>
      </c>
      <c r="B1852" s="37" t="s">
        <v>1786</v>
      </c>
      <c r="C1852" s="1" t="s">
        <v>2290</v>
      </c>
      <c r="D1852" s="37" t="s">
        <v>1560</v>
      </c>
      <c r="E1852" s="37">
        <v>397.96</v>
      </c>
      <c r="F1852" s="37" t="s">
        <v>2360</v>
      </c>
      <c r="G1852" s="79"/>
    </row>
    <row r="1853" spans="1:7" hidden="1">
      <c r="A1853" s="78">
        <v>43282</v>
      </c>
      <c r="B1853" s="37" t="s">
        <v>2058</v>
      </c>
      <c r="C1853" s="1" t="s">
        <v>104</v>
      </c>
      <c r="D1853" s="37" t="s">
        <v>1560</v>
      </c>
      <c r="E1853" s="37">
        <v>140</v>
      </c>
      <c r="F1853" s="37" t="s">
        <v>2898</v>
      </c>
      <c r="G1853" s="79"/>
    </row>
    <row r="1854" spans="1:7" hidden="1">
      <c r="A1854" s="78">
        <v>43282</v>
      </c>
      <c r="B1854" s="37" t="s">
        <v>172</v>
      </c>
      <c r="C1854" s="1" t="s">
        <v>215</v>
      </c>
      <c r="D1854" s="37" t="s">
        <v>972</v>
      </c>
      <c r="E1854" s="37">
        <v>18</v>
      </c>
      <c r="F1854" s="37" t="s">
        <v>2933</v>
      </c>
      <c r="G1854" s="79"/>
    </row>
    <row r="1855" spans="1:7" hidden="1">
      <c r="A1855" s="78">
        <v>43282</v>
      </c>
      <c r="B1855" s="37" t="s">
        <v>172</v>
      </c>
      <c r="C1855" s="1" t="s">
        <v>103</v>
      </c>
      <c r="D1855" s="37" t="s">
        <v>972</v>
      </c>
      <c r="E1855" s="37">
        <v>684</v>
      </c>
      <c r="F1855" s="37" t="s">
        <v>2391</v>
      </c>
      <c r="G1855" s="79"/>
    </row>
    <row r="1856" spans="1:7" hidden="1">
      <c r="A1856" s="78">
        <v>43282</v>
      </c>
      <c r="B1856" s="37" t="s">
        <v>172</v>
      </c>
      <c r="C1856" s="1" t="s">
        <v>103</v>
      </c>
      <c r="D1856" s="37" t="s">
        <v>972</v>
      </c>
      <c r="E1856" s="37">
        <v>1404</v>
      </c>
      <c r="F1856" s="37" t="s">
        <v>2910</v>
      </c>
      <c r="G1856" s="79"/>
    </row>
    <row r="1857" spans="1:7" hidden="1">
      <c r="A1857" s="78">
        <v>43282</v>
      </c>
      <c r="B1857" s="37" t="s">
        <v>172</v>
      </c>
      <c r="C1857" s="1" t="s">
        <v>103</v>
      </c>
      <c r="D1857" s="37" t="s">
        <v>972</v>
      </c>
      <c r="E1857" s="37">
        <v>702</v>
      </c>
      <c r="F1857" s="37" t="s">
        <v>2911</v>
      </c>
      <c r="G1857" s="79"/>
    </row>
    <row r="1858" spans="1:7" hidden="1">
      <c r="A1858" s="78">
        <v>43282</v>
      </c>
      <c r="B1858" s="37" t="s">
        <v>479</v>
      </c>
      <c r="C1858" s="1" t="s">
        <v>215</v>
      </c>
      <c r="D1858" s="37" t="s">
        <v>2483</v>
      </c>
      <c r="E1858" s="37">
        <v>321.19</v>
      </c>
      <c r="F1858" s="37" t="s">
        <v>1477</v>
      </c>
      <c r="G1858" s="79"/>
    </row>
    <row r="1859" spans="1:7" hidden="1">
      <c r="A1859" s="78">
        <v>43282</v>
      </c>
      <c r="B1859" s="37" t="s">
        <v>479</v>
      </c>
      <c r="C1859" s="1" t="s">
        <v>103</v>
      </c>
      <c r="D1859" s="37" t="s">
        <v>2483</v>
      </c>
      <c r="E1859" s="37">
        <v>520</v>
      </c>
      <c r="F1859" s="37" t="s">
        <v>2912</v>
      </c>
      <c r="G1859" s="79"/>
    </row>
    <row r="1860" spans="1:7" hidden="1">
      <c r="A1860" s="78">
        <v>43282</v>
      </c>
      <c r="B1860" s="37" t="s">
        <v>172</v>
      </c>
      <c r="C1860" s="1" t="s">
        <v>215</v>
      </c>
      <c r="D1860" s="37" t="s">
        <v>972</v>
      </c>
      <c r="E1860" s="37">
        <v>36</v>
      </c>
      <c r="F1860" s="37" t="s">
        <v>2933</v>
      </c>
      <c r="G1860" s="79"/>
    </row>
    <row r="1861" spans="1:7" hidden="1">
      <c r="A1861" s="78">
        <v>43282</v>
      </c>
      <c r="B1861" s="37" t="s">
        <v>432</v>
      </c>
      <c r="C1861" s="1" t="s">
        <v>103</v>
      </c>
      <c r="D1861" s="37" t="s">
        <v>972</v>
      </c>
      <c r="E1861" s="37">
        <v>282.02</v>
      </c>
      <c r="F1861" s="37" t="s">
        <v>2917</v>
      </c>
      <c r="G1861" s="79"/>
    </row>
    <row r="1862" spans="1:7" hidden="1">
      <c r="A1862" s="78">
        <v>43282</v>
      </c>
      <c r="B1862" s="37" t="s">
        <v>172</v>
      </c>
      <c r="C1862" s="1" t="s">
        <v>1797</v>
      </c>
      <c r="D1862" s="37" t="s">
        <v>972</v>
      </c>
      <c r="E1862" s="37">
        <v>720</v>
      </c>
      <c r="F1862" s="37" t="s">
        <v>2918</v>
      </c>
      <c r="G1862" s="79"/>
    </row>
    <row r="1863" spans="1:7" hidden="1">
      <c r="A1863" s="78">
        <v>43282</v>
      </c>
      <c r="B1863" s="37" t="s">
        <v>172</v>
      </c>
      <c r="C1863" s="1" t="s">
        <v>104</v>
      </c>
      <c r="D1863" s="37" t="s">
        <v>972</v>
      </c>
      <c r="E1863" s="37">
        <v>4014</v>
      </c>
      <c r="F1863" s="37" t="s">
        <v>1224</v>
      </c>
      <c r="G1863" s="79"/>
    </row>
    <row r="1864" spans="1:7" hidden="1">
      <c r="A1864" s="78">
        <v>43282</v>
      </c>
      <c r="B1864" s="37" t="s">
        <v>1916</v>
      </c>
      <c r="C1864" s="1" t="s">
        <v>215</v>
      </c>
      <c r="D1864" s="37" t="s">
        <v>2539</v>
      </c>
      <c r="E1864" s="37">
        <v>202.79</v>
      </c>
      <c r="F1864" s="37" t="s">
        <v>1164</v>
      </c>
      <c r="G1864" s="79"/>
    </row>
    <row r="1865" spans="1:7" hidden="1">
      <c r="A1865" s="78">
        <v>43313</v>
      </c>
      <c r="B1865" s="37" t="s">
        <v>2785</v>
      </c>
      <c r="C1865" s="1" t="s">
        <v>215</v>
      </c>
      <c r="D1865" s="37" t="s">
        <v>2539</v>
      </c>
      <c r="E1865" s="37">
        <v>196.04</v>
      </c>
      <c r="F1865" s="37" t="s">
        <v>1210</v>
      </c>
      <c r="G1865" s="79"/>
    </row>
    <row r="1866" spans="1:7" hidden="1">
      <c r="A1866" s="78">
        <v>43282</v>
      </c>
      <c r="B1866" s="37" t="s">
        <v>217</v>
      </c>
      <c r="C1866" s="1" t="s">
        <v>215</v>
      </c>
      <c r="D1866" s="37" t="s">
        <v>92</v>
      </c>
      <c r="E1866" s="37">
        <v>2205.64</v>
      </c>
      <c r="F1866" s="37" t="s">
        <v>1794</v>
      </c>
      <c r="G1866" s="79"/>
    </row>
    <row r="1867" spans="1:7" hidden="1">
      <c r="A1867" s="78">
        <v>43312</v>
      </c>
      <c r="B1867" s="37" t="s">
        <v>790</v>
      </c>
      <c r="C1867" s="1" t="s">
        <v>215</v>
      </c>
      <c r="D1867" s="37" t="s">
        <v>2483</v>
      </c>
      <c r="E1867" s="107">
        <v>708.94</v>
      </c>
      <c r="F1867" s="37" t="s">
        <v>2921</v>
      </c>
      <c r="G1867" s="79"/>
    </row>
    <row r="1868" spans="1:7" hidden="1">
      <c r="A1868" s="78">
        <v>43312</v>
      </c>
      <c r="B1868" s="37" t="s">
        <v>2370</v>
      </c>
      <c r="C1868" s="1" t="s">
        <v>171</v>
      </c>
      <c r="D1868" s="37" t="s">
        <v>2483</v>
      </c>
      <c r="E1868" s="37">
        <v>186.37</v>
      </c>
      <c r="F1868" s="37" t="s">
        <v>1310</v>
      </c>
      <c r="G1868" s="79"/>
    </row>
    <row r="1869" spans="1:7" hidden="1">
      <c r="A1869" s="78">
        <v>43282</v>
      </c>
      <c r="B1869" s="37" t="s">
        <v>1330</v>
      </c>
      <c r="C1869" s="1" t="s">
        <v>215</v>
      </c>
      <c r="D1869" s="37" t="s">
        <v>1560</v>
      </c>
      <c r="E1869" s="37">
        <v>97.82</v>
      </c>
      <c r="F1869" s="37" t="s">
        <v>1224</v>
      </c>
      <c r="G1869" s="79"/>
    </row>
    <row r="1870" spans="1:7" hidden="1">
      <c r="A1870" s="78">
        <v>43282</v>
      </c>
      <c r="B1870" s="37" t="s">
        <v>2058</v>
      </c>
      <c r="C1870" s="1" t="s">
        <v>2925</v>
      </c>
      <c r="D1870" s="37" t="s">
        <v>1560</v>
      </c>
      <c r="E1870" s="37">
        <v>140</v>
      </c>
      <c r="F1870" s="37" t="s">
        <v>2926</v>
      </c>
      <c r="G1870" s="79"/>
    </row>
    <row r="1871" spans="1:7" hidden="1">
      <c r="A1871" s="78">
        <v>43282</v>
      </c>
      <c r="B1871" s="37" t="s">
        <v>2289</v>
      </c>
      <c r="C1871" s="1" t="s">
        <v>2927</v>
      </c>
      <c r="D1871" s="37" t="s">
        <v>722</v>
      </c>
      <c r="E1871" s="37">
        <v>180</v>
      </c>
      <c r="F1871" s="37" t="s">
        <v>2372</v>
      </c>
      <c r="G1871" s="79"/>
    </row>
    <row r="1872" spans="1:7" hidden="1">
      <c r="A1872" s="78">
        <v>43282</v>
      </c>
      <c r="B1872" s="37" t="s">
        <v>619</v>
      </c>
      <c r="C1872" s="1" t="s">
        <v>1973</v>
      </c>
      <c r="D1872" s="37" t="s">
        <v>92</v>
      </c>
      <c r="E1872" s="37">
        <v>180</v>
      </c>
      <c r="F1872" s="37" t="s">
        <v>1310</v>
      </c>
      <c r="G1872" s="79"/>
    </row>
    <row r="1873" spans="1:7" hidden="1">
      <c r="A1873" s="78">
        <v>43282</v>
      </c>
      <c r="B1873" s="37" t="s">
        <v>619</v>
      </c>
      <c r="C1873" s="1" t="s">
        <v>1973</v>
      </c>
      <c r="D1873" s="37" t="s">
        <v>92</v>
      </c>
      <c r="E1873" s="37">
        <v>796.7</v>
      </c>
      <c r="F1873" s="37" t="s">
        <v>2928</v>
      </c>
      <c r="G1873" s="79">
        <f>E1873/1.2</f>
        <v>663.91666666666674</v>
      </c>
    </row>
    <row r="1874" spans="1:7" hidden="1">
      <c r="A1874" s="78">
        <v>43282</v>
      </c>
      <c r="B1874" s="37" t="s">
        <v>619</v>
      </c>
      <c r="C1874" s="1" t="s">
        <v>1973</v>
      </c>
      <c r="D1874" s="37" t="s">
        <v>92</v>
      </c>
      <c r="E1874" s="37">
        <v>432</v>
      </c>
      <c r="F1874" s="37" t="s">
        <v>2929</v>
      </c>
      <c r="G1874" s="79">
        <f>E1874/1.2</f>
        <v>360</v>
      </c>
    </row>
    <row r="1875" spans="1:7" hidden="1">
      <c r="A1875" s="78">
        <v>43282</v>
      </c>
      <c r="B1875" s="37" t="s">
        <v>619</v>
      </c>
      <c r="C1875" s="1" t="s">
        <v>1973</v>
      </c>
      <c r="D1875" s="37" t="s">
        <v>92</v>
      </c>
      <c r="E1875" s="37">
        <v>360</v>
      </c>
      <c r="F1875" s="37" t="s">
        <v>2929</v>
      </c>
      <c r="G1875" s="79">
        <f>E1875/1.2</f>
        <v>300</v>
      </c>
    </row>
    <row r="1876" spans="1:7" hidden="1">
      <c r="A1876" s="78">
        <v>43313</v>
      </c>
      <c r="B1876" s="37" t="s">
        <v>6</v>
      </c>
      <c r="C1876" s="1" t="s">
        <v>1973</v>
      </c>
      <c r="D1876" s="37" t="s">
        <v>1938</v>
      </c>
      <c r="E1876" s="37">
        <v>383.59</v>
      </c>
      <c r="F1876" s="37" t="s">
        <v>1310</v>
      </c>
      <c r="G1876" s="79"/>
    </row>
    <row r="1877" spans="1:7" hidden="1">
      <c r="A1877" s="78">
        <v>43313</v>
      </c>
      <c r="B1877" s="37" t="s">
        <v>217</v>
      </c>
      <c r="C1877" s="1" t="s">
        <v>104</v>
      </c>
      <c r="D1877" s="37" t="s">
        <v>92</v>
      </c>
      <c r="E1877" s="37">
        <v>600</v>
      </c>
      <c r="F1877" s="37" t="s">
        <v>557</v>
      </c>
      <c r="G1877" s="79"/>
    </row>
    <row r="1878" spans="1:7" hidden="1">
      <c r="A1878" s="78">
        <v>43313</v>
      </c>
      <c r="B1878" s="37" t="s">
        <v>49</v>
      </c>
      <c r="C1878" s="1" t="s">
        <v>103</v>
      </c>
      <c r="D1878" s="37" t="s">
        <v>972</v>
      </c>
      <c r="E1878" s="37">
        <v>133.01</v>
      </c>
      <c r="F1878" s="37" t="s">
        <v>2071</v>
      </c>
      <c r="G1878" s="79"/>
    </row>
    <row r="1879" spans="1:7" hidden="1">
      <c r="A1879" s="78">
        <v>43313</v>
      </c>
      <c r="B1879" s="37" t="s">
        <v>49</v>
      </c>
      <c r="C1879" s="1" t="s">
        <v>104</v>
      </c>
      <c r="D1879" s="37" t="s">
        <v>972</v>
      </c>
      <c r="E1879" s="37">
        <v>192.56</v>
      </c>
      <c r="F1879" s="37" t="s">
        <v>2951</v>
      </c>
      <c r="G1879" s="79"/>
    </row>
    <row r="1880" spans="1:7" hidden="1">
      <c r="A1880" s="78">
        <v>43313</v>
      </c>
      <c r="B1880" s="37" t="s">
        <v>49</v>
      </c>
      <c r="C1880" s="1" t="s">
        <v>103</v>
      </c>
      <c r="D1880" s="37" t="s">
        <v>972</v>
      </c>
      <c r="E1880" s="37">
        <v>119.12</v>
      </c>
      <c r="F1880" s="37" t="s">
        <v>2419</v>
      </c>
      <c r="G1880" s="79"/>
    </row>
    <row r="1881" spans="1:7" hidden="1">
      <c r="A1881" s="78">
        <v>43313</v>
      </c>
      <c r="B1881" s="37" t="s">
        <v>172</v>
      </c>
      <c r="C1881" s="1" t="s">
        <v>104</v>
      </c>
      <c r="D1881" s="37" t="s">
        <v>972</v>
      </c>
      <c r="E1881" s="37">
        <v>360</v>
      </c>
      <c r="F1881" s="37" t="s">
        <v>2952</v>
      </c>
      <c r="G1881" s="79"/>
    </row>
    <row r="1882" spans="1:7" hidden="1">
      <c r="A1882" s="78">
        <v>43313</v>
      </c>
      <c r="B1882" s="37" t="s">
        <v>172</v>
      </c>
      <c r="C1882" s="1" t="s">
        <v>103</v>
      </c>
      <c r="D1882" s="37" t="s">
        <v>972</v>
      </c>
      <c r="E1882" s="37">
        <v>702</v>
      </c>
      <c r="F1882" s="37" t="s">
        <v>2911</v>
      </c>
      <c r="G1882" s="79"/>
    </row>
    <row r="1883" spans="1:7" hidden="1">
      <c r="A1883" s="78">
        <v>43313</v>
      </c>
      <c r="B1883" s="37" t="s">
        <v>172</v>
      </c>
      <c r="C1883" s="1" t="s">
        <v>103</v>
      </c>
      <c r="D1883" s="37" t="s">
        <v>972</v>
      </c>
      <c r="E1883" s="37">
        <v>1404</v>
      </c>
      <c r="F1883" s="37" t="s">
        <v>2910</v>
      </c>
      <c r="G1883" s="79"/>
    </row>
    <row r="1884" spans="1:7" hidden="1">
      <c r="A1884" s="78">
        <v>43313</v>
      </c>
      <c r="B1884" s="37" t="s">
        <v>55</v>
      </c>
      <c r="C1884" s="1" t="s">
        <v>1898</v>
      </c>
      <c r="D1884" s="37" t="s">
        <v>972</v>
      </c>
      <c r="E1884" s="37">
        <v>714</v>
      </c>
      <c r="F1884" s="37" t="s">
        <v>2954</v>
      </c>
      <c r="G1884" s="79"/>
    </row>
    <row r="1885" spans="1:7" hidden="1">
      <c r="A1885" s="78">
        <v>43313</v>
      </c>
      <c r="B1885" s="37" t="s">
        <v>55</v>
      </c>
      <c r="C1885" s="1" t="s">
        <v>336</v>
      </c>
      <c r="D1885" s="37" t="s">
        <v>972</v>
      </c>
      <c r="E1885" s="37">
        <v>75.599999999999994</v>
      </c>
      <c r="F1885" s="37" t="s">
        <v>2888</v>
      </c>
      <c r="G1885" s="79"/>
    </row>
    <row r="1886" spans="1:7" hidden="1">
      <c r="A1886" s="78">
        <v>43282</v>
      </c>
      <c r="B1886" s="37" t="s">
        <v>1962</v>
      </c>
      <c r="C1886" s="1" t="s">
        <v>2519</v>
      </c>
      <c r="D1886" s="37" t="s">
        <v>1938</v>
      </c>
      <c r="E1886" s="37">
        <v>22.82</v>
      </c>
      <c r="F1886" s="37" t="s">
        <v>2369</v>
      </c>
      <c r="G1886" s="79"/>
    </row>
    <row r="1887" spans="1:7" hidden="1">
      <c r="A1887" s="78">
        <v>43313</v>
      </c>
      <c r="B1887" s="37" t="s">
        <v>1937</v>
      </c>
      <c r="C1887" s="1" t="s">
        <v>2956</v>
      </c>
      <c r="D1887" s="37" t="s">
        <v>1938</v>
      </c>
      <c r="E1887" s="37">
        <v>60</v>
      </c>
      <c r="F1887" s="37" t="s">
        <v>557</v>
      </c>
      <c r="G1887" s="79"/>
    </row>
    <row r="1888" spans="1:7" hidden="1">
      <c r="A1888" s="78">
        <v>43313</v>
      </c>
      <c r="B1888" s="37" t="s">
        <v>1937</v>
      </c>
      <c r="C1888" s="1" t="s">
        <v>2519</v>
      </c>
      <c r="D1888" s="37" t="s">
        <v>1938</v>
      </c>
      <c r="E1888" s="37">
        <v>371.06</v>
      </c>
      <c r="F1888" s="37" t="s">
        <v>1310</v>
      </c>
      <c r="G1888" s="79"/>
    </row>
    <row r="1889" spans="1:7" hidden="1">
      <c r="A1889" s="78">
        <v>43313</v>
      </c>
      <c r="B1889" s="37" t="s">
        <v>2891</v>
      </c>
      <c r="C1889" s="1" t="s">
        <v>2519</v>
      </c>
      <c r="D1889" s="37" t="s">
        <v>2483</v>
      </c>
      <c r="E1889" s="37">
        <v>4.2</v>
      </c>
      <c r="F1889" s="37" t="s">
        <v>335</v>
      </c>
      <c r="G1889" s="79"/>
    </row>
    <row r="1890" spans="1:7" hidden="1">
      <c r="A1890" s="78">
        <v>43313</v>
      </c>
      <c r="B1890" s="37" t="s">
        <v>172</v>
      </c>
      <c r="C1890" s="1" t="s">
        <v>104</v>
      </c>
      <c r="D1890" s="37" t="s">
        <v>972</v>
      </c>
      <c r="E1890" s="37">
        <v>1440</v>
      </c>
      <c r="F1890" s="37" t="s">
        <v>1224</v>
      </c>
      <c r="G1890" s="79"/>
    </row>
    <row r="1891" spans="1:7" hidden="1">
      <c r="A1891" s="78">
        <v>43313</v>
      </c>
      <c r="B1891" s="37" t="s">
        <v>172</v>
      </c>
      <c r="C1891" s="1" t="s">
        <v>103</v>
      </c>
      <c r="D1891" s="37" t="s">
        <v>972</v>
      </c>
      <c r="E1891" s="37">
        <v>1296</v>
      </c>
      <c r="F1891" s="37" t="s">
        <v>2166</v>
      </c>
      <c r="G1891" s="79"/>
    </row>
    <row r="1892" spans="1:7" hidden="1">
      <c r="A1892" s="78">
        <v>43313</v>
      </c>
      <c r="B1892" s="37" t="s">
        <v>172</v>
      </c>
      <c r="C1892" s="1" t="s">
        <v>171</v>
      </c>
      <c r="D1892" s="37" t="s">
        <v>972</v>
      </c>
      <c r="E1892" s="37">
        <v>27</v>
      </c>
      <c r="F1892" s="37" t="s">
        <v>2964</v>
      </c>
      <c r="G1892" s="79"/>
    </row>
    <row r="1893" spans="1:7" hidden="1">
      <c r="A1893" s="78">
        <v>43344</v>
      </c>
      <c r="B1893" s="37" t="s">
        <v>2058</v>
      </c>
      <c r="C1893" s="1" t="s">
        <v>2976</v>
      </c>
      <c r="D1893" s="37" t="s">
        <v>1560</v>
      </c>
      <c r="E1893" s="37">
        <v>140</v>
      </c>
      <c r="F1893" s="37" t="s">
        <v>2977</v>
      </c>
      <c r="G1893" s="79"/>
    </row>
    <row r="1894" spans="1:7" hidden="1">
      <c r="A1894" s="78">
        <v>43252</v>
      </c>
      <c r="B1894" s="37" t="s">
        <v>2370</v>
      </c>
      <c r="C1894" s="1" t="s">
        <v>215</v>
      </c>
      <c r="D1894" s="37" t="s">
        <v>2483</v>
      </c>
      <c r="E1894" s="37">
        <v>186.37</v>
      </c>
      <c r="F1894" s="37" t="s">
        <v>2978</v>
      </c>
      <c r="G1894" s="79"/>
    </row>
    <row r="1895" spans="1:7" hidden="1">
      <c r="A1895" s="78">
        <v>43313</v>
      </c>
      <c r="B1895" s="37" t="s">
        <v>217</v>
      </c>
      <c r="C1895" s="1" t="s">
        <v>215</v>
      </c>
      <c r="D1895" s="37" t="s">
        <v>92</v>
      </c>
      <c r="E1895" s="37">
        <v>2145.83</v>
      </c>
      <c r="F1895" s="37" t="s">
        <v>1794</v>
      </c>
      <c r="G1895" s="79"/>
    </row>
    <row r="1896" spans="1:7" hidden="1">
      <c r="A1896" s="78">
        <v>43344</v>
      </c>
      <c r="B1896" s="37" t="s">
        <v>217</v>
      </c>
      <c r="C1896" s="1" t="s">
        <v>104</v>
      </c>
      <c r="D1896" s="37" t="s">
        <v>92</v>
      </c>
      <c r="E1896" s="37">
        <v>200</v>
      </c>
      <c r="F1896" s="37" t="s">
        <v>1501</v>
      </c>
      <c r="G1896" s="79"/>
    </row>
    <row r="1897" spans="1:7" hidden="1">
      <c r="A1897" s="78">
        <v>43313</v>
      </c>
      <c r="B1897" s="37" t="s">
        <v>259</v>
      </c>
      <c r="C1897" s="1" t="s">
        <v>2989</v>
      </c>
      <c r="D1897" s="37" t="s">
        <v>2483</v>
      </c>
      <c r="E1897" s="37">
        <v>2600.1999999999998</v>
      </c>
      <c r="F1897" s="37" t="s">
        <v>1477</v>
      </c>
      <c r="G1897" s="79"/>
    </row>
    <row r="1898" spans="1:7" hidden="1">
      <c r="A1898" s="78">
        <v>43344</v>
      </c>
      <c r="B1898" s="37" t="s">
        <v>2110</v>
      </c>
      <c r="C1898" s="1" t="s">
        <v>215</v>
      </c>
      <c r="D1898" s="37" t="s">
        <v>2539</v>
      </c>
      <c r="E1898" s="37">
        <v>311.68</v>
      </c>
      <c r="F1898" s="37" t="s">
        <v>1210</v>
      </c>
      <c r="G1898" s="79"/>
    </row>
    <row r="1899" spans="1:7" hidden="1">
      <c r="A1899" s="78">
        <v>43313</v>
      </c>
      <c r="B1899" s="37" t="s">
        <v>2289</v>
      </c>
      <c r="C1899" s="1" t="s">
        <v>2990</v>
      </c>
      <c r="D1899" s="37" t="s">
        <v>722</v>
      </c>
      <c r="E1899" s="37">
        <v>120</v>
      </c>
      <c r="F1899" s="37" t="s">
        <v>2991</v>
      </c>
      <c r="G1899" s="79"/>
    </row>
    <row r="1900" spans="1:7" hidden="1">
      <c r="A1900" s="78">
        <v>43313</v>
      </c>
      <c r="B1900" s="37" t="s">
        <v>790</v>
      </c>
      <c r="C1900" s="1" t="s">
        <v>1973</v>
      </c>
      <c r="D1900" s="37" t="s">
        <v>2483</v>
      </c>
      <c r="E1900" s="107">
        <v>1296.5999999999999</v>
      </c>
      <c r="F1900" s="37" t="s">
        <v>1794</v>
      </c>
      <c r="G1900" s="79"/>
    </row>
    <row r="1901" spans="1:7" hidden="1">
      <c r="A1901" s="78">
        <v>43313</v>
      </c>
      <c r="B1901" s="37" t="s">
        <v>2891</v>
      </c>
      <c r="C1901" s="1" t="s">
        <v>171</v>
      </c>
      <c r="D1901" s="37" t="s">
        <v>2483</v>
      </c>
      <c r="E1901" s="37"/>
      <c r="F1901" s="37"/>
      <c r="G1901" s="79"/>
    </row>
    <row r="1902" spans="1:7" hidden="1">
      <c r="A1902" s="78">
        <v>43313</v>
      </c>
      <c r="B1902" s="37" t="s">
        <v>1916</v>
      </c>
      <c r="C1902" s="1" t="s">
        <v>215</v>
      </c>
      <c r="D1902" s="37" t="s">
        <v>2539</v>
      </c>
      <c r="E1902" s="37">
        <v>102.86</v>
      </c>
      <c r="F1902" s="37" t="s">
        <v>1164</v>
      </c>
      <c r="G1902" s="79"/>
    </row>
    <row r="1903" spans="1:7" hidden="1">
      <c r="A1903" s="78">
        <v>43313</v>
      </c>
      <c r="B1903" s="37" t="s">
        <v>1330</v>
      </c>
      <c r="C1903" s="1" t="s">
        <v>215</v>
      </c>
      <c r="D1903" s="37" t="s">
        <v>1560</v>
      </c>
      <c r="E1903" s="37">
        <v>118.27</v>
      </c>
      <c r="F1903" s="37" t="s">
        <v>1224</v>
      </c>
      <c r="G1903" s="79"/>
    </row>
    <row r="1904" spans="1:7" hidden="1">
      <c r="A1904" s="78">
        <v>43344</v>
      </c>
      <c r="B1904" s="37" t="s">
        <v>49</v>
      </c>
      <c r="C1904" s="1" t="s">
        <v>103</v>
      </c>
      <c r="D1904" s="37" t="s">
        <v>972</v>
      </c>
      <c r="E1904" s="37">
        <v>81.78</v>
      </c>
      <c r="F1904" s="37" t="s">
        <v>1597</v>
      </c>
      <c r="G1904" s="79"/>
    </row>
    <row r="1905" spans="1:7" hidden="1">
      <c r="A1905" s="78">
        <v>43313</v>
      </c>
      <c r="B1905" s="37" t="s">
        <v>1962</v>
      </c>
      <c r="C1905" s="1" t="s">
        <v>215</v>
      </c>
      <c r="D1905" s="37" t="s">
        <v>1938</v>
      </c>
      <c r="E1905" s="37">
        <v>21.53</v>
      </c>
      <c r="F1905" s="37" t="s">
        <v>2369</v>
      </c>
      <c r="G1905" s="79"/>
    </row>
    <row r="1906" spans="1:7" hidden="1">
      <c r="A1906" s="78">
        <v>43344</v>
      </c>
      <c r="B1906" s="37" t="s">
        <v>55</v>
      </c>
      <c r="C1906" s="1" t="s">
        <v>886</v>
      </c>
      <c r="D1906" s="37" t="s">
        <v>972</v>
      </c>
      <c r="E1906" s="37">
        <v>765</v>
      </c>
      <c r="F1906" s="37" t="s">
        <v>3001</v>
      </c>
      <c r="G1906" s="79"/>
    </row>
    <row r="1907" spans="1:7" hidden="1">
      <c r="A1907" s="78">
        <v>43344</v>
      </c>
      <c r="B1907" s="37" t="s">
        <v>55</v>
      </c>
      <c r="C1907" s="1" t="s">
        <v>336</v>
      </c>
      <c r="D1907" s="37" t="s">
        <v>972</v>
      </c>
      <c r="E1907" s="37">
        <v>81</v>
      </c>
      <c r="F1907" s="37" t="s">
        <v>2833</v>
      </c>
      <c r="G1907" s="79"/>
    </row>
    <row r="1908" spans="1:7" hidden="1">
      <c r="A1908" s="78">
        <v>43344</v>
      </c>
      <c r="B1908" s="37" t="s">
        <v>6</v>
      </c>
      <c r="C1908" s="1" t="s">
        <v>215</v>
      </c>
      <c r="D1908" s="37" t="s">
        <v>1938</v>
      </c>
      <c r="E1908" s="37">
        <v>251.03</v>
      </c>
      <c r="F1908" s="37" t="s">
        <v>1310</v>
      </c>
      <c r="G1908" s="79"/>
    </row>
    <row r="1909" spans="1:7" hidden="1">
      <c r="A1909" s="78">
        <v>43344</v>
      </c>
      <c r="B1909" s="37" t="s">
        <v>1937</v>
      </c>
      <c r="C1909" s="1" t="s">
        <v>215</v>
      </c>
      <c r="D1909" s="37" t="s">
        <v>1938</v>
      </c>
      <c r="E1909" s="37">
        <v>265.52</v>
      </c>
      <c r="F1909" s="37" t="s">
        <v>1310</v>
      </c>
      <c r="G1909" s="79"/>
    </row>
    <row r="1910" spans="1:7" hidden="1">
      <c r="A1910" s="78">
        <v>43313</v>
      </c>
      <c r="B1910" s="37" t="s">
        <v>619</v>
      </c>
      <c r="C1910" s="1" t="s">
        <v>1973</v>
      </c>
      <c r="D1910" s="37" t="s">
        <v>92</v>
      </c>
      <c r="E1910" s="37">
        <v>36</v>
      </c>
      <c r="F1910" s="37" t="s">
        <v>1310</v>
      </c>
      <c r="G1910" s="79"/>
    </row>
    <row r="1911" spans="1:7" hidden="1">
      <c r="A1911" s="78">
        <v>43344</v>
      </c>
      <c r="B1911" s="37" t="s">
        <v>432</v>
      </c>
      <c r="C1911" s="1" t="s">
        <v>104</v>
      </c>
      <c r="D1911" s="37" t="s">
        <v>972</v>
      </c>
      <c r="E1911" s="37">
        <v>89.18</v>
      </c>
      <c r="F1911" s="37" t="s">
        <v>3025</v>
      </c>
      <c r="G1911" s="79"/>
    </row>
    <row r="1912" spans="1:7" hidden="1">
      <c r="A1912" s="78">
        <v>43344</v>
      </c>
      <c r="B1912" s="37" t="s">
        <v>172</v>
      </c>
      <c r="C1912" s="1" t="s">
        <v>103</v>
      </c>
      <c r="D1912" s="37" t="s">
        <v>972</v>
      </c>
      <c r="E1912" s="37">
        <v>702</v>
      </c>
      <c r="F1912" s="37" t="s">
        <v>2166</v>
      </c>
      <c r="G1912" s="79"/>
    </row>
    <row r="1913" spans="1:7" hidden="1">
      <c r="A1913" s="78">
        <v>43344</v>
      </c>
      <c r="B1913" s="37" t="s">
        <v>172</v>
      </c>
      <c r="C1913" s="1" t="s">
        <v>103</v>
      </c>
      <c r="D1913" s="37" t="s">
        <v>972</v>
      </c>
      <c r="E1913" s="37">
        <v>126</v>
      </c>
      <c r="F1913" s="37" t="s">
        <v>3026</v>
      </c>
      <c r="G1913" s="79"/>
    </row>
    <row r="1914" spans="1:7" hidden="1">
      <c r="A1914" s="78">
        <v>43344</v>
      </c>
      <c r="B1914" s="37" t="s">
        <v>172</v>
      </c>
      <c r="C1914" s="1" t="s">
        <v>171</v>
      </c>
      <c r="D1914" s="37" t="s">
        <v>972</v>
      </c>
      <c r="E1914" s="37">
        <v>36</v>
      </c>
      <c r="F1914" s="37" t="s">
        <v>3027</v>
      </c>
      <c r="G1914" s="79"/>
    </row>
    <row r="1915" spans="1:7" hidden="1">
      <c r="A1915" s="78">
        <v>43344</v>
      </c>
      <c r="B1915" s="37" t="s">
        <v>172</v>
      </c>
      <c r="C1915" s="1" t="s">
        <v>104</v>
      </c>
      <c r="D1915" s="37" t="s">
        <v>972</v>
      </c>
      <c r="E1915" s="37">
        <v>1134</v>
      </c>
      <c r="F1915" s="37" t="s">
        <v>3028</v>
      </c>
      <c r="G1915" s="79"/>
    </row>
    <row r="1916" spans="1:7" hidden="1">
      <c r="A1916" s="78">
        <v>43344</v>
      </c>
      <c r="B1916" s="37" t="s">
        <v>172</v>
      </c>
      <c r="C1916" s="1" t="s">
        <v>104</v>
      </c>
      <c r="D1916" s="37" t="s">
        <v>972</v>
      </c>
      <c r="E1916" s="37">
        <v>4014</v>
      </c>
      <c r="F1916" s="37" t="s">
        <v>1191</v>
      </c>
      <c r="G1916" s="79"/>
    </row>
    <row r="1917" spans="1:7" hidden="1">
      <c r="A1917" s="78">
        <v>43344</v>
      </c>
      <c r="B1917" s="37" t="s">
        <v>172</v>
      </c>
      <c r="C1917" s="1" t="s">
        <v>103</v>
      </c>
      <c r="D1917" s="37" t="s">
        <v>972</v>
      </c>
      <c r="E1917" s="37">
        <v>738</v>
      </c>
      <c r="F1917" s="37" t="s">
        <v>3029</v>
      </c>
      <c r="G1917" s="79"/>
    </row>
    <row r="1918" spans="1:7" hidden="1">
      <c r="A1918" s="78">
        <v>43344</v>
      </c>
      <c r="B1918" s="37" t="s">
        <v>172</v>
      </c>
      <c r="C1918" s="1" t="s">
        <v>103</v>
      </c>
      <c r="D1918" s="37" t="s">
        <v>972</v>
      </c>
      <c r="E1918" s="37">
        <v>1476</v>
      </c>
      <c r="F1918" s="37" t="s">
        <v>3030</v>
      </c>
      <c r="G1918" s="79"/>
    </row>
    <row r="1919" spans="1:7" hidden="1">
      <c r="A1919" s="78">
        <v>43344</v>
      </c>
      <c r="B1919" s="37" t="s">
        <v>217</v>
      </c>
      <c r="C1919" s="1" t="s">
        <v>215</v>
      </c>
      <c r="D1919" s="37" t="s">
        <v>92</v>
      </c>
      <c r="E1919" s="37">
        <v>2222.63</v>
      </c>
      <c r="F1919" s="37" t="s">
        <v>1794</v>
      </c>
      <c r="G1919" s="79"/>
    </row>
    <row r="1920" spans="1:7" hidden="1">
      <c r="A1920" s="78">
        <v>43344</v>
      </c>
      <c r="B1920" s="37" t="s">
        <v>2289</v>
      </c>
      <c r="C1920" s="1" t="s">
        <v>1955</v>
      </c>
      <c r="D1920" s="37" t="s">
        <v>722</v>
      </c>
      <c r="E1920" s="37">
        <v>250</v>
      </c>
      <c r="F1920" s="37" t="s">
        <v>3044</v>
      </c>
      <c r="G1920" s="79"/>
    </row>
    <row r="1921" spans="1:7" hidden="1">
      <c r="A1921" s="78">
        <v>43374</v>
      </c>
      <c r="B1921" s="37" t="s">
        <v>2370</v>
      </c>
      <c r="C1921" s="1" t="s">
        <v>215</v>
      </c>
      <c r="D1921" s="37" t="s">
        <v>2483</v>
      </c>
      <c r="E1921" s="37">
        <v>132.74</v>
      </c>
      <c r="F1921" s="37" t="s">
        <v>3045</v>
      </c>
      <c r="G1921" s="79"/>
    </row>
    <row r="1922" spans="1:7" hidden="1">
      <c r="A1922" s="78">
        <v>43374</v>
      </c>
      <c r="B1922" s="37" t="s">
        <v>2110</v>
      </c>
      <c r="C1922" s="1" t="s">
        <v>215</v>
      </c>
      <c r="D1922" s="37" t="s">
        <v>2539</v>
      </c>
      <c r="E1922" s="37">
        <v>196.6</v>
      </c>
      <c r="F1922" s="37" t="s">
        <v>1210</v>
      </c>
      <c r="G1922" s="79"/>
    </row>
    <row r="1923" spans="1:7" hidden="1">
      <c r="A1923" s="78">
        <v>43374</v>
      </c>
      <c r="B1923" s="37" t="s">
        <v>2058</v>
      </c>
      <c r="C1923" s="1" t="s">
        <v>104</v>
      </c>
      <c r="D1923" s="37" t="s">
        <v>1560</v>
      </c>
      <c r="E1923" s="37">
        <v>70</v>
      </c>
      <c r="F1923" s="37" t="s">
        <v>3046</v>
      </c>
      <c r="G1923" s="79"/>
    </row>
    <row r="1924" spans="1:7" hidden="1">
      <c r="A1924" s="78">
        <v>43374</v>
      </c>
      <c r="B1924" s="37" t="s">
        <v>790</v>
      </c>
      <c r="C1924" s="1" t="s">
        <v>104</v>
      </c>
      <c r="D1924" s="37" t="s">
        <v>2483</v>
      </c>
      <c r="E1924" s="37">
        <v>120</v>
      </c>
      <c r="F1924" s="37" t="s">
        <v>3047</v>
      </c>
      <c r="G1924" s="79"/>
    </row>
    <row r="1925" spans="1:7" hidden="1">
      <c r="A1925" s="78">
        <v>43344</v>
      </c>
      <c r="B1925" s="37" t="s">
        <v>1916</v>
      </c>
      <c r="C1925" s="1" t="s">
        <v>215</v>
      </c>
      <c r="D1925" s="37" t="s">
        <v>2539</v>
      </c>
      <c r="E1925" s="37">
        <v>157.72999999999999</v>
      </c>
      <c r="F1925" s="37" t="s">
        <v>1164</v>
      </c>
      <c r="G1925" s="79"/>
    </row>
    <row r="1926" spans="1:7" hidden="1">
      <c r="A1926" s="78">
        <v>43344</v>
      </c>
      <c r="B1926" s="37" t="s">
        <v>479</v>
      </c>
      <c r="C1926" s="1" t="s">
        <v>3048</v>
      </c>
      <c r="D1926" s="37" t="s">
        <v>2483</v>
      </c>
      <c r="E1926" s="37">
        <v>2414.58</v>
      </c>
      <c r="F1926" s="37" t="s">
        <v>1477</v>
      </c>
      <c r="G1926" s="79"/>
    </row>
    <row r="1927" spans="1:7" hidden="1">
      <c r="A1927" s="78">
        <v>43344</v>
      </c>
      <c r="B1927" s="37" t="s">
        <v>479</v>
      </c>
      <c r="C1927" s="1" t="s">
        <v>1898</v>
      </c>
      <c r="D1927" s="37" t="s">
        <v>2483</v>
      </c>
      <c r="E1927" s="37">
        <v>1040</v>
      </c>
      <c r="F1927" s="37" t="s">
        <v>3049</v>
      </c>
      <c r="G1927" s="79"/>
    </row>
    <row r="1928" spans="1:7" hidden="1">
      <c r="A1928" s="78">
        <v>43344</v>
      </c>
      <c r="B1928" s="37" t="s">
        <v>619</v>
      </c>
      <c r="C1928" s="1" t="s">
        <v>1973</v>
      </c>
      <c r="D1928" s="37" t="s">
        <v>92</v>
      </c>
      <c r="E1928" s="37">
        <v>144</v>
      </c>
      <c r="F1928" s="37" t="s">
        <v>1310</v>
      </c>
      <c r="G1928" s="79"/>
    </row>
    <row r="1929" spans="1:7" hidden="1">
      <c r="A1929" s="78">
        <v>43374</v>
      </c>
      <c r="B1929" s="37" t="s">
        <v>6</v>
      </c>
      <c r="C1929" s="1" t="s">
        <v>2519</v>
      </c>
      <c r="D1929" s="37" t="s">
        <v>1938</v>
      </c>
      <c r="E1929" s="37">
        <v>386.33</v>
      </c>
      <c r="F1929" s="37" t="s">
        <v>1310</v>
      </c>
      <c r="G1929" s="79"/>
    </row>
    <row r="1930" spans="1:7" hidden="1">
      <c r="A1930" s="78">
        <v>43344</v>
      </c>
      <c r="B1930" s="37" t="s">
        <v>2654</v>
      </c>
      <c r="C1930" s="1" t="s">
        <v>2925</v>
      </c>
      <c r="D1930" s="37" t="s">
        <v>1938</v>
      </c>
      <c r="E1930" s="37">
        <v>43.84</v>
      </c>
      <c r="F1930" s="37" t="s">
        <v>3050</v>
      </c>
      <c r="G1930" s="79"/>
    </row>
    <row r="1931" spans="1:7" hidden="1">
      <c r="A1931" s="78">
        <v>43344</v>
      </c>
      <c r="B1931" s="37" t="s">
        <v>1786</v>
      </c>
      <c r="C1931" s="1" t="s">
        <v>1955</v>
      </c>
      <c r="D1931" s="37" t="s">
        <v>1560</v>
      </c>
      <c r="E1931" s="37">
        <v>208.82</v>
      </c>
      <c r="F1931" s="37" t="s">
        <v>3051</v>
      </c>
      <c r="G1931" s="79"/>
    </row>
    <row r="1932" spans="1:7" hidden="1">
      <c r="A1932" s="78">
        <v>43344</v>
      </c>
      <c r="B1932" s="37" t="s">
        <v>1962</v>
      </c>
      <c r="C1932" s="1" t="s">
        <v>2519</v>
      </c>
      <c r="D1932" s="37" t="s">
        <v>1938</v>
      </c>
      <c r="E1932" s="37">
        <v>40.29</v>
      </c>
      <c r="F1932" s="37" t="s">
        <v>2369</v>
      </c>
      <c r="G1932" s="79"/>
    </row>
    <row r="1933" spans="1:7" hidden="1">
      <c r="A1933" s="78">
        <v>43344</v>
      </c>
      <c r="B1933" s="37" t="s">
        <v>790</v>
      </c>
      <c r="C1933" s="1" t="s">
        <v>1973</v>
      </c>
      <c r="D1933" s="37" t="s">
        <v>2483</v>
      </c>
      <c r="E1933" s="107">
        <v>1311.9</v>
      </c>
      <c r="F1933" s="37" t="s">
        <v>1794</v>
      </c>
      <c r="G1933" s="79"/>
    </row>
    <row r="1934" spans="1:7" hidden="1">
      <c r="A1934" s="78">
        <v>43374</v>
      </c>
      <c r="B1934" s="37" t="s">
        <v>217</v>
      </c>
      <c r="C1934" s="1" t="s">
        <v>1799</v>
      </c>
      <c r="D1934" s="37" t="s">
        <v>92</v>
      </c>
      <c r="E1934" s="37">
        <v>600</v>
      </c>
      <c r="F1934" s="37" t="s">
        <v>3057</v>
      </c>
      <c r="G1934" s="79"/>
    </row>
    <row r="1935" spans="1:7" hidden="1">
      <c r="A1935" s="78">
        <v>43344</v>
      </c>
      <c r="B1935" s="37" t="s">
        <v>826</v>
      </c>
      <c r="C1935" s="1" t="s">
        <v>215</v>
      </c>
      <c r="D1935" s="37" t="s">
        <v>2483</v>
      </c>
      <c r="E1935" s="37">
        <v>120</v>
      </c>
      <c r="F1935" s="37" t="s">
        <v>1477</v>
      </c>
      <c r="G1935" s="79"/>
    </row>
    <row r="1936" spans="1:7" hidden="1">
      <c r="A1936" s="78">
        <v>43344</v>
      </c>
      <c r="B1936" s="37" t="s">
        <v>2361</v>
      </c>
      <c r="C1936" s="1" t="s">
        <v>215</v>
      </c>
      <c r="D1936" s="37" t="s">
        <v>1938</v>
      </c>
      <c r="E1936" s="37">
        <v>136.75</v>
      </c>
      <c r="F1936" s="37" t="s">
        <v>1474</v>
      </c>
      <c r="G1936" s="79"/>
    </row>
    <row r="1937" spans="1:7" hidden="1">
      <c r="A1937" s="78">
        <v>43282</v>
      </c>
      <c r="B1937" s="37" t="s">
        <v>2517</v>
      </c>
      <c r="C1937" s="1" t="s">
        <v>1973</v>
      </c>
      <c r="D1937" s="37" t="s">
        <v>1938</v>
      </c>
      <c r="E1937" s="37">
        <v>194.31</v>
      </c>
      <c r="F1937" s="37" t="s">
        <v>1310</v>
      </c>
      <c r="G1937" s="79"/>
    </row>
    <row r="1938" spans="1:7" hidden="1">
      <c r="A1938" s="78">
        <v>43374</v>
      </c>
      <c r="B1938" s="37" t="s">
        <v>2517</v>
      </c>
      <c r="C1938" s="1" t="s">
        <v>1973</v>
      </c>
      <c r="D1938" s="37" t="s">
        <v>1938</v>
      </c>
      <c r="E1938" s="37">
        <v>187.97</v>
      </c>
      <c r="F1938" s="37" t="s">
        <v>1310</v>
      </c>
      <c r="G1938" s="79"/>
    </row>
    <row r="1939" spans="1:7" hidden="1">
      <c r="A1939" s="78">
        <v>43374</v>
      </c>
      <c r="B1939" s="37" t="s">
        <v>49</v>
      </c>
      <c r="C1939" s="1" t="s">
        <v>103</v>
      </c>
      <c r="D1939" s="37" t="s">
        <v>972</v>
      </c>
      <c r="E1939" s="37">
        <v>208.05</v>
      </c>
      <c r="F1939" s="37" t="s">
        <v>3070</v>
      </c>
      <c r="G1939" s="79"/>
    </row>
    <row r="1940" spans="1:7" hidden="1">
      <c r="A1940" s="78">
        <v>43374</v>
      </c>
      <c r="B1940" s="37" t="s">
        <v>49</v>
      </c>
      <c r="C1940" s="1" t="s">
        <v>104</v>
      </c>
      <c r="D1940" s="37" t="s">
        <v>972</v>
      </c>
      <c r="E1940" s="37">
        <v>126.73</v>
      </c>
      <c r="F1940" s="37" t="s">
        <v>3071</v>
      </c>
      <c r="G1940" s="79"/>
    </row>
    <row r="1941" spans="1:7" hidden="1">
      <c r="A1941" s="78">
        <v>43374</v>
      </c>
      <c r="B1941" s="37" t="s">
        <v>49</v>
      </c>
      <c r="C1941" s="1" t="s">
        <v>104</v>
      </c>
      <c r="D1941" s="37" t="s">
        <v>972</v>
      </c>
      <c r="E1941" s="37">
        <v>144.66999999999999</v>
      </c>
      <c r="F1941" s="37" t="s">
        <v>3072</v>
      </c>
      <c r="G1941" s="79"/>
    </row>
    <row r="1942" spans="1:7" hidden="1">
      <c r="A1942" s="78">
        <v>43374</v>
      </c>
      <c r="B1942" s="37" t="s">
        <v>55</v>
      </c>
      <c r="C1942" s="1" t="s">
        <v>1898</v>
      </c>
      <c r="D1942" s="37" t="s">
        <v>972</v>
      </c>
      <c r="E1942" s="37">
        <v>799</v>
      </c>
      <c r="F1942" s="37" t="s">
        <v>3073</v>
      </c>
      <c r="G1942" s="79"/>
    </row>
    <row r="1943" spans="1:7" hidden="1">
      <c r="A1943" s="78">
        <v>43374</v>
      </c>
      <c r="B1943" s="37" t="s">
        <v>55</v>
      </c>
      <c r="C1943" s="1" t="s">
        <v>336</v>
      </c>
      <c r="D1943" s="37" t="s">
        <v>972</v>
      </c>
      <c r="E1943" s="37">
        <v>84.6</v>
      </c>
      <c r="F1943" s="37" t="s">
        <v>2833</v>
      </c>
      <c r="G1943" s="79"/>
    </row>
    <row r="1944" spans="1:7" hidden="1">
      <c r="A1944" s="78">
        <v>43374</v>
      </c>
      <c r="B1944" s="37" t="s">
        <v>172</v>
      </c>
      <c r="C1944" s="1" t="s">
        <v>103</v>
      </c>
      <c r="D1944" s="37" t="s">
        <v>972</v>
      </c>
      <c r="E1944" s="37">
        <v>1494</v>
      </c>
      <c r="F1944" s="37" t="s">
        <v>3076</v>
      </c>
      <c r="G1944" s="79"/>
    </row>
    <row r="1945" spans="1:7" hidden="1">
      <c r="A1945" s="78">
        <v>43374</v>
      </c>
      <c r="B1945" s="37" t="s">
        <v>172</v>
      </c>
      <c r="C1945" s="1" t="s">
        <v>103</v>
      </c>
      <c r="D1945" s="37" t="s">
        <v>972</v>
      </c>
      <c r="E1945" s="37">
        <v>756</v>
      </c>
      <c r="F1945" s="37" t="s">
        <v>2911</v>
      </c>
      <c r="G1945" s="79"/>
    </row>
    <row r="1946" spans="1:7" hidden="1">
      <c r="A1946" s="78">
        <v>43374</v>
      </c>
      <c r="B1946" s="37" t="s">
        <v>172</v>
      </c>
      <c r="C1946" s="1" t="s">
        <v>171</v>
      </c>
      <c r="D1946" s="37" t="s">
        <v>972</v>
      </c>
      <c r="E1946" s="37">
        <v>36</v>
      </c>
      <c r="F1946" s="37" t="s">
        <v>3027</v>
      </c>
      <c r="G1946" s="79"/>
    </row>
    <row r="1947" spans="1:7" hidden="1">
      <c r="A1947" s="78">
        <v>43374</v>
      </c>
      <c r="B1947" s="37" t="s">
        <v>172</v>
      </c>
      <c r="C1947" s="1" t="s">
        <v>104</v>
      </c>
      <c r="D1947" s="37" t="s">
        <v>972</v>
      </c>
      <c r="E1947" s="37">
        <v>2538</v>
      </c>
      <c r="F1947" s="37" t="s">
        <v>1224</v>
      </c>
      <c r="G1947" s="79"/>
    </row>
    <row r="1948" spans="1:7" hidden="1">
      <c r="A1948" s="78">
        <v>43374</v>
      </c>
      <c r="B1948" s="37" t="s">
        <v>172</v>
      </c>
      <c r="C1948" s="1" t="s">
        <v>103</v>
      </c>
      <c r="D1948" s="37" t="s">
        <v>972</v>
      </c>
      <c r="E1948" s="37">
        <v>738</v>
      </c>
      <c r="F1948" s="37" t="s">
        <v>2166</v>
      </c>
      <c r="G1948" s="79"/>
    </row>
    <row r="1949" spans="1:7" hidden="1">
      <c r="A1949" s="78">
        <v>43374</v>
      </c>
      <c r="B1949" s="37" t="s">
        <v>172</v>
      </c>
      <c r="C1949" s="1" t="s">
        <v>104</v>
      </c>
      <c r="D1949" s="37" t="s">
        <v>972</v>
      </c>
      <c r="E1949" s="37">
        <v>378</v>
      </c>
      <c r="F1949" s="37" t="s">
        <v>1620</v>
      </c>
      <c r="G1949" s="79"/>
    </row>
    <row r="1950" spans="1:7" hidden="1">
      <c r="A1950" s="78">
        <v>43374</v>
      </c>
      <c r="B1950" s="37" t="s">
        <v>172</v>
      </c>
      <c r="C1950" s="1" t="s">
        <v>104</v>
      </c>
      <c r="D1950" s="37" t="s">
        <v>972</v>
      </c>
      <c r="E1950" s="37">
        <v>1530</v>
      </c>
      <c r="F1950" s="37" t="s">
        <v>3077</v>
      </c>
      <c r="G1950" s="79"/>
    </row>
    <row r="1951" spans="1:7" hidden="1">
      <c r="A1951" s="78">
        <v>43374</v>
      </c>
      <c r="B1951" s="37" t="s">
        <v>172</v>
      </c>
      <c r="C1951" s="1" t="s">
        <v>104</v>
      </c>
      <c r="D1951" s="37" t="s">
        <v>972</v>
      </c>
      <c r="E1951" s="37">
        <v>108</v>
      </c>
      <c r="F1951" s="37" t="s">
        <v>2933</v>
      </c>
      <c r="G1951" s="79"/>
    </row>
    <row r="1952" spans="1:7" hidden="1">
      <c r="A1952" s="78">
        <v>43344</v>
      </c>
      <c r="B1952" s="37" t="s">
        <v>1995</v>
      </c>
      <c r="C1952" s="1" t="s">
        <v>215</v>
      </c>
      <c r="D1952" s="37" t="s">
        <v>2539</v>
      </c>
      <c r="E1952" s="37">
        <v>4325.04</v>
      </c>
      <c r="F1952" s="37" t="s">
        <v>2874</v>
      </c>
      <c r="G1952" s="79"/>
    </row>
    <row r="1953" spans="1:8" hidden="1">
      <c r="A1953" s="78">
        <v>43374</v>
      </c>
      <c r="B1953" s="37" t="s">
        <v>790</v>
      </c>
      <c r="C1953" s="1" t="s">
        <v>215</v>
      </c>
      <c r="D1953" s="37" t="s">
        <v>2483</v>
      </c>
      <c r="E1953" s="107">
        <v>1173.92</v>
      </c>
      <c r="F1953" s="37" t="s">
        <v>1794</v>
      </c>
      <c r="G1953" s="79"/>
    </row>
    <row r="1954" spans="1:8" hidden="1">
      <c r="A1954" s="78">
        <v>43374</v>
      </c>
      <c r="B1954" s="37" t="s">
        <v>1937</v>
      </c>
      <c r="C1954" s="1" t="s">
        <v>215</v>
      </c>
      <c r="D1954" s="37" t="s">
        <v>1938</v>
      </c>
      <c r="E1954" s="37">
        <v>317.92</v>
      </c>
      <c r="F1954" s="37" t="s">
        <v>1310</v>
      </c>
      <c r="G1954" s="79"/>
    </row>
    <row r="1955" spans="1:8" hidden="1">
      <c r="A1955" s="78">
        <v>43374</v>
      </c>
      <c r="B1955" s="37" t="s">
        <v>2522</v>
      </c>
      <c r="C1955" s="1" t="s">
        <v>215</v>
      </c>
      <c r="D1955" s="37" t="s">
        <v>2539</v>
      </c>
      <c r="E1955" s="37">
        <v>79.95</v>
      </c>
      <c r="F1955" s="37" t="s">
        <v>1310</v>
      </c>
      <c r="G1955" s="79"/>
    </row>
    <row r="1956" spans="1:8" hidden="1">
      <c r="A1956" s="78">
        <v>43344</v>
      </c>
      <c r="B1956" s="37" t="s">
        <v>619</v>
      </c>
      <c r="C1956" s="1" t="s">
        <v>1973</v>
      </c>
      <c r="D1956" s="37" t="s">
        <v>2483</v>
      </c>
      <c r="E1956" s="37">
        <v>72</v>
      </c>
      <c r="F1956" s="37" t="s">
        <v>1310</v>
      </c>
      <c r="G1956" s="79"/>
    </row>
    <row r="1957" spans="1:8" hidden="1">
      <c r="A1957" s="78">
        <v>43344</v>
      </c>
      <c r="B1957" s="37" t="s">
        <v>2516</v>
      </c>
      <c r="C1957" s="1" t="s">
        <v>215</v>
      </c>
      <c r="D1957" s="37" t="s">
        <v>1938</v>
      </c>
      <c r="E1957" s="37">
        <v>23.72</v>
      </c>
      <c r="F1957" s="37" t="s">
        <v>1939</v>
      </c>
      <c r="G1957" s="79"/>
    </row>
    <row r="1958" spans="1:8" hidden="1">
      <c r="A1958" s="78">
        <v>43374</v>
      </c>
      <c r="B1958" s="37" t="s">
        <v>1916</v>
      </c>
      <c r="C1958" s="1" t="s">
        <v>215</v>
      </c>
      <c r="D1958" s="37" t="s">
        <v>2539</v>
      </c>
      <c r="E1958" s="37">
        <v>151.4</v>
      </c>
      <c r="F1958" s="37" t="s">
        <v>1164</v>
      </c>
      <c r="G1958" s="79"/>
    </row>
    <row r="1959" spans="1:8" hidden="1">
      <c r="A1959" s="78">
        <v>43405</v>
      </c>
      <c r="B1959" s="37" t="s">
        <v>432</v>
      </c>
      <c r="C1959" s="1" t="s">
        <v>104</v>
      </c>
      <c r="D1959" s="37" t="s">
        <v>972</v>
      </c>
      <c r="E1959" s="37">
        <v>934.1</v>
      </c>
      <c r="F1959" s="37" t="s">
        <v>3099</v>
      </c>
      <c r="G1959" s="79"/>
    </row>
    <row r="1960" spans="1:8" hidden="1">
      <c r="A1960" s="78">
        <v>43405</v>
      </c>
      <c r="B1960" s="37" t="s">
        <v>432</v>
      </c>
      <c r="C1960" s="1" t="s">
        <v>103</v>
      </c>
      <c r="D1960" s="37" t="s">
        <v>972</v>
      </c>
      <c r="E1960" s="37">
        <v>254.35</v>
      </c>
      <c r="F1960" s="37" t="s">
        <v>1597</v>
      </c>
      <c r="G1960" s="79">
        <f>E1960/1.2</f>
        <v>211.95833333333334</v>
      </c>
      <c r="H1960">
        <f>G1960/2.1318</f>
        <v>99.426931857272407</v>
      </c>
    </row>
    <row r="1961" spans="1:8" hidden="1">
      <c r="A1961" s="78">
        <v>43405</v>
      </c>
      <c r="B1961" s="37" t="s">
        <v>432</v>
      </c>
      <c r="C1961" s="1" t="s">
        <v>103</v>
      </c>
      <c r="D1961" s="37" t="s">
        <v>972</v>
      </c>
      <c r="E1961" s="37">
        <v>176.41</v>
      </c>
      <c r="F1961" s="37" t="s">
        <v>3101</v>
      </c>
      <c r="G1961" s="79"/>
    </row>
    <row r="1962" spans="1:8" hidden="1">
      <c r="A1962" s="78">
        <v>43405</v>
      </c>
      <c r="B1962" s="37" t="s">
        <v>55</v>
      </c>
      <c r="C1962" s="1" t="s">
        <v>336</v>
      </c>
      <c r="D1962" s="37" t="s">
        <v>972</v>
      </c>
      <c r="E1962" s="37">
        <v>84.6</v>
      </c>
      <c r="F1962" s="37" t="s">
        <v>3100</v>
      </c>
      <c r="G1962" s="79"/>
    </row>
    <row r="1963" spans="1:8" hidden="1">
      <c r="A1963" s="78">
        <v>43405</v>
      </c>
      <c r="B1963" s="37" t="s">
        <v>55</v>
      </c>
      <c r="C1963" s="1" t="s">
        <v>1898</v>
      </c>
      <c r="D1963" s="37" t="s">
        <v>972</v>
      </c>
      <c r="E1963" s="37">
        <v>799</v>
      </c>
      <c r="F1963" s="37" t="s">
        <v>3108</v>
      </c>
      <c r="G1963" s="79"/>
    </row>
    <row r="1964" spans="1:8" hidden="1">
      <c r="A1964" s="78">
        <v>43374</v>
      </c>
      <c r="B1964" s="37" t="s">
        <v>217</v>
      </c>
      <c r="C1964" s="1" t="s">
        <v>215</v>
      </c>
      <c r="D1964" s="37" t="s">
        <v>92</v>
      </c>
      <c r="E1964" s="37">
        <v>1305.19</v>
      </c>
      <c r="F1964" s="37" t="s">
        <v>3109</v>
      </c>
      <c r="G1964" s="79"/>
    </row>
    <row r="1965" spans="1:8" hidden="1">
      <c r="A1965" s="78">
        <v>43374</v>
      </c>
      <c r="B1965" s="37" t="s">
        <v>2289</v>
      </c>
      <c r="C1965" s="1" t="s">
        <v>2990</v>
      </c>
      <c r="D1965" s="37" t="s">
        <v>722</v>
      </c>
      <c r="E1965" s="37">
        <v>140</v>
      </c>
      <c r="F1965" s="37" t="s">
        <v>3110</v>
      </c>
      <c r="G1965" s="79">
        <f>E1965/3/1.2</f>
        <v>38.888888888888886</v>
      </c>
    </row>
    <row r="1966" spans="1:8" hidden="1">
      <c r="A1966" s="78">
        <v>43405</v>
      </c>
      <c r="B1966" s="37" t="s">
        <v>217</v>
      </c>
      <c r="C1966" s="1" t="s">
        <v>104</v>
      </c>
      <c r="D1966" s="37" t="s">
        <v>92</v>
      </c>
      <c r="E1966" s="37">
        <v>200</v>
      </c>
      <c r="F1966" s="37" t="s">
        <v>557</v>
      </c>
      <c r="G1966" s="79"/>
    </row>
    <row r="1967" spans="1:8" hidden="1">
      <c r="A1967" s="78">
        <v>43374</v>
      </c>
      <c r="B1967" s="37" t="s">
        <v>600</v>
      </c>
      <c r="C1967" s="1" t="s">
        <v>1973</v>
      </c>
      <c r="D1967" s="37" t="s">
        <v>2483</v>
      </c>
      <c r="E1967" s="37">
        <v>3614.05</v>
      </c>
      <c r="F1967" s="37" t="s">
        <v>3111</v>
      </c>
      <c r="G1967" s="79"/>
    </row>
    <row r="1968" spans="1:8" hidden="1">
      <c r="A1968" s="78">
        <v>43374</v>
      </c>
      <c r="B1968" s="37" t="s">
        <v>2894</v>
      </c>
      <c r="C1968" s="1" t="s">
        <v>215</v>
      </c>
      <c r="D1968" s="37" t="s">
        <v>92</v>
      </c>
      <c r="E1968" s="37">
        <v>14.24</v>
      </c>
      <c r="F1968" s="37" t="s">
        <v>335</v>
      </c>
      <c r="G1968" s="79"/>
    </row>
    <row r="1969" spans="1:7" hidden="1">
      <c r="A1969" s="78">
        <v>43405</v>
      </c>
      <c r="B1969" s="37" t="s">
        <v>2110</v>
      </c>
      <c r="C1969" s="1" t="s">
        <v>215</v>
      </c>
      <c r="D1969" s="37" t="s">
        <v>2539</v>
      </c>
      <c r="E1969" s="37">
        <v>240.24</v>
      </c>
      <c r="F1969" s="37" t="s">
        <v>1210</v>
      </c>
      <c r="G1969" s="79"/>
    </row>
    <row r="1970" spans="1:7" hidden="1">
      <c r="A1970" s="78">
        <v>43405</v>
      </c>
      <c r="B1970" s="37" t="s">
        <v>2058</v>
      </c>
      <c r="C1970" s="1" t="s">
        <v>171</v>
      </c>
      <c r="D1970" s="37" t="s">
        <v>1560</v>
      </c>
      <c r="E1970" s="37">
        <v>70</v>
      </c>
      <c r="F1970" s="37" t="s">
        <v>3112</v>
      </c>
      <c r="G1970" s="79"/>
    </row>
    <row r="1971" spans="1:7" hidden="1">
      <c r="A1971" s="78">
        <v>43374</v>
      </c>
      <c r="B1971" s="37" t="s">
        <v>211</v>
      </c>
      <c r="C1971" s="1" t="s">
        <v>336</v>
      </c>
      <c r="D1971" s="37" t="s">
        <v>92</v>
      </c>
      <c r="E1971" s="37">
        <v>19.8</v>
      </c>
      <c r="F1971" s="37" t="s">
        <v>2885</v>
      </c>
      <c r="G1971" s="79"/>
    </row>
    <row r="1972" spans="1:7" hidden="1">
      <c r="A1972" s="78">
        <v>43405</v>
      </c>
      <c r="B1972" s="37" t="s">
        <v>2058</v>
      </c>
      <c r="C1972" s="1" t="s">
        <v>104</v>
      </c>
      <c r="D1972" s="37" t="s">
        <v>1560</v>
      </c>
      <c r="E1972" s="37">
        <v>70</v>
      </c>
      <c r="F1972" s="37" t="s">
        <v>3113</v>
      </c>
      <c r="G1972" s="79"/>
    </row>
    <row r="1973" spans="1:7" hidden="1">
      <c r="A1973" s="78">
        <v>43405</v>
      </c>
      <c r="B1973" s="37" t="s">
        <v>172</v>
      </c>
      <c r="C1973" s="1" t="s">
        <v>103</v>
      </c>
      <c r="D1973" s="37" t="s">
        <v>972</v>
      </c>
      <c r="E1973" s="37">
        <v>1494</v>
      </c>
      <c r="F1973" s="37" t="s">
        <v>3076</v>
      </c>
      <c r="G1973" s="79"/>
    </row>
    <row r="1974" spans="1:7" hidden="1">
      <c r="A1974" s="78">
        <v>43405</v>
      </c>
      <c r="B1974" s="37" t="s">
        <v>172</v>
      </c>
      <c r="C1974" s="1" t="s">
        <v>103</v>
      </c>
      <c r="D1974" s="37" t="s">
        <v>972</v>
      </c>
      <c r="E1974" s="37">
        <v>756</v>
      </c>
      <c r="F1974" s="37" t="s">
        <v>2911</v>
      </c>
      <c r="G1974" s="79"/>
    </row>
    <row r="1975" spans="1:7" hidden="1">
      <c r="A1975" s="78">
        <v>43405</v>
      </c>
      <c r="B1975" s="37" t="s">
        <v>172</v>
      </c>
      <c r="C1975" s="1" t="s">
        <v>104</v>
      </c>
      <c r="D1975" s="37" t="s">
        <v>972</v>
      </c>
      <c r="E1975" s="37">
        <v>2286</v>
      </c>
      <c r="F1975" s="37" t="s">
        <v>1224</v>
      </c>
      <c r="G1975" s="79"/>
    </row>
    <row r="1976" spans="1:7" hidden="1">
      <c r="A1976" s="78">
        <v>43405</v>
      </c>
      <c r="B1976" s="37" t="s">
        <v>172</v>
      </c>
      <c r="C1976" s="1" t="s">
        <v>171</v>
      </c>
      <c r="D1976" s="37" t="s">
        <v>972</v>
      </c>
      <c r="E1976" s="37">
        <v>72</v>
      </c>
      <c r="F1976" s="37" t="s">
        <v>3114</v>
      </c>
      <c r="G1976" s="79"/>
    </row>
    <row r="1977" spans="1:7" hidden="1">
      <c r="A1977" s="78">
        <v>43405</v>
      </c>
      <c r="B1977" s="37" t="s">
        <v>172</v>
      </c>
      <c r="C1977" s="1" t="s">
        <v>103</v>
      </c>
      <c r="D1977" s="37" t="s">
        <v>972</v>
      </c>
      <c r="E1977" s="37">
        <v>432</v>
      </c>
      <c r="F1977" s="37" t="s">
        <v>2166</v>
      </c>
      <c r="G1977" s="79"/>
    </row>
    <row r="1978" spans="1:7" hidden="1">
      <c r="A1978" s="78">
        <v>43405</v>
      </c>
      <c r="B1978" s="37" t="s">
        <v>172</v>
      </c>
      <c r="C1978" s="1" t="s">
        <v>104</v>
      </c>
      <c r="D1978" s="37" t="s">
        <v>972</v>
      </c>
      <c r="E1978" s="37">
        <v>2286</v>
      </c>
      <c r="F1978" s="37" t="s">
        <v>1501</v>
      </c>
      <c r="G1978" s="79"/>
    </row>
    <row r="1979" spans="1:7" hidden="1">
      <c r="A1979" s="78">
        <v>43435</v>
      </c>
      <c r="B1979" s="37" t="s">
        <v>2110</v>
      </c>
      <c r="C1979" s="1" t="s">
        <v>215</v>
      </c>
      <c r="D1979" s="37" t="s">
        <v>2539</v>
      </c>
      <c r="E1979" s="37">
        <v>180.95</v>
      </c>
      <c r="F1979" s="37" t="s">
        <v>1210</v>
      </c>
      <c r="G1979" s="79"/>
    </row>
    <row r="1980" spans="1:7" hidden="1">
      <c r="A1980" s="78">
        <v>43405</v>
      </c>
      <c r="B1980" s="37" t="s">
        <v>1962</v>
      </c>
      <c r="C1980" s="1" t="s">
        <v>215</v>
      </c>
      <c r="D1980" s="37" t="s">
        <v>1938</v>
      </c>
      <c r="E1980" s="37">
        <v>13.07</v>
      </c>
      <c r="F1980" s="37" t="s">
        <v>2369</v>
      </c>
      <c r="G1980" s="79"/>
    </row>
    <row r="1981" spans="1:7" hidden="1">
      <c r="A1981" s="78">
        <v>43374</v>
      </c>
      <c r="B1981" s="37" t="s">
        <v>2654</v>
      </c>
      <c r="C1981" s="1" t="s">
        <v>215</v>
      </c>
      <c r="D1981" s="37" t="s">
        <v>1938</v>
      </c>
      <c r="E1981" s="37">
        <v>357.29</v>
      </c>
      <c r="F1981" s="37" t="s">
        <v>2885</v>
      </c>
      <c r="G1981" s="79"/>
    </row>
    <row r="1982" spans="1:7" hidden="1">
      <c r="A1982" s="78">
        <v>43374</v>
      </c>
      <c r="B1982" s="37" t="s">
        <v>1962</v>
      </c>
      <c r="C1982" s="1" t="s">
        <v>215</v>
      </c>
      <c r="D1982" s="37" t="s">
        <v>1938</v>
      </c>
      <c r="E1982" s="37">
        <v>68.08</v>
      </c>
      <c r="F1982" s="37" t="s">
        <v>2369</v>
      </c>
      <c r="G1982" s="79"/>
    </row>
    <row r="1983" spans="1:7" hidden="1">
      <c r="A1983" s="78">
        <v>43405</v>
      </c>
      <c r="B1983" s="37" t="s">
        <v>790</v>
      </c>
      <c r="C1983" s="1" t="s">
        <v>3123</v>
      </c>
      <c r="D1983" s="37" t="s">
        <v>2483</v>
      </c>
      <c r="E1983" s="37">
        <v>240</v>
      </c>
      <c r="F1983" s="37" t="s">
        <v>1918</v>
      </c>
      <c r="G1983" s="79"/>
    </row>
    <row r="1984" spans="1:7" hidden="1">
      <c r="A1984" s="78">
        <v>43405</v>
      </c>
      <c r="B1984" s="37" t="s">
        <v>6</v>
      </c>
      <c r="C1984" s="1" t="s">
        <v>215</v>
      </c>
      <c r="D1984" s="37" t="s">
        <v>1938</v>
      </c>
      <c r="E1984" s="37">
        <v>498.15</v>
      </c>
      <c r="F1984" s="37" t="s">
        <v>1310</v>
      </c>
      <c r="G1984" s="79"/>
    </row>
    <row r="1985" spans="1:7" hidden="1">
      <c r="A1985" s="78">
        <v>43405</v>
      </c>
      <c r="B1985" s="37" t="s">
        <v>790</v>
      </c>
      <c r="C1985" s="1" t="s">
        <v>103</v>
      </c>
      <c r="D1985" s="37" t="s">
        <v>2483</v>
      </c>
      <c r="E1985" s="37">
        <v>60</v>
      </c>
      <c r="F1985" s="37" t="s">
        <v>3124</v>
      </c>
      <c r="G1985" s="79"/>
    </row>
    <row r="1986" spans="1:7" hidden="1">
      <c r="A1986" s="78">
        <v>43405</v>
      </c>
      <c r="B1986" s="37" t="s">
        <v>790</v>
      </c>
      <c r="C1986" s="1" t="s">
        <v>215</v>
      </c>
      <c r="D1986" s="37" t="s">
        <v>2483</v>
      </c>
      <c r="E1986" s="37">
        <v>30</v>
      </c>
      <c r="F1986" s="37" t="s">
        <v>335</v>
      </c>
      <c r="G1986" s="79"/>
    </row>
    <row r="1987" spans="1:7" hidden="1">
      <c r="A1987" s="78">
        <v>43405</v>
      </c>
      <c r="B1987" s="37" t="s">
        <v>790</v>
      </c>
      <c r="C1987" s="1" t="s">
        <v>215</v>
      </c>
      <c r="D1987" s="37" t="s">
        <v>2483</v>
      </c>
      <c r="E1987" s="37">
        <v>30</v>
      </c>
      <c r="F1987" s="37" t="s">
        <v>335</v>
      </c>
      <c r="G1987" s="79"/>
    </row>
    <row r="1988" spans="1:7" hidden="1">
      <c r="A1988" s="78">
        <v>43405</v>
      </c>
      <c r="B1988" s="37" t="s">
        <v>172</v>
      </c>
      <c r="C1988" s="1" t="s">
        <v>171</v>
      </c>
      <c r="D1988" s="37" t="s">
        <v>972</v>
      </c>
      <c r="E1988" s="37">
        <v>378</v>
      </c>
      <c r="F1988" s="37" t="s">
        <v>3125</v>
      </c>
      <c r="G1988" s="79"/>
    </row>
    <row r="1989" spans="1:7" hidden="1">
      <c r="A1989" s="78">
        <v>43405</v>
      </c>
      <c r="B1989" s="37" t="s">
        <v>217</v>
      </c>
      <c r="C1989" s="1" t="s">
        <v>215</v>
      </c>
      <c r="D1989" s="37" t="s">
        <v>92</v>
      </c>
      <c r="E1989" s="37">
        <v>2306.38</v>
      </c>
      <c r="F1989" s="37" t="s">
        <v>3131</v>
      </c>
      <c r="G1989" s="79"/>
    </row>
    <row r="1990" spans="1:7" hidden="1">
      <c r="A1990" s="78">
        <v>43435</v>
      </c>
      <c r="B1990" s="37" t="s">
        <v>217</v>
      </c>
      <c r="C1990" s="1" t="s">
        <v>1837</v>
      </c>
      <c r="D1990" s="37" t="s">
        <v>92</v>
      </c>
      <c r="E1990" s="37">
        <v>600</v>
      </c>
      <c r="F1990" s="37" t="s">
        <v>3132</v>
      </c>
      <c r="G1990" s="79"/>
    </row>
    <row r="1991" spans="1:7" hidden="1">
      <c r="A1991" s="78">
        <v>43405</v>
      </c>
      <c r="B1991" s="37" t="s">
        <v>1916</v>
      </c>
      <c r="C1991" s="1" t="s">
        <v>215</v>
      </c>
      <c r="D1991" s="37" t="s">
        <v>2539</v>
      </c>
      <c r="E1991" s="37">
        <v>280.02</v>
      </c>
      <c r="F1991" s="37" t="s">
        <v>1164</v>
      </c>
      <c r="G1991" s="79"/>
    </row>
    <row r="1992" spans="1:7" hidden="1">
      <c r="A1992" s="78">
        <v>43435</v>
      </c>
      <c r="B1992" s="37" t="s">
        <v>49</v>
      </c>
      <c r="C1992" s="1" t="s">
        <v>103</v>
      </c>
      <c r="D1992" s="37" t="s">
        <v>972</v>
      </c>
      <c r="E1992" s="37">
        <v>237.31</v>
      </c>
      <c r="F1992" s="37" t="s">
        <v>3133</v>
      </c>
      <c r="G1992" s="79"/>
    </row>
    <row r="1993" spans="1:7" hidden="1">
      <c r="A1993" s="78">
        <v>43405</v>
      </c>
      <c r="B1993" s="37" t="s">
        <v>2289</v>
      </c>
      <c r="C1993" s="1" t="s">
        <v>2290</v>
      </c>
      <c r="D1993" s="37" t="s">
        <v>722</v>
      </c>
      <c r="E1993" s="37">
        <v>280</v>
      </c>
      <c r="F1993" s="37" t="s">
        <v>2789</v>
      </c>
      <c r="G1993" s="79">
        <f>E1993/1.2</f>
        <v>233.33333333333334</v>
      </c>
    </row>
    <row r="1994" spans="1:7" hidden="1">
      <c r="A1994" s="78">
        <v>43405</v>
      </c>
      <c r="B1994" s="37" t="s">
        <v>790</v>
      </c>
      <c r="C1994" s="1" t="s">
        <v>215</v>
      </c>
      <c r="D1994" s="37" t="s">
        <v>2483</v>
      </c>
      <c r="E1994" s="107">
        <v>2367.13</v>
      </c>
      <c r="F1994" s="37" t="s">
        <v>1794</v>
      </c>
      <c r="G1994" s="79"/>
    </row>
    <row r="1995" spans="1:7" hidden="1">
      <c r="A1995" s="78">
        <v>43435</v>
      </c>
      <c r="B1995" s="37" t="s">
        <v>6</v>
      </c>
      <c r="C1995" s="1" t="s">
        <v>215</v>
      </c>
      <c r="D1995" s="37" t="s">
        <v>1938</v>
      </c>
      <c r="E1995" s="37">
        <v>528.54</v>
      </c>
      <c r="F1995" s="37" t="s">
        <v>1310</v>
      </c>
      <c r="G1995" s="79"/>
    </row>
    <row r="1996" spans="1:7" hidden="1">
      <c r="A1996" s="78">
        <v>43405</v>
      </c>
      <c r="B1996" s="37" t="s">
        <v>629</v>
      </c>
      <c r="C1996" s="1" t="s">
        <v>215</v>
      </c>
      <c r="D1996" s="37" t="s">
        <v>2483</v>
      </c>
      <c r="E1996" s="37">
        <v>8579.77</v>
      </c>
      <c r="F1996" s="37" t="s">
        <v>3143</v>
      </c>
      <c r="G1996" s="79"/>
    </row>
    <row r="1997" spans="1:7" hidden="1">
      <c r="A1997" s="78">
        <v>43405</v>
      </c>
      <c r="B1997" s="37" t="s">
        <v>629</v>
      </c>
      <c r="C1997" s="1" t="s">
        <v>3144</v>
      </c>
      <c r="D1997" s="37" t="s">
        <v>2483</v>
      </c>
      <c r="E1997" s="37">
        <v>1520</v>
      </c>
      <c r="F1997" s="37" t="s">
        <v>3145</v>
      </c>
      <c r="G1997" s="79"/>
    </row>
    <row r="1998" spans="1:7" hidden="1">
      <c r="A1998" s="78">
        <v>43405</v>
      </c>
      <c r="B1998" s="37" t="s">
        <v>619</v>
      </c>
      <c r="C1998" s="1" t="s">
        <v>171</v>
      </c>
      <c r="D1998" s="37" t="s">
        <v>92</v>
      </c>
      <c r="E1998" s="37">
        <v>1728</v>
      </c>
      <c r="F1998" s="37" t="s">
        <v>3154</v>
      </c>
      <c r="G1998" s="79">
        <f>E1998/1.2</f>
        <v>1440</v>
      </c>
    </row>
    <row r="1999" spans="1:7" hidden="1">
      <c r="A1999" s="78">
        <v>43405</v>
      </c>
      <c r="B1999" s="37" t="s">
        <v>619</v>
      </c>
      <c r="C1999" s="1" t="s">
        <v>171</v>
      </c>
      <c r="D1999" s="37" t="s">
        <v>92</v>
      </c>
      <c r="E1999" s="37">
        <v>540</v>
      </c>
      <c r="F1999" s="37" t="s">
        <v>3155</v>
      </c>
      <c r="G1999" s="79"/>
    </row>
    <row r="2000" spans="1:7" hidden="1">
      <c r="A2000" s="78">
        <v>43374</v>
      </c>
      <c r="B2000" s="37" t="s">
        <v>619</v>
      </c>
      <c r="C2000" s="1" t="s">
        <v>171</v>
      </c>
      <c r="D2000" s="37" t="s">
        <v>92</v>
      </c>
      <c r="E2000" s="37">
        <v>720</v>
      </c>
      <c r="F2000" s="37" t="s">
        <v>3146</v>
      </c>
      <c r="G2000" s="79"/>
    </row>
    <row r="2001" spans="1:8" hidden="1">
      <c r="A2001" s="78">
        <v>43374</v>
      </c>
      <c r="B2001" s="37" t="s">
        <v>619</v>
      </c>
      <c r="C2001" s="1" t="s">
        <v>171</v>
      </c>
      <c r="D2001" s="37" t="s">
        <v>92</v>
      </c>
      <c r="E2001" s="37">
        <v>720</v>
      </c>
      <c r="F2001" s="37" t="s">
        <v>3147</v>
      </c>
      <c r="G2001" s="79"/>
    </row>
    <row r="2002" spans="1:8" hidden="1">
      <c r="A2002" s="78">
        <v>43374</v>
      </c>
      <c r="B2002" s="37" t="s">
        <v>619</v>
      </c>
      <c r="C2002" s="1" t="s">
        <v>171</v>
      </c>
      <c r="D2002" s="37" t="s">
        <v>92</v>
      </c>
      <c r="E2002" s="37">
        <v>432</v>
      </c>
      <c r="F2002" s="37" t="s">
        <v>3148</v>
      </c>
      <c r="G2002" s="79"/>
    </row>
    <row r="2003" spans="1:8" hidden="1">
      <c r="A2003" s="78">
        <v>43405</v>
      </c>
      <c r="B2003" s="37" t="s">
        <v>2654</v>
      </c>
      <c r="C2003" s="1" t="s">
        <v>215</v>
      </c>
      <c r="D2003" s="37" t="s">
        <v>1938</v>
      </c>
      <c r="E2003" s="37">
        <v>339.85</v>
      </c>
      <c r="F2003" s="37" t="s">
        <v>3152</v>
      </c>
      <c r="G2003" s="79"/>
    </row>
    <row r="2004" spans="1:8" hidden="1">
      <c r="A2004" s="78">
        <v>43435</v>
      </c>
      <c r="B2004" s="37" t="s">
        <v>2058</v>
      </c>
      <c r="C2004" s="1" t="s">
        <v>104</v>
      </c>
      <c r="D2004" s="37" t="s">
        <v>1560</v>
      </c>
      <c r="E2004" s="37">
        <v>70</v>
      </c>
      <c r="F2004" s="37" t="s">
        <v>3047</v>
      </c>
      <c r="G2004" s="79"/>
    </row>
    <row r="2005" spans="1:8" hidden="1">
      <c r="A2005" s="78">
        <v>43405</v>
      </c>
      <c r="B2005" s="37" t="s">
        <v>211</v>
      </c>
      <c r="C2005" s="1" t="s">
        <v>215</v>
      </c>
      <c r="D2005" s="37" t="s">
        <v>92</v>
      </c>
      <c r="E2005" s="37">
        <v>86.4</v>
      </c>
      <c r="F2005" s="37" t="s">
        <v>3153</v>
      </c>
      <c r="G2005" s="79"/>
    </row>
    <row r="2006" spans="1:8" hidden="1">
      <c r="A2006" s="78">
        <v>43435</v>
      </c>
      <c r="B2006" s="37" t="s">
        <v>172</v>
      </c>
      <c r="C2006" s="1" t="s">
        <v>103</v>
      </c>
      <c r="D2006" s="37" t="s">
        <v>972</v>
      </c>
      <c r="E2006" s="37">
        <v>1512</v>
      </c>
      <c r="F2006" s="37" t="s">
        <v>3156</v>
      </c>
      <c r="G2006" s="79"/>
    </row>
    <row r="2007" spans="1:8" hidden="1">
      <c r="A2007" s="78">
        <v>43435</v>
      </c>
      <c r="B2007" s="37" t="s">
        <v>172</v>
      </c>
      <c r="C2007" s="1" t="s">
        <v>104</v>
      </c>
      <c r="D2007" s="37" t="s">
        <v>972</v>
      </c>
      <c r="E2007" s="37">
        <v>378</v>
      </c>
      <c r="F2007" s="37" t="s">
        <v>3157</v>
      </c>
      <c r="G2007" s="79"/>
    </row>
    <row r="2008" spans="1:8" hidden="1">
      <c r="A2008" s="78">
        <v>43435</v>
      </c>
      <c r="B2008" s="37" t="s">
        <v>172</v>
      </c>
      <c r="C2008" s="1" t="s">
        <v>103</v>
      </c>
      <c r="D2008" s="37" t="s">
        <v>972</v>
      </c>
      <c r="E2008" s="37">
        <v>864</v>
      </c>
      <c r="F2008" s="37" t="s">
        <v>3158</v>
      </c>
      <c r="G2008" s="79"/>
    </row>
    <row r="2009" spans="1:8" hidden="1">
      <c r="A2009" s="78">
        <v>43435</v>
      </c>
      <c r="B2009" s="37" t="s">
        <v>432</v>
      </c>
      <c r="C2009" s="1" t="s">
        <v>103</v>
      </c>
      <c r="D2009" s="37" t="s">
        <v>972</v>
      </c>
      <c r="E2009" s="37">
        <v>413.27</v>
      </c>
      <c r="F2009" s="37" t="s">
        <v>3159</v>
      </c>
      <c r="G2009" s="79">
        <f>E2009/1.2</f>
        <v>344.39166666666665</v>
      </c>
      <c r="H2009">
        <f>G2009/2.1318</f>
        <v>161.54970760233917</v>
      </c>
    </row>
    <row r="2010" spans="1:8" hidden="1">
      <c r="A2010" s="78">
        <v>43435</v>
      </c>
      <c r="B2010" s="37" t="s">
        <v>1916</v>
      </c>
      <c r="C2010" s="1" t="s">
        <v>215</v>
      </c>
      <c r="D2010" s="37" t="s">
        <v>2539</v>
      </c>
      <c r="E2010" s="37">
        <v>137.05000000000001</v>
      </c>
      <c r="F2010" s="37" t="s">
        <v>1164</v>
      </c>
      <c r="G2010" s="79"/>
    </row>
    <row r="2011" spans="1:8" hidden="1">
      <c r="A2011" s="78">
        <v>43435</v>
      </c>
      <c r="B2011" s="37" t="s">
        <v>2289</v>
      </c>
      <c r="C2011" s="1" t="s">
        <v>3162</v>
      </c>
      <c r="D2011" s="37" t="s">
        <v>722</v>
      </c>
      <c r="E2011" s="37">
        <v>510</v>
      </c>
      <c r="F2011" s="37" t="s">
        <v>3163</v>
      </c>
      <c r="G2011" s="79"/>
    </row>
    <row r="2012" spans="1:8" hidden="1">
      <c r="A2012" s="78">
        <v>43435</v>
      </c>
      <c r="B2012" s="37" t="s">
        <v>217</v>
      </c>
      <c r="C2012" s="1" t="s">
        <v>215</v>
      </c>
      <c r="D2012" s="37" t="s">
        <v>92</v>
      </c>
      <c r="E2012" s="37">
        <v>3170.07</v>
      </c>
      <c r="F2012" s="37" t="s">
        <v>1794</v>
      </c>
      <c r="G2012" s="79"/>
    </row>
    <row r="2013" spans="1:8" hidden="1">
      <c r="A2013" s="78">
        <v>43435</v>
      </c>
      <c r="B2013" s="37" t="s">
        <v>790</v>
      </c>
      <c r="C2013" s="1" t="s">
        <v>2111</v>
      </c>
      <c r="D2013" s="37" t="s">
        <v>2483</v>
      </c>
      <c r="E2013" s="107">
        <v>2277.77</v>
      </c>
      <c r="F2013" s="37" t="s">
        <v>1794</v>
      </c>
      <c r="G2013" s="79"/>
    </row>
    <row r="2014" spans="1:8" hidden="1">
      <c r="A2014" s="78">
        <v>43435</v>
      </c>
      <c r="B2014" s="37" t="s">
        <v>172</v>
      </c>
      <c r="C2014" s="1" t="s">
        <v>104</v>
      </c>
      <c r="D2014" s="37" t="s">
        <v>972</v>
      </c>
      <c r="E2014" s="37">
        <v>2934</v>
      </c>
      <c r="F2014" s="37" t="s">
        <v>1191</v>
      </c>
      <c r="G2014" s="79"/>
    </row>
    <row r="2015" spans="1:8" hidden="1">
      <c r="A2015" s="78">
        <v>43435</v>
      </c>
      <c r="B2015" s="37" t="s">
        <v>172</v>
      </c>
      <c r="C2015" s="1" t="s">
        <v>171</v>
      </c>
      <c r="D2015" s="37" t="s">
        <v>972</v>
      </c>
      <c r="E2015" s="37">
        <v>72</v>
      </c>
      <c r="F2015" s="37" t="s">
        <v>3177</v>
      </c>
      <c r="G2015" s="79"/>
    </row>
    <row r="2016" spans="1:8" hidden="1">
      <c r="A2016" s="78">
        <v>43435</v>
      </c>
      <c r="B2016" s="37" t="s">
        <v>172</v>
      </c>
      <c r="C2016" s="1" t="s">
        <v>103</v>
      </c>
      <c r="D2016" s="37" t="s">
        <v>972</v>
      </c>
      <c r="E2016" s="37">
        <v>396</v>
      </c>
      <c r="F2016" s="37" t="s">
        <v>2166</v>
      </c>
      <c r="G2016" s="79"/>
    </row>
    <row r="2017" spans="1:8" hidden="1">
      <c r="A2017" s="78">
        <v>43466</v>
      </c>
      <c r="B2017" s="37" t="s">
        <v>2110</v>
      </c>
      <c r="C2017" s="1" t="s">
        <v>2111</v>
      </c>
      <c r="D2017" s="37" t="s">
        <v>2539</v>
      </c>
      <c r="E2017" s="37">
        <v>303.24</v>
      </c>
      <c r="F2017" s="37" t="s">
        <v>1210</v>
      </c>
      <c r="G2017" s="79"/>
    </row>
    <row r="2018" spans="1:8" hidden="1">
      <c r="A2018" s="78">
        <v>43435</v>
      </c>
      <c r="B2018" s="37" t="s">
        <v>1995</v>
      </c>
      <c r="C2018" s="1" t="s">
        <v>2111</v>
      </c>
      <c r="D2018" s="37" t="s">
        <v>2539</v>
      </c>
      <c r="E2018" s="37">
        <v>3026.96</v>
      </c>
      <c r="F2018" s="37" t="s">
        <v>3180</v>
      </c>
      <c r="G2018" s="79"/>
    </row>
    <row r="2019" spans="1:8" hidden="1">
      <c r="A2019" s="78">
        <v>43466</v>
      </c>
      <c r="B2019" s="37" t="s">
        <v>217</v>
      </c>
      <c r="C2019" s="1" t="s">
        <v>104</v>
      </c>
      <c r="D2019" s="37" t="s">
        <v>92</v>
      </c>
      <c r="E2019" s="37">
        <v>200</v>
      </c>
      <c r="F2019" s="37" t="s">
        <v>557</v>
      </c>
      <c r="G2019" s="79"/>
      <c r="H2019">
        <f>E2019/1.2</f>
        <v>166.66666666666669</v>
      </c>
    </row>
    <row r="2020" spans="1:8" hidden="1">
      <c r="A2020" s="78">
        <v>43435</v>
      </c>
      <c r="B2020" s="37" t="s">
        <v>55</v>
      </c>
      <c r="C2020" s="1" t="s">
        <v>1898</v>
      </c>
      <c r="D2020" s="37" t="s">
        <v>972</v>
      </c>
      <c r="E2020" s="37">
        <v>799</v>
      </c>
      <c r="F2020" s="37" t="s">
        <v>3181</v>
      </c>
      <c r="G2020" s="79"/>
    </row>
    <row r="2021" spans="1:8" hidden="1">
      <c r="A2021" s="78">
        <v>43435</v>
      </c>
      <c r="B2021" s="37" t="s">
        <v>2516</v>
      </c>
      <c r="C2021" s="1" t="s">
        <v>215</v>
      </c>
      <c r="D2021" s="37" t="s">
        <v>1938</v>
      </c>
      <c r="E2021" s="37">
        <v>97.07</v>
      </c>
      <c r="F2021" s="37" t="s">
        <v>1310</v>
      </c>
      <c r="G2021" s="79"/>
    </row>
    <row r="2022" spans="1:8" hidden="1">
      <c r="A2022" s="78">
        <v>43466</v>
      </c>
      <c r="B2022" s="37" t="s">
        <v>49</v>
      </c>
      <c r="C2022" s="1" t="s">
        <v>103</v>
      </c>
      <c r="D2022" s="37" t="s">
        <v>972</v>
      </c>
      <c r="E2022" s="37">
        <v>9.33</v>
      </c>
      <c r="F2022" s="37" t="s">
        <v>3182</v>
      </c>
      <c r="G2022" s="79"/>
    </row>
    <row r="2023" spans="1:8" hidden="1">
      <c r="A2023" s="78">
        <v>43435</v>
      </c>
      <c r="B2023" s="37" t="s">
        <v>2361</v>
      </c>
      <c r="C2023" s="1" t="s">
        <v>2111</v>
      </c>
      <c r="D2023" s="37" t="s">
        <v>1938</v>
      </c>
      <c r="E2023" s="37">
        <v>142.57</v>
      </c>
      <c r="F2023" s="37" t="s">
        <v>1474</v>
      </c>
      <c r="G2023" s="79"/>
    </row>
    <row r="2024" spans="1:8" hidden="1">
      <c r="A2024" s="78">
        <v>43435</v>
      </c>
      <c r="B2024" s="37" t="s">
        <v>3183</v>
      </c>
      <c r="C2024" s="1" t="s">
        <v>3184</v>
      </c>
      <c r="D2024" s="37" t="s">
        <v>1938</v>
      </c>
      <c r="E2024" s="37">
        <v>100.46</v>
      </c>
      <c r="F2024" s="37" t="s">
        <v>3187</v>
      </c>
      <c r="G2024" s="79"/>
    </row>
    <row r="2025" spans="1:8" hidden="1">
      <c r="A2025" s="78">
        <v>43435</v>
      </c>
      <c r="B2025" s="37" t="s">
        <v>3185</v>
      </c>
      <c r="C2025" s="1" t="s">
        <v>3184</v>
      </c>
      <c r="D2025" s="37" t="s">
        <v>1938</v>
      </c>
      <c r="E2025" s="37">
        <v>24.88</v>
      </c>
      <c r="F2025" s="37" t="s">
        <v>3186</v>
      </c>
      <c r="G2025" s="79"/>
    </row>
    <row r="2026" spans="1:8" hidden="1">
      <c r="A2026" s="78">
        <v>43435</v>
      </c>
      <c r="B2026" s="37" t="s">
        <v>3183</v>
      </c>
      <c r="C2026" s="1" t="s">
        <v>3184</v>
      </c>
      <c r="D2026" s="37" t="s">
        <v>1938</v>
      </c>
      <c r="E2026" s="37">
        <v>169.48</v>
      </c>
      <c r="F2026" s="37" t="s">
        <v>1210</v>
      </c>
      <c r="G2026" s="79"/>
    </row>
    <row r="2027" spans="1:8" hidden="1">
      <c r="A2027" s="78">
        <v>43435</v>
      </c>
      <c r="B2027" s="37" t="s">
        <v>1962</v>
      </c>
      <c r="C2027" s="1" t="s">
        <v>3184</v>
      </c>
      <c r="D2027" s="37" t="s">
        <v>1938</v>
      </c>
      <c r="E2027" s="37">
        <v>87.08</v>
      </c>
      <c r="F2027" s="37" t="s">
        <v>2369</v>
      </c>
      <c r="G2027" s="79"/>
    </row>
    <row r="2028" spans="1:8" hidden="1">
      <c r="A2028" s="78">
        <v>43435</v>
      </c>
      <c r="B2028" s="37" t="s">
        <v>3188</v>
      </c>
      <c r="C2028" s="1" t="s">
        <v>3184</v>
      </c>
      <c r="D2028" s="37" t="s">
        <v>1938</v>
      </c>
      <c r="E2028" s="37">
        <v>176.05</v>
      </c>
      <c r="F2028" s="37" t="s">
        <v>3189</v>
      </c>
      <c r="G2028" s="79"/>
    </row>
    <row r="2029" spans="1:8" hidden="1">
      <c r="A2029" s="78">
        <v>43435</v>
      </c>
      <c r="B2029" s="37" t="s">
        <v>619</v>
      </c>
      <c r="C2029" s="1" t="s">
        <v>171</v>
      </c>
      <c r="D2029" s="37" t="s">
        <v>2483</v>
      </c>
      <c r="E2029" s="37">
        <v>216</v>
      </c>
      <c r="F2029" s="37" t="s">
        <v>1310</v>
      </c>
      <c r="G2029" s="79">
        <v>36</v>
      </c>
    </row>
    <row r="2030" spans="1:8" hidden="1">
      <c r="A2030" s="78">
        <v>43435</v>
      </c>
      <c r="B2030" s="37" t="s">
        <v>619</v>
      </c>
      <c r="C2030" s="1" t="s">
        <v>171</v>
      </c>
      <c r="D2030" s="37" t="s">
        <v>2483</v>
      </c>
      <c r="E2030" s="37">
        <v>216</v>
      </c>
      <c r="F2030" s="37" t="s">
        <v>2418</v>
      </c>
      <c r="G2030" s="79">
        <v>36</v>
      </c>
      <c r="H2030">
        <f>G2030/1.1</f>
        <v>32.727272727272727</v>
      </c>
    </row>
    <row r="2031" spans="1:8" hidden="1">
      <c r="A2031" s="78">
        <v>43435</v>
      </c>
      <c r="B2031" s="37" t="s">
        <v>619</v>
      </c>
      <c r="C2031" s="1" t="s">
        <v>171</v>
      </c>
      <c r="D2031" s="37" t="s">
        <v>2483</v>
      </c>
      <c r="E2031" s="37">
        <v>252</v>
      </c>
      <c r="F2031" s="37" t="s">
        <v>2418</v>
      </c>
      <c r="G2031" s="79">
        <v>42</v>
      </c>
    </row>
    <row r="2032" spans="1:8" hidden="1">
      <c r="A2032" s="78">
        <v>43435</v>
      </c>
      <c r="B2032" s="37" t="s">
        <v>619</v>
      </c>
      <c r="C2032" s="1" t="s">
        <v>171</v>
      </c>
      <c r="D2032" s="37" t="s">
        <v>2483</v>
      </c>
      <c r="E2032" s="37">
        <v>180</v>
      </c>
      <c r="F2032" s="37" t="s">
        <v>2418</v>
      </c>
      <c r="G2032" s="79">
        <v>30</v>
      </c>
    </row>
    <row r="2033" spans="1:8" hidden="1">
      <c r="A2033" s="78">
        <v>43466</v>
      </c>
      <c r="B2033" s="37" t="s">
        <v>790</v>
      </c>
      <c r="C2033" s="1" t="s">
        <v>2990</v>
      </c>
      <c r="D2033" s="37" t="s">
        <v>2483</v>
      </c>
      <c r="E2033" s="37">
        <v>420</v>
      </c>
      <c r="F2033" s="37" t="s">
        <v>2789</v>
      </c>
      <c r="G2033" s="79"/>
      <c r="H2033">
        <f>210/1.2</f>
        <v>175</v>
      </c>
    </row>
    <row r="2034" spans="1:8" hidden="1">
      <c r="A2034" s="78">
        <v>43466</v>
      </c>
      <c r="B2034" s="37" t="s">
        <v>49</v>
      </c>
      <c r="C2034" s="1" t="s">
        <v>104</v>
      </c>
      <c r="D2034" s="37" t="s">
        <v>972</v>
      </c>
      <c r="E2034" s="37">
        <v>422.87</v>
      </c>
      <c r="F2034" s="37" t="s">
        <v>3197</v>
      </c>
      <c r="G2034" s="79"/>
      <c r="H2034">
        <f>E2034/1.2</f>
        <v>352.39166666666671</v>
      </c>
    </row>
    <row r="2035" spans="1:8" hidden="1">
      <c r="A2035" s="78">
        <v>43466</v>
      </c>
      <c r="B2035" s="37" t="s">
        <v>49</v>
      </c>
      <c r="C2035" s="1" t="s">
        <v>104</v>
      </c>
      <c r="D2035" s="37" t="s">
        <v>972</v>
      </c>
      <c r="E2035" s="37">
        <v>567.79</v>
      </c>
      <c r="F2035" s="37" t="s">
        <v>3198</v>
      </c>
      <c r="G2035" s="79"/>
      <c r="H2035" s="2885">
        <f>E2035/1.2</f>
        <v>473.1583333333333</v>
      </c>
    </row>
    <row r="2036" spans="1:8" hidden="1">
      <c r="A2036" s="78">
        <v>43466</v>
      </c>
      <c r="B2036" s="37" t="s">
        <v>2522</v>
      </c>
      <c r="C2036" s="1" t="s">
        <v>2111</v>
      </c>
      <c r="D2036" s="37" t="s">
        <v>1938</v>
      </c>
      <c r="E2036" s="37">
        <v>19.55</v>
      </c>
      <c r="F2036" s="37" t="s">
        <v>3199</v>
      </c>
      <c r="G2036" s="79"/>
    </row>
    <row r="2037" spans="1:8" hidden="1">
      <c r="A2037" s="78">
        <v>43800</v>
      </c>
      <c r="B2037" s="37" t="s">
        <v>2654</v>
      </c>
      <c r="C2037" s="1" t="s">
        <v>2111</v>
      </c>
      <c r="D2037" s="37" t="s">
        <v>1938</v>
      </c>
      <c r="E2037" s="37">
        <v>100.46</v>
      </c>
      <c r="F2037" s="37" t="s">
        <v>1335</v>
      </c>
      <c r="G2037" s="79"/>
    </row>
    <row r="2038" spans="1:8" hidden="1">
      <c r="A2038" s="78">
        <v>43435</v>
      </c>
      <c r="B2038" s="37" t="s">
        <v>211</v>
      </c>
      <c r="C2038" s="1" t="s">
        <v>336</v>
      </c>
      <c r="D2038" s="37" t="s">
        <v>92</v>
      </c>
      <c r="E2038" s="37">
        <v>41.4</v>
      </c>
      <c r="F2038" s="37" t="s">
        <v>3200</v>
      </c>
      <c r="G2038" s="79"/>
    </row>
    <row r="2039" spans="1:8" hidden="1">
      <c r="A2039" s="78">
        <v>43466</v>
      </c>
      <c r="B2039" s="37" t="s">
        <v>479</v>
      </c>
      <c r="C2039" s="1" t="s">
        <v>215</v>
      </c>
      <c r="D2039" s="37" t="s">
        <v>2483</v>
      </c>
      <c r="E2039" s="37">
        <v>4254.57</v>
      </c>
      <c r="F2039" s="37" t="s">
        <v>1477</v>
      </c>
      <c r="G2039" s="79"/>
    </row>
    <row r="2040" spans="1:8" hidden="1">
      <c r="A2040" s="78">
        <v>43466</v>
      </c>
      <c r="B2040" s="37" t="s">
        <v>479</v>
      </c>
      <c r="C2040" s="1" t="s">
        <v>171</v>
      </c>
      <c r="D2040" s="37" t="s">
        <v>2483</v>
      </c>
      <c r="E2040" s="37">
        <v>1000</v>
      </c>
      <c r="F2040" s="37" t="s">
        <v>3201</v>
      </c>
      <c r="G2040" s="79"/>
    </row>
    <row r="2041" spans="1:8" hidden="1">
      <c r="A2041" s="78">
        <v>43463</v>
      </c>
      <c r="B2041" s="37" t="s">
        <v>479</v>
      </c>
      <c r="C2041" s="1" t="s">
        <v>215</v>
      </c>
      <c r="D2041" s="37" t="s">
        <v>2483</v>
      </c>
      <c r="E2041" s="37">
        <v>2321.59</v>
      </c>
      <c r="F2041" s="37" t="s">
        <v>1477</v>
      </c>
      <c r="G2041" s="79"/>
    </row>
    <row r="2042" spans="1:8" hidden="1">
      <c r="A2042" s="78">
        <v>43463</v>
      </c>
      <c r="B2042" s="37" t="s">
        <v>479</v>
      </c>
      <c r="C2042" s="1" t="s">
        <v>171</v>
      </c>
      <c r="D2042" s="37" t="s">
        <v>2483</v>
      </c>
      <c r="E2042" s="37">
        <v>2000</v>
      </c>
      <c r="F2042" s="37" t="s">
        <v>1188</v>
      </c>
      <c r="G2042" s="79"/>
    </row>
    <row r="2043" spans="1:8" hidden="1">
      <c r="A2043" s="78">
        <v>43466</v>
      </c>
      <c r="B2043" s="37" t="s">
        <v>172</v>
      </c>
      <c r="C2043" s="1" t="s">
        <v>103</v>
      </c>
      <c r="D2043" s="37" t="s">
        <v>972</v>
      </c>
      <c r="E2043" s="37">
        <v>1242</v>
      </c>
      <c r="F2043" s="37" t="s">
        <v>3211</v>
      </c>
      <c r="G2043" s="79"/>
    </row>
    <row r="2044" spans="1:8" hidden="1">
      <c r="A2044" s="78">
        <v>43466</v>
      </c>
      <c r="B2044" s="37" t="s">
        <v>172</v>
      </c>
      <c r="C2044" s="1" t="s">
        <v>103</v>
      </c>
      <c r="D2044" s="37" t="s">
        <v>972</v>
      </c>
      <c r="E2044" s="37">
        <v>486</v>
      </c>
      <c r="F2044" s="37" t="s">
        <v>2166</v>
      </c>
      <c r="G2044" s="79"/>
    </row>
    <row r="2045" spans="1:8" hidden="1">
      <c r="A2045" s="78">
        <v>43466</v>
      </c>
      <c r="B2045" s="37" t="s">
        <v>172</v>
      </c>
      <c r="C2045" s="1" t="s">
        <v>171</v>
      </c>
      <c r="D2045" s="37" t="s">
        <v>972</v>
      </c>
      <c r="E2045" s="37">
        <v>36</v>
      </c>
      <c r="F2045" s="37" t="s">
        <v>3027</v>
      </c>
      <c r="G2045" s="79"/>
    </row>
    <row r="2046" spans="1:8" hidden="1">
      <c r="A2046" s="78">
        <v>43466</v>
      </c>
      <c r="B2046" s="37" t="s">
        <v>172</v>
      </c>
      <c r="C2046" s="1" t="s">
        <v>104</v>
      </c>
      <c r="D2046" s="37" t="s">
        <v>972</v>
      </c>
      <c r="E2046" s="37">
        <v>2322</v>
      </c>
      <c r="F2046" s="37" t="s">
        <v>1224</v>
      </c>
      <c r="G2046" s="79"/>
    </row>
    <row r="2047" spans="1:8" hidden="1">
      <c r="A2047" s="78">
        <v>43466</v>
      </c>
      <c r="B2047" s="37" t="s">
        <v>1916</v>
      </c>
      <c r="C2047" s="1" t="s">
        <v>215</v>
      </c>
      <c r="D2047" s="37" t="s">
        <v>2539</v>
      </c>
      <c r="E2047" s="37">
        <v>217.79</v>
      </c>
      <c r="F2047" s="37" t="s">
        <v>1164</v>
      </c>
      <c r="G2047" s="79"/>
    </row>
    <row r="2048" spans="1:8" hidden="1">
      <c r="A2048" s="78">
        <v>43466</v>
      </c>
      <c r="B2048" s="37" t="s">
        <v>790</v>
      </c>
      <c r="C2048" s="1" t="s">
        <v>215</v>
      </c>
      <c r="D2048" s="37" t="s">
        <v>2483</v>
      </c>
      <c r="E2048" s="107">
        <v>694.56</v>
      </c>
      <c r="F2048" s="37" t="s">
        <v>1794</v>
      </c>
      <c r="G2048" s="79"/>
    </row>
    <row r="2049" spans="1:8" hidden="1">
      <c r="A2049" s="78">
        <v>43466</v>
      </c>
      <c r="B2049" s="37" t="s">
        <v>3213</v>
      </c>
      <c r="C2049" s="1" t="s">
        <v>171</v>
      </c>
      <c r="D2049" s="37" t="s">
        <v>2483</v>
      </c>
      <c r="E2049" s="37">
        <v>1260</v>
      </c>
      <c r="F2049" s="37" t="s">
        <v>3214</v>
      </c>
      <c r="G2049" s="79"/>
      <c r="H2049">
        <f>E2049/1.2</f>
        <v>1050</v>
      </c>
    </row>
    <row r="2050" spans="1:8" hidden="1">
      <c r="A2050" s="78">
        <v>43497</v>
      </c>
      <c r="B2050" s="37" t="s">
        <v>432</v>
      </c>
      <c r="C2050" s="1" t="s">
        <v>103</v>
      </c>
      <c r="D2050" s="37" t="s">
        <v>972</v>
      </c>
      <c r="E2050" s="37">
        <v>176.23</v>
      </c>
      <c r="F2050" s="37" t="s">
        <v>1597</v>
      </c>
      <c r="G2050" s="79"/>
    </row>
    <row r="2051" spans="1:8" hidden="1">
      <c r="A2051" s="78">
        <v>43466</v>
      </c>
      <c r="B2051" s="37" t="s">
        <v>3213</v>
      </c>
      <c r="C2051" s="1" t="s">
        <v>171</v>
      </c>
      <c r="D2051" s="37" t="s">
        <v>2483</v>
      </c>
      <c r="E2051" s="37">
        <v>360</v>
      </c>
      <c r="F2051" s="37" t="s">
        <v>3215</v>
      </c>
      <c r="G2051" s="79"/>
    </row>
    <row r="2052" spans="1:8" hidden="1">
      <c r="A2052" s="78">
        <v>43466</v>
      </c>
      <c r="B2052" s="37" t="s">
        <v>172</v>
      </c>
      <c r="C2052" s="1" t="s">
        <v>103</v>
      </c>
      <c r="D2052" s="37" t="s">
        <v>972</v>
      </c>
      <c r="E2052" s="37">
        <v>1530</v>
      </c>
      <c r="F2052" s="37" t="s">
        <v>3216</v>
      </c>
      <c r="G2052" s="79"/>
    </row>
    <row r="2053" spans="1:8" hidden="1">
      <c r="A2053" s="78">
        <v>43466</v>
      </c>
      <c r="B2053" s="37" t="s">
        <v>217</v>
      </c>
      <c r="C2053" s="1" t="s">
        <v>215</v>
      </c>
      <c r="D2053" s="37" t="s">
        <v>92</v>
      </c>
      <c r="E2053" s="37">
        <v>1224.54</v>
      </c>
      <c r="F2053" s="37" t="s">
        <v>1794</v>
      </c>
      <c r="G2053" s="79"/>
    </row>
    <row r="2054" spans="1:8" hidden="1">
      <c r="A2054" s="78">
        <v>43466</v>
      </c>
      <c r="B2054" s="37" t="s">
        <v>2289</v>
      </c>
      <c r="C2054" s="1" t="s">
        <v>3227</v>
      </c>
      <c r="D2054" s="37" t="s">
        <v>722</v>
      </c>
      <c r="E2054" s="37">
        <v>160</v>
      </c>
      <c r="F2054" s="37" t="s">
        <v>3228</v>
      </c>
      <c r="G2054" s="79"/>
    </row>
    <row r="2055" spans="1:8" hidden="1">
      <c r="A2055" s="78">
        <v>43497</v>
      </c>
      <c r="B2055" s="37" t="s">
        <v>2110</v>
      </c>
      <c r="C2055" s="1" t="s">
        <v>2111</v>
      </c>
      <c r="D2055" s="37" t="s">
        <v>2539</v>
      </c>
      <c r="E2055" s="37">
        <v>229.88</v>
      </c>
      <c r="F2055" s="37" t="s">
        <v>1210</v>
      </c>
      <c r="G2055" s="79"/>
    </row>
    <row r="2056" spans="1:8" hidden="1">
      <c r="A2056" s="78">
        <v>43466</v>
      </c>
      <c r="B2056" s="37" t="s">
        <v>2289</v>
      </c>
      <c r="C2056" s="1" t="s">
        <v>3233</v>
      </c>
      <c r="D2056" s="37" t="s">
        <v>722</v>
      </c>
      <c r="E2056" s="37">
        <v>160</v>
      </c>
      <c r="F2056" s="37" t="s">
        <v>3234</v>
      </c>
      <c r="G2056" s="79"/>
    </row>
    <row r="2057" spans="1:8" hidden="1">
      <c r="A2057" s="78">
        <v>43466</v>
      </c>
      <c r="B2057" s="37" t="s">
        <v>1962</v>
      </c>
      <c r="C2057" s="1" t="s">
        <v>215</v>
      </c>
      <c r="D2057" s="37" t="s">
        <v>1938</v>
      </c>
      <c r="E2057" s="37">
        <v>9.27</v>
      </c>
      <c r="F2057" s="37" t="s">
        <v>2369</v>
      </c>
      <c r="G2057" s="79"/>
    </row>
    <row r="2058" spans="1:8" hidden="1">
      <c r="A2058" s="78">
        <v>43466</v>
      </c>
      <c r="B2058" s="37" t="s">
        <v>211</v>
      </c>
      <c r="C2058" s="1" t="s">
        <v>2669</v>
      </c>
      <c r="D2058" s="37" t="s">
        <v>92</v>
      </c>
      <c r="E2058" s="37">
        <v>19.8</v>
      </c>
      <c r="F2058" s="37" t="s">
        <v>3262</v>
      </c>
      <c r="G2058" s="79"/>
    </row>
    <row r="2059" spans="1:8" hidden="1">
      <c r="A2059" s="78">
        <v>43497</v>
      </c>
      <c r="B2059" s="37" t="s">
        <v>217</v>
      </c>
      <c r="C2059" s="1" t="s">
        <v>104</v>
      </c>
      <c r="D2059" s="37" t="s">
        <v>92</v>
      </c>
      <c r="E2059" s="37">
        <v>400</v>
      </c>
      <c r="F2059" s="37" t="s">
        <v>1385</v>
      </c>
      <c r="G2059" s="79"/>
      <c r="H2059" s="2885">
        <f>E2059/1.2</f>
        <v>333.33333333333337</v>
      </c>
    </row>
    <row r="2060" spans="1:8" hidden="1">
      <c r="A2060" s="78">
        <v>43466</v>
      </c>
      <c r="B2060" s="37" t="s">
        <v>6</v>
      </c>
      <c r="C2060" s="1" t="s">
        <v>2111</v>
      </c>
      <c r="D2060" s="37" t="s">
        <v>1938</v>
      </c>
      <c r="E2060" s="37">
        <v>607.72</v>
      </c>
      <c r="F2060" s="37" t="s">
        <v>1310</v>
      </c>
      <c r="G2060" s="79"/>
    </row>
    <row r="2061" spans="1:8" hidden="1">
      <c r="A2061" s="78">
        <v>43466</v>
      </c>
      <c r="B2061" s="37" t="s">
        <v>55</v>
      </c>
      <c r="C2061" s="1" t="s">
        <v>1898</v>
      </c>
      <c r="D2061" s="37" t="s">
        <v>972</v>
      </c>
      <c r="E2061" s="37">
        <v>810.2</v>
      </c>
      <c r="F2061" s="37" t="s">
        <v>3263</v>
      </c>
      <c r="G2061" s="79"/>
    </row>
    <row r="2062" spans="1:8" hidden="1">
      <c r="A2062" s="78">
        <v>43497</v>
      </c>
      <c r="B2062" s="37" t="s">
        <v>2058</v>
      </c>
      <c r="C2062" s="1" t="s">
        <v>2669</v>
      </c>
      <c r="D2062" s="37" t="s">
        <v>1560</v>
      </c>
      <c r="E2062" s="37">
        <v>90</v>
      </c>
      <c r="F2062" s="37" t="s">
        <v>3267</v>
      </c>
      <c r="G2062" s="79"/>
    </row>
    <row r="2063" spans="1:8" hidden="1">
      <c r="A2063" s="78">
        <v>43497</v>
      </c>
      <c r="B2063" s="37" t="s">
        <v>3269</v>
      </c>
      <c r="C2063" s="1" t="s">
        <v>104</v>
      </c>
      <c r="D2063" s="37" t="s">
        <v>972</v>
      </c>
      <c r="E2063" s="37">
        <v>128.99</v>
      </c>
      <c r="F2063" s="37" t="s">
        <v>3270</v>
      </c>
      <c r="G2063" s="79"/>
      <c r="H2063" s="2885">
        <f>E2063/1.2</f>
        <v>107.49166666666667</v>
      </c>
    </row>
    <row r="2064" spans="1:8" hidden="1">
      <c r="A2064" s="78">
        <v>43497</v>
      </c>
      <c r="B2064" s="37" t="s">
        <v>3269</v>
      </c>
      <c r="C2064" s="1" t="s">
        <v>103</v>
      </c>
      <c r="D2064" s="37" t="s">
        <v>972</v>
      </c>
      <c r="E2064" s="37">
        <v>128.99</v>
      </c>
      <c r="F2064" s="37" t="s">
        <v>3271</v>
      </c>
      <c r="G2064" s="79"/>
    </row>
    <row r="2065" spans="1:8" hidden="1">
      <c r="A2065" s="78">
        <v>43497</v>
      </c>
      <c r="B2065" s="37" t="s">
        <v>3269</v>
      </c>
      <c r="C2065" s="1" t="s">
        <v>104</v>
      </c>
      <c r="D2065" s="37" t="s">
        <v>972</v>
      </c>
      <c r="E2065" s="37">
        <v>426.86</v>
      </c>
      <c r="F2065" s="37" t="s">
        <v>3272</v>
      </c>
      <c r="G2065" s="79"/>
      <c r="H2065" s="2885">
        <f>E2065/1.2</f>
        <v>355.7166666666667</v>
      </c>
    </row>
    <row r="2066" spans="1:8" hidden="1">
      <c r="A2066" s="78">
        <v>43497</v>
      </c>
      <c r="B2066" s="37" t="s">
        <v>172</v>
      </c>
      <c r="C2066" s="1" t="s">
        <v>104</v>
      </c>
      <c r="D2066" s="37" t="s">
        <v>972</v>
      </c>
      <c r="E2066" s="37">
        <v>1170</v>
      </c>
      <c r="F2066" s="37" t="s">
        <v>3275</v>
      </c>
      <c r="G2066" s="79">
        <v>1</v>
      </c>
      <c r="H2066">
        <f>E2066/1.2</f>
        <v>975</v>
      </c>
    </row>
    <row r="2067" spans="1:8" hidden="1">
      <c r="A2067" s="78">
        <v>43497</v>
      </c>
      <c r="B2067" s="37" t="s">
        <v>172</v>
      </c>
      <c r="C2067" s="1" t="s">
        <v>103</v>
      </c>
      <c r="D2067" s="37" t="s">
        <v>972</v>
      </c>
      <c r="E2067" s="37">
        <v>1062</v>
      </c>
      <c r="F2067" s="37" t="s">
        <v>3276</v>
      </c>
      <c r="G2067" s="79"/>
    </row>
    <row r="2068" spans="1:8" hidden="1">
      <c r="A2068" s="78">
        <v>43497</v>
      </c>
      <c r="B2068" s="37" t="s">
        <v>172</v>
      </c>
      <c r="C2068" s="1" t="s">
        <v>103</v>
      </c>
      <c r="D2068" s="37" t="s">
        <v>972</v>
      </c>
      <c r="E2068" s="37">
        <v>1530</v>
      </c>
      <c r="F2068" s="37" t="s">
        <v>3277</v>
      </c>
      <c r="G2068" s="79"/>
    </row>
    <row r="2069" spans="1:8" hidden="1">
      <c r="A2069" s="78">
        <v>43497</v>
      </c>
      <c r="B2069" s="37" t="s">
        <v>172</v>
      </c>
      <c r="C2069" s="1" t="s">
        <v>103</v>
      </c>
      <c r="D2069" s="37" t="s">
        <v>972</v>
      </c>
      <c r="E2069" s="37">
        <v>468</v>
      </c>
      <c r="F2069" s="37" t="s">
        <v>2166</v>
      </c>
      <c r="G2069" s="79"/>
    </row>
    <row r="2070" spans="1:8" hidden="1">
      <c r="A2070" s="78">
        <v>43497</v>
      </c>
      <c r="B2070" s="37" t="s">
        <v>3269</v>
      </c>
      <c r="C2070" s="1" t="s">
        <v>104</v>
      </c>
      <c r="D2070" s="37" t="s">
        <v>972</v>
      </c>
      <c r="E2070" s="37">
        <v>128.99</v>
      </c>
      <c r="F2070" s="37" t="s">
        <v>3280</v>
      </c>
      <c r="G2070" s="79"/>
      <c r="H2070" s="2885">
        <f>E2070/1.2</f>
        <v>107.49166666666667</v>
      </c>
    </row>
    <row r="2071" spans="1:8" hidden="1">
      <c r="A2071" s="78">
        <v>43497</v>
      </c>
      <c r="B2071" s="37" t="s">
        <v>172</v>
      </c>
      <c r="C2071" s="1" t="s">
        <v>104</v>
      </c>
      <c r="D2071" s="37" t="s">
        <v>972</v>
      </c>
      <c r="E2071" s="37">
        <v>3636</v>
      </c>
      <c r="F2071" s="37" t="s">
        <v>1224</v>
      </c>
      <c r="G2071" s="79"/>
    </row>
    <row r="2072" spans="1:8" hidden="1">
      <c r="A2072" s="78">
        <v>43497</v>
      </c>
      <c r="B2072" s="37" t="s">
        <v>172</v>
      </c>
      <c r="C2072" s="1" t="s">
        <v>104</v>
      </c>
      <c r="D2072" s="37" t="s">
        <v>972</v>
      </c>
      <c r="E2072" s="37">
        <v>324</v>
      </c>
      <c r="F2072" s="37" t="s">
        <v>3281</v>
      </c>
      <c r="G2072" s="79">
        <v>1</v>
      </c>
      <c r="H2072" s="2885">
        <f>E2072/1.2</f>
        <v>270</v>
      </c>
    </row>
    <row r="2073" spans="1:8" hidden="1">
      <c r="A2073" s="78">
        <v>43497</v>
      </c>
      <c r="B2073" s="37" t="s">
        <v>172</v>
      </c>
      <c r="C2073" s="1" t="s">
        <v>171</v>
      </c>
      <c r="D2073" s="37" t="s">
        <v>972</v>
      </c>
      <c r="E2073" s="37">
        <v>36</v>
      </c>
      <c r="F2073" s="37" t="s">
        <v>3027</v>
      </c>
      <c r="G2073" s="79"/>
    </row>
    <row r="2074" spans="1:8" hidden="1">
      <c r="A2074" s="78">
        <v>43500</v>
      </c>
      <c r="B2074" s="37" t="s">
        <v>619</v>
      </c>
      <c r="C2074" s="1" t="s">
        <v>171</v>
      </c>
      <c r="D2074" s="37" t="s">
        <v>2483</v>
      </c>
      <c r="E2074" s="37">
        <v>1225.8399999999999</v>
      </c>
      <c r="F2074" s="37" t="s">
        <v>3282</v>
      </c>
      <c r="G2074" s="79"/>
    </row>
    <row r="2075" spans="1:8" hidden="1">
      <c r="A2075" s="78">
        <v>43466</v>
      </c>
      <c r="B2075" s="37" t="s">
        <v>3283</v>
      </c>
      <c r="C2075" s="1" t="s">
        <v>2111</v>
      </c>
      <c r="D2075" s="37" t="s">
        <v>1938</v>
      </c>
      <c r="E2075" s="37">
        <v>4.8</v>
      </c>
      <c r="F2075" s="37" t="s">
        <v>2885</v>
      </c>
      <c r="G2075" s="79"/>
    </row>
    <row r="2076" spans="1:8" hidden="1">
      <c r="A2076" s="78">
        <v>43466</v>
      </c>
      <c r="B2076" s="37" t="s">
        <v>3283</v>
      </c>
      <c r="C2076" s="1" t="s">
        <v>2111</v>
      </c>
      <c r="D2076" s="37" t="s">
        <v>1938</v>
      </c>
      <c r="E2076" s="37">
        <v>26.79</v>
      </c>
      <c r="F2076" s="37" t="s">
        <v>2885</v>
      </c>
      <c r="G2076" s="79"/>
    </row>
    <row r="2077" spans="1:8" hidden="1">
      <c r="A2077" s="78">
        <v>43466</v>
      </c>
      <c r="B2077" s="37" t="s">
        <v>3183</v>
      </c>
      <c r="C2077" s="1" t="s">
        <v>2111</v>
      </c>
      <c r="D2077" s="37" t="s">
        <v>1938</v>
      </c>
      <c r="E2077" s="37">
        <v>74.75</v>
      </c>
      <c r="F2077" s="37" t="s">
        <v>1335</v>
      </c>
      <c r="G2077" s="79"/>
    </row>
    <row r="2078" spans="1:8" hidden="1">
      <c r="A2078" s="78">
        <v>43497</v>
      </c>
      <c r="B2078" s="37" t="s">
        <v>1916</v>
      </c>
      <c r="C2078" s="1" t="s">
        <v>2111</v>
      </c>
      <c r="D2078" s="37" t="s">
        <v>2539</v>
      </c>
      <c r="E2078" s="37">
        <v>167.7</v>
      </c>
      <c r="F2078" s="37" t="s">
        <v>1164</v>
      </c>
      <c r="G2078" s="79"/>
    </row>
    <row r="2079" spans="1:8" hidden="1">
      <c r="A2079" s="78">
        <v>43525</v>
      </c>
      <c r="B2079" s="37" t="s">
        <v>3269</v>
      </c>
      <c r="C2079" s="1" t="s">
        <v>103</v>
      </c>
      <c r="D2079" s="37" t="s">
        <v>972</v>
      </c>
      <c r="E2079" s="37">
        <v>253.89</v>
      </c>
      <c r="F2079" s="37" t="s">
        <v>1597</v>
      </c>
      <c r="G2079" s="79"/>
    </row>
    <row r="2080" spans="1:8" hidden="1">
      <c r="A2080" s="78">
        <v>43497</v>
      </c>
      <c r="B2080" s="37" t="s">
        <v>790</v>
      </c>
      <c r="C2080" s="1" t="s">
        <v>2111</v>
      </c>
      <c r="D2080" s="37" t="s">
        <v>2483</v>
      </c>
      <c r="E2080" s="37">
        <v>3658.67</v>
      </c>
      <c r="F2080" s="37" t="s">
        <v>1794</v>
      </c>
      <c r="G2080" s="79"/>
    </row>
    <row r="2081" spans="1:8" hidden="1">
      <c r="A2081" s="78">
        <v>43497</v>
      </c>
      <c r="B2081" s="37" t="s">
        <v>3213</v>
      </c>
      <c r="C2081" s="1" t="s">
        <v>171</v>
      </c>
      <c r="D2081" s="37" t="s">
        <v>2483</v>
      </c>
      <c r="E2081" s="37">
        <v>1692</v>
      </c>
      <c r="F2081" s="37" t="s">
        <v>3285</v>
      </c>
      <c r="G2081" s="79"/>
    </row>
    <row r="2082" spans="1:8" hidden="1">
      <c r="A2082" s="78">
        <v>43497</v>
      </c>
      <c r="B2082" s="37" t="s">
        <v>3213</v>
      </c>
      <c r="C2082" s="1" t="s">
        <v>171</v>
      </c>
      <c r="D2082" s="37" t="s">
        <v>2483</v>
      </c>
      <c r="E2082" s="37">
        <v>468</v>
      </c>
      <c r="F2082" s="37" t="s">
        <v>1310</v>
      </c>
      <c r="G2082" s="79"/>
    </row>
    <row r="2083" spans="1:8" hidden="1">
      <c r="A2083" s="78">
        <v>43497</v>
      </c>
      <c r="B2083" s="37" t="s">
        <v>1962</v>
      </c>
      <c r="C2083" s="1" t="s">
        <v>2111</v>
      </c>
      <c r="D2083" s="37" t="s">
        <v>1938</v>
      </c>
      <c r="E2083" s="37">
        <v>108.8</v>
      </c>
      <c r="F2083" s="37" t="s">
        <v>2369</v>
      </c>
      <c r="G2083" s="79"/>
    </row>
    <row r="2084" spans="1:8" hidden="1">
      <c r="A2084" s="78">
        <v>43497</v>
      </c>
      <c r="B2084" s="37" t="s">
        <v>2289</v>
      </c>
      <c r="C2084" s="1" t="s">
        <v>2290</v>
      </c>
      <c r="D2084" s="37" t="s">
        <v>722</v>
      </c>
      <c r="E2084" s="37">
        <v>420</v>
      </c>
      <c r="F2084" s="37" t="s">
        <v>3301</v>
      </c>
      <c r="G2084" s="79"/>
    </row>
    <row r="2085" spans="1:8" hidden="1">
      <c r="A2085" s="78">
        <v>43497</v>
      </c>
      <c r="B2085" s="37" t="s">
        <v>479</v>
      </c>
      <c r="C2085" s="1" t="s">
        <v>171</v>
      </c>
      <c r="D2085" s="37" t="s">
        <v>2483</v>
      </c>
      <c r="E2085" s="37">
        <v>2910.02</v>
      </c>
      <c r="F2085" s="37" t="s">
        <v>1477</v>
      </c>
      <c r="G2085" s="79"/>
    </row>
    <row r="2086" spans="1:8">
      <c r="A2086" s="78">
        <v>43466</v>
      </c>
      <c r="B2086" s="37" t="s">
        <v>3302</v>
      </c>
      <c r="C2086" s="1" t="s">
        <v>2111</v>
      </c>
      <c r="D2086" s="37" t="s">
        <v>673</v>
      </c>
      <c r="E2086" s="37">
        <v>3591.01</v>
      </c>
      <c r="F2086" s="37" t="s">
        <v>3304</v>
      </c>
      <c r="G2086" s="79"/>
    </row>
    <row r="2087" spans="1:8">
      <c r="A2087" s="78">
        <v>43497</v>
      </c>
      <c r="B2087" s="37" t="s">
        <v>3302</v>
      </c>
      <c r="C2087" s="1" t="s">
        <v>2111</v>
      </c>
      <c r="D2087" s="37" t="s">
        <v>673</v>
      </c>
      <c r="E2087" s="37">
        <v>1514.08</v>
      </c>
      <c r="F2087" s="37" t="s">
        <v>3303</v>
      </c>
      <c r="G2087" s="79"/>
    </row>
    <row r="2088" spans="1:8" hidden="1">
      <c r="A2088" s="78">
        <v>43497</v>
      </c>
      <c r="B2088" s="37" t="s">
        <v>217</v>
      </c>
      <c r="C2088" s="1" t="s">
        <v>2111</v>
      </c>
      <c r="D2088" s="37" t="s">
        <v>92</v>
      </c>
      <c r="E2088" s="37">
        <v>2852.37</v>
      </c>
      <c r="F2088" s="37" t="s">
        <v>1794</v>
      </c>
      <c r="G2088" s="79"/>
    </row>
    <row r="2089" spans="1:8" hidden="1">
      <c r="A2089" s="78">
        <v>43525</v>
      </c>
      <c r="B2089" s="37" t="s">
        <v>2058</v>
      </c>
      <c r="C2089" s="1" t="s">
        <v>3311</v>
      </c>
      <c r="D2089" s="37" t="s">
        <v>1560</v>
      </c>
      <c r="E2089" s="37">
        <v>180</v>
      </c>
      <c r="F2089" s="37" t="s">
        <v>3312</v>
      </c>
      <c r="G2089" s="79"/>
    </row>
    <row r="2090" spans="1:8" hidden="1">
      <c r="A2090" s="78">
        <v>43497</v>
      </c>
      <c r="B2090" s="37" t="s">
        <v>211</v>
      </c>
      <c r="C2090" s="1" t="s">
        <v>2669</v>
      </c>
      <c r="D2090" s="37" t="s">
        <v>92</v>
      </c>
      <c r="E2090" s="37">
        <v>30.6</v>
      </c>
      <c r="F2090" s="37" t="s">
        <v>1310</v>
      </c>
      <c r="G2090" s="79"/>
    </row>
    <row r="2091" spans="1:8" hidden="1">
      <c r="A2091" s="78">
        <v>43497</v>
      </c>
      <c r="B2091" s="37" t="s">
        <v>1995</v>
      </c>
      <c r="C2091" s="1" t="s">
        <v>215</v>
      </c>
      <c r="D2091" s="37" t="s">
        <v>2539</v>
      </c>
      <c r="E2091" s="37">
        <v>493.99</v>
      </c>
      <c r="F2091" s="37" t="s">
        <v>1794</v>
      </c>
      <c r="G2091" s="79"/>
    </row>
    <row r="2092" spans="1:8" hidden="1">
      <c r="A2092" s="78">
        <v>43525</v>
      </c>
      <c r="B2092" s="37" t="s">
        <v>3269</v>
      </c>
      <c r="C2092" s="1" t="s">
        <v>104</v>
      </c>
      <c r="D2092" s="37" t="s">
        <v>972</v>
      </c>
      <c r="E2092" s="37">
        <v>128.30000000000001</v>
      </c>
      <c r="F2092" s="37" t="s">
        <v>1691</v>
      </c>
      <c r="G2092" s="79"/>
      <c r="H2092" s="2885">
        <f>E2092/1.2</f>
        <v>106.91666666666669</v>
      </c>
    </row>
    <row r="2093" spans="1:8" hidden="1">
      <c r="A2093" s="78">
        <v>43525</v>
      </c>
      <c r="B2093" s="37" t="s">
        <v>3269</v>
      </c>
      <c r="C2093" s="1" t="s">
        <v>103</v>
      </c>
      <c r="D2093" s="37" t="s">
        <v>972</v>
      </c>
      <c r="E2093" s="37">
        <v>128.30000000000001</v>
      </c>
      <c r="F2093" s="37" t="s">
        <v>2419</v>
      </c>
      <c r="G2093" s="79"/>
    </row>
    <row r="2094" spans="1:8" hidden="1">
      <c r="A2094" s="78">
        <v>43525</v>
      </c>
      <c r="B2094" s="37" t="s">
        <v>790</v>
      </c>
      <c r="C2094" s="1" t="s">
        <v>3330</v>
      </c>
      <c r="D2094" s="37" t="s">
        <v>2483</v>
      </c>
      <c r="E2094" s="37">
        <v>420</v>
      </c>
      <c r="F2094" s="37" t="s">
        <v>1385</v>
      </c>
      <c r="G2094" s="79"/>
      <c r="H2094" s="2885">
        <f>210/1.2</f>
        <v>175</v>
      </c>
    </row>
    <row r="2095" spans="1:8" hidden="1">
      <c r="A2095" s="78">
        <v>43525</v>
      </c>
      <c r="B2095" s="37" t="s">
        <v>55</v>
      </c>
      <c r="C2095" s="1" t="s">
        <v>3331</v>
      </c>
      <c r="D2095" s="37" t="s">
        <v>972</v>
      </c>
      <c r="E2095" s="37">
        <v>1151.3</v>
      </c>
      <c r="F2095" s="37" t="s">
        <v>3332</v>
      </c>
      <c r="G2095" s="79"/>
    </row>
    <row r="2096" spans="1:8" hidden="1">
      <c r="A2096" s="78">
        <v>43525</v>
      </c>
      <c r="B2096" s="37" t="s">
        <v>2058</v>
      </c>
      <c r="C2096" s="1" t="s">
        <v>2290</v>
      </c>
      <c r="D2096" s="37" t="s">
        <v>1560</v>
      </c>
      <c r="E2096" s="37">
        <v>90</v>
      </c>
      <c r="F2096" s="37" t="s">
        <v>1501</v>
      </c>
      <c r="G2096" s="79"/>
    </row>
    <row r="2097" spans="1:8" hidden="1">
      <c r="A2097" s="78">
        <v>43525</v>
      </c>
      <c r="B2097" s="37" t="s">
        <v>172</v>
      </c>
      <c r="C2097" s="1" t="s">
        <v>103</v>
      </c>
      <c r="D2097" s="37" t="s">
        <v>972</v>
      </c>
      <c r="E2097" s="37">
        <v>1512</v>
      </c>
      <c r="F2097" s="37" t="s">
        <v>3345</v>
      </c>
      <c r="G2097" s="79"/>
    </row>
    <row r="2098" spans="1:8" hidden="1">
      <c r="A2098" s="78">
        <v>43525</v>
      </c>
      <c r="B2098" s="37" t="s">
        <v>172</v>
      </c>
      <c r="C2098" s="1" t="s">
        <v>171</v>
      </c>
      <c r="D2098" s="37" t="s">
        <v>972</v>
      </c>
      <c r="E2098" s="37">
        <v>36</v>
      </c>
      <c r="F2098" s="37" t="s">
        <v>3177</v>
      </c>
      <c r="G2098" s="79"/>
    </row>
    <row r="2099" spans="1:8" hidden="1">
      <c r="A2099" s="78">
        <v>43525</v>
      </c>
      <c r="B2099" s="37" t="s">
        <v>172</v>
      </c>
      <c r="C2099" s="1" t="s">
        <v>103</v>
      </c>
      <c r="D2099" s="37" t="s">
        <v>972</v>
      </c>
      <c r="E2099" s="37">
        <v>1062</v>
      </c>
      <c r="F2099" s="37" t="s">
        <v>3276</v>
      </c>
      <c r="G2099" s="79"/>
    </row>
    <row r="2100" spans="1:8" hidden="1">
      <c r="A2100" s="78">
        <v>43525</v>
      </c>
      <c r="B2100" s="37" t="s">
        <v>172</v>
      </c>
      <c r="C2100" s="1" t="s">
        <v>104</v>
      </c>
      <c r="D2100" s="37" t="s">
        <v>972</v>
      </c>
      <c r="E2100" s="37">
        <v>378</v>
      </c>
      <c r="F2100" s="37" t="s">
        <v>3346</v>
      </c>
      <c r="G2100" s="79">
        <v>1</v>
      </c>
      <c r="H2100" s="2885">
        <f>E2100/1.2</f>
        <v>315</v>
      </c>
    </row>
    <row r="2101" spans="1:8" hidden="1">
      <c r="A2101" s="78">
        <v>43525</v>
      </c>
      <c r="B2101" s="37" t="s">
        <v>172</v>
      </c>
      <c r="C2101" s="1" t="s">
        <v>103</v>
      </c>
      <c r="D2101" s="37" t="s">
        <v>972</v>
      </c>
      <c r="E2101" s="37">
        <v>522</v>
      </c>
      <c r="F2101" s="37" t="s">
        <v>2391</v>
      </c>
      <c r="G2101" s="79"/>
    </row>
    <row r="2102" spans="1:8" hidden="1">
      <c r="A2102" s="78">
        <v>43525</v>
      </c>
      <c r="B2102" s="37" t="s">
        <v>172</v>
      </c>
      <c r="C2102" s="1" t="s">
        <v>104</v>
      </c>
      <c r="D2102" s="37" t="s">
        <v>972</v>
      </c>
      <c r="E2102" s="37">
        <v>1764</v>
      </c>
      <c r="F2102" s="37" t="s">
        <v>1191</v>
      </c>
      <c r="G2102" s="79"/>
    </row>
    <row r="2103" spans="1:8" hidden="1">
      <c r="A2103" s="78">
        <v>43497</v>
      </c>
      <c r="B2103" s="37" t="s">
        <v>2654</v>
      </c>
      <c r="C2103" s="1" t="s">
        <v>215</v>
      </c>
      <c r="D2103" s="37" t="s">
        <v>1938</v>
      </c>
      <c r="E2103" s="37">
        <v>167.31</v>
      </c>
      <c r="F2103" s="37" t="s">
        <v>3347</v>
      </c>
      <c r="G2103" s="79"/>
    </row>
    <row r="2104" spans="1:8" hidden="1">
      <c r="A2104" s="78">
        <v>43497</v>
      </c>
      <c r="B2104" s="37" t="s">
        <v>3185</v>
      </c>
      <c r="C2104" s="1" t="s">
        <v>215</v>
      </c>
      <c r="D2104" s="37" t="s">
        <v>1938</v>
      </c>
      <c r="E2104" s="37">
        <v>72.16</v>
      </c>
      <c r="F2104" s="37" t="s">
        <v>3347</v>
      </c>
      <c r="G2104" s="79"/>
    </row>
    <row r="2105" spans="1:8" hidden="1">
      <c r="A2105" s="78">
        <v>43525</v>
      </c>
      <c r="B2105" s="37"/>
      <c r="C2105" s="1"/>
      <c r="D2105" s="37"/>
      <c r="E2105" s="37"/>
      <c r="F2105" s="37"/>
      <c r="G2105" s="79"/>
    </row>
    <row r="2106" spans="1:8" hidden="1">
      <c r="A2106" s="78">
        <v>43525</v>
      </c>
      <c r="B2106" s="37" t="s">
        <v>3269</v>
      </c>
      <c r="C2106" s="1" t="s">
        <v>104</v>
      </c>
      <c r="D2106" s="37" t="s">
        <v>972</v>
      </c>
      <c r="E2106" s="37">
        <v>192</v>
      </c>
      <c r="F2106" s="37" t="s">
        <v>3348</v>
      </c>
      <c r="G2106" s="79"/>
      <c r="H2106" s="2885">
        <f>E2106/1.2</f>
        <v>160</v>
      </c>
    </row>
    <row r="2107" spans="1:8" hidden="1">
      <c r="A2107" s="78">
        <v>43525</v>
      </c>
      <c r="B2107" s="37" t="s">
        <v>790</v>
      </c>
      <c r="C2107" s="1" t="s">
        <v>215</v>
      </c>
      <c r="D2107" s="37" t="s">
        <v>2483</v>
      </c>
      <c r="E2107" s="37">
        <v>2275.25</v>
      </c>
      <c r="F2107" s="37" t="s">
        <v>1794</v>
      </c>
      <c r="G2107" s="79"/>
    </row>
    <row r="2108" spans="1:8" hidden="1">
      <c r="A2108" s="78">
        <v>43525</v>
      </c>
      <c r="B2108" s="37" t="s">
        <v>3213</v>
      </c>
      <c r="C2108" s="1" t="s">
        <v>171</v>
      </c>
      <c r="D2108" s="37" t="s">
        <v>2483</v>
      </c>
      <c r="E2108" s="37">
        <v>216</v>
      </c>
      <c r="F2108" s="37" t="s">
        <v>2885</v>
      </c>
      <c r="G2108" s="79"/>
    </row>
    <row r="2109" spans="1:8" hidden="1">
      <c r="A2109" s="78">
        <v>43525</v>
      </c>
      <c r="B2109" s="37" t="s">
        <v>2058</v>
      </c>
      <c r="C2109" s="1" t="s">
        <v>3355</v>
      </c>
      <c r="D2109" s="37" t="s">
        <v>1560</v>
      </c>
      <c r="E2109" s="37">
        <v>80</v>
      </c>
      <c r="F2109" s="37" t="s">
        <v>1310</v>
      </c>
      <c r="G2109" s="79"/>
    </row>
    <row r="2110" spans="1:8" hidden="1">
      <c r="A2110" s="78">
        <v>43525</v>
      </c>
      <c r="B2110" s="37" t="s">
        <v>600</v>
      </c>
      <c r="C2110" s="1" t="s">
        <v>215</v>
      </c>
      <c r="D2110" s="37" t="s">
        <v>2483</v>
      </c>
      <c r="E2110" s="37">
        <v>2344.4</v>
      </c>
      <c r="F2110" s="37" t="s">
        <v>1477</v>
      </c>
      <c r="G2110" s="79"/>
    </row>
    <row r="2111" spans="1:8" hidden="1">
      <c r="A2111" s="78">
        <v>43525</v>
      </c>
      <c r="B2111" s="37" t="s">
        <v>3269</v>
      </c>
      <c r="C2111" s="1" t="s">
        <v>104</v>
      </c>
      <c r="D2111" s="37" t="s">
        <v>972</v>
      </c>
      <c r="E2111" s="37">
        <v>135.28</v>
      </c>
      <c r="F2111" s="37" t="s">
        <v>3356</v>
      </c>
      <c r="G2111" s="79"/>
      <c r="H2111" s="2885">
        <f>E2111/1.2</f>
        <v>112.73333333333333</v>
      </c>
    </row>
    <row r="2112" spans="1:8" hidden="1">
      <c r="A2112" s="78">
        <v>43525</v>
      </c>
      <c r="B2112" s="37" t="s">
        <v>600</v>
      </c>
      <c r="C2112" s="1" t="s">
        <v>171</v>
      </c>
      <c r="D2112" s="37" t="s">
        <v>2483</v>
      </c>
      <c r="E2112" s="37">
        <v>1980</v>
      </c>
      <c r="F2112" s="37" t="s">
        <v>3357</v>
      </c>
      <c r="G2112" s="79"/>
    </row>
    <row r="2113" spans="1:8" hidden="1">
      <c r="A2113" s="78">
        <v>43556</v>
      </c>
      <c r="B2113" s="37" t="s">
        <v>3269</v>
      </c>
      <c r="C2113" s="1" t="s">
        <v>103</v>
      </c>
      <c r="D2113" s="37" t="s">
        <v>972</v>
      </c>
      <c r="E2113" s="37">
        <v>15.55</v>
      </c>
      <c r="F2113" s="37" t="s">
        <v>1597</v>
      </c>
      <c r="G2113" s="79"/>
    </row>
    <row r="2114" spans="1:8" hidden="1">
      <c r="A2114" s="78">
        <v>43525</v>
      </c>
      <c r="B2114" s="37" t="s">
        <v>3213</v>
      </c>
      <c r="C2114" s="1" t="s">
        <v>2111</v>
      </c>
      <c r="D2114" s="37" t="s">
        <v>2483</v>
      </c>
      <c r="E2114" s="37">
        <v>180</v>
      </c>
      <c r="F2114" s="37" t="s">
        <v>1310</v>
      </c>
      <c r="G2114" s="79"/>
    </row>
    <row r="2115" spans="1:8" hidden="1">
      <c r="A2115" s="78">
        <v>43525</v>
      </c>
      <c r="B2115" s="37" t="s">
        <v>2370</v>
      </c>
      <c r="C2115" s="1" t="s">
        <v>2111</v>
      </c>
      <c r="D2115" s="37" t="s">
        <v>2483</v>
      </c>
      <c r="E2115" s="37">
        <v>30.53</v>
      </c>
      <c r="F2115" s="37" t="s">
        <v>1310</v>
      </c>
      <c r="G2115" s="79"/>
    </row>
    <row r="2116" spans="1:8" hidden="1">
      <c r="A2116" s="78">
        <v>43556</v>
      </c>
      <c r="B2116" s="37" t="s">
        <v>2110</v>
      </c>
      <c r="C2116" s="1" t="s">
        <v>2111</v>
      </c>
      <c r="D2116" s="37" t="s">
        <v>2539</v>
      </c>
      <c r="E2116" s="37">
        <v>192.44</v>
      </c>
      <c r="F2116" s="37" t="s">
        <v>1210</v>
      </c>
      <c r="G2116" s="79"/>
    </row>
    <row r="2117" spans="1:8" hidden="1">
      <c r="A2117" s="78">
        <v>43525</v>
      </c>
      <c r="B2117" s="37" t="s">
        <v>1916</v>
      </c>
      <c r="C2117" s="1" t="s">
        <v>2111</v>
      </c>
      <c r="D2117" s="37" t="s">
        <v>2539</v>
      </c>
      <c r="E2117" s="37">
        <v>112.89</v>
      </c>
      <c r="F2117" s="37" t="s">
        <v>1164</v>
      </c>
      <c r="G2117" s="79"/>
    </row>
    <row r="2118" spans="1:8" hidden="1">
      <c r="A2118" s="78">
        <v>43556</v>
      </c>
      <c r="B2118" s="37" t="s">
        <v>217</v>
      </c>
      <c r="C2118" s="1" t="s">
        <v>104</v>
      </c>
      <c r="D2118" s="37" t="s">
        <v>92</v>
      </c>
      <c r="E2118" s="37">
        <v>200</v>
      </c>
      <c r="F2118" s="37" t="s">
        <v>1198</v>
      </c>
      <c r="G2118" s="79"/>
      <c r="H2118" s="2885">
        <f>E2118/1.2</f>
        <v>166.66666666666669</v>
      </c>
    </row>
    <row r="2119" spans="1:8" hidden="1">
      <c r="A2119" s="78">
        <v>43556</v>
      </c>
      <c r="B2119" s="37" t="s">
        <v>2058</v>
      </c>
      <c r="C2119" s="1" t="s">
        <v>3370</v>
      </c>
      <c r="D2119" s="37" t="s">
        <v>1560</v>
      </c>
      <c r="E2119" s="37">
        <v>90</v>
      </c>
      <c r="F2119" s="37" t="s">
        <v>3371</v>
      </c>
      <c r="G2119" s="79"/>
    </row>
    <row r="2120" spans="1:8" hidden="1">
      <c r="A2120" s="78">
        <v>43556</v>
      </c>
      <c r="B2120" s="37" t="s">
        <v>2058</v>
      </c>
      <c r="C2120" s="1" t="s">
        <v>2290</v>
      </c>
      <c r="D2120" s="37" t="s">
        <v>1560</v>
      </c>
      <c r="E2120" s="37">
        <v>180</v>
      </c>
      <c r="F2120" s="37" t="s">
        <v>2490</v>
      </c>
      <c r="G2120" s="79"/>
    </row>
    <row r="2121" spans="1:8">
      <c r="A2121" s="78">
        <v>43525</v>
      </c>
      <c r="B2121" s="37" t="s">
        <v>3302</v>
      </c>
      <c r="C2121" s="1" t="s">
        <v>2111</v>
      </c>
      <c r="D2121" s="37" t="s">
        <v>673</v>
      </c>
      <c r="E2121" s="37">
        <v>405.38</v>
      </c>
      <c r="F2121" s="37" t="s">
        <v>3372</v>
      </c>
      <c r="G2121" s="79"/>
    </row>
    <row r="2122" spans="1:8" hidden="1">
      <c r="A2122" s="78">
        <v>43556</v>
      </c>
      <c r="B2122" s="37" t="s">
        <v>3188</v>
      </c>
      <c r="C2122" s="1" t="s">
        <v>2111</v>
      </c>
      <c r="D2122" s="37" t="s">
        <v>1938</v>
      </c>
      <c r="E2122" s="37">
        <v>188.47</v>
      </c>
      <c r="F2122" s="37" t="s">
        <v>1310</v>
      </c>
      <c r="G2122" s="79"/>
    </row>
    <row r="2123" spans="1:8" hidden="1">
      <c r="A2123" s="78">
        <v>43525</v>
      </c>
      <c r="B2123" s="37" t="s">
        <v>2361</v>
      </c>
      <c r="C2123" s="1" t="s">
        <v>2111</v>
      </c>
      <c r="D2123" s="37" t="s">
        <v>1938</v>
      </c>
      <c r="E2123" s="37">
        <v>149.99</v>
      </c>
      <c r="F2123" s="37" t="s">
        <v>1474</v>
      </c>
      <c r="G2123" s="79"/>
    </row>
    <row r="2124" spans="1:8" hidden="1">
      <c r="A2124" s="78">
        <v>43525</v>
      </c>
      <c r="B2124" s="37" t="s">
        <v>790</v>
      </c>
      <c r="C2124" s="1" t="s">
        <v>2290</v>
      </c>
      <c r="D2124" s="37" t="s">
        <v>2483</v>
      </c>
      <c r="E2124" s="37">
        <v>210</v>
      </c>
      <c r="F2124" s="37" t="s">
        <v>557</v>
      </c>
      <c r="G2124" s="79"/>
    </row>
    <row r="2125" spans="1:8" hidden="1">
      <c r="A2125" s="78">
        <v>43525</v>
      </c>
      <c r="B2125" s="37" t="s">
        <v>3213</v>
      </c>
      <c r="C2125" s="1" t="s">
        <v>171</v>
      </c>
      <c r="D2125" s="37" t="s">
        <v>2483</v>
      </c>
      <c r="E2125" s="37">
        <v>252</v>
      </c>
      <c r="F2125" s="37" t="s">
        <v>2885</v>
      </c>
      <c r="G2125" s="79"/>
    </row>
    <row r="2126" spans="1:8" hidden="1">
      <c r="A2126" s="78">
        <v>43525</v>
      </c>
      <c r="B2126" s="37" t="s">
        <v>3185</v>
      </c>
      <c r="C2126" s="1" t="s">
        <v>215</v>
      </c>
      <c r="D2126" s="37" t="s">
        <v>1938</v>
      </c>
      <c r="E2126" s="37">
        <v>29.14</v>
      </c>
      <c r="F2126" s="37" t="s">
        <v>3347</v>
      </c>
      <c r="G2126" s="79"/>
    </row>
    <row r="2127" spans="1:8" hidden="1">
      <c r="A2127" s="78">
        <v>43525</v>
      </c>
      <c r="B2127" s="37" t="s">
        <v>2654</v>
      </c>
      <c r="C2127" s="1" t="s">
        <v>215</v>
      </c>
      <c r="D2127" s="37" t="s">
        <v>1938</v>
      </c>
      <c r="E2127" s="37">
        <v>703.75</v>
      </c>
      <c r="F2127" s="37" t="s">
        <v>3347</v>
      </c>
      <c r="G2127" s="79"/>
    </row>
    <row r="2128" spans="1:8" hidden="1">
      <c r="A2128" s="78">
        <v>43525</v>
      </c>
      <c r="B2128" s="37" t="s">
        <v>2654</v>
      </c>
      <c r="C2128" s="1" t="s">
        <v>215</v>
      </c>
      <c r="D2128" s="37" t="s">
        <v>1938</v>
      </c>
      <c r="E2128" s="37">
        <v>140.53</v>
      </c>
      <c r="F2128" s="37" t="s">
        <v>1210</v>
      </c>
      <c r="G2128" s="79"/>
    </row>
    <row r="2129" spans="1:8" hidden="1">
      <c r="A2129" s="78">
        <v>43556</v>
      </c>
      <c r="B2129" s="37" t="s">
        <v>55</v>
      </c>
      <c r="C2129" s="1" t="s">
        <v>3377</v>
      </c>
      <c r="D2129" s="37" t="s">
        <v>972</v>
      </c>
      <c r="E2129" s="37">
        <v>1256.32</v>
      </c>
      <c r="F2129" s="37" t="s">
        <v>3378</v>
      </c>
      <c r="G2129" s="79"/>
    </row>
    <row r="2130" spans="1:8" hidden="1">
      <c r="A2130" s="78">
        <v>43556</v>
      </c>
      <c r="B2130" s="37" t="s">
        <v>3269</v>
      </c>
      <c r="C2130" s="1" t="s">
        <v>104</v>
      </c>
      <c r="D2130" s="37" t="s">
        <v>972</v>
      </c>
      <c r="E2130" s="37">
        <v>534</v>
      </c>
      <c r="F2130" s="37" t="s">
        <v>3379</v>
      </c>
      <c r="G2130" s="79"/>
      <c r="H2130" s="2885"/>
    </row>
    <row r="2131" spans="1:8" hidden="1">
      <c r="A2131" s="78">
        <v>43556</v>
      </c>
      <c r="B2131" s="37" t="s">
        <v>3269</v>
      </c>
      <c r="C2131" s="1" t="s">
        <v>104</v>
      </c>
      <c r="D2131" s="37" t="s">
        <v>972</v>
      </c>
      <c r="E2131" s="37">
        <v>16.5</v>
      </c>
      <c r="F2131" s="37" t="s">
        <v>3379</v>
      </c>
      <c r="G2131" s="79"/>
      <c r="H2131" s="2885"/>
    </row>
    <row r="2132" spans="1:8" hidden="1">
      <c r="A2132" s="78">
        <v>43556</v>
      </c>
      <c r="B2132" s="37" t="s">
        <v>2516</v>
      </c>
      <c r="C2132" s="1" t="s">
        <v>215</v>
      </c>
      <c r="D2132" s="37" t="s">
        <v>1938</v>
      </c>
      <c r="E2132" s="37">
        <v>79.930000000000007</v>
      </c>
      <c r="F2132" s="37" t="s">
        <v>1310</v>
      </c>
      <c r="G2132" s="79"/>
    </row>
    <row r="2133" spans="1:8" hidden="1">
      <c r="A2133" s="78">
        <v>43525</v>
      </c>
      <c r="B2133" s="37" t="s">
        <v>1995</v>
      </c>
      <c r="C2133" s="1" t="s">
        <v>215</v>
      </c>
      <c r="D2133" s="37" t="s">
        <v>2539</v>
      </c>
      <c r="E2133" s="37">
        <v>813.23</v>
      </c>
      <c r="F2133" s="37" t="s">
        <v>1794</v>
      </c>
      <c r="G2133" s="79"/>
    </row>
    <row r="2134" spans="1:8" hidden="1">
      <c r="A2134" s="78">
        <v>43525</v>
      </c>
      <c r="B2134" s="37" t="s">
        <v>1962</v>
      </c>
      <c r="C2134" s="1" t="s">
        <v>215</v>
      </c>
      <c r="D2134" s="37" t="s">
        <v>1938</v>
      </c>
      <c r="E2134" s="37">
        <v>197.3</v>
      </c>
      <c r="F2134" s="37" t="s">
        <v>2369</v>
      </c>
      <c r="G2134" s="79"/>
    </row>
    <row r="2135" spans="1:8" hidden="1">
      <c r="A2135" s="78">
        <v>43556</v>
      </c>
      <c r="B2135" s="37" t="s">
        <v>456</v>
      </c>
      <c r="C2135" s="1" t="s">
        <v>215</v>
      </c>
      <c r="D2135" s="37" t="s">
        <v>2483</v>
      </c>
      <c r="E2135" s="37">
        <v>30.53</v>
      </c>
      <c r="F2135" s="37" t="s">
        <v>1310</v>
      </c>
      <c r="G2135" s="79"/>
    </row>
    <row r="2136" spans="1:8" hidden="1">
      <c r="A2136" s="78">
        <v>43525</v>
      </c>
      <c r="B2136" s="37" t="s">
        <v>1506</v>
      </c>
      <c r="C2136" s="1" t="s">
        <v>215</v>
      </c>
      <c r="D2136" s="37" t="s">
        <v>2483</v>
      </c>
      <c r="E2136" s="37">
        <v>674.29</v>
      </c>
      <c r="F2136" s="37" t="s">
        <v>1794</v>
      </c>
      <c r="G2136" s="79"/>
    </row>
    <row r="2137" spans="1:8" hidden="1">
      <c r="A2137" s="78">
        <v>43556</v>
      </c>
      <c r="B2137" s="37" t="s">
        <v>172</v>
      </c>
      <c r="C2137" s="1" t="s">
        <v>171</v>
      </c>
      <c r="D2137" s="37" t="s">
        <v>972</v>
      </c>
      <c r="E2137" s="37">
        <v>270</v>
      </c>
      <c r="F2137" s="37" t="s">
        <v>3412</v>
      </c>
      <c r="G2137" s="79"/>
    </row>
    <row r="2138" spans="1:8" hidden="1">
      <c r="A2138" s="78">
        <v>43556</v>
      </c>
      <c r="B2138" s="37" t="s">
        <v>172</v>
      </c>
      <c r="C2138" s="1" t="s">
        <v>3413</v>
      </c>
      <c r="D2138" s="37" t="s">
        <v>972</v>
      </c>
      <c r="E2138" s="37">
        <v>72</v>
      </c>
      <c r="F2138" s="37" t="s">
        <v>3414</v>
      </c>
      <c r="G2138" s="79"/>
    </row>
    <row r="2139" spans="1:8" hidden="1">
      <c r="A2139" s="78">
        <v>43556</v>
      </c>
      <c r="B2139" s="37" t="s">
        <v>172</v>
      </c>
      <c r="C2139" s="1" t="s">
        <v>1797</v>
      </c>
      <c r="D2139" s="37" t="s">
        <v>972</v>
      </c>
      <c r="E2139" s="37">
        <v>3402</v>
      </c>
      <c r="F2139" s="37" t="s">
        <v>3415</v>
      </c>
      <c r="G2139" s="79"/>
    </row>
    <row r="2140" spans="1:8" hidden="1">
      <c r="A2140" s="78">
        <v>43556</v>
      </c>
      <c r="B2140" s="37" t="s">
        <v>2058</v>
      </c>
      <c r="C2140" s="1" t="s">
        <v>2290</v>
      </c>
      <c r="D2140" s="37" t="s">
        <v>1560</v>
      </c>
      <c r="E2140" s="37">
        <v>40</v>
      </c>
      <c r="F2140" s="37" t="s">
        <v>3416</v>
      </c>
      <c r="G2140" s="79"/>
    </row>
    <row r="2141" spans="1:8" hidden="1">
      <c r="A2141" s="78">
        <v>43556</v>
      </c>
      <c r="B2141" s="37" t="s">
        <v>2058</v>
      </c>
      <c r="C2141" s="1" t="s">
        <v>2859</v>
      </c>
      <c r="D2141" s="37" t="s">
        <v>1560</v>
      </c>
      <c r="E2141" s="37">
        <v>180</v>
      </c>
      <c r="F2141" s="37" t="s">
        <v>3417</v>
      </c>
      <c r="G2141" s="79"/>
    </row>
    <row r="2142" spans="1:8" hidden="1">
      <c r="A2142" s="78">
        <v>43556</v>
      </c>
      <c r="B2142" s="37" t="s">
        <v>172</v>
      </c>
      <c r="C2142" s="1" t="s">
        <v>171</v>
      </c>
      <c r="D2142" s="37" t="s">
        <v>972</v>
      </c>
      <c r="E2142" s="37">
        <v>378</v>
      </c>
      <c r="F2142" s="37" t="s">
        <v>3428</v>
      </c>
      <c r="G2142" s="79">
        <f>E2142/1.2</f>
        <v>315</v>
      </c>
    </row>
    <row r="2143" spans="1:8" hidden="1">
      <c r="A2143" s="78">
        <v>43556</v>
      </c>
      <c r="B2143" s="37" t="s">
        <v>172</v>
      </c>
      <c r="C2143" s="1" t="s">
        <v>1797</v>
      </c>
      <c r="D2143" s="37" t="s">
        <v>972</v>
      </c>
      <c r="E2143" s="37">
        <v>255</v>
      </c>
      <c r="F2143" s="37" t="s">
        <v>3429</v>
      </c>
      <c r="G2143" s="79">
        <v>1</v>
      </c>
      <c r="H2143" s="2885">
        <f>E2143/1.2</f>
        <v>212.5</v>
      </c>
    </row>
    <row r="2144" spans="1:8" hidden="1">
      <c r="A2144" s="78">
        <v>43586</v>
      </c>
      <c r="B2144" s="37" t="s">
        <v>2110</v>
      </c>
      <c r="C2144" s="1" t="s">
        <v>2111</v>
      </c>
      <c r="D2144" s="37" t="s">
        <v>2539</v>
      </c>
      <c r="E2144" s="37">
        <v>221.59</v>
      </c>
      <c r="F2144" s="37" t="s">
        <v>1210</v>
      </c>
      <c r="G2144" s="79"/>
    </row>
    <row r="2145" spans="1:8" hidden="1">
      <c r="A2145" s="78">
        <v>43586</v>
      </c>
      <c r="B2145" s="37" t="s">
        <v>2110</v>
      </c>
      <c r="C2145" s="1" t="s">
        <v>2111</v>
      </c>
      <c r="D2145" s="37" t="s">
        <v>2539</v>
      </c>
      <c r="E2145" s="37">
        <v>287.41000000000003</v>
      </c>
      <c r="F2145" s="37" t="s">
        <v>3456</v>
      </c>
      <c r="G2145" s="79"/>
    </row>
    <row r="2146" spans="1:8" hidden="1">
      <c r="A2146" s="78">
        <v>43556</v>
      </c>
      <c r="B2146" s="37" t="s">
        <v>1916</v>
      </c>
      <c r="C2146" s="1" t="s">
        <v>2111</v>
      </c>
      <c r="D2146" s="37" t="s">
        <v>2539</v>
      </c>
      <c r="E2146" s="37">
        <v>176.79</v>
      </c>
      <c r="F2146" s="37" t="s">
        <v>1164</v>
      </c>
      <c r="G2146" s="79"/>
    </row>
    <row r="2147" spans="1:8" hidden="1">
      <c r="A2147" s="78">
        <v>43556</v>
      </c>
      <c r="B2147" s="37" t="s">
        <v>790</v>
      </c>
      <c r="C2147" s="1" t="s">
        <v>2111</v>
      </c>
      <c r="D2147" s="37" t="s">
        <v>2483</v>
      </c>
      <c r="E2147" s="37">
        <v>829.37</v>
      </c>
      <c r="F2147" s="37" t="s">
        <v>1794</v>
      </c>
      <c r="G2147" s="79"/>
    </row>
    <row r="2148" spans="1:8" hidden="1">
      <c r="A2148" s="78">
        <v>43556</v>
      </c>
      <c r="B2148" s="37" t="s">
        <v>217</v>
      </c>
      <c r="C2148" s="1" t="s">
        <v>104</v>
      </c>
      <c r="D2148" s="37" t="s">
        <v>92</v>
      </c>
      <c r="E2148" s="37">
        <v>120.63</v>
      </c>
      <c r="F2148" s="37" t="s">
        <v>1794</v>
      </c>
      <c r="G2148" s="79"/>
    </row>
    <row r="2149" spans="1:8" hidden="1">
      <c r="A2149" s="78">
        <v>43586</v>
      </c>
      <c r="B2149" s="37" t="s">
        <v>217</v>
      </c>
      <c r="C2149" s="1" t="s">
        <v>1799</v>
      </c>
      <c r="D2149" s="37" t="s">
        <v>92</v>
      </c>
      <c r="E2149" s="37">
        <v>400</v>
      </c>
      <c r="F2149" s="37" t="s">
        <v>3457</v>
      </c>
      <c r="G2149" s="79"/>
      <c r="H2149" s="2885">
        <v>166.66666666666669</v>
      </c>
    </row>
    <row r="2150" spans="1:8" hidden="1">
      <c r="A2150" s="78">
        <v>43556</v>
      </c>
      <c r="B2150" s="37" t="s">
        <v>172</v>
      </c>
      <c r="C2150" s="1" t="s">
        <v>104</v>
      </c>
      <c r="D2150" s="37" t="s">
        <v>972</v>
      </c>
      <c r="E2150" s="37">
        <v>2916</v>
      </c>
      <c r="F2150" s="37" t="s">
        <v>3458</v>
      </c>
      <c r="G2150" s="79"/>
    </row>
    <row r="2151" spans="1:8" hidden="1">
      <c r="A2151" s="78">
        <v>43586</v>
      </c>
      <c r="B2151" s="37" t="s">
        <v>3269</v>
      </c>
      <c r="C2151" s="1" t="s">
        <v>103</v>
      </c>
      <c r="D2151" s="37" t="s">
        <v>972</v>
      </c>
      <c r="E2151" s="37">
        <v>129.94</v>
      </c>
      <c r="F2151" s="37" t="s">
        <v>3459</v>
      </c>
      <c r="G2151" s="79"/>
    </row>
    <row r="2152" spans="1:8">
      <c r="A2152" s="78">
        <v>43556</v>
      </c>
      <c r="B2152" s="37" t="s">
        <v>3302</v>
      </c>
      <c r="C2152" s="1" t="s">
        <v>2111</v>
      </c>
      <c r="D2152" s="37" t="s">
        <v>673</v>
      </c>
      <c r="E2152" s="37">
        <v>909.29</v>
      </c>
      <c r="F2152" s="37" t="s">
        <v>3460</v>
      </c>
      <c r="G2152" s="79"/>
    </row>
    <row r="2153" spans="1:8" hidden="1">
      <c r="A2153" s="78">
        <v>43556</v>
      </c>
      <c r="B2153" s="37" t="s">
        <v>2289</v>
      </c>
      <c r="C2153" s="1" t="s">
        <v>3464</v>
      </c>
      <c r="D2153" s="37" t="s">
        <v>722</v>
      </c>
      <c r="E2153" s="37">
        <v>320</v>
      </c>
      <c r="F2153" s="37" t="s">
        <v>3465</v>
      </c>
      <c r="G2153" s="79"/>
    </row>
    <row r="2154" spans="1:8" hidden="1">
      <c r="A2154" s="78">
        <v>43556</v>
      </c>
      <c r="B2154" s="37" t="s">
        <v>2289</v>
      </c>
      <c r="C2154" s="1" t="s">
        <v>3370</v>
      </c>
      <c r="D2154" s="37" t="s">
        <v>722</v>
      </c>
      <c r="E2154" s="37">
        <v>400</v>
      </c>
      <c r="F2154" s="37" t="s">
        <v>3463</v>
      </c>
      <c r="G2154" s="79"/>
    </row>
    <row r="2155" spans="1:8" hidden="1">
      <c r="A2155" s="78">
        <v>43556</v>
      </c>
      <c r="B2155" s="37" t="s">
        <v>172</v>
      </c>
      <c r="C2155" s="1" t="s">
        <v>103</v>
      </c>
      <c r="D2155" s="37" t="s">
        <v>972</v>
      </c>
      <c r="E2155" s="37">
        <v>1062</v>
      </c>
      <c r="F2155" s="37" t="s">
        <v>3211</v>
      </c>
      <c r="G2155" s="79">
        <f>G2143/2</f>
        <v>0.5</v>
      </c>
    </row>
    <row r="2156" spans="1:8" hidden="1">
      <c r="A2156" s="78">
        <v>43525</v>
      </c>
      <c r="B2156" s="37" t="s">
        <v>2289</v>
      </c>
      <c r="C2156" s="1" t="s">
        <v>3461</v>
      </c>
      <c r="D2156" s="37" t="s">
        <v>722</v>
      </c>
      <c r="E2156" s="37">
        <v>2826</v>
      </c>
      <c r="F2156" s="37" t="s">
        <v>3462</v>
      </c>
      <c r="G2156" s="79"/>
    </row>
    <row r="2157" spans="1:8" hidden="1">
      <c r="A2157" s="78">
        <v>43556</v>
      </c>
      <c r="B2157" s="37" t="s">
        <v>1786</v>
      </c>
      <c r="C2157" s="1" t="s">
        <v>2519</v>
      </c>
      <c r="D2157" s="37" t="s">
        <v>3467</v>
      </c>
      <c r="E2157" s="37">
        <v>500.37</v>
      </c>
      <c r="F2157" s="37" t="s">
        <v>1224</v>
      </c>
      <c r="G2157" s="79"/>
    </row>
    <row r="2158" spans="1:8" hidden="1">
      <c r="A2158" s="78">
        <v>43556</v>
      </c>
      <c r="B2158" s="37" t="s">
        <v>1962</v>
      </c>
      <c r="C2158" s="1" t="s">
        <v>2519</v>
      </c>
      <c r="D2158" s="37" t="s">
        <v>1938</v>
      </c>
      <c r="E2158" s="37">
        <v>97.97</v>
      </c>
      <c r="F2158" s="37" t="s">
        <v>2369</v>
      </c>
      <c r="G2158" s="79"/>
    </row>
    <row r="2159" spans="1:8" hidden="1">
      <c r="A2159" s="78">
        <v>43556</v>
      </c>
      <c r="B2159" s="37" t="s">
        <v>55</v>
      </c>
      <c r="C2159" s="1" t="s">
        <v>1898</v>
      </c>
      <c r="D2159" s="37" t="s">
        <v>972</v>
      </c>
      <c r="E2159" s="37">
        <v>782</v>
      </c>
      <c r="F2159" s="37" t="s">
        <v>3108</v>
      </c>
      <c r="G2159" s="79"/>
    </row>
    <row r="2160" spans="1:8" hidden="1">
      <c r="A2160" s="78">
        <v>43556</v>
      </c>
      <c r="B2160" s="37" t="s">
        <v>55</v>
      </c>
      <c r="C2160" s="1" t="s">
        <v>171</v>
      </c>
      <c r="D2160" s="37" t="s">
        <v>972</v>
      </c>
      <c r="E2160" s="37">
        <v>199.1</v>
      </c>
      <c r="F2160" s="37" t="s">
        <v>3480</v>
      </c>
      <c r="G2160" s="79"/>
    </row>
    <row r="2161" spans="1:8">
      <c r="A2161" s="78">
        <v>43556</v>
      </c>
      <c r="B2161" s="37" t="s">
        <v>3302</v>
      </c>
      <c r="C2161" s="1" t="s">
        <v>2290</v>
      </c>
      <c r="D2161" s="37" t="s">
        <v>673</v>
      </c>
      <c r="E2161" s="37">
        <v>120</v>
      </c>
      <c r="F2161" s="37" t="s">
        <v>3481</v>
      </c>
      <c r="G2161" s="79"/>
    </row>
    <row r="2162" spans="1:8" hidden="1">
      <c r="A2162" s="78">
        <v>43556</v>
      </c>
      <c r="B2162" s="37" t="s">
        <v>1995</v>
      </c>
      <c r="C2162" s="1" t="s">
        <v>215</v>
      </c>
      <c r="D2162" s="37" t="s">
        <v>2539</v>
      </c>
      <c r="E2162" s="37">
        <v>162.99</v>
      </c>
      <c r="F2162" s="37" t="s">
        <v>1794</v>
      </c>
      <c r="G2162" s="79"/>
    </row>
    <row r="2163" spans="1:8" hidden="1">
      <c r="A2163" s="78">
        <v>43586</v>
      </c>
      <c r="B2163" s="37" t="s">
        <v>1786</v>
      </c>
      <c r="C2163" s="1" t="s">
        <v>104</v>
      </c>
      <c r="D2163" s="37" t="s">
        <v>3467</v>
      </c>
      <c r="E2163" s="37">
        <v>315.86</v>
      </c>
      <c r="F2163" s="37" t="s">
        <v>3482</v>
      </c>
      <c r="G2163" s="79"/>
    </row>
    <row r="2164" spans="1:8" hidden="1">
      <c r="A2164" s="78">
        <v>43586</v>
      </c>
      <c r="B2164" s="37" t="s">
        <v>790</v>
      </c>
      <c r="C2164" s="1" t="s">
        <v>104</v>
      </c>
      <c r="D2164" s="37" t="s">
        <v>2483</v>
      </c>
      <c r="E2164" s="37">
        <v>210</v>
      </c>
      <c r="F2164" s="37" t="s">
        <v>3484</v>
      </c>
      <c r="G2164" s="79"/>
      <c r="H2164" s="2885">
        <f>210/1.2</f>
        <v>175</v>
      </c>
    </row>
    <row r="2165" spans="1:8" hidden="1">
      <c r="A2165" s="78">
        <v>43556</v>
      </c>
      <c r="B2165" s="37" t="s">
        <v>1506</v>
      </c>
      <c r="C2165" s="1" t="s">
        <v>215</v>
      </c>
      <c r="D2165" s="37" t="s">
        <v>2483</v>
      </c>
      <c r="E2165" s="37">
        <v>269.56</v>
      </c>
      <c r="F2165" s="37" t="s">
        <v>3485</v>
      </c>
      <c r="G2165" s="79"/>
    </row>
    <row r="2166" spans="1:8" hidden="1">
      <c r="A2166" s="78">
        <v>43556</v>
      </c>
      <c r="B2166" s="37" t="s">
        <v>3213</v>
      </c>
      <c r="C2166" s="1" t="s">
        <v>171</v>
      </c>
      <c r="D2166" s="37" t="s">
        <v>2483</v>
      </c>
      <c r="E2166" s="37">
        <v>540</v>
      </c>
      <c r="F2166" s="37" t="s">
        <v>3495</v>
      </c>
      <c r="G2166" s="79">
        <f>E2166/1.2</f>
        <v>450</v>
      </c>
    </row>
    <row r="2167" spans="1:8" hidden="1">
      <c r="A2167" s="78">
        <v>43556</v>
      </c>
      <c r="B2167" s="37" t="s">
        <v>3213</v>
      </c>
      <c r="C2167" s="1" t="s">
        <v>171</v>
      </c>
      <c r="D2167" s="37" t="s">
        <v>2483</v>
      </c>
      <c r="E2167" s="37">
        <v>612</v>
      </c>
      <c r="F2167" s="37" t="s">
        <v>3496</v>
      </c>
      <c r="G2167" s="79">
        <f>E2167/1.2</f>
        <v>510</v>
      </c>
    </row>
    <row r="2168" spans="1:8" hidden="1">
      <c r="A2168" s="78">
        <v>43556</v>
      </c>
      <c r="B2168" s="37" t="s">
        <v>3213</v>
      </c>
      <c r="C2168" s="1" t="s">
        <v>171</v>
      </c>
      <c r="D2168" s="37" t="s">
        <v>2483</v>
      </c>
      <c r="E2168" s="37">
        <v>612</v>
      </c>
      <c r="F2168" s="37" t="s">
        <v>1310</v>
      </c>
      <c r="G2168" s="79"/>
    </row>
    <row r="2169" spans="1:8" hidden="1">
      <c r="A2169" s="78">
        <v>43556</v>
      </c>
      <c r="B2169" s="37" t="s">
        <v>3213</v>
      </c>
      <c r="C2169" s="1" t="s">
        <v>171</v>
      </c>
      <c r="D2169" s="37" t="s">
        <v>2483</v>
      </c>
      <c r="E2169" s="37">
        <v>3093.1</v>
      </c>
      <c r="F2169" s="37" t="s">
        <v>3497</v>
      </c>
      <c r="G2169" s="79">
        <v>1466.67</v>
      </c>
    </row>
    <row r="2170" spans="1:8" hidden="1">
      <c r="A2170" s="78">
        <v>43586</v>
      </c>
      <c r="B2170" s="37" t="s">
        <v>217</v>
      </c>
      <c r="C2170" s="1" t="s">
        <v>104</v>
      </c>
      <c r="D2170" s="37" t="s">
        <v>92</v>
      </c>
      <c r="E2170" s="37">
        <v>200</v>
      </c>
      <c r="F2170" s="37" t="s">
        <v>557</v>
      </c>
      <c r="G2170" s="79"/>
      <c r="H2170" s="2885">
        <f>E2170/1.2</f>
        <v>166.66666666666669</v>
      </c>
    </row>
    <row r="2171" spans="1:8" hidden="1">
      <c r="A2171" s="78">
        <v>43586</v>
      </c>
      <c r="B2171" s="37" t="s">
        <v>172</v>
      </c>
      <c r="C2171" s="1" t="s">
        <v>104</v>
      </c>
      <c r="D2171" s="37" t="s">
        <v>972</v>
      </c>
      <c r="E2171" s="37">
        <v>1926</v>
      </c>
      <c r="F2171" s="37" t="s">
        <v>3498</v>
      </c>
      <c r="G2171" s="79">
        <v>1</v>
      </c>
      <c r="H2171" s="2885">
        <f>E2171/1.2</f>
        <v>1605</v>
      </c>
    </row>
    <row r="2172" spans="1:8" hidden="1">
      <c r="A2172" s="78">
        <v>43586</v>
      </c>
      <c r="B2172" s="37" t="s">
        <v>172</v>
      </c>
      <c r="C2172" s="1" t="s">
        <v>3499</v>
      </c>
      <c r="D2172" s="37" t="s">
        <v>972</v>
      </c>
      <c r="E2172" s="37">
        <v>378</v>
      </c>
      <c r="F2172" s="37" t="s">
        <v>3500</v>
      </c>
      <c r="G2172" s="79"/>
    </row>
    <row r="2173" spans="1:8" hidden="1">
      <c r="A2173" s="78">
        <v>43586</v>
      </c>
      <c r="B2173" s="37" t="s">
        <v>172</v>
      </c>
      <c r="C2173" s="1" t="s">
        <v>103</v>
      </c>
      <c r="D2173" s="37" t="s">
        <v>972</v>
      </c>
      <c r="E2173" s="37">
        <v>1044</v>
      </c>
      <c r="F2173" s="37" t="s">
        <v>3579</v>
      </c>
      <c r="G2173" s="79"/>
    </row>
    <row r="2174" spans="1:8" hidden="1">
      <c r="A2174" s="78">
        <v>43616</v>
      </c>
      <c r="B2174" s="37" t="s">
        <v>3269</v>
      </c>
      <c r="C2174" s="1" t="s">
        <v>1797</v>
      </c>
      <c r="D2174" s="37" t="s">
        <v>972</v>
      </c>
      <c r="E2174" s="37">
        <v>105</v>
      </c>
      <c r="F2174" s="37" t="s">
        <v>3535</v>
      </c>
      <c r="G2174" s="79"/>
      <c r="H2174" s="2885">
        <f>E2174/1.2</f>
        <v>87.5</v>
      </c>
    </row>
    <row r="2175" spans="1:8" hidden="1">
      <c r="A2175" s="78">
        <v>43616</v>
      </c>
      <c r="B2175" s="37" t="s">
        <v>3269</v>
      </c>
      <c r="C2175" s="1" t="s">
        <v>171</v>
      </c>
      <c r="D2175" s="37" t="s">
        <v>972</v>
      </c>
      <c r="E2175" s="37">
        <v>148.5</v>
      </c>
      <c r="F2175" s="37" t="s">
        <v>3536</v>
      </c>
      <c r="G2175" s="79">
        <f>E2175/1.2</f>
        <v>123.75</v>
      </c>
    </row>
    <row r="2176" spans="1:8" hidden="1">
      <c r="A2176" s="78">
        <v>43616</v>
      </c>
      <c r="B2176" s="37" t="s">
        <v>3269</v>
      </c>
      <c r="C2176" s="1" t="s">
        <v>104</v>
      </c>
      <c r="D2176" s="37" t="s">
        <v>972</v>
      </c>
      <c r="E2176" s="37">
        <v>126</v>
      </c>
      <c r="F2176" s="37" t="s">
        <v>3537</v>
      </c>
      <c r="G2176" s="79"/>
      <c r="H2176" s="2885">
        <f>E2176/1.2</f>
        <v>105</v>
      </c>
    </row>
    <row r="2177" spans="1:8" hidden="1">
      <c r="A2177" s="78">
        <v>43616</v>
      </c>
      <c r="B2177" s="37" t="s">
        <v>3269</v>
      </c>
      <c r="C2177" s="1" t="s">
        <v>104</v>
      </c>
      <c r="D2177" s="37" t="s">
        <v>972</v>
      </c>
      <c r="E2177" s="37">
        <v>22.5</v>
      </c>
      <c r="F2177" s="37" t="s">
        <v>3538</v>
      </c>
      <c r="G2177" s="79"/>
      <c r="H2177" s="2885">
        <f>E2177/1.2</f>
        <v>18.75</v>
      </c>
    </row>
    <row r="2178" spans="1:8" hidden="1">
      <c r="A2178" s="78">
        <v>43556</v>
      </c>
      <c r="B2178" s="37" t="s">
        <v>3183</v>
      </c>
      <c r="C2178" s="1" t="s">
        <v>215</v>
      </c>
      <c r="D2178" s="37" t="s">
        <v>1938</v>
      </c>
      <c r="E2178" s="37">
        <v>188.67</v>
      </c>
      <c r="F2178" s="37" t="s">
        <v>3539</v>
      </c>
      <c r="G2178" s="79"/>
    </row>
    <row r="2179" spans="1:8" hidden="1">
      <c r="A2179" s="78">
        <v>43586</v>
      </c>
      <c r="B2179" s="37" t="s">
        <v>2058</v>
      </c>
      <c r="C2179" s="1" t="s">
        <v>104</v>
      </c>
      <c r="D2179" s="37" t="s">
        <v>1560</v>
      </c>
      <c r="E2179" s="37">
        <v>40</v>
      </c>
      <c r="F2179" s="37" t="s">
        <v>3543</v>
      </c>
      <c r="G2179" s="79"/>
      <c r="H2179">
        <f>E2179/1.2</f>
        <v>33.333333333333336</v>
      </c>
    </row>
    <row r="2180" spans="1:8" hidden="1">
      <c r="A2180" s="78">
        <v>43586</v>
      </c>
      <c r="B2180" s="37" t="s">
        <v>2058</v>
      </c>
      <c r="C2180" s="1" t="s">
        <v>2990</v>
      </c>
      <c r="D2180" s="37" t="s">
        <v>1560</v>
      </c>
      <c r="E2180" s="37">
        <v>180</v>
      </c>
      <c r="F2180" s="37" t="s">
        <v>3544</v>
      </c>
      <c r="G2180" s="79"/>
      <c r="H2180">
        <f>108/1.2</f>
        <v>90</v>
      </c>
    </row>
    <row r="2181" spans="1:8" hidden="1">
      <c r="A2181" s="78">
        <v>43586</v>
      </c>
      <c r="B2181" s="37" t="s">
        <v>1916</v>
      </c>
      <c r="C2181" s="1" t="s">
        <v>215</v>
      </c>
      <c r="D2181" s="37" t="s">
        <v>2539</v>
      </c>
      <c r="E2181" s="37">
        <v>202.58</v>
      </c>
      <c r="F2181" s="37" t="s">
        <v>1164</v>
      </c>
      <c r="G2181" s="79"/>
    </row>
    <row r="2182" spans="1:8" hidden="1">
      <c r="A2182" s="78">
        <v>43586</v>
      </c>
      <c r="B2182" s="37" t="s">
        <v>172</v>
      </c>
      <c r="C2182" s="1" t="s">
        <v>3545</v>
      </c>
      <c r="D2182" s="37" t="s">
        <v>972</v>
      </c>
      <c r="E2182" s="37">
        <v>126</v>
      </c>
      <c r="F2182" s="37" t="s">
        <v>3546</v>
      </c>
      <c r="G2182" s="79"/>
    </row>
    <row r="2183" spans="1:8" hidden="1">
      <c r="A2183" s="78">
        <v>43586</v>
      </c>
      <c r="B2183" s="37" t="s">
        <v>172</v>
      </c>
      <c r="C2183" s="1" t="s">
        <v>171</v>
      </c>
      <c r="D2183" s="37" t="s">
        <v>972</v>
      </c>
      <c r="E2183" s="37">
        <v>90</v>
      </c>
      <c r="F2183" s="37" t="s">
        <v>3547</v>
      </c>
      <c r="G2183" s="79"/>
    </row>
    <row r="2184" spans="1:8" hidden="1">
      <c r="A2184" s="78">
        <v>43586</v>
      </c>
      <c r="B2184" s="37" t="s">
        <v>172</v>
      </c>
      <c r="C2184" s="1" t="s">
        <v>1792</v>
      </c>
      <c r="D2184" s="37" t="s">
        <v>972</v>
      </c>
      <c r="E2184" s="37">
        <v>6228</v>
      </c>
      <c r="F2184" s="37" t="s">
        <v>3548</v>
      </c>
      <c r="G2184" s="79"/>
    </row>
    <row r="2185" spans="1:8" hidden="1">
      <c r="A2185" s="78">
        <v>43556</v>
      </c>
      <c r="B2185" s="37" t="s">
        <v>600</v>
      </c>
      <c r="C2185" s="1" t="s">
        <v>215</v>
      </c>
      <c r="D2185" s="37" t="s">
        <v>2483</v>
      </c>
      <c r="E2185" s="37">
        <v>1691.22</v>
      </c>
      <c r="F2185" s="37" t="s">
        <v>1477</v>
      </c>
      <c r="G2185" s="79"/>
    </row>
    <row r="2186" spans="1:8" hidden="1">
      <c r="A2186" s="78">
        <v>43586</v>
      </c>
      <c r="B2186" s="37" t="s">
        <v>600</v>
      </c>
      <c r="C2186" s="1" t="s">
        <v>215</v>
      </c>
      <c r="D2186" s="37" t="s">
        <v>2483</v>
      </c>
      <c r="E2186" s="37">
        <v>2487.7399999999998</v>
      </c>
      <c r="F2186" s="37" t="s">
        <v>1477</v>
      </c>
      <c r="G2186" s="79"/>
    </row>
    <row r="2187" spans="1:8" hidden="1">
      <c r="A2187" s="78">
        <v>43556</v>
      </c>
      <c r="B2187" s="37" t="s">
        <v>600</v>
      </c>
      <c r="C2187" s="1" t="s">
        <v>2669</v>
      </c>
      <c r="D2187" s="37" t="s">
        <v>2483</v>
      </c>
      <c r="E2187" s="37">
        <v>520</v>
      </c>
      <c r="F2187" s="37" t="s">
        <v>3549</v>
      </c>
      <c r="G2187" s="79"/>
    </row>
    <row r="2188" spans="1:8" hidden="1">
      <c r="A2188" s="78">
        <v>43586</v>
      </c>
      <c r="B2188" s="37" t="s">
        <v>600</v>
      </c>
      <c r="C2188" s="1" t="s">
        <v>171</v>
      </c>
      <c r="D2188" s="37" t="s">
        <v>2483</v>
      </c>
      <c r="E2188" s="37">
        <v>1000</v>
      </c>
      <c r="F2188" s="37" t="s">
        <v>3550</v>
      </c>
      <c r="G2188" s="79">
        <f>E2188/1.2</f>
        <v>833.33333333333337</v>
      </c>
    </row>
    <row r="2189" spans="1:8" hidden="1">
      <c r="A2189" s="78">
        <v>43617</v>
      </c>
      <c r="B2189" s="37" t="s">
        <v>2110</v>
      </c>
      <c r="C2189" s="1" t="s">
        <v>215</v>
      </c>
      <c r="D2189" s="37" t="s">
        <v>2539</v>
      </c>
      <c r="E2189" s="37">
        <v>203.3</v>
      </c>
      <c r="F2189" s="37" t="s">
        <v>1210</v>
      </c>
      <c r="G2189" s="79"/>
    </row>
    <row r="2190" spans="1:8" hidden="1">
      <c r="A2190" s="78">
        <v>43586</v>
      </c>
      <c r="B2190" s="37" t="s">
        <v>217</v>
      </c>
      <c r="C2190" s="1" t="s">
        <v>215</v>
      </c>
      <c r="D2190" s="37" t="s">
        <v>92</v>
      </c>
      <c r="E2190" s="37">
        <v>1104.68</v>
      </c>
      <c r="F2190" s="37" t="s">
        <v>1794</v>
      </c>
      <c r="G2190" s="79"/>
    </row>
    <row r="2191" spans="1:8" hidden="1">
      <c r="A2191" s="78">
        <v>43556</v>
      </c>
      <c r="B2191" s="37" t="s">
        <v>3283</v>
      </c>
      <c r="C2191" s="1" t="s">
        <v>215</v>
      </c>
      <c r="D2191" s="37" t="s">
        <v>1938</v>
      </c>
      <c r="E2191" s="37">
        <v>30.35</v>
      </c>
      <c r="F2191" s="37" t="s">
        <v>3563</v>
      </c>
      <c r="G2191" s="79"/>
    </row>
    <row r="2192" spans="1:8" hidden="1">
      <c r="A2192" s="78">
        <v>43586</v>
      </c>
      <c r="B2192" s="37" t="s">
        <v>3283</v>
      </c>
      <c r="C2192" s="1" t="s">
        <v>215</v>
      </c>
      <c r="D2192" s="37" t="s">
        <v>1938</v>
      </c>
      <c r="E2192" s="37">
        <v>36.119999999999997</v>
      </c>
      <c r="F2192" s="37" t="s">
        <v>3563</v>
      </c>
      <c r="G2192" s="79"/>
    </row>
    <row r="2193" spans="1:7" hidden="1">
      <c r="A2193" s="78">
        <v>43616</v>
      </c>
      <c r="B2193" s="37" t="s">
        <v>1786</v>
      </c>
      <c r="C2193" s="1" t="s">
        <v>215</v>
      </c>
      <c r="D2193" s="37" t="s">
        <v>3467</v>
      </c>
      <c r="E2193" s="37">
        <v>400.63</v>
      </c>
      <c r="F2193" s="37" t="s">
        <v>1224</v>
      </c>
      <c r="G2193" s="79"/>
    </row>
    <row r="2194" spans="1:7" hidden="1">
      <c r="A2194" s="78">
        <v>43586</v>
      </c>
      <c r="B2194" s="37" t="s">
        <v>2289</v>
      </c>
      <c r="C2194" s="1" t="s">
        <v>2290</v>
      </c>
      <c r="D2194" s="37" t="s">
        <v>722</v>
      </c>
      <c r="E2194" s="37">
        <v>240</v>
      </c>
      <c r="F2194" s="37" t="s">
        <v>3565</v>
      </c>
      <c r="G2194" s="79"/>
    </row>
    <row r="2195" spans="1:7" hidden="1">
      <c r="A2195" s="78">
        <v>43586</v>
      </c>
      <c r="B2195" s="37" t="s">
        <v>2289</v>
      </c>
      <c r="C2195" s="1" t="s">
        <v>3370</v>
      </c>
      <c r="D2195" s="37" t="s">
        <v>722</v>
      </c>
      <c r="E2195" s="37">
        <v>400</v>
      </c>
      <c r="F2195" s="37" t="s">
        <v>3574</v>
      </c>
      <c r="G2195" s="79"/>
    </row>
    <row r="2196" spans="1:7">
      <c r="A2196" s="78">
        <v>43586</v>
      </c>
      <c r="B2196" s="37" t="s">
        <v>3302</v>
      </c>
      <c r="C2196" s="1" t="s">
        <v>215</v>
      </c>
      <c r="D2196" s="37" t="s">
        <v>673</v>
      </c>
      <c r="E2196" s="37">
        <v>983.89</v>
      </c>
      <c r="F2196" s="37" t="s">
        <v>1224</v>
      </c>
      <c r="G2196" s="79"/>
    </row>
    <row r="2197" spans="1:7" hidden="1">
      <c r="A2197" s="78">
        <v>43586</v>
      </c>
      <c r="B2197" s="37" t="s">
        <v>1995</v>
      </c>
      <c r="C2197" s="1" t="s">
        <v>215</v>
      </c>
      <c r="D2197" s="37" t="s">
        <v>2539</v>
      </c>
      <c r="E2197" s="37">
        <v>1936.41</v>
      </c>
      <c r="F2197" s="37" t="s">
        <v>1794</v>
      </c>
      <c r="G2197" s="79"/>
    </row>
    <row r="2198" spans="1:7" hidden="1">
      <c r="A2198" s="78">
        <v>43586</v>
      </c>
      <c r="B2198" s="37" t="s">
        <v>3213</v>
      </c>
      <c r="C2198" s="1" t="s">
        <v>171</v>
      </c>
      <c r="D2198" s="37" t="s">
        <v>2483</v>
      </c>
      <c r="E2198" s="37">
        <v>648</v>
      </c>
      <c r="F2198" s="37" t="s">
        <v>3576</v>
      </c>
      <c r="G2198" s="79">
        <f>E2198/1.2</f>
        <v>540</v>
      </c>
    </row>
    <row r="2199" spans="1:7" hidden="1">
      <c r="A2199" s="78">
        <v>43586</v>
      </c>
      <c r="B2199" s="37" t="s">
        <v>3213</v>
      </c>
      <c r="C2199" s="1" t="s">
        <v>171</v>
      </c>
      <c r="D2199" s="37" t="s">
        <v>2483</v>
      </c>
      <c r="E2199" s="37">
        <v>432</v>
      </c>
      <c r="F2199" s="37" t="s">
        <v>3577</v>
      </c>
      <c r="G2199" s="79">
        <f>E2199/1.2</f>
        <v>360</v>
      </c>
    </row>
    <row r="2200" spans="1:7" hidden="1">
      <c r="A2200" s="78">
        <v>43586</v>
      </c>
      <c r="B2200" s="37" t="s">
        <v>3213</v>
      </c>
      <c r="C2200" s="1" t="s">
        <v>171</v>
      </c>
      <c r="D2200" s="37" t="s">
        <v>2483</v>
      </c>
      <c r="E2200" s="37">
        <v>3073.1</v>
      </c>
      <c r="F2200" s="37" t="s">
        <v>3575</v>
      </c>
      <c r="G2200" s="79">
        <f>E2200/1.2</f>
        <v>2560.9166666666665</v>
      </c>
    </row>
    <row r="2201" spans="1:7" hidden="1">
      <c r="A2201" s="78">
        <v>43586</v>
      </c>
      <c r="B2201" s="37" t="s">
        <v>1962</v>
      </c>
      <c r="C2201" s="1" t="s">
        <v>215</v>
      </c>
      <c r="D2201" s="37" t="s">
        <v>1938</v>
      </c>
      <c r="E2201" s="37">
        <v>113.58</v>
      </c>
      <c r="F2201" s="37" t="s">
        <v>2369</v>
      </c>
      <c r="G2201" s="79">
        <f>G2200+G2171</f>
        <v>2561.9166666666665</v>
      </c>
    </row>
    <row r="2202" spans="1:7" hidden="1">
      <c r="A2202" s="78">
        <v>43586</v>
      </c>
      <c r="B2202" s="37" t="s">
        <v>2654</v>
      </c>
      <c r="C2202" s="1" t="s">
        <v>215</v>
      </c>
      <c r="D2202" s="37" t="s">
        <v>1938</v>
      </c>
      <c r="E2202" s="37">
        <v>131.93</v>
      </c>
      <c r="F2202" s="37" t="s">
        <v>1335</v>
      </c>
      <c r="G2202" s="79"/>
    </row>
    <row r="2203" spans="1:7" hidden="1">
      <c r="A2203" s="78">
        <v>43586</v>
      </c>
      <c r="B2203" s="37" t="s">
        <v>55</v>
      </c>
      <c r="C2203" s="1" t="s">
        <v>1898</v>
      </c>
      <c r="D2203" s="37" t="s">
        <v>972</v>
      </c>
      <c r="E2203" s="37">
        <v>800.76</v>
      </c>
      <c r="F2203" s="37" t="s">
        <v>3578</v>
      </c>
      <c r="G2203" s="79"/>
    </row>
    <row r="2204" spans="1:7" hidden="1">
      <c r="A2204" s="78">
        <v>43617</v>
      </c>
      <c r="B2204" s="37" t="s">
        <v>3269</v>
      </c>
      <c r="C2204" s="1" t="s">
        <v>103</v>
      </c>
      <c r="D2204" s="37" t="s">
        <v>972</v>
      </c>
      <c r="E2204" s="37">
        <v>21.77</v>
      </c>
      <c r="F2204" s="37" t="s">
        <v>1597</v>
      </c>
      <c r="G2204" s="79"/>
    </row>
    <row r="2205" spans="1:7" hidden="1">
      <c r="A2205" s="78">
        <v>43617</v>
      </c>
      <c r="B2205" s="37" t="s">
        <v>2058</v>
      </c>
      <c r="C2205" s="1" t="s">
        <v>2541</v>
      </c>
      <c r="D2205" s="37" t="s">
        <v>1560</v>
      </c>
      <c r="E2205" s="37">
        <v>90</v>
      </c>
      <c r="F2205" s="37" t="s">
        <v>3584</v>
      </c>
      <c r="G2205" s="79">
        <f>E2205/1.2</f>
        <v>75</v>
      </c>
    </row>
    <row r="2206" spans="1:7">
      <c r="A2206" s="78">
        <v>43586</v>
      </c>
      <c r="B2206" s="37" t="s">
        <v>3302</v>
      </c>
      <c r="C2206" s="1" t="s">
        <v>3499</v>
      </c>
      <c r="D2206" s="37" t="s">
        <v>673</v>
      </c>
      <c r="E2206" s="37">
        <v>120</v>
      </c>
      <c r="F2206" s="37" t="s">
        <v>3585</v>
      </c>
      <c r="G2206" s="79"/>
    </row>
    <row r="2207" spans="1:7">
      <c r="A2207" s="78">
        <v>43586</v>
      </c>
      <c r="B2207" s="37" t="s">
        <v>3302</v>
      </c>
      <c r="C2207" s="1" t="s">
        <v>336</v>
      </c>
      <c r="D2207" s="37" t="s">
        <v>673</v>
      </c>
      <c r="E2207" s="37">
        <v>120</v>
      </c>
      <c r="F2207" s="37" t="s">
        <v>3586</v>
      </c>
      <c r="G2207" s="79"/>
    </row>
    <row r="2208" spans="1:7" hidden="1">
      <c r="A2208" s="78">
        <v>43617</v>
      </c>
      <c r="B2208" s="37" t="s">
        <v>1506</v>
      </c>
      <c r="C2208" s="1" t="s">
        <v>1973</v>
      </c>
      <c r="D2208" s="37" t="s">
        <v>2483</v>
      </c>
      <c r="E2208" s="37">
        <v>1830.6</v>
      </c>
      <c r="F2208" s="37" t="s">
        <v>1794</v>
      </c>
      <c r="G2208" s="79"/>
    </row>
    <row r="2209" spans="1:9" hidden="1">
      <c r="A2209" s="78">
        <v>43586</v>
      </c>
      <c r="B2209" s="37" t="s">
        <v>1506</v>
      </c>
      <c r="C2209" s="1" t="s">
        <v>104</v>
      </c>
      <c r="D2209" s="37" t="s">
        <v>2483</v>
      </c>
      <c r="E2209" s="37">
        <v>171.43</v>
      </c>
      <c r="F2209" s="37" t="s">
        <v>1198</v>
      </c>
      <c r="G2209" s="79"/>
      <c r="H2209">
        <f>E2209/1.2</f>
        <v>142.85833333333335</v>
      </c>
    </row>
    <row r="2210" spans="1:9" hidden="1">
      <c r="A2210" s="78">
        <v>43617</v>
      </c>
      <c r="B2210" s="37" t="s">
        <v>3269</v>
      </c>
      <c r="C2210" s="1" t="s">
        <v>1792</v>
      </c>
      <c r="D2210" s="37" t="s">
        <v>972</v>
      </c>
      <c r="E2210" s="37">
        <v>475.5</v>
      </c>
      <c r="F2210" s="37" t="s">
        <v>1450</v>
      </c>
      <c r="G2210" s="79"/>
      <c r="H2210" s="2885">
        <f>E2210/1.2</f>
        <v>396.25</v>
      </c>
    </row>
    <row r="2211" spans="1:9" hidden="1">
      <c r="A2211" s="78">
        <v>43617</v>
      </c>
      <c r="B2211" s="37" t="s">
        <v>3269</v>
      </c>
      <c r="C2211" s="1" t="s">
        <v>104</v>
      </c>
      <c r="D2211" s="37" t="s">
        <v>972</v>
      </c>
      <c r="E2211" s="37">
        <v>190.5</v>
      </c>
      <c r="F2211" s="37" t="s">
        <v>1450</v>
      </c>
      <c r="G2211" s="79"/>
      <c r="H2211" s="2885">
        <f>E2211/1.2</f>
        <v>158.75</v>
      </c>
    </row>
    <row r="2212" spans="1:9" hidden="1">
      <c r="A2212" s="78">
        <v>43617</v>
      </c>
      <c r="B2212" s="37" t="s">
        <v>1786</v>
      </c>
      <c r="C2212" s="1" t="s">
        <v>104</v>
      </c>
      <c r="D2212" s="37" t="s">
        <v>3467</v>
      </c>
      <c r="E2212" s="37">
        <v>207.12</v>
      </c>
      <c r="F2212" s="37" t="s">
        <v>557</v>
      </c>
      <c r="G2212" s="79"/>
    </row>
    <row r="2213" spans="1:9" hidden="1">
      <c r="A2213" s="78">
        <v>43617</v>
      </c>
      <c r="B2213" s="37" t="s">
        <v>3269</v>
      </c>
      <c r="C2213" s="1" t="s">
        <v>1797</v>
      </c>
      <c r="D2213" s="37" t="s">
        <v>972</v>
      </c>
      <c r="E2213" s="37">
        <v>378</v>
      </c>
      <c r="F2213" s="37" t="s">
        <v>3620</v>
      </c>
      <c r="G2213" s="79"/>
      <c r="H2213" s="2885">
        <f>E2213/1.2</f>
        <v>315</v>
      </c>
      <c r="I2213">
        <f>H2213/3</f>
        <v>105</v>
      </c>
    </row>
    <row r="2214" spans="1:9" hidden="1">
      <c r="A2214" s="78">
        <v>43617</v>
      </c>
      <c r="B2214" s="37" t="s">
        <v>3269</v>
      </c>
      <c r="C2214" s="1" t="s">
        <v>1797</v>
      </c>
      <c r="D2214" s="37" t="s">
        <v>972</v>
      </c>
      <c r="E2214" s="37">
        <v>378</v>
      </c>
      <c r="F2214" s="37" t="s">
        <v>3620</v>
      </c>
      <c r="G2214" s="79"/>
      <c r="H2214" s="2885">
        <f>E2214/1.2</f>
        <v>315</v>
      </c>
      <c r="I2214" s="2885">
        <f>H2214/3</f>
        <v>105</v>
      </c>
    </row>
    <row r="2215" spans="1:9" hidden="1">
      <c r="A2215" s="78">
        <v>43617</v>
      </c>
      <c r="B2215" s="37" t="s">
        <v>600</v>
      </c>
      <c r="C2215" s="1" t="s">
        <v>215</v>
      </c>
      <c r="D2215" s="37" t="s">
        <v>2483</v>
      </c>
      <c r="E2215" s="37">
        <v>443.09</v>
      </c>
      <c r="F2215" s="37" t="s">
        <v>1477</v>
      </c>
      <c r="G2215" s="79"/>
    </row>
    <row r="2216" spans="1:9" hidden="1">
      <c r="A2216" s="78">
        <v>43617</v>
      </c>
      <c r="B2216" s="37" t="s">
        <v>600</v>
      </c>
      <c r="C2216" s="1" t="s">
        <v>3621</v>
      </c>
      <c r="D2216" s="37" t="s">
        <v>2483</v>
      </c>
      <c r="E2216" s="37">
        <f>2420+300</f>
        <v>2720</v>
      </c>
      <c r="F2216" s="37" t="s">
        <v>3622</v>
      </c>
      <c r="G2216" s="79"/>
      <c r="H2216">
        <f>2420/1.2</f>
        <v>2016.6666666666667</v>
      </c>
    </row>
    <row r="2217" spans="1:9" hidden="1">
      <c r="A2217" s="78">
        <v>43617</v>
      </c>
      <c r="B2217" s="37" t="s">
        <v>1916</v>
      </c>
      <c r="C2217" s="1" t="s">
        <v>215</v>
      </c>
      <c r="D2217" s="37" t="s">
        <v>2539</v>
      </c>
      <c r="E2217" s="37">
        <v>287.72000000000003</v>
      </c>
      <c r="F2217" s="37" t="s">
        <v>1164</v>
      </c>
      <c r="G2217" s="79"/>
      <c r="H2217">
        <f>H2214/3</f>
        <v>105</v>
      </c>
    </row>
    <row r="2218" spans="1:9" hidden="1">
      <c r="A2218" s="78">
        <v>43617</v>
      </c>
      <c r="B2218" s="37" t="s">
        <v>790</v>
      </c>
      <c r="C2218" s="1" t="s">
        <v>215</v>
      </c>
      <c r="D2218" s="37" t="s">
        <v>2483</v>
      </c>
      <c r="E2218" s="37">
        <v>202.08</v>
      </c>
      <c r="F2218" s="37" t="s">
        <v>1794</v>
      </c>
      <c r="G2218" s="79"/>
    </row>
    <row r="2219" spans="1:9" hidden="1">
      <c r="A2219" s="78">
        <v>43617</v>
      </c>
      <c r="B2219" s="37" t="s">
        <v>2058</v>
      </c>
      <c r="C2219" s="1" t="s">
        <v>2541</v>
      </c>
      <c r="D2219" s="37" t="s">
        <v>1560</v>
      </c>
      <c r="E2219" s="37">
        <v>40</v>
      </c>
      <c r="F2219" s="37" t="s">
        <v>3635</v>
      </c>
      <c r="G2219" s="79">
        <f>E2219/1.2</f>
        <v>33.333333333333336</v>
      </c>
    </row>
    <row r="2220" spans="1:9" hidden="1">
      <c r="A2220" s="78">
        <v>43617</v>
      </c>
      <c r="B2220" s="37" t="s">
        <v>2058</v>
      </c>
      <c r="C2220" s="1" t="s">
        <v>2541</v>
      </c>
      <c r="D2220" s="37" t="s">
        <v>1560</v>
      </c>
      <c r="E2220" s="37">
        <v>90</v>
      </c>
      <c r="F2220" s="37" t="s">
        <v>3636</v>
      </c>
      <c r="G2220" s="79">
        <f>E2220/1.2</f>
        <v>75</v>
      </c>
    </row>
    <row r="2221" spans="1:9" hidden="1">
      <c r="A2221" s="78">
        <v>43617</v>
      </c>
      <c r="B2221" s="37" t="s">
        <v>172</v>
      </c>
      <c r="C2221" s="1" t="s">
        <v>103</v>
      </c>
      <c r="D2221" s="37" t="s">
        <v>972</v>
      </c>
      <c r="E2221" s="37">
        <v>1044</v>
      </c>
      <c r="F2221" s="37" t="s">
        <v>3276</v>
      </c>
      <c r="G2221" s="79"/>
    </row>
    <row r="2222" spans="1:9" hidden="1">
      <c r="A2222" s="78">
        <v>43617</v>
      </c>
      <c r="B2222" s="37" t="s">
        <v>172</v>
      </c>
      <c r="C2222" s="1" t="s">
        <v>171</v>
      </c>
      <c r="D2222" s="37" t="s">
        <v>972</v>
      </c>
      <c r="E2222" s="37">
        <v>378</v>
      </c>
      <c r="F2222" s="37" t="s">
        <v>3637</v>
      </c>
      <c r="G2222" s="79"/>
    </row>
    <row r="2223" spans="1:9" hidden="1">
      <c r="A2223" s="78">
        <v>43617</v>
      </c>
      <c r="B2223" s="37" t="s">
        <v>172</v>
      </c>
      <c r="C2223" s="1" t="s">
        <v>1797</v>
      </c>
      <c r="D2223" s="37" t="s">
        <v>972</v>
      </c>
      <c r="E2223" s="37">
        <v>1134</v>
      </c>
      <c r="F2223" s="37" t="s">
        <v>3638</v>
      </c>
      <c r="G2223" s="79"/>
      <c r="H2223">
        <f>E2223/1.2</f>
        <v>945</v>
      </c>
      <c r="I2223">
        <f>H2223/3</f>
        <v>315</v>
      </c>
    </row>
    <row r="2224" spans="1:9" hidden="1">
      <c r="A2224" s="78">
        <v>43617</v>
      </c>
      <c r="B2224" s="37" t="s">
        <v>172</v>
      </c>
      <c r="C2224" s="1" t="s">
        <v>1797</v>
      </c>
      <c r="D2224" s="37" t="s">
        <v>972</v>
      </c>
      <c r="E2224" s="37">
        <v>2754</v>
      </c>
      <c r="F2224" s="37" t="s">
        <v>3639</v>
      </c>
      <c r="G2224" s="79"/>
    </row>
    <row r="2225" spans="1:7" hidden="1">
      <c r="A2225" s="78">
        <v>43617</v>
      </c>
      <c r="B2225" s="37" t="s">
        <v>172</v>
      </c>
      <c r="C2225" s="1" t="s">
        <v>1898</v>
      </c>
      <c r="D2225" s="37" t="s">
        <v>972</v>
      </c>
      <c r="E2225" s="37">
        <v>234</v>
      </c>
      <c r="F2225" s="37" t="s">
        <v>3640</v>
      </c>
      <c r="G2225" s="79"/>
    </row>
    <row r="2226" spans="1:7" hidden="1">
      <c r="A2226" s="78">
        <v>43617</v>
      </c>
      <c r="B2226" s="37" t="s">
        <v>172</v>
      </c>
      <c r="C2226" s="1" t="s">
        <v>3641</v>
      </c>
      <c r="D2226" s="37" t="s">
        <v>972</v>
      </c>
      <c r="E2226" s="37">
        <v>720</v>
      </c>
      <c r="F2226" s="37" t="s">
        <v>3642</v>
      </c>
      <c r="G2226" s="79"/>
    </row>
    <row r="2227" spans="1:7" hidden="1">
      <c r="A2227" s="78">
        <v>43617</v>
      </c>
      <c r="B2227" s="37" t="s">
        <v>172</v>
      </c>
      <c r="C2227" s="1" t="s">
        <v>103</v>
      </c>
      <c r="D2227" s="37" t="s">
        <v>972</v>
      </c>
      <c r="E2227" s="37">
        <v>2124</v>
      </c>
      <c r="F2227" s="37" t="s">
        <v>3643</v>
      </c>
      <c r="G2227" s="79"/>
    </row>
    <row r="2228" spans="1:7" hidden="1">
      <c r="A2228" s="78">
        <v>43525</v>
      </c>
      <c r="B2228" s="37" t="s">
        <v>3644</v>
      </c>
      <c r="C2228" s="1" t="s">
        <v>3370</v>
      </c>
      <c r="D2228" s="37" t="s">
        <v>3645</v>
      </c>
      <c r="E2228" s="37">
        <v>117.02</v>
      </c>
      <c r="F2228" s="37" t="s">
        <v>3646</v>
      </c>
      <c r="G2228" s="79"/>
    </row>
    <row r="2229" spans="1:7" hidden="1">
      <c r="A2229" s="78">
        <v>43556</v>
      </c>
      <c r="B2229" s="37" t="s">
        <v>3644</v>
      </c>
      <c r="C2229" s="1" t="s">
        <v>3370</v>
      </c>
      <c r="D2229" s="37" t="s">
        <v>3645</v>
      </c>
      <c r="E2229" s="37">
        <v>85.93</v>
      </c>
      <c r="F2229" s="37" t="s">
        <v>3646</v>
      </c>
      <c r="G2229" s="79"/>
    </row>
    <row r="2230" spans="1:7" hidden="1">
      <c r="A2230" s="78">
        <v>43586</v>
      </c>
      <c r="B2230" s="37" t="s">
        <v>3644</v>
      </c>
      <c r="C2230" s="1" t="s">
        <v>3370</v>
      </c>
      <c r="D2230" s="37" t="s">
        <v>3645</v>
      </c>
      <c r="E2230" s="37">
        <v>71.209999999999994</v>
      </c>
      <c r="F2230" s="37" t="s">
        <v>3646</v>
      </c>
      <c r="G2230" s="79"/>
    </row>
    <row r="2231" spans="1:7" hidden="1">
      <c r="A2231" s="78">
        <v>43617</v>
      </c>
      <c r="B2231" s="37" t="s">
        <v>2370</v>
      </c>
      <c r="C2231" s="1" t="s">
        <v>2519</v>
      </c>
      <c r="D2231" s="37" t="s">
        <v>2483</v>
      </c>
      <c r="E2231" s="37">
        <v>45.4</v>
      </c>
      <c r="F2231" s="37" t="s">
        <v>3647</v>
      </c>
      <c r="G2231" s="79"/>
    </row>
    <row r="2232" spans="1:7" hidden="1">
      <c r="A2232" s="78">
        <v>43617</v>
      </c>
      <c r="B2232" s="37" t="s">
        <v>1962</v>
      </c>
      <c r="C2232" s="1" t="s">
        <v>2519</v>
      </c>
      <c r="D2232" s="37" t="s">
        <v>1938</v>
      </c>
      <c r="E2232" s="37">
        <v>112.93</v>
      </c>
      <c r="F2232" s="37" t="s">
        <v>2369</v>
      </c>
      <c r="G2232" s="79"/>
    </row>
    <row r="2233" spans="1:7" hidden="1">
      <c r="A2233" s="78">
        <v>43617</v>
      </c>
      <c r="B2233" s="37" t="s">
        <v>217</v>
      </c>
      <c r="C2233" s="1" t="s">
        <v>215</v>
      </c>
      <c r="D2233" s="37" t="s">
        <v>92</v>
      </c>
      <c r="E2233" s="37">
        <v>630.95000000000005</v>
      </c>
      <c r="F2233" s="37" t="s">
        <v>1794</v>
      </c>
      <c r="G2233" s="79"/>
    </row>
    <row r="2234" spans="1:7" hidden="1">
      <c r="A2234" s="78">
        <v>43617</v>
      </c>
      <c r="B2234" s="37" t="s">
        <v>1786</v>
      </c>
      <c r="C2234" s="1" t="s">
        <v>215</v>
      </c>
      <c r="D2234" s="37" t="s">
        <v>3467</v>
      </c>
      <c r="E2234" s="37">
        <v>293.16000000000003</v>
      </c>
      <c r="F2234" s="37" t="s">
        <v>1224</v>
      </c>
      <c r="G2234" s="79"/>
    </row>
    <row r="2235" spans="1:7" hidden="1">
      <c r="A2235" s="78">
        <v>43617</v>
      </c>
      <c r="B2235" s="37" t="s">
        <v>1995</v>
      </c>
      <c r="C2235" s="1" t="s">
        <v>215</v>
      </c>
      <c r="D2235" s="37" t="s">
        <v>2539</v>
      </c>
      <c r="E2235" s="37">
        <v>1514.75</v>
      </c>
      <c r="F2235" s="37" t="s">
        <v>1794</v>
      </c>
      <c r="G2235" s="79"/>
    </row>
    <row r="2236" spans="1:7" hidden="1">
      <c r="A2236" s="78">
        <v>43647</v>
      </c>
      <c r="B2236" s="37" t="s">
        <v>2110</v>
      </c>
      <c r="C2236" s="1" t="s">
        <v>215</v>
      </c>
      <c r="D2236" s="37" t="s">
        <v>2539</v>
      </c>
      <c r="E2236" s="37">
        <v>196.74</v>
      </c>
      <c r="F2236" s="37" t="s">
        <v>1210</v>
      </c>
      <c r="G2236" s="79"/>
    </row>
    <row r="2237" spans="1:7" hidden="1">
      <c r="A2237" s="78">
        <v>43617</v>
      </c>
      <c r="B2237" s="37" t="s">
        <v>211</v>
      </c>
      <c r="C2237" s="1" t="s">
        <v>2669</v>
      </c>
      <c r="D2237" s="37" t="s">
        <v>92</v>
      </c>
      <c r="E2237" s="37">
        <v>86.4</v>
      </c>
      <c r="F2237" s="37" t="s">
        <v>3653</v>
      </c>
      <c r="G2237" s="79"/>
    </row>
    <row r="2238" spans="1:7" hidden="1">
      <c r="A2238" s="78">
        <v>43617</v>
      </c>
      <c r="B2238" s="37" t="s">
        <v>55</v>
      </c>
      <c r="C2238" s="1" t="s">
        <v>1898</v>
      </c>
      <c r="D2238" s="37" t="s">
        <v>972</v>
      </c>
      <c r="E2238" s="37">
        <v>923.08</v>
      </c>
      <c r="F2238" s="37" t="s">
        <v>3654</v>
      </c>
      <c r="G2238" s="79"/>
    </row>
    <row r="2239" spans="1:7" hidden="1">
      <c r="A2239" s="78">
        <v>43617</v>
      </c>
      <c r="B2239" s="37" t="s">
        <v>2361</v>
      </c>
      <c r="C2239" s="1" t="s">
        <v>215</v>
      </c>
      <c r="D2239" s="37" t="s">
        <v>1938</v>
      </c>
      <c r="E2239" s="37">
        <v>135.16999999999999</v>
      </c>
      <c r="F2239" s="37" t="s">
        <v>3655</v>
      </c>
      <c r="G2239" s="79"/>
    </row>
    <row r="2240" spans="1:7" hidden="1">
      <c r="A2240" s="78">
        <v>43647</v>
      </c>
      <c r="B2240" s="37" t="s">
        <v>3269</v>
      </c>
      <c r="C2240" s="1" t="s">
        <v>103</v>
      </c>
      <c r="D2240" s="37" t="s">
        <v>972</v>
      </c>
      <c r="E2240" s="37">
        <v>563.73</v>
      </c>
      <c r="F2240" s="37" t="s">
        <v>1597</v>
      </c>
      <c r="G2240" s="79"/>
    </row>
    <row r="2241" spans="1:7">
      <c r="A2241" s="78">
        <v>43617</v>
      </c>
      <c r="B2241" s="37" t="s">
        <v>3302</v>
      </c>
      <c r="C2241" s="1" t="s">
        <v>215</v>
      </c>
      <c r="D2241" s="37" t="s">
        <v>673</v>
      </c>
      <c r="E2241" s="37">
        <v>937.06</v>
      </c>
      <c r="F2241" s="37" t="s">
        <v>1224</v>
      </c>
      <c r="G2241" s="79"/>
    </row>
    <row r="2242" spans="1:7" hidden="1">
      <c r="A2242" s="78">
        <v>43617</v>
      </c>
      <c r="B2242" s="37" t="s">
        <v>1506</v>
      </c>
      <c r="C2242" s="1" t="s">
        <v>215</v>
      </c>
      <c r="D2242" s="37" t="s">
        <v>2483</v>
      </c>
      <c r="E2242" s="37">
        <v>465.62</v>
      </c>
      <c r="F2242" s="37" t="s">
        <v>1794</v>
      </c>
      <c r="G2242" s="79"/>
    </row>
    <row r="2243" spans="1:7" hidden="1">
      <c r="A2243" s="78">
        <v>43617</v>
      </c>
      <c r="B2243" s="37" t="s">
        <v>1506</v>
      </c>
      <c r="C2243" s="1" t="s">
        <v>104</v>
      </c>
      <c r="D2243" s="37" t="s">
        <v>2483</v>
      </c>
      <c r="E2243" s="37">
        <v>68.569999999999993</v>
      </c>
      <c r="F2243" s="37" t="s">
        <v>3656</v>
      </c>
      <c r="G2243" s="79"/>
    </row>
    <row r="2244" spans="1:7" hidden="1">
      <c r="A2244" s="78">
        <v>43647</v>
      </c>
      <c r="B2244" s="37" t="s">
        <v>3188</v>
      </c>
      <c r="C2244" s="1" t="s">
        <v>215</v>
      </c>
      <c r="D2244" s="37" t="s">
        <v>1938</v>
      </c>
      <c r="E2244" s="37">
        <v>220.51</v>
      </c>
      <c r="F2244" s="37" t="s">
        <v>3647</v>
      </c>
      <c r="G2244" s="79"/>
    </row>
    <row r="2245" spans="1:7" hidden="1">
      <c r="A2245" s="78">
        <v>43617</v>
      </c>
      <c r="B2245" s="37" t="s">
        <v>3283</v>
      </c>
      <c r="C2245" s="1" t="s">
        <v>215</v>
      </c>
      <c r="D2245" s="37" t="s">
        <v>1938</v>
      </c>
      <c r="E2245" s="37">
        <v>41.58</v>
      </c>
      <c r="F2245" s="37" t="s">
        <v>3657</v>
      </c>
      <c r="G2245" s="79"/>
    </row>
    <row r="2246" spans="1:7" hidden="1">
      <c r="A2246" s="78">
        <v>43617</v>
      </c>
      <c r="B2246" s="37" t="s">
        <v>3183</v>
      </c>
      <c r="C2246" s="1" t="s">
        <v>215</v>
      </c>
      <c r="D2246" s="37" t="s">
        <v>1938</v>
      </c>
      <c r="E2246" s="37">
        <v>165.9</v>
      </c>
      <c r="F2246" s="37" t="s">
        <v>1210</v>
      </c>
      <c r="G2246" s="79"/>
    </row>
    <row r="2247" spans="1:7" hidden="1">
      <c r="A2247" s="78">
        <v>43617</v>
      </c>
      <c r="B2247" s="37" t="s">
        <v>2261</v>
      </c>
      <c r="C2247" s="1" t="s">
        <v>215</v>
      </c>
      <c r="D2247" s="37" t="s">
        <v>2483</v>
      </c>
      <c r="E2247" s="37">
        <v>35.58</v>
      </c>
      <c r="F2247" s="37" t="s">
        <v>3647</v>
      </c>
      <c r="G2247" s="79"/>
    </row>
    <row r="2248" spans="1:7" hidden="1">
      <c r="A2248" s="78">
        <v>43647</v>
      </c>
      <c r="B2248" s="37" t="s">
        <v>2058</v>
      </c>
      <c r="C2248" s="1" t="s">
        <v>3499</v>
      </c>
      <c r="D2248" s="37" t="s">
        <v>1560</v>
      </c>
      <c r="E2248" s="37">
        <v>180</v>
      </c>
      <c r="F2248" s="37" t="s">
        <v>3666</v>
      </c>
      <c r="G2248" s="79"/>
    </row>
    <row r="2249" spans="1:7" hidden="1">
      <c r="A2249" s="78">
        <v>43617</v>
      </c>
      <c r="B2249" s="37" t="s">
        <v>2289</v>
      </c>
      <c r="C2249" s="1" t="s">
        <v>3667</v>
      </c>
      <c r="D2249" s="37" t="s">
        <v>722</v>
      </c>
      <c r="E2249" s="37">
        <v>320</v>
      </c>
      <c r="F2249" s="37" t="s">
        <v>2231</v>
      </c>
      <c r="G2249" s="79"/>
    </row>
    <row r="2250" spans="1:7" hidden="1">
      <c r="A2250" s="78">
        <v>43647</v>
      </c>
      <c r="B2250" s="37" t="s">
        <v>3668</v>
      </c>
      <c r="C2250" s="1" t="s">
        <v>171</v>
      </c>
      <c r="D2250" s="37" t="s">
        <v>3669</v>
      </c>
      <c r="E2250" s="37">
        <v>1929.8</v>
      </c>
      <c r="F2250" s="37" t="s">
        <v>3670</v>
      </c>
      <c r="G2250" s="79"/>
    </row>
    <row r="2251" spans="1:7" hidden="1">
      <c r="A2251" s="78">
        <v>43617</v>
      </c>
      <c r="B2251" s="37" t="s">
        <v>3213</v>
      </c>
      <c r="C2251" s="1" t="s">
        <v>171</v>
      </c>
      <c r="D2251" s="37" t="s">
        <v>2483</v>
      </c>
      <c r="E2251" s="37">
        <v>1584</v>
      </c>
      <c r="F2251" s="37" t="s">
        <v>3272</v>
      </c>
      <c r="G2251" s="79"/>
    </row>
    <row r="2252" spans="1:7" hidden="1">
      <c r="A2252" s="78">
        <v>43617</v>
      </c>
      <c r="B2252" s="37" t="s">
        <v>3213</v>
      </c>
      <c r="C2252" s="1" t="s">
        <v>171</v>
      </c>
      <c r="D2252" s="37" t="s">
        <v>2483</v>
      </c>
      <c r="E2252" s="37">
        <v>2996.9</v>
      </c>
      <c r="F2252" s="37" t="s">
        <v>3671</v>
      </c>
      <c r="G2252" s="79"/>
    </row>
    <row r="2253" spans="1:7" hidden="1">
      <c r="A2253" s="78">
        <v>43647</v>
      </c>
      <c r="B2253" s="37" t="s">
        <v>3269</v>
      </c>
      <c r="C2253" s="1" t="s">
        <v>103</v>
      </c>
      <c r="D2253" s="37" t="s">
        <v>972</v>
      </c>
      <c r="E2253" s="37">
        <v>678</v>
      </c>
      <c r="F2253" s="37" t="s">
        <v>3676</v>
      </c>
      <c r="G2253" s="79"/>
    </row>
    <row r="2254" spans="1:7" hidden="1">
      <c r="A2254" s="78">
        <v>43647</v>
      </c>
      <c r="B2254" s="37" t="s">
        <v>3269</v>
      </c>
      <c r="C2254" s="1" t="s">
        <v>104</v>
      </c>
      <c r="D2254" s="37" t="s">
        <v>972</v>
      </c>
      <c r="E2254" s="37">
        <v>534</v>
      </c>
      <c r="F2254" s="37" t="s">
        <v>3677</v>
      </c>
      <c r="G2254" s="79"/>
    </row>
    <row r="2255" spans="1:7" hidden="1">
      <c r="A2255" s="78">
        <v>43617</v>
      </c>
      <c r="B2255" s="37" t="s">
        <v>2516</v>
      </c>
      <c r="C2255" s="1" t="s">
        <v>215</v>
      </c>
      <c r="D2255" s="37" t="s">
        <v>1938</v>
      </c>
      <c r="E2255" s="37">
        <v>77.13</v>
      </c>
      <c r="F2255" s="37" t="s">
        <v>3647</v>
      </c>
      <c r="G2255" s="79"/>
    </row>
    <row r="2256" spans="1:7" hidden="1">
      <c r="A2256" s="78">
        <v>43647</v>
      </c>
      <c r="B2256" s="37" t="s">
        <v>790</v>
      </c>
      <c r="C2256" s="1" t="s">
        <v>2290</v>
      </c>
      <c r="D2256" s="37" t="s">
        <v>2483</v>
      </c>
      <c r="E2256" s="37">
        <v>315</v>
      </c>
      <c r="F2256" s="37" t="s">
        <v>1501</v>
      </c>
      <c r="G2256" s="79"/>
    </row>
    <row r="2257" spans="1:8" hidden="1">
      <c r="A2257" s="78">
        <v>43647</v>
      </c>
      <c r="B2257" s="37" t="s">
        <v>566</v>
      </c>
      <c r="C2257" s="1" t="s">
        <v>3683</v>
      </c>
      <c r="D2257" s="37" t="s">
        <v>92</v>
      </c>
      <c r="E2257" s="37">
        <v>864</v>
      </c>
      <c r="F2257" s="37" t="s">
        <v>3682</v>
      </c>
      <c r="G2257" s="79"/>
    </row>
    <row r="2258" spans="1:8" hidden="1">
      <c r="A2258" s="78">
        <v>43647</v>
      </c>
      <c r="B2258" s="37" t="s">
        <v>2058</v>
      </c>
      <c r="C2258" s="1" t="s">
        <v>3680</v>
      </c>
      <c r="D2258" s="37" t="s">
        <v>1560</v>
      </c>
      <c r="E2258" s="37">
        <v>80</v>
      </c>
      <c r="F2258" s="37" t="s">
        <v>1385</v>
      </c>
      <c r="G2258" s="79"/>
    </row>
    <row r="2259" spans="1:8" hidden="1">
      <c r="A2259" s="78">
        <v>43647</v>
      </c>
      <c r="B2259" s="37" t="s">
        <v>2058</v>
      </c>
      <c r="C2259" s="1" t="s">
        <v>103</v>
      </c>
      <c r="D2259" s="37" t="s">
        <v>1560</v>
      </c>
      <c r="E2259" s="37">
        <v>180</v>
      </c>
      <c r="F2259" s="37" t="s">
        <v>3681</v>
      </c>
      <c r="G2259" s="79"/>
    </row>
    <row r="2260" spans="1:8" hidden="1">
      <c r="A2260" s="78">
        <v>43647</v>
      </c>
      <c r="B2260" s="37" t="s">
        <v>1916</v>
      </c>
      <c r="C2260" s="1" t="s">
        <v>215</v>
      </c>
      <c r="D2260" s="37" t="s">
        <v>2539</v>
      </c>
      <c r="E2260" s="37">
        <v>43.73</v>
      </c>
      <c r="F2260" s="37" t="s">
        <v>3687</v>
      </c>
      <c r="G2260" s="79"/>
    </row>
    <row r="2261" spans="1:8" hidden="1">
      <c r="A2261" s="78">
        <v>43647</v>
      </c>
      <c r="B2261" s="37" t="s">
        <v>3269</v>
      </c>
      <c r="C2261" s="1" t="s">
        <v>1797</v>
      </c>
      <c r="D2261" s="37" t="s">
        <v>972</v>
      </c>
      <c r="E2261" s="37">
        <v>367.5</v>
      </c>
      <c r="F2261" s="37" t="s">
        <v>3688</v>
      </c>
      <c r="G2261" s="79">
        <f>E2261/1.2</f>
        <v>306.25</v>
      </c>
      <c r="H2261">
        <f>G2261/2/2.0366</f>
        <v>75.186585485613278</v>
      </c>
    </row>
    <row r="2262" spans="1:8" hidden="1">
      <c r="A2262" s="78">
        <v>43647</v>
      </c>
      <c r="B2262" s="37" t="s">
        <v>172</v>
      </c>
      <c r="C2262" s="1" t="s">
        <v>1797</v>
      </c>
      <c r="D2262" s="37" t="s">
        <v>972</v>
      </c>
      <c r="E2262" s="37">
        <v>1836</v>
      </c>
      <c r="F2262" s="37" t="s">
        <v>3689</v>
      </c>
      <c r="G2262" s="79">
        <f>E2262/1.2</f>
        <v>1530</v>
      </c>
      <c r="H2262">
        <f>G2262/6</f>
        <v>255</v>
      </c>
    </row>
    <row r="2263" spans="1:8" hidden="1">
      <c r="A2263" s="78">
        <v>43647</v>
      </c>
      <c r="B2263" s="37" t="s">
        <v>172</v>
      </c>
      <c r="C2263" s="1" t="s">
        <v>171</v>
      </c>
      <c r="D2263" s="37" t="s">
        <v>972</v>
      </c>
      <c r="E2263" s="37">
        <v>738</v>
      </c>
      <c r="F2263" s="862" t="s">
        <v>3690</v>
      </c>
      <c r="G2263" s="79"/>
    </row>
    <row r="2264" spans="1:8" hidden="1">
      <c r="A2264" s="78">
        <v>43647</v>
      </c>
      <c r="B2264" s="37" t="s">
        <v>172</v>
      </c>
      <c r="C2264" s="1" t="s">
        <v>3691</v>
      </c>
      <c r="D2264" s="37" t="s">
        <v>972</v>
      </c>
      <c r="E2264" s="37">
        <v>162</v>
      </c>
      <c r="F2264" s="37" t="s">
        <v>3692</v>
      </c>
      <c r="G2264" s="79"/>
    </row>
    <row r="2265" spans="1:8" hidden="1">
      <c r="A2265" s="78">
        <v>43647</v>
      </c>
      <c r="B2265" s="37" t="s">
        <v>172</v>
      </c>
      <c r="C2265" s="1" t="s">
        <v>103</v>
      </c>
      <c r="D2265" s="37" t="s">
        <v>972</v>
      </c>
      <c r="E2265" s="37">
        <v>1026</v>
      </c>
      <c r="F2265" s="37" t="s">
        <v>3579</v>
      </c>
      <c r="G2265" s="79"/>
    </row>
    <row r="2266" spans="1:8" hidden="1">
      <c r="A2266" s="78">
        <v>43647</v>
      </c>
      <c r="B2266" s="37" t="s">
        <v>172</v>
      </c>
      <c r="C2266" s="1" t="s">
        <v>103</v>
      </c>
      <c r="D2266" s="37" t="s">
        <v>972</v>
      </c>
      <c r="E2266" s="37">
        <v>1512</v>
      </c>
      <c r="F2266" s="37" t="s">
        <v>3693</v>
      </c>
      <c r="G2266" s="79"/>
    </row>
    <row r="2267" spans="1:8" hidden="1">
      <c r="A2267" s="78">
        <v>43647</v>
      </c>
      <c r="B2267" s="37" t="s">
        <v>172</v>
      </c>
      <c r="C2267" s="1" t="s">
        <v>1898</v>
      </c>
      <c r="D2267" s="37" t="s">
        <v>972</v>
      </c>
      <c r="E2267" s="37">
        <v>252</v>
      </c>
      <c r="F2267" s="37" t="s">
        <v>3694</v>
      </c>
      <c r="G2267" s="79"/>
      <c r="H2267">
        <f>H2262*2</f>
        <v>510</v>
      </c>
    </row>
    <row r="2268" spans="1:8" hidden="1">
      <c r="A2268" s="78">
        <v>43647</v>
      </c>
      <c r="B2268" s="37" t="s">
        <v>172</v>
      </c>
      <c r="C2268" s="1" t="s">
        <v>104</v>
      </c>
      <c r="D2268" s="37" t="s">
        <v>972</v>
      </c>
      <c r="E2268" s="37">
        <v>72</v>
      </c>
      <c r="F2268" s="37" t="s">
        <v>3695</v>
      </c>
      <c r="G2268" s="79"/>
    </row>
    <row r="2269" spans="1:8" hidden="1">
      <c r="A2269" s="78">
        <v>43647</v>
      </c>
      <c r="B2269" s="37" t="s">
        <v>172</v>
      </c>
      <c r="C2269" s="1" t="s">
        <v>1792</v>
      </c>
      <c r="D2269" s="37" t="s">
        <v>972</v>
      </c>
      <c r="E2269" s="37">
        <v>3096</v>
      </c>
      <c r="F2269" s="37" t="s">
        <v>3696</v>
      </c>
      <c r="G2269" s="79"/>
    </row>
    <row r="2270" spans="1:8" hidden="1">
      <c r="A2270" s="78">
        <v>43678</v>
      </c>
      <c r="B2270" s="37" t="s">
        <v>566</v>
      </c>
      <c r="C2270" s="1" t="s">
        <v>3683</v>
      </c>
      <c r="D2270" s="37" t="s">
        <v>92</v>
      </c>
      <c r="E2270" s="37">
        <v>864</v>
      </c>
      <c r="F2270" s="37" t="s">
        <v>3682</v>
      </c>
      <c r="G2270" s="79">
        <f>E2261-G2261</f>
        <v>61.25</v>
      </c>
    </row>
    <row r="2271" spans="1:8" hidden="1">
      <c r="A2271" s="78">
        <v>43647</v>
      </c>
      <c r="B2271" s="37" t="s">
        <v>3283</v>
      </c>
      <c r="C2271" s="1" t="s">
        <v>2519</v>
      </c>
      <c r="D2271" s="37" t="s">
        <v>1938</v>
      </c>
      <c r="E2271" s="37">
        <v>49.93</v>
      </c>
      <c r="F2271" s="37" t="s">
        <v>3710</v>
      </c>
      <c r="G2271" s="79"/>
    </row>
    <row r="2272" spans="1:8" hidden="1">
      <c r="A2272" s="78">
        <v>43647</v>
      </c>
      <c r="B2272" s="37" t="s">
        <v>600</v>
      </c>
      <c r="C2272" s="1" t="s">
        <v>886</v>
      </c>
      <c r="D2272" s="37" t="s">
        <v>3669</v>
      </c>
      <c r="E2272" s="37">
        <v>2135.4299999999998</v>
      </c>
      <c r="F2272" s="37" t="s">
        <v>1477</v>
      </c>
      <c r="G2272" s="79"/>
    </row>
    <row r="2273" spans="1:8" hidden="1">
      <c r="A2273" s="78">
        <v>43647</v>
      </c>
      <c r="B2273" s="37" t="s">
        <v>600</v>
      </c>
      <c r="C2273" s="1" t="s">
        <v>3499</v>
      </c>
      <c r="D2273" s="37" t="s">
        <v>3669</v>
      </c>
      <c r="E2273" s="37">
        <v>1420</v>
      </c>
      <c r="F2273" s="37" t="s">
        <v>3711</v>
      </c>
      <c r="G2273" s="79"/>
    </row>
    <row r="2274" spans="1:8" hidden="1">
      <c r="A2274" s="78">
        <v>43678</v>
      </c>
      <c r="B2274" s="37" t="s">
        <v>2110</v>
      </c>
      <c r="C2274" s="1" t="s">
        <v>215</v>
      </c>
      <c r="D2274" s="37" t="s">
        <v>2539</v>
      </c>
      <c r="E2274" s="37">
        <v>204.09</v>
      </c>
      <c r="F2274" s="37" t="s">
        <v>1210</v>
      </c>
      <c r="G2274" s="79"/>
    </row>
    <row r="2275" spans="1:8" hidden="1">
      <c r="A2275" s="78">
        <v>43647</v>
      </c>
      <c r="B2275" s="37" t="s">
        <v>1995</v>
      </c>
      <c r="C2275" s="1" t="s">
        <v>215</v>
      </c>
      <c r="D2275" s="37" t="s">
        <v>2539</v>
      </c>
      <c r="E2275" s="37">
        <v>2277.96</v>
      </c>
      <c r="F2275" s="37" t="s">
        <v>1794</v>
      </c>
      <c r="G2275" s="79"/>
    </row>
    <row r="2276" spans="1:8" hidden="1">
      <c r="A2276" s="78">
        <v>43647</v>
      </c>
      <c r="B2276" s="37" t="s">
        <v>790</v>
      </c>
      <c r="C2276" s="1" t="s">
        <v>1797</v>
      </c>
      <c r="D2276" s="37" t="s">
        <v>3669</v>
      </c>
      <c r="E2276" s="37">
        <v>270</v>
      </c>
      <c r="F2276" s="37" t="s">
        <v>3716</v>
      </c>
      <c r="G2276" s="79"/>
      <c r="H2276">
        <f>E2276/1.2</f>
        <v>225</v>
      </c>
    </row>
    <row r="2277" spans="1:8" hidden="1">
      <c r="A2277" s="78">
        <v>43678</v>
      </c>
      <c r="B2277" s="37" t="s">
        <v>790</v>
      </c>
      <c r="C2277" s="1" t="s">
        <v>1797</v>
      </c>
      <c r="D2277" s="37" t="s">
        <v>3669</v>
      </c>
      <c r="E2277" s="37">
        <v>150</v>
      </c>
      <c r="F2277" s="37" t="s">
        <v>3717</v>
      </c>
      <c r="G2277" s="79"/>
    </row>
    <row r="2278" spans="1:8">
      <c r="A2278" s="78">
        <v>43647</v>
      </c>
      <c r="B2278" s="37" t="s">
        <v>3302</v>
      </c>
      <c r="C2278" s="1" t="s">
        <v>2111</v>
      </c>
      <c r="D2278" s="37" t="s">
        <v>3722</v>
      </c>
      <c r="E2278" s="37">
        <v>364.67</v>
      </c>
      <c r="F2278" s="37" t="s">
        <v>1224</v>
      </c>
      <c r="G2278" s="79"/>
    </row>
    <row r="2279" spans="1:8" hidden="1">
      <c r="A2279" s="78">
        <v>43678</v>
      </c>
      <c r="B2279" s="37" t="s">
        <v>2058</v>
      </c>
      <c r="C2279" s="1" t="s">
        <v>3370</v>
      </c>
      <c r="D2279" s="37" t="s">
        <v>1560</v>
      </c>
      <c r="E2279" s="37">
        <v>180</v>
      </c>
      <c r="F2279" s="37" t="s">
        <v>3312</v>
      </c>
      <c r="G2279" s="79"/>
    </row>
    <row r="2280" spans="1:8" hidden="1">
      <c r="A2280" s="78">
        <v>43647</v>
      </c>
      <c r="B2280" s="37" t="s">
        <v>1962</v>
      </c>
      <c r="C2280" s="1" t="s">
        <v>2111</v>
      </c>
      <c r="D2280" s="37" t="s">
        <v>1938</v>
      </c>
      <c r="E2280" s="37">
        <v>118.05</v>
      </c>
      <c r="F2280" s="37" t="s">
        <v>2369</v>
      </c>
      <c r="G2280" s="79"/>
    </row>
    <row r="2281" spans="1:8" hidden="1">
      <c r="A2281" s="78">
        <v>43647</v>
      </c>
      <c r="B2281" s="37" t="s">
        <v>1786</v>
      </c>
      <c r="C2281" s="1" t="s">
        <v>104</v>
      </c>
      <c r="D2281" s="37" t="s">
        <v>3467</v>
      </c>
      <c r="E2281" s="37">
        <v>173.35</v>
      </c>
      <c r="F2281" s="37" t="s">
        <v>3723</v>
      </c>
      <c r="G2281" s="79"/>
    </row>
    <row r="2282" spans="1:8" hidden="1">
      <c r="A2282" s="78">
        <v>43678</v>
      </c>
      <c r="B2282" s="37" t="s">
        <v>1786</v>
      </c>
      <c r="C2282" s="1" t="s">
        <v>104</v>
      </c>
      <c r="D2282" s="37" t="s">
        <v>3467</v>
      </c>
      <c r="E2282" s="37">
        <v>130.03</v>
      </c>
      <c r="F2282" s="37" t="s">
        <v>3723</v>
      </c>
      <c r="G2282" s="79"/>
    </row>
    <row r="2283" spans="1:8" hidden="1">
      <c r="A2283" s="78">
        <v>43647</v>
      </c>
      <c r="B2283" s="37" t="s">
        <v>217</v>
      </c>
      <c r="C2283" s="1" t="s">
        <v>104</v>
      </c>
      <c r="D2283" s="37" t="s">
        <v>92</v>
      </c>
      <c r="E2283" s="37">
        <v>617.57000000000005</v>
      </c>
      <c r="F2283" s="37" t="s">
        <v>1794</v>
      </c>
      <c r="G2283" s="79"/>
    </row>
    <row r="2284" spans="1:8" hidden="1">
      <c r="A2284" s="78">
        <v>43647</v>
      </c>
      <c r="B2284" s="37" t="s">
        <v>55</v>
      </c>
      <c r="C2284" s="1" t="s">
        <v>886</v>
      </c>
      <c r="D2284" s="37" t="s">
        <v>972</v>
      </c>
      <c r="E2284" s="37">
        <v>877.74</v>
      </c>
      <c r="F2284" s="37" t="s">
        <v>3724</v>
      </c>
      <c r="G2284" s="79"/>
      <c r="H2284">
        <f>H2276/2</f>
        <v>112.5</v>
      </c>
    </row>
    <row r="2285" spans="1:8">
      <c r="A2285" s="78">
        <v>43647</v>
      </c>
      <c r="B2285" s="37" t="s">
        <v>3302</v>
      </c>
      <c r="C2285" s="1" t="s">
        <v>104</v>
      </c>
      <c r="D2285" s="37" t="s">
        <v>3722</v>
      </c>
      <c r="E2285" s="37">
        <v>120</v>
      </c>
      <c r="F2285" s="37" t="s">
        <v>3726</v>
      </c>
      <c r="G2285" s="79"/>
    </row>
    <row r="2286" spans="1:8" hidden="1">
      <c r="A2286" s="78">
        <v>43678</v>
      </c>
      <c r="B2286" s="37" t="s">
        <v>2058</v>
      </c>
      <c r="C2286" s="1" t="s">
        <v>104</v>
      </c>
      <c r="D2286" s="37" t="s">
        <v>1560</v>
      </c>
      <c r="E2286" s="37">
        <v>80</v>
      </c>
      <c r="F2286" s="37" t="s">
        <v>3727</v>
      </c>
      <c r="G2286" s="79"/>
    </row>
    <row r="2287" spans="1:8" hidden="1">
      <c r="A2287" s="78">
        <v>43647</v>
      </c>
      <c r="B2287" s="37" t="s">
        <v>1786</v>
      </c>
      <c r="C2287" s="1" t="s">
        <v>215</v>
      </c>
      <c r="D2287" s="37" t="s">
        <v>3467</v>
      </c>
      <c r="E2287" s="37">
        <v>644.16</v>
      </c>
      <c r="F2287" s="37" t="s">
        <v>1224</v>
      </c>
      <c r="G2287" s="79"/>
    </row>
    <row r="2288" spans="1:8" hidden="1">
      <c r="A2288" s="78">
        <v>43647</v>
      </c>
      <c r="B2288" s="37" t="s">
        <v>1506</v>
      </c>
      <c r="C2288" s="1" t="s">
        <v>215</v>
      </c>
      <c r="D2288" s="37" t="s">
        <v>3669</v>
      </c>
      <c r="E2288" s="37">
        <v>1348.52</v>
      </c>
      <c r="F2288" s="37" t="s">
        <v>3728</v>
      </c>
      <c r="G2288" s="79"/>
    </row>
    <row r="2289" spans="1:7" hidden="1">
      <c r="A2289" s="78">
        <v>43647</v>
      </c>
      <c r="B2289" s="37" t="s">
        <v>1506</v>
      </c>
      <c r="C2289" s="1" t="s">
        <v>1792</v>
      </c>
      <c r="D2289" s="37" t="s">
        <v>3669</v>
      </c>
      <c r="E2289" s="37">
        <v>720</v>
      </c>
      <c r="F2289" s="37" t="s">
        <v>3729</v>
      </c>
      <c r="G2289" s="79"/>
    </row>
    <row r="2290" spans="1:7" hidden="1">
      <c r="A2290" s="78">
        <v>43647</v>
      </c>
      <c r="B2290" s="37" t="s">
        <v>3213</v>
      </c>
      <c r="C2290" s="1" t="s">
        <v>171</v>
      </c>
      <c r="D2290" s="37" t="s">
        <v>3669</v>
      </c>
      <c r="E2290" s="37">
        <v>813.9</v>
      </c>
      <c r="F2290" s="37" t="s">
        <v>3730</v>
      </c>
      <c r="G2290" s="79"/>
    </row>
    <row r="2291" spans="1:7" hidden="1">
      <c r="A2291" s="78">
        <v>43647</v>
      </c>
      <c r="B2291" s="37" t="s">
        <v>3213</v>
      </c>
      <c r="C2291" s="1" t="s">
        <v>171</v>
      </c>
      <c r="D2291" s="37" t="s">
        <v>3669</v>
      </c>
      <c r="E2291" s="37">
        <v>1728</v>
      </c>
      <c r="F2291" s="37" t="s">
        <v>3272</v>
      </c>
      <c r="G2291" s="79"/>
    </row>
    <row r="2292" spans="1:7" hidden="1">
      <c r="A2292" s="78">
        <v>43647</v>
      </c>
      <c r="B2292" s="37" t="s">
        <v>2654</v>
      </c>
      <c r="C2292" s="1" t="s">
        <v>215</v>
      </c>
      <c r="D2292" s="37" t="s">
        <v>1938</v>
      </c>
      <c r="E2292" s="37">
        <v>183.01</v>
      </c>
      <c r="F2292" s="37" t="s">
        <v>1335</v>
      </c>
      <c r="G2292" s="79"/>
    </row>
    <row r="2293" spans="1:7" s="2885" customFormat="1" hidden="1">
      <c r="A2293" s="78">
        <v>43678</v>
      </c>
      <c r="B2293" s="37" t="s">
        <v>3269</v>
      </c>
      <c r="C2293" s="1" t="s">
        <v>103</v>
      </c>
      <c r="D2293" s="37" t="s">
        <v>972</v>
      </c>
      <c r="E2293" s="37">
        <v>53.14</v>
      </c>
      <c r="F2293" s="37" t="s">
        <v>1597</v>
      </c>
      <c r="G2293" s="79"/>
    </row>
    <row r="2294" spans="1:7" hidden="1">
      <c r="A2294" s="78">
        <v>43678</v>
      </c>
      <c r="B2294" s="37" t="s">
        <v>3269</v>
      </c>
      <c r="C2294" s="1" t="s">
        <v>103</v>
      </c>
      <c r="D2294" s="37" t="s">
        <v>972</v>
      </c>
      <c r="E2294" s="37">
        <v>31.49</v>
      </c>
      <c r="F2294" s="37" t="s">
        <v>1597</v>
      </c>
      <c r="G2294" s="79"/>
    </row>
    <row r="2295" spans="1:7" hidden="1">
      <c r="A2295" s="78">
        <v>43678</v>
      </c>
      <c r="B2295" s="37" t="s">
        <v>172</v>
      </c>
      <c r="C2295" s="1" t="s">
        <v>103</v>
      </c>
      <c r="D2295" s="37" t="s">
        <v>972</v>
      </c>
      <c r="E2295" s="37">
        <v>1008</v>
      </c>
      <c r="F2295" s="37" t="s">
        <v>3276</v>
      </c>
      <c r="G2295" s="79"/>
    </row>
    <row r="2296" spans="1:7" hidden="1">
      <c r="A2296" s="78">
        <v>43678</v>
      </c>
      <c r="B2296" s="37" t="s">
        <v>172</v>
      </c>
      <c r="C2296" s="1" t="s">
        <v>103</v>
      </c>
      <c r="D2296" s="37" t="s">
        <v>972</v>
      </c>
      <c r="E2296" s="37">
        <v>1512</v>
      </c>
      <c r="F2296" s="37" t="s">
        <v>3738</v>
      </c>
      <c r="G2296" s="79"/>
    </row>
    <row r="2297" spans="1:7" hidden="1">
      <c r="A2297" s="78">
        <v>43678</v>
      </c>
      <c r="B2297" s="37" t="s">
        <v>172</v>
      </c>
      <c r="C2297" s="1" t="s">
        <v>104</v>
      </c>
      <c r="D2297" s="37" t="s">
        <v>972</v>
      </c>
      <c r="E2297" s="37">
        <v>1098</v>
      </c>
      <c r="F2297" s="37" t="s">
        <v>3739</v>
      </c>
      <c r="G2297" s="79"/>
    </row>
    <row r="2298" spans="1:7" hidden="1">
      <c r="A2298" s="78">
        <v>43678</v>
      </c>
      <c r="B2298" s="37" t="s">
        <v>172</v>
      </c>
      <c r="C2298" s="1" t="s">
        <v>3499</v>
      </c>
      <c r="D2298" s="37" t="s">
        <v>972</v>
      </c>
      <c r="E2298" s="37">
        <v>360</v>
      </c>
      <c r="F2298" s="37" t="s">
        <v>3740</v>
      </c>
      <c r="G2298" s="79"/>
    </row>
    <row r="2299" spans="1:7" hidden="1">
      <c r="A2299" s="78">
        <v>43647</v>
      </c>
      <c r="B2299" s="37" t="s">
        <v>55</v>
      </c>
      <c r="C2299" s="1" t="s">
        <v>2244</v>
      </c>
      <c r="D2299" s="37" t="s">
        <v>972</v>
      </c>
      <c r="E2299" s="37">
        <v>74.05</v>
      </c>
      <c r="F2299" s="37" t="s">
        <v>3741</v>
      </c>
      <c r="G2299" s="79"/>
    </row>
    <row r="2300" spans="1:7" hidden="1">
      <c r="A2300" s="78">
        <v>43678</v>
      </c>
      <c r="B2300" s="37" t="s">
        <v>3269</v>
      </c>
      <c r="C2300" s="1" t="s">
        <v>1797</v>
      </c>
      <c r="D2300" s="37" t="s">
        <v>972</v>
      </c>
      <c r="E2300" s="37">
        <v>442.5</v>
      </c>
      <c r="F2300" s="37" t="s">
        <v>3742</v>
      </c>
      <c r="G2300" s="79"/>
    </row>
    <row r="2301" spans="1:7" hidden="1">
      <c r="A2301" s="78">
        <v>43678</v>
      </c>
      <c r="B2301" s="37" t="s">
        <v>2058</v>
      </c>
      <c r="C2301" s="1" t="s">
        <v>3747</v>
      </c>
      <c r="D2301" s="37" t="s">
        <v>1560</v>
      </c>
      <c r="E2301" s="37">
        <v>180</v>
      </c>
      <c r="F2301" s="37" t="s">
        <v>1385</v>
      </c>
      <c r="G2301" s="79"/>
    </row>
    <row r="2302" spans="1:7" hidden="1">
      <c r="A2302" s="78">
        <v>43678</v>
      </c>
      <c r="B2302" s="37" t="s">
        <v>1786</v>
      </c>
      <c r="C2302" s="1" t="s">
        <v>103</v>
      </c>
      <c r="D2302" s="37" t="s">
        <v>3467</v>
      </c>
      <c r="E2302" s="37">
        <v>242.6</v>
      </c>
      <c r="F2302" s="37" t="s">
        <v>1984</v>
      </c>
      <c r="G2302" s="79"/>
    </row>
    <row r="2303" spans="1:7" hidden="1">
      <c r="A2303" s="78">
        <v>43709</v>
      </c>
      <c r="B2303" s="37" t="s">
        <v>1786</v>
      </c>
      <c r="C2303" s="1" t="s">
        <v>103</v>
      </c>
      <c r="D2303" s="37" t="s">
        <v>3467</v>
      </c>
      <c r="E2303" s="37">
        <v>66.16</v>
      </c>
      <c r="F2303" s="37" t="s">
        <v>1984</v>
      </c>
      <c r="G2303" s="79"/>
    </row>
    <row r="2304" spans="1:7" hidden="1">
      <c r="A2304" s="78">
        <v>43678</v>
      </c>
      <c r="B2304" s="37" t="s">
        <v>790</v>
      </c>
      <c r="C2304" s="1" t="s">
        <v>2111</v>
      </c>
      <c r="D2304" s="37" t="s">
        <v>3669</v>
      </c>
      <c r="E2304" s="37">
        <v>2266.08</v>
      </c>
      <c r="F2304" s="37" t="s">
        <v>1794</v>
      </c>
      <c r="G2304" s="79"/>
    </row>
    <row r="2305" spans="1:7" hidden="1">
      <c r="A2305" s="78">
        <v>43678</v>
      </c>
      <c r="B2305" s="37" t="s">
        <v>3269</v>
      </c>
      <c r="C2305" s="1" t="s">
        <v>104</v>
      </c>
      <c r="D2305" s="37" t="s">
        <v>972</v>
      </c>
      <c r="E2305" s="37">
        <v>244.5</v>
      </c>
      <c r="F2305" s="37" t="s">
        <v>3757</v>
      </c>
      <c r="G2305" s="79"/>
    </row>
    <row r="2306" spans="1:7" hidden="1">
      <c r="A2306" s="78">
        <v>43678</v>
      </c>
      <c r="B2306" s="37" t="s">
        <v>172</v>
      </c>
      <c r="C2306" s="1" t="s">
        <v>171</v>
      </c>
      <c r="D2306" s="37" t="s">
        <v>972</v>
      </c>
      <c r="E2306" s="37">
        <v>162</v>
      </c>
      <c r="F2306" s="37" t="s">
        <v>3547</v>
      </c>
      <c r="G2306" s="79"/>
    </row>
    <row r="2307" spans="1:7" hidden="1">
      <c r="A2307" s="78">
        <v>43678</v>
      </c>
      <c r="B2307" s="37" t="s">
        <v>172</v>
      </c>
      <c r="C2307" s="1" t="s">
        <v>3499</v>
      </c>
      <c r="D2307" s="37" t="s">
        <v>972</v>
      </c>
      <c r="E2307" s="37">
        <v>414</v>
      </c>
      <c r="F2307" s="37" t="s">
        <v>3758</v>
      </c>
      <c r="G2307" s="79"/>
    </row>
    <row r="2308" spans="1:7" hidden="1">
      <c r="A2308" s="78">
        <v>43678</v>
      </c>
      <c r="B2308" s="37" t="s">
        <v>172</v>
      </c>
      <c r="C2308" s="1" t="s">
        <v>103</v>
      </c>
      <c r="D2308" s="37" t="s">
        <v>972</v>
      </c>
      <c r="E2308" s="37">
        <v>702</v>
      </c>
      <c r="F2308" s="37" t="s">
        <v>2166</v>
      </c>
      <c r="G2308" s="79"/>
    </row>
    <row r="2309" spans="1:7" hidden="1">
      <c r="A2309" s="78">
        <v>43678</v>
      </c>
      <c r="B2309" s="37" t="s">
        <v>172</v>
      </c>
      <c r="C2309" s="1" t="s">
        <v>104</v>
      </c>
      <c r="D2309" s="37" t="s">
        <v>972</v>
      </c>
      <c r="E2309" s="37">
        <v>3492</v>
      </c>
      <c r="F2309" s="37" t="s">
        <v>1191</v>
      </c>
      <c r="G2309" s="79"/>
    </row>
    <row r="2310" spans="1:7" hidden="1">
      <c r="A2310" s="78">
        <v>43678</v>
      </c>
      <c r="B2310" s="37" t="s">
        <v>790</v>
      </c>
      <c r="C2310" s="1" t="s">
        <v>104</v>
      </c>
      <c r="D2310" s="37" t="s">
        <v>3669</v>
      </c>
      <c r="E2310" s="37">
        <v>210</v>
      </c>
      <c r="F2310" s="37" t="s">
        <v>282</v>
      </c>
      <c r="G2310" s="79"/>
    </row>
    <row r="2311" spans="1:7" hidden="1">
      <c r="A2311" s="78">
        <v>43709</v>
      </c>
      <c r="B2311" s="37" t="s">
        <v>790</v>
      </c>
      <c r="C2311" s="1" t="s">
        <v>104</v>
      </c>
      <c r="D2311" s="37" t="s">
        <v>3669</v>
      </c>
      <c r="E2311" s="37">
        <v>30</v>
      </c>
      <c r="F2311" s="37" t="s">
        <v>282</v>
      </c>
      <c r="G2311" s="79"/>
    </row>
    <row r="2312" spans="1:7" hidden="1">
      <c r="A2312" s="78">
        <v>43678</v>
      </c>
      <c r="B2312" s="37" t="s">
        <v>600</v>
      </c>
      <c r="C2312" s="1" t="s">
        <v>215</v>
      </c>
      <c r="D2312" s="37" t="s">
        <v>3669</v>
      </c>
      <c r="E2312" s="37">
        <v>3900.14</v>
      </c>
      <c r="F2312" s="37" t="s">
        <v>1477</v>
      </c>
      <c r="G2312" s="79"/>
    </row>
    <row r="2313" spans="1:7" hidden="1">
      <c r="A2313" s="78">
        <v>43678</v>
      </c>
      <c r="B2313" s="37" t="s">
        <v>55</v>
      </c>
      <c r="C2313" s="1" t="s">
        <v>3499</v>
      </c>
      <c r="D2313" s="37" t="s">
        <v>972</v>
      </c>
      <c r="E2313" s="37">
        <v>810</v>
      </c>
      <c r="F2313" s="37" t="s">
        <v>3760</v>
      </c>
      <c r="G2313" s="79"/>
    </row>
    <row r="2314" spans="1:7" hidden="1">
      <c r="A2314" s="78">
        <v>43678</v>
      </c>
      <c r="B2314" s="37" t="s">
        <v>55</v>
      </c>
      <c r="C2314" s="1" t="s">
        <v>1898</v>
      </c>
      <c r="D2314" s="37" t="s">
        <v>972</v>
      </c>
      <c r="E2314" s="37">
        <v>1102.5</v>
      </c>
      <c r="F2314" s="37" t="s">
        <v>3761</v>
      </c>
      <c r="G2314" s="79"/>
    </row>
    <row r="2315" spans="1:7" hidden="1">
      <c r="A2315" s="78">
        <v>43678</v>
      </c>
      <c r="B2315" s="37" t="s">
        <v>217</v>
      </c>
      <c r="C2315" s="1" t="s">
        <v>104</v>
      </c>
      <c r="D2315" s="37" t="s">
        <v>92</v>
      </c>
      <c r="E2315" s="37">
        <v>1422.54</v>
      </c>
      <c r="F2315" s="37" t="s">
        <v>1474</v>
      </c>
      <c r="G2315" s="79"/>
    </row>
    <row r="2316" spans="1:7" hidden="1">
      <c r="A2316" s="78">
        <v>43709</v>
      </c>
      <c r="B2316" s="37" t="s">
        <v>2110</v>
      </c>
      <c r="C2316" s="1" t="s">
        <v>2111</v>
      </c>
      <c r="D2316" s="37" t="s">
        <v>2539</v>
      </c>
      <c r="E2316" s="37">
        <v>179.69</v>
      </c>
      <c r="F2316" s="37" t="s">
        <v>1210</v>
      </c>
      <c r="G2316" s="79"/>
    </row>
    <row r="2317" spans="1:7" hidden="1">
      <c r="A2317" s="78">
        <v>43709</v>
      </c>
      <c r="B2317" s="37" t="s">
        <v>2058</v>
      </c>
      <c r="C2317" s="1" t="s">
        <v>171</v>
      </c>
      <c r="D2317" s="37" t="s">
        <v>1560</v>
      </c>
      <c r="E2317" s="37">
        <v>180</v>
      </c>
      <c r="F2317" s="37" t="s">
        <v>3762</v>
      </c>
      <c r="G2317" s="79"/>
    </row>
    <row r="2318" spans="1:7" hidden="1">
      <c r="A2318" s="78">
        <v>43678</v>
      </c>
      <c r="B2318" s="37" t="s">
        <v>1916</v>
      </c>
      <c r="C2318" s="1" t="s">
        <v>215</v>
      </c>
      <c r="D2318" s="37" t="s">
        <v>2539</v>
      </c>
      <c r="E2318" s="37">
        <v>311.31</v>
      </c>
      <c r="F2318" s="37" t="s">
        <v>1164</v>
      </c>
      <c r="G2318" s="79"/>
    </row>
    <row r="2319" spans="1:7" hidden="1">
      <c r="A2319" s="78">
        <v>43709</v>
      </c>
      <c r="B2319" s="37" t="s">
        <v>566</v>
      </c>
      <c r="C2319" s="1" t="s">
        <v>3370</v>
      </c>
      <c r="D2319" s="37" t="s">
        <v>92</v>
      </c>
      <c r="E2319" s="37">
        <v>864</v>
      </c>
      <c r="F2319" s="37" t="s">
        <v>3763</v>
      </c>
      <c r="G2319" s="79"/>
    </row>
    <row r="2320" spans="1:7" hidden="1">
      <c r="A2320" s="78">
        <v>43678</v>
      </c>
      <c r="B2320" s="37" t="s">
        <v>2654</v>
      </c>
      <c r="C2320" s="1" t="s">
        <v>215</v>
      </c>
      <c r="D2320" s="37" t="s">
        <v>1938</v>
      </c>
      <c r="E2320" s="37">
        <v>87.52</v>
      </c>
      <c r="F2320" s="37" t="s">
        <v>1335</v>
      </c>
      <c r="G2320" s="79"/>
    </row>
    <row r="2321" spans="1:7" hidden="1">
      <c r="A2321" s="78">
        <v>43617</v>
      </c>
      <c r="B2321" s="37" t="s">
        <v>2654</v>
      </c>
      <c r="C2321" s="1" t="s">
        <v>215</v>
      </c>
      <c r="D2321" s="37" t="s">
        <v>1938</v>
      </c>
      <c r="E2321" s="37">
        <v>315.88</v>
      </c>
      <c r="F2321" s="37" t="s">
        <v>1335</v>
      </c>
      <c r="G2321" s="79"/>
    </row>
    <row r="2322" spans="1:7" hidden="1">
      <c r="A2322" s="78">
        <v>43678</v>
      </c>
      <c r="B2322" s="37" t="s">
        <v>3185</v>
      </c>
      <c r="C2322" s="1" t="s">
        <v>215</v>
      </c>
      <c r="D2322" s="37" t="s">
        <v>1938</v>
      </c>
      <c r="E2322" s="37">
        <v>34.29</v>
      </c>
      <c r="F2322" s="37" t="s">
        <v>1335</v>
      </c>
      <c r="G2322" s="79"/>
    </row>
    <row r="2323" spans="1:7" hidden="1">
      <c r="A2323" s="78">
        <v>43647</v>
      </c>
      <c r="B2323" s="37" t="s">
        <v>3213</v>
      </c>
      <c r="C2323" s="1" t="s">
        <v>171</v>
      </c>
      <c r="D2323" s="37" t="s">
        <v>3669</v>
      </c>
      <c r="E2323" s="37">
        <v>839.2</v>
      </c>
      <c r="F2323" s="37" t="s">
        <v>2854</v>
      </c>
      <c r="G2323" s="79"/>
    </row>
    <row r="2324" spans="1:7">
      <c r="A2324" s="78">
        <v>43678</v>
      </c>
      <c r="B2324" s="37" t="s">
        <v>3302</v>
      </c>
      <c r="C2324" s="1" t="s">
        <v>2111</v>
      </c>
      <c r="D2324" s="37" t="s">
        <v>1938</v>
      </c>
      <c r="E2324" s="37">
        <v>943.32</v>
      </c>
      <c r="F2324" s="37" t="s">
        <v>1224</v>
      </c>
      <c r="G2324" s="79"/>
    </row>
    <row r="2325" spans="1:7" hidden="1">
      <c r="A2325" s="78">
        <v>43678</v>
      </c>
      <c r="B2325" s="37" t="s">
        <v>2289</v>
      </c>
      <c r="C2325" s="1" t="s">
        <v>3370</v>
      </c>
      <c r="D2325" s="37" t="s">
        <v>722</v>
      </c>
      <c r="E2325" s="37">
        <v>940</v>
      </c>
      <c r="F2325" s="37" t="s">
        <v>3773</v>
      </c>
      <c r="G2325" s="79"/>
    </row>
    <row r="2326" spans="1:7" hidden="1">
      <c r="A2326" s="78">
        <v>43678</v>
      </c>
      <c r="B2326" s="37" t="s">
        <v>1995</v>
      </c>
      <c r="C2326" s="1" t="s">
        <v>215</v>
      </c>
      <c r="D2326" s="37" t="s">
        <v>2539</v>
      </c>
      <c r="E2326" s="37">
        <v>641.71</v>
      </c>
      <c r="F2326" s="37" t="s">
        <v>1794</v>
      </c>
      <c r="G2326" s="79"/>
    </row>
    <row r="2327" spans="1:7" hidden="1">
      <c r="A2327" s="78">
        <v>43678</v>
      </c>
      <c r="B2327" s="37" t="s">
        <v>1786</v>
      </c>
      <c r="C2327" s="1" t="s">
        <v>215</v>
      </c>
      <c r="D2327" s="37" t="s">
        <v>3467</v>
      </c>
      <c r="E2327" s="37">
        <v>575.97</v>
      </c>
      <c r="F2327" s="37" t="s">
        <v>1224</v>
      </c>
      <c r="G2327" s="79"/>
    </row>
    <row r="2328" spans="1:7" hidden="1">
      <c r="A2328" s="78">
        <v>43709</v>
      </c>
      <c r="B2328" s="37" t="s">
        <v>3269</v>
      </c>
      <c r="C2328" s="1" t="s">
        <v>103</v>
      </c>
      <c r="D2328" s="37" t="s">
        <v>972</v>
      </c>
      <c r="E2328" s="37">
        <v>278.95</v>
      </c>
      <c r="F2328" s="37" t="s">
        <v>3778</v>
      </c>
      <c r="G2328" s="79"/>
    </row>
    <row r="2329" spans="1:7" hidden="1">
      <c r="A2329" s="78">
        <v>43709</v>
      </c>
      <c r="B2329" s="37" t="s">
        <v>3269</v>
      </c>
      <c r="C2329" s="1" t="s">
        <v>103</v>
      </c>
      <c r="D2329" s="37" t="s">
        <v>972</v>
      </c>
      <c r="E2329" s="37">
        <v>156.44999999999999</v>
      </c>
      <c r="F2329" s="37" t="s">
        <v>3779</v>
      </c>
      <c r="G2329" s="79"/>
    </row>
    <row r="2330" spans="1:7" hidden="1">
      <c r="A2330" s="78">
        <v>43678</v>
      </c>
      <c r="B2330" s="37" t="s">
        <v>55</v>
      </c>
      <c r="C2330" s="1" t="s">
        <v>171</v>
      </c>
      <c r="D2330" s="37" t="s">
        <v>972</v>
      </c>
      <c r="E2330" s="37">
        <v>75.819999999999993</v>
      </c>
      <c r="F2330" s="37" t="s">
        <v>3780</v>
      </c>
      <c r="G2330" s="79"/>
    </row>
    <row r="2331" spans="1:7" hidden="1">
      <c r="A2331" s="78">
        <v>43678</v>
      </c>
      <c r="B2331" s="37" t="s">
        <v>1962</v>
      </c>
      <c r="C2331" s="1" t="s">
        <v>2111</v>
      </c>
      <c r="D2331" s="37" t="s">
        <v>1938</v>
      </c>
      <c r="E2331" s="37">
        <v>136.31</v>
      </c>
      <c r="F2331" s="37" t="s">
        <v>2369</v>
      </c>
      <c r="G2331" s="79"/>
    </row>
    <row r="2332" spans="1:7" hidden="1">
      <c r="A2332" s="78">
        <v>43709</v>
      </c>
      <c r="B2332" s="37" t="s">
        <v>1995</v>
      </c>
      <c r="C2332" s="1" t="s">
        <v>104</v>
      </c>
      <c r="D2332" s="37" t="s">
        <v>2539</v>
      </c>
      <c r="E2332" s="37">
        <v>240</v>
      </c>
      <c r="F2332" s="37" t="s">
        <v>3047</v>
      </c>
      <c r="G2332" s="79"/>
    </row>
    <row r="2333" spans="1:7">
      <c r="A2333" s="78"/>
      <c r="B2333" s="37"/>
      <c r="C2333" s="1"/>
      <c r="D2333" s="37"/>
      <c r="E2333" s="37"/>
      <c r="F2333" s="37"/>
      <c r="G2333" s="79"/>
    </row>
    <row r="2334" spans="1:7">
      <c r="A2334" s="78"/>
      <c r="B2334" s="37"/>
      <c r="C2334" s="1"/>
      <c r="D2334" s="37"/>
      <c r="E2334" s="37"/>
      <c r="F2334" s="37"/>
      <c r="G2334" s="79"/>
    </row>
    <row r="2335" spans="1:7">
      <c r="A2335" s="78"/>
      <c r="B2335" s="37"/>
      <c r="C2335" s="1"/>
      <c r="D2335" s="37"/>
      <c r="E2335" s="37"/>
      <c r="F2335" s="37"/>
      <c r="G2335" s="79"/>
    </row>
    <row r="2336" spans="1:7">
      <c r="A2336" s="78"/>
      <c r="B2336" s="37"/>
      <c r="C2336" s="1"/>
      <c r="D2336" s="37"/>
      <c r="E2336" s="37"/>
      <c r="F2336" s="37"/>
      <c r="G2336" s="79"/>
    </row>
    <row r="2337" spans="1:7">
      <c r="A2337" s="78"/>
      <c r="B2337" s="37"/>
      <c r="C2337" s="1"/>
      <c r="D2337" s="37"/>
      <c r="E2337" s="37"/>
      <c r="F2337" s="37"/>
      <c r="G2337" s="79"/>
    </row>
    <row r="2338" spans="1:7">
      <c r="A2338" s="78"/>
      <c r="B2338" s="37"/>
      <c r="C2338" s="1"/>
      <c r="D2338" s="37"/>
      <c r="E2338" s="37"/>
      <c r="F2338" s="37"/>
      <c r="G2338" s="79"/>
    </row>
    <row r="2339" spans="1:7">
      <c r="A2339" s="78"/>
      <c r="B2339" s="37"/>
      <c r="C2339" s="1"/>
      <c r="D2339" s="37"/>
      <c r="E2339" s="37"/>
      <c r="F2339" s="37"/>
      <c r="G2339" s="79"/>
    </row>
    <row r="2340" spans="1:7">
      <c r="A2340" s="78"/>
      <c r="B2340" s="37"/>
      <c r="C2340" s="1"/>
      <c r="D2340" s="37"/>
      <c r="E2340" s="37"/>
      <c r="F2340" s="37"/>
      <c r="G2340" s="79"/>
    </row>
    <row r="2341" spans="1:7">
      <c r="A2341" s="78"/>
      <c r="B2341" s="37"/>
      <c r="C2341" s="1"/>
      <c r="D2341" s="37"/>
      <c r="E2341" s="37"/>
      <c r="F2341" s="37"/>
      <c r="G2341" s="79"/>
    </row>
    <row r="2342" spans="1:7">
      <c r="A2342" s="78"/>
      <c r="B2342" s="37"/>
      <c r="C2342" s="1"/>
      <c r="D2342" s="37"/>
      <c r="E2342" s="37"/>
      <c r="F2342" s="37"/>
      <c r="G2342" s="79"/>
    </row>
    <row r="2343" spans="1:7">
      <c r="A2343" s="78"/>
      <c r="B2343" s="37"/>
      <c r="C2343" s="1"/>
      <c r="D2343" s="37"/>
      <c r="E2343" s="37"/>
      <c r="F2343" s="37"/>
      <c r="G2343" s="79"/>
    </row>
    <row r="2344" spans="1:7">
      <c r="A2344" s="78"/>
      <c r="B2344" s="37"/>
      <c r="C2344" s="1"/>
      <c r="D2344" s="37"/>
      <c r="E2344" s="37"/>
      <c r="F2344" s="37"/>
      <c r="G2344" s="79"/>
    </row>
    <row r="2345" spans="1:7">
      <c r="A2345" s="78"/>
      <c r="B2345" s="37"/>
      <c r="C2345" s="1"/>
      <c r="D2345" s="37"/>
      <c r="E2345" s="37"/>
      <c r="F2345" s="37"/>
      <c r="G2345" s="79"/>
    </row>
    <row r="2346" spans="1:7">
      <c r="A2346" s="78"/>
      <c r="B2346" s="37"/>
      <c r="C2346" s="1"/>
      <c r="D2346" s="37"/>
      <c r="E2346" s="37"/>
      <c r="F2346" s="37"/>
      <c r="G2346" s="79"/>
    </row>
    <row r="2347" spans="1:7">
      <c r="A2347" s="78"/>
      <c r="B2347" s="37"/>
      <c r="C2347" s="1"/>
      <c r="D2347" s="37"/>
      <c r="E2347" s="37"/>
      <c r="F2347" s="37"/>
      <c r="G2347" s="79"/>
    </row>
    <row r="2348" spans="1:7">
      <c r="A2348" s="78"/>
      <c r="B2348" s="37"/>
      <c r="C2348" s="1"/>
      <c r="D2348" s="37"/>
      <c r="E2348" s="37"/>
      <c r="F2348" s="37"/>
      <c r="G2348" s="79"/>
    </row>
    <row r="2349" spans="1:7">
      <c r="A2349" s="78"/>
      <c r="B2349" s="37"/>
      <c r="C2349" s="1"/>
      <c r="D2349" s="37"/>
      <c r="E2349" s="37"/>
      <c r="F2349" s="37"/>
      <c r="G2349" s="79"/>
    </row>
    <row r="2350" spans="1:7">
      <c r="A2350" s="78"/>
      <c r="B2350" s="37"/>
      <c r="C2350" s="1"/>
      <c r="D2350" s="37"/>
      <c r="E2350" s="37"/>
      <c r="F2350" s="37"/>
      <c r="G2350" s="79"/>
    </row>
    <row r="2351" spans="1:7">
      <c r="A2351" s="78"/>
      <c r="B2351" s="37"/>
      <c r="C2351" s="1"/>
      <c r="D2351" s="37"/>
      <c r="E2351" s="37"/>
      <c r="F2351" s="37"/>
      <c r="G2351" s="79"/>
    </row>
    <row r="2352" spans="1:7">
      <c r="A2352" s="78"/>
      <c r="B2352" s="37"/>
      <c r="C2352" s="1"/>
      <c r="D2352" s="37"/>
      <c r="E2352" s="37"/>
      <c r="F2352" s="37"/>
      <c r="G2352" s="79"/>
    </row>
    <row r="2353" spans="1:7">
      <c r="A2353" s="78"/>
      <c r="B2353" s="37"/>
      <c r="C2353" s="1"/>
      <c r="D2353" s="37"/>
      <c r="E2353" s="37"/>
      <c r="F2353" s="37"/>
      <c r="G2353" s="79"/>
    </row>
    <row r="2354" spans="1:7">
      <c r="A2354" s="78"/>
      <c r="B2354" s="37"/>
      <c r="C2354" s="1"/>
      <c r="D2354" s="37"/>
      <c r="E2354" s="37"/>
      <c r="F2354" s="37"/>
      <c r="G2354" s="79"/>
    </row>
    <row r="2355" spans="1:7">
      <c r="A2355" s="78"/>
      <c r="B2355" s="37"/>
      <c r="C2355" s="1"/>
      <c r="D2355" s="37"/>
      <c r="E2355" s="37"/>
      <c r="F2355" s="37"/>
      <c r="G2355" s="79"/>
    </row>
    <row r="2356" spans="1:7">
      <c r="A2356" s="78"/>
      <c r="B2356" s="37"/>
      <c r="C2356" s="1"/>
      <c r="D2356" s="37"/>
      <c r="E2356" s="37"/>
      <c r="F2356" s="37"/>
      <c r="G2356" s="79"/>
    </row>
    <row r="2357" spans="1:7">
      <c r="A2357" s="78"/>
      <c r="B2357" s="37"/>
      <c r="C2357" s="1"/>
      <c r="D2357" s="37"/>
      <c r="E2357" s="37"/>
      <c r="F2357" s="37"/>
      <c r="G2357" s="79"/>
    </row>
    <row r="2358" spans="1:7">
      <c r="A2358" s="78"/>
      <c r="B2358" s="37"/>
      <c r="C2358" s="1"/>
      <c r="D2358" s="37"/>
      <c r="E2358" s="37"/>
      <c r="F2358" s="37"/>
      <c r="G2358" s="79"/>
    </row>
    <row r="2359" spans="1:7">
      <c r="A2359" s="78"/>
      <c r="B2359" s="37"/>
      <c r="C2359" s="1"/>
      <c r="D2359" s="37"/>
      <c r="E2359" s="37"/>
      <c r="F2359" s="37"/>
      <c r="G2359" s="79"/>
    </row>
    <row r="2360" spans="1:7">
      <c r="A2360" s="78"/>
      <c r="B2360" s="37"/>
      <c r="C2360" s="1"/>
      <c r="D2360" s="37"/>
      <c r="E2360" s="37"/>
      <c r="F2360" s="37"/>
      <c r="G2360" s="79"/>
    </row>
    <row r="2361" spans="1:7">
      <c r="A2361" s="78"/>
      <c r="B2361" s="37"/>
      <c r="C2361" s="1"/>
      <c r="D2361" s="37"/>
      <c r="E2361" s="37"/>
      <c r="F2361" s="37"/>
      <c r="G2361" s="79"/>
    </row>
    <row r="2362" spans="1:7">
      <c r="A2362" s="78"/>
      <c r="B2362" s="37"/>
      <c r="C2362" s="1"/>
      <c r="D2362" s="37"/>
      <c r="E2362" s="37"/>
      <c r="F2362" s="37"/>
      <c r="G2362" s="79"/>
    </row>
    <row r="2363" spans="1:7">
      <c r="A2363" s="78"/>
      <c r="B2363" s="37"/>
      <c r="C2363" s="1"/>
      <c r="D2363" s="37"/>
      <c r="E2363" s="37"/>
      <c r="F2363" s="37"/>
      <c r="G2363" s="79"/>
    </row>
    <row r="2364" spans="1:7">
      <c r="A2364" s="78"/>
      <c r="B2364" s="37"/>
      <c r="C2364" s="1"/>
      <c r="D2364" s="37"/>
      <c r="E2364" s="37"/>
      <c r="F2364" s="37"/>
      <c r="G2364" s="79"/>
    </row>
    <row r="2365" spans="1:7">
      <c r="A2365" s="78"/>
      <c r="B2365" s="37"/>
      <c r="C2365" s="1"/>
      <c r="D2365" s="37"/>
      <c r="E2365" s="37"/>
      <c r="F2365" s="37"/>
      <c r="G2365" s="79"/>
    </row>
    <row r="2366" spans="1:7">
      <c r="A2366" s="78"/>
      <c r="B2366" s="37"/>
      <c r="C2366" s="1"/>
      <c r="D2366" s="37"/>
      <c r="E2366" s="37"/>
      <c r="F2366" s="37"/>
      <c r="G2366" s="79"/>
    </row>
    <row r="2367" spans="1:7">
      <c r="A2367" s="78"/>
      <c r="B2367" s="37"/>
      <c r="C2367" s="1"/>
      <c r="D2367" s="37"/>
      <c r="E2367" s="37"/>
      <c r="F2367" s="37"/>
      <c r="G2367" s="79"/>
    </row>
    <row r="2368" spans="1:7">
      <c r="A2368" s="78"/>
      <c r="B2368" s="37"/>
      <c r="C2368" s="1"/>
      <c r="D2368" s="37"/>
      <c r="E2368" s="37"/>
      <c r="F2368" s="37"/>
      <c r="G2368" s="79"/>
    </row>
    <row r="2369" spans="1:7">
      <c r="A2369" s="78"/>
      <c r="B2369" s="37"/>
      <c r="C2369" s="1"/>
      <c r="D2369" s="37"/>
      <c r="E2369" s="37"/>
      <c r="F2369" s="37"/>
      <c r="G2369" s="79"/>
    </row>
    <row r="2370" spans="1:7">
      <c r="A2370" s="78"/>
      <c r="B2370" s="37"/>
      <c r="C2370" s="1"/>
      <c r="D2370" s="37"/>
      <c r="E2370" s="37"/>
      <c r="F2370" s="37"/>
      <c r="G2370" s="79"/>
    </row>
    <row r="2371" spans="1:7">
      <c r="A2371" s="78"/>
      <c r="B2371" s="37"/>
      <c r="C2371" s="1"/>
      <c r="D2371" s="37"/>
      <c r="E2371" s="37"/>
      <c r="F2371" s="37"/>
      <c r="G2371" s="79"/>
    </row>
    <row r="2372" spans="1:7">
      <c r="A2372" s="78"/>
      <c r="B2372" s="37"/>
      <c r="C2372" s="1"/>
      <c r="D2372" s="37"/>
      <c r="E2372" s="37"/>
      <c r="F2372" s="37"/>
      <c r="G2372" s="79"/>
    </row>
    <row r="2373" spans="1:7">
      <c r="A2373" s="78"/>
      <c r="B2373" s="37"/>
      <c r="C2373" s="1"/>
      <c r="D2373" s="37"/>
      <c r="E2373" s="37"/>
      <c r="F2373" s="37"/>
      <c r="G2373" s="79"/>
    </row>
    <row r="2374" spans="1:7">
      <c r="A2374" s="78"/>
      <c r="B2374" s="37"/>
      <c r="C2374" s="1"/>
      <c r="D2374" s="37"/>
      <c r="E2374" s="37"/>
      <c r="F2374" s="37"/>
      <c r="G2374" s="79"/>
    </row>
    <row r="2375" spans="1:7">
      <c r="A2375" s="78"/>
      <c r="B2375" s="37"/>
      <c r="C2375" s="1"/>
      <c r="D2375" s="37"/>
      <c r="E2375" s="37"/>
      <c r="F2375" s="37"/>
      <c r="G2375" s="79"/>
    </row>
    <row r="2376" spans="1:7">
      <c r="A2376" s="78"/>
      <c r="B2376" s="37"/>
      <c r="C2376" s="1"/>
      <c r="D2376" s="37"/>
      <c r="E2376" s="37"/>
      <c r="F2376" s="37"/>
      <c r="G2376" s="79"/>
    </row>
    <row r="2377" spans="1:7">
      <c r="A2377" s="78"/>
      <c r="B2377" s="37"/>
      <c r="C2377" s="1"/>
      <c r="D2377" s="37"/>
      <c r="E2377" s="37"/>
      <c r="F2377" s="37"/>
      <c r="G2377" s="79"/>
    </row>
    <row r="2378" spans="1:7">
      <c r="A2378" s="78"/>
      <c r="B2378" s="37"/>
      <c r="C2378" s="1"/>
      <c r="D2378" s="37"/>
      <c r="E2378" s="37"/>
      <c r="F2378" s="37"/>
      <c r="G2378" s="79"/>
    </row>
    <row r="2379" spans="1:7">
      <c r="A2379" s="78"/>
      <c r="B2379" s="37"/>
      <c r="C2379" s="1"/>
      <c r="D2379" s="37"/>
      <c r="E2379" s="37"/>
      <c r="F2379" s="37"/>
      <c r="G2379" s="79"/>
    </row>
    <row r="2380" spans="1:7">
      <c r="A2380" s="78"/>
      <c r="B2380" s="37"/>
      <c r="C2380" s="1"/>
      <c r="D2380" s="37"/>
      <c r="E2380" s="37"/>
      <c r="F2380" s="37"/>
      <c r="G2380" s="79"/>
    </row>
    <row r="2381" spans="1:7">
      <c r="A2381" s="78"/>
      <c r="B2381" s="37"/>
      <c r="C2381" s="1"/>
      <c r="D2381" s="37"/>
      <c r="E2381" s="37"/>
      <c r="F2381" s="37"/>
      <c r="G2381" s="79"/>
    </row>
    <row r="2382" spans="1:7">
      <c r="A2382" s="78"/>
      <c r="B2382" s="37"/>
      <c r="C2382" s="1"/>
      <c r="D2382" s="37"/>
      <c r="E2382" s="37"/>
      <c r="F2382" s="37"/>
      <c r="G2382" s="79"/>
    </row>
    <row r="2383" spans="1:7">
      <c r="A2383" s="78"/>
      <c r="B2383" s="37"/>
      <c r="C2383" s="1"/>
      <c r="D2383" s="37"/>
      <c r="E2383" s="37"/>
      <c r="F2383" s="37"/>
      <c r="G2383" s="79"/>
    </row>
    <row r="2384" spans="1:7">
      <c r="A2384" s="78"/>
      <c r="B2384" s="37"/>
      <c r="C2384" s="1"/>
      <c r="D2384" s="37"/>
      <c r="E2384" s="37"/>
      <c r="F2384" s="37"/>
      <c r="G2384" s="79"/>
    </row>
    <row r="2385" spans="1:7">
      <c r="A2385" s="78"/>
      <c r="B2385" s="37"/>
      <c r="C2385" s="1"/>
      <c r="D2385" s="37"/>
      <c r="E2385" s="37"/>
      <c r="F2385" s="37"/>
      <c r="G2385" s="79"/>
    </row>
    <row r="2386" spans="1:7">
      <c r="A2386" s="78"/>
      <c r="B2386" s="37"/>
      <c r="C2386" s="1"/>
      <c r="D2386" s="37"/>
      <c r="E2386" s="37"/>
      <c r="F2386" s="37"/>
      <c r="G2386" s="79"/>
    </row>
    <row r="2387" spans="1:7">
      <c r="A2387" s="78"/>
      <c r="B2387" s="37"/>
      <c r="C2387" s="1"/>
      <c r="D2387" s="37"/>
      <c r="E2387" s="37"/>
      <c r="F2387" s="37"/>
      <c r="G2387" s="79"/>
    </row>
    <row r="2388" spans="1:7">
      <c r="A2388" s="78"/>
      <c r="B2388" s="37"/>
      <c r="C2388" s="1"/>
      <c r="D2388" s="37"/>
      <c r="E2388" s="37"/>
      <c r="F2388" s="37"/>
      <c r="G2388" s="79"/>
    </row>
    <row r="2389" spans="1:7">
      <c r="A2389" s="78"/>
      <c r="B2389" s="37"/>
      <c r="C2389" s="1"/>
      <c r="D2389" s="37"/>
      <c r="E2389" s="37"/>
      <c r="F2389" s="37"/>
      <c r="G2389" s="79"/>
    </row>
    <row r="2390" spans="1:7">
      <c r="A2390" s="78"/>
      <c r="B2390" s="37"/>
      <c r="C2390" s="1"/>
      <c r="D2390" s="37"/>
      <c r="E2390" s="37"/>
      <c r="F2390" s="37"/>
      <c r="G2390" s="79"/>
    </row>
    <row r="2391" spans="1:7">
      <c r="A2391" s="78"/>
      <c r="B2391" s="37"/>
      <c r="C2391" s="1"/>
      <c r="D2391" s="37"/>
      <c r="E2391" s="37"/>
      <c r="F2391" s="37"/>
      <c r="G2391" s="79"/>
    </row>
    <row r="2392" spans="1:7">
      <c r="A2392" s="78"/>
      <c r="B2392" s="37"/>
      <c r="C2392" s="1"/>
      <c r="D2392" s="37"/>
      <c r="E2392" s="37"/>
      <c r="F2392" s="37"/>
      <c r="G2392" s="79"/>
    </row>
    <row r="2393" spans="1:7">
      <c r="A2393" s="78"/>
      <c r="B2393" s="37"/>
      <c r="C2393" s="1"/>
      <c r="D2393" s="37"/>
      <c r="E2393" s="37"/>
      <c r="F2393" s="37"/>
      <c r="G2393" s="79"/>
    </row>
    <row r="2394" spans="1:7">
      <c r="A2394" s="78"/>
      <c r="B2394" s="37"/>
      <c r="C2394" s="1"/>
      <c r="D2394" s="37"/>
      <c r="E2394" s="37"/>
      <c r="F2394" s="37"/>
      <c r="G2394" s="79"/>
    </row>
    <row r="2395" spans="1:7">
      <c r="A2395" s="78"/>
      <c r="B2395" s="37"/>
      <c r="C2395" s="1"/>
      <c r="D2395" s="37"/>
      <c r="E2395" s="37"/>
      <c r="F2395" s="37"/>
      <c r="G2395" s="79"/>
    </row>
    <row r="2396" spans="1:7">
      <c r="A2396" s="78"/>
      <c r="B2396" s="37"/>
      <c r="C2396" s="1"/>
      <c r="D2396" s="37"/>
      <c r="E2396" s="37"/>
      <c r="F2396" s="37"/>
      <c r="G2396" s="79"/>
    </row>
    <row r="2397" spans="1:7">
      <c r="A2397" s="78"/>
      <c r="B2397" s="37"/>
      <c r="C2397" s="1"/>
      <c r="D2397" s="37"/>
      <c r="E2397" s="37"/>
      <c r="F2397" s="37"/>
      <c r="G2397" s="79"/>
    </row>
    <row r="2398" spans="1:7">
      <c r="A2398" s="78"/>
      <c r="B2398" s="37"/>
      <c r="C2398" s="1"/>
      <c r="D2398" s="37"/>
      <c r="E2398" s="37"/>
      <c r="F2398" s="37"/>
      <c r="G2398" s="79"/>
    </row>
    <row r="2399" spans="1:7">
      <c r="A2399" s="78"/>
      <c r="B2399" s="37"/>
      <c r="C2399" s="1"/>
      <c r="D2399" s="37"/>
      <c r="E2399" s="37"/>
      <c r="F2399" s="37"/>
      <c r="G2399" s="79"/>
    </row>
    <row r="2400" spans="1:7">
      <c r="A2400" s="78"/>
      <c r="B2400" s="37"/>
      <c r="C2400" s="1"/>
      <c r="D2400" s="37"/>
      <c r="E2400" s="37"/>
      <c r="F2400" s="37"/>
      <c r="G2400" s="79"/>
    </row>
    <row r="2401" spans="1:7">
      <c r="A2401" s="78"/>
      <c r="B2401" s="37"/>
      <c r="C2401" s="1"/>
      <c r="D2401" s="37"/>
      <c r="E2401" s="37"/>
      <c r="F2401" s="37"/>
      <c r="G2401" s="79"/>
    </row>
    <row r="2402" spans="1:7">
      <c r="A2402" s="78"/>
      <c r="B2402" s="37"/>
      <c r="C2402" s="1"/>
      <c r="D2402" s="37"/>
      <c r="E2402" s="37"/>
      <c r="F2402" s="37"/>
      <c r="G2402" s="79"/>
    </row>
    <row r="2403" spans="1:7">
      <c r="A2403" s="78"/>
      <c r="B2403" s="37"/>
      <c r="C2403" s="1"/>
      <c r="D2403" s="37"/>
      <c r="E2403" s="37"/>
      <c r="F2403" s="37"/>
      <c r="G2403" s="79"/>
    </row>
    <row r="2404" spans="1:7">
      <c r="A2404" s="78"/>
      <c r="B2404" s="37"/>
      <c r="C2404" s="1"/>
      <c r="D2404" s="37"/>
      <c r="E2404" s="37"/>
      <c r="F2404" s="37"/>
      <c r="G2404" s="79"/>
    </row>
    <row r="2405" spans="1:7">
      <c r="A2405" s="78"/>
      <c r="B2405" s="37"/>
      <c r="C2405" s="1"/>
      <c r="D2405" s="37"/>
      <c r="E2405" s="37"/>
      <c r="F2405" s="37"/>
      <c r="G2405" s="79"/>
    </row>
    <row r="2406" spans="1:7">
      <c r="A2406" s="78"/>
      <c r="B2406" s="37"/>
      <c r="C2406" s="1"/>
      <c r="D2406" s="37"/>
      <c r="E2406" s="37"/>
      <c r="F2406" s="37"/>
      <c r="G2406" s="79"/>
    </row>
    <row r="2407" spans="1:7">
      <c r="A2407" s="78"/>
      <c r="B2407" s="37"/>
      <c r="C2407" s="1"/>
      <c r="D2407" s="37"/>
      <c r="E2407" s="37"/>
      <c r="F2407" s="37"/>
      <c r="G2407" s="79"/>
    </row>
    <row r="2408" spans="1:7">
      <c r="A2408" s="78"/>
      <c r="B2408" s="37"/>
      <c r="C2408" s="1"/>
      <c r="D2408" s="37"/>
      <c r="E2408" s="37"/>
      <c r="F2408" s="37"/>
      <c r="G2408" s="79"/>
    </row>
    <row r="2409" spans="1:7">
      <c r="A2409" s="78"/>
      <c r="B2409" s="37"/>
      <c r="C2409" s="1"/>
      <c r="D2409" s="37"/>
      <c r="E2409" s="37"/>
      <c r="F2409" s="37"/>
      <c r="G2409" s="79"/>
    </row>
    <row r="2410" spans="1:7">
      <c r="A2410" s="78"/>
      <c r="B2410" s="37"/>
      <c r="C2410" s="1"/>
      <c r="D2410" s="37"/>
      <c r="E2410" s="37"/>
      <c r="F2410" s="37"/>
      <c r="G2410" s="79"/>
    </row>
    <row r="2411" spans="1:7">
      <c r="A2411" s="78"/>
      <c r="B2411" s="37"/>
      <c r="C2411" s="1"/>
      <c r="D2411" s="37"/>
      <c r="E2411" s="37"/>
      <c r="F2411" s="37"/>
      <c r="G2411" s="79"/>
    </row>
    <row r="2412" spans="1:7">
      <c r="A2412" s="78"/>
      <c r="B2412" s="37"/>
      <c r="C2412" s="1"/>
      <c r="D2412" s="37"/>
      <c r="E2412" s="37"/>
      <c r="F2412" s="37"/>
      <c r="G2412" s="79"/>
    </row>
    <row r="2413" spans="1:7">
      <c r="A2413" s="78"/>
      <c r="B2413" s="37"/>
      <c r="C2413" s="1"/>
      <c r="D2413" s="37"/>
      <c r="E2413" s="37"/>
      <c r="F2413" s="37"/>
      <c r="G2413" s="79"/>
    </row>
    <row r="2414" spans="1:7">
      <c r="A2414" s="78"/>
      <c r="B2414" s="37"/>
      <c r="C2414" s="1"/>
      <c r="D2414" s="37"/>
      <c r="E2414" s="37"/>
      <c r="F2414" s="37"/>
      <c r="G2414" s="79"/>
    </row>
    <row r="2415" spans="1:7">
      <c r="A2415" s="78"/>
      <c r="B2415" s="37"/>
      <c r="C2415" s="1"/>
      <c r="D2415" s="37"/>
      <c r="E2415" s="37"/>
      <c r="F2415" s="37"/>
      <c r="G2415" s="79"/>
    </row>
    <row r="2416" spans="1:7">
      <c r="A2416" s="78"/>
      <c r="B2416" s="37"/>
      <c r="C2416" s="1"/>
      <c r="D2416" s="37"/>
      <c r="E2416" s="37"/>
      <c r="F2416" s="37"/>
      <c r="G2416" s="79"/>
    </row>
    <row r="2417" spans="1:7">
      <c r="A2417" s="78"/>
      <c r="B2417" s="37"/>
      <c r="C2417" s="1"/>
      <c r="D2417" s="37"/>
      <c r="E2417" s="37"/>
      <c r="F2417" s="37"/>
      <c r="G2417" s="79"/>
    </row>
    <row r="2418" spans="1:7">
      <c r="A2418" s="78"/>
      <c r="B2418" s="37"/>
      <c r="C2418" s="1"/>
      <c r="D2418" s="37"/>
      <c r="E2418" s="37"/>
      <c r="F2418" s="37"/>
      <c r="G2418" s="79"/>
    </row>
    <row r="2419" spans="1:7">
      <c r="A2419" s="78"/>
      <c r="B2419" s="37"/>
      <c r="C2419" s="1"/>
      <c r="D2419" s="37"/>
      <c r="E2419" s="37"/>
      <c r="F2419" s="37"/>
      <c r="G2419" s="79"/>
    </row>
    <row r="2420" spans="1:7">
      <c r="A2420" s="78"/>
      <c r="B2420" s="37"/>
      <c r="C2420" s="1"/>
      <c r="D2420" s="37"/>
      <c r="E2420" s="37"/>
      <c r="F2420" s="37"/>
      <c r="G2420" s="79"/>
    </row>
    <row r="2421" spans="1:7">
      <c r="A2421" s="78"/>
      <c r="B2421" s="37"/>
      <c r="C2421" s="1"/>
      <c r="D2421" s="37"/>
      <c r="E2421" s="37"/>
      <c r="F2421" s="37"/>
      <c r="G2421" s="79"/>
    </row>
    <row r="2422" spans="1:7">
      <c r="A2422" s="78"/>
      <c r="B2422" s="37"/>
      <c r="C2422" s="1"/>
      <c r="D2422" s="37"/>
      <c r="E2422" s="37"/>
      <c r="F2422" s="37"/>
      <c r="G2422" s="79"/>
    </row>
    <row r="2423" spans="1:7">
      <c r="A2423" s="78"/>
      <c r="B2423" s="37"/>
      <c r="C2423" s="1"/>
      <c r="D2423" s="37"/>
      <c r="E2423" s="37"/>
      <c r="F2423" s="37"/>
      <c r="G2423" s="79"/>
    </row>
    <row r="2424" spans="1:7">
      <c r="A2424" s="78"/>
      <c r="B2424" s="37"/>
      <c r="C2424" s="1"/>
      <c r="D2424" s="37"/>
      <c r="E2424" s="37"/>
      <c r="F2424" s="37"/>
      <c r="G2424" s="79"/>
    </row>
    <row r="2425" spans="1:7">
      <c r="A2425" s="78"/>
      <c r="B2425" s="37"/>
      <c r="C2425" s="1"/>
      <c r="D2425" s="37"/>
      <c r="E2425" s="37"/>
      <c r="F2425" s="37"/>
      <c r="G2425" s="79"/>
    </row>
    <row r="2426" spans="1:7">
      <c r="A2426" s="78"/>
      <c r="B2426" s="37"/>
      <c r="C2426" s="1"/>
      <c r="D2426" s="37"/>
      <c r="E2426" s="37"/>
      <c r="F2426" s="37"/>
      <c r="G2426" s="79"/>
    </row>
    <row r="2427" spans="1:7">
      <c r="A2427" s="78"/>
      <c r="B2427" s="37"/>
      <c r="C2427" s="1"/>
      <c r="D2427" s="37"/>
      <c r="E2427" s="37"/>
      <c r="F2427" s="37"/>
      <c r="G2427" s="79"/>
    </row>
    <row r="2428" spans="1:7">
      <c r="A2428" s="78"/>
      <c r="B2428" s="37"/>
      <c r="C2428" s="1"/>
      <c r="D2428" s="37"/>
      <c r="E2428" s="37"/>
      <c r="F2428" s="37"/>
      <c r="G2428" s="79"/>
    </row>
    <row r="2429" spans="1:7">
      <c r="A2429" s="78"/>
      <c r="B2429" s="37"/>
      <c r="C2429" s="1"/>
      <c r="D2429" s="37"/>
      <c r="E2429" s="37"/>
      <c r="F2429" s="37"/>
      <c r="G2429" s="79"/>
    </row>
    <row r="2430" spans="1:7">
      <c r="A2430" s="78"/>
      <c r="B2430" s="37"/>
      <c r="C2430" s="1"/>
      <c r="D2430" s="37"/>
      <c r="E2430" s="37"/>
      <c r="F2430" s="37"/>
      <c r="G2430" s="79"/>
    </row>
    <row r="2431" spans="1:7">
      <c r="A2431" s="78"/>
      <c r="B2431" s="37"/>
      <c r="C2431" s="1"/>
      <c r="D2431" s="37"/>
      <c r="E2431" s="37"/>
      <c r="F2431" s="37"/>
      <c r="G2431" s="79"/>
    </row>
    <row r="2432" spans="1:7">
      <c r="A2432" s="78"/>
      <c r="B2432" s="37"/>
      <c r="C2432" s="1"/>
      <c r="D2432" s="37"/>
      <c r="E2432" s="37"/>
      <c r="F2432" s="37"/>
      <c r="G2432" s="79"/>
    </row>
    <row r="2433" spans="1:7">
      <c r="A2433" s="78"/>
      <c r="B2433" s="37"/>
      <c r="C2433" s="1"/>
      <c r="D2433" s="37"/>
      <c r="E2433" s="37"/>
      <c r="F2433" s="37"/>
      <c r="G2433" s="79"/>
    </row>
    <row r="2434" spans="1:7">
      <c r="A2434" s="78"/>
      <c r="B2434" s="37"/>
      <c r="C2434" s="1"/>
      <c r="D2434" s="37"/>
      <c r="E2434" s="37"/>
      <c r="F2434" s="37"/>
      <c r="G2434" s="79"/>
    </row>
    <row r="2435" spans="1:7">
      <c r="A2435" s="78"/>
      <c r="B2435" s="37"/>
      <c r="C2435" s="1"/>
      <c r="D2435" s="37"/>
      <c r="E2435" s="37"/>
      <c r="F2435" s="37"/>
      <c r="G2435" s="79"/>
    </row>
    <row r="2436" spans="1:7">
      <c r="A2436" s="78"/>
      <c r="B2436" s="37"/>
      <c r="C2436" s="1"/>
      <c r="D2436" s="37"/>
      <c r="E2436" s="37"/>
      <c r="F2436" s="37"/>
      <c r="G2436" s="79"/>
    </row>
    <row r="2437" spans="1:7">
      <c r="A2437" s="78"/>
      <c r="B2437" s="37"/>
      <c r="C2437" s="1"/>
      <c r="D2437" s="37"/>
      <c r="E2437" s="37"/>
      <c r="F2437" s="37"/>
      <c r="G2437" s="79"/>
    </row>
    <row r="2438" spans="1:7">
      <c r="A2438" s="78"/>
      <c r="B2438" s="37"/>
      <c r="C2438" s="1"/>
      <c r="D2438" s="37"/>
      <c r="E2438" s="37"/>
      <c r="F2438" s="37"/>
      <c r="G2438" s="79"/>
    </row>
    <row r="2439" spans="1:7">
      <c r="A2439" s="78"/>
      <c r="B2439" s="37"/>
      <c r="C2439" s="1"/>
      <c r="D2439" s="37"/>
      <c r="E2439" s="37"/>
      <c r="F2439" s="37"/>
      <c r="G2439" s="79"/>
    </row>
    <row r="2440" spans="1:7">
      <c r="A2440" s="78"/>
      <c r="B2440" s="37"/>
      <c r="C2440" s="1"/>
      <c r="D2440" s="37"/>
      <c r="E2440" s="37"/>
      <c r="F2440" s="37"/>
      <c r="G2440" s="79"/>
    </row>
    <row r="2441" spans="1:7">
      <c r="A2441" s="78"/>
      <c r="B2441" s="37"/>
      <c r="C2441" s="1"/>
      <c r="D2441" s="37"/>
      <c r="E2441" s="37"/>
      <c r="F2441" s="37"/>
      <c r="G2441" s="79"/>
    </row>
    <row r="2442" spans="1:7">
      <c r="A2442" s="78"/>
      <c r="B2442" s="37"/>
      <c r="C2442" s="1"/>
      <c r="D2442" s="37"/>
      <c r="E2442" s="37"/>
      <c r="F2442" s="37"/>
      <c r="G2442" s="79"/>
    </row>
    <row r="2443" spans="1:7">
      <c r="A2443" s="78"/>
      <c r="B2443" s="37"/>
      <c r="C2443" s="1"/>
      <c r="D2443" s="37"/>
      <c r="E2443" s="37"/>
      <c r="F2443" s="37"/>
      <c r="G2443" s="79"/>
    </row>
    <row r="2444" spans="1:7">
      <c r="A2444" s="78"/>
      <c r="B2444" s="37"/>
      <c r="C2444" s="1"/>
      <c r="D2444" s="37"/>
      <c r="E2444" s="37"/>
      <c r="F2444" s="37"/>
      <c r="G2444" s="79"/>
    </row>
    <row r="2445" spans="1:7">
      <c r="A2445" s="78"/>
      <c r="B2445" s="37"/>
      <c r="C2445" s="1"/>
      <c r="D2445" s="37"/>
      <c r="E2445" s="37"/>
      <c r="F2445" s="37"/>
      <c r="G2445" s="79"/>
    </row>
    <row r="2446" spans="1:7">
      <c r="A2446" s="78"/>
      <c r="B2446" s="37"/>
      <c r="C2446" s="1"/>
      <c r="D2446" s="37"/>
      <c r="E2446" s="37"/>
      <c r="F2446" s="37"/>
      <c r="G2446" s="79"/>
    </row>
    <row r="2447" spans="1:7">
      <c r="A2447" s="78"/>
      <c r="B2447" s="37"/>
      <c r="C2447" s="1"/>
      <c r="D2447" s="37"/>
      <c r="E2447" s="37"/>
      <c r="F2447" s="37"/>
      <c r="G2447" s="79"/>
    </row>
    <row r="2448" spans="1:7">
      <c r="A2448" s="78"/>
      <c r="B2448" s="37"/>
      <c r="C2448" s="1"/>
      <c r="D2448" s="37"/>
      <c r="E2448" s="37"/>
      <c r="F2448" s="37"/>
      <c r="G2448" s="79"/>
    </row>
    <row r="2449" spans="1:7">
      <c r="A2449" s="78"/>
      <c r="B2449" s="37"/>
      <c r="C2449" s="1"/>
      <c r="D2449" s="37"/>
      <c r="E2449" s="37"/>
      <c r="F2449" s="37"/>
      <c r="G2449" s="79"/>
    </row>
    <row r="2450" spans="1:7">
      <c r="A2450" s="78"/>
      <c r="B2450" s="37"/>
      <c r="C2450" s="1"/>
      <c r="D2450" s="37"/>
      <c r="E2450" s="37"/>
      <c r="F2450" s="37"/>
      <c r="G2450" s="79"/>
    </row>
    <row r="2451" spans="1:7">
      <c r="A2451" s="78"/>
      <c r="B2451" s="37"/>
      <c r="C2451" s="1"/>
      <c r="D2451" s="37"/>
      <c r="E2451" s="37"/>
      <c r="F2451" s="37"/>
      <c r="G2451" s="79"/>
    </row>
    <row r="2452" spans="1:7">
      <c r="A2452" s="78"/>
      <c r="B2452" s="37"/>
      <c r="C2452" s="1"/>
      <c r="D2452" s="37"/>
      <c r="E2452" s="37"/>
      <c r="F2452" s="37"/>
      <c r="G2452" s="79"/>
    </row>
    <row r="2453" spans="1:7">
      <c r="A2453" s="78"/>
      <c r="B2453" s="37"/>
      <c r="C2453" s="1"/>
      <c r="D2453" s="37"/>
      <c r="E2453" s="37"/>
      <c r="F2453" s="37"/>
      <c r="G2453" s="79"/>
    </row>
    <row r="2454" spans="1:7">
      <c r="A2454" s="78"/>
      <c r="B2454" s="37"/>
      <c r="C2454" s="1"/>
      <c r="D2454" s="37"/>
      <c r="E2454" s="37"/>
      <c r="F2454" s="37"/>
      <c r="G2454" s="79"/>
    </row>
    <row r="2455" spans="1:7">
      <c r="A2455" s="78"/>
      <c r="B2455" s="37"/>
      <c r="C2455" s="1"/>
      <c r="D2455" s="37"/>
      <c r="E2455" s="37"/>
      <c r="F2455" s="37"/>
      <c r="G2455" s="79"/>
    </row>
    <row r="2456" spans="1:7">
      <c r="A2456" s="78"/>
      <c r="B2456" s="37"/>
      <c r="C2456" s="1"/>
      <c r="D2456" s="37"/>
      <c r="E2456" s="37"/>
      <c r="F2456" s="37"/>
      <c r="G2456" s="79"/>
    </row>
    <row r="2457" spans="1:7">
      <c r="A2457" s="78"/>
      <c r="B2457" s="37"/>
      <c r="C2457" s="1"/>
      <c r="D2457" s="37"/>
      <c r="E2457" s="37"/>
      <c r="F2457" s="37"/>
      <c r="G2457" s="79"/>
    </row>
    <row r="2458" spans="1:7">
      <c r="A2458" s="78"/>
      <c r="B2458" s="37"/>
      <c r="C2458" s="1"/>
      <c r="D2458" s="37"/>
      <c r="E2458" s="37"/>
      <c r="F2458" s="37"/>
      <c r="G2458" s="79"/>
    </row>
    <row r="2459" spans="1:7">
      <c r="A2459" s="78"/>
      <c r="B2459" s="37"/>
      <c r="C2459" s="1"/>
      <c r="D2459" s="37"/>
      <c r="E2459" s="37"/>
      <c r="F2459" s="37"/>
      <c r="G2459" s="79"/>
    </row>
    <row r="2460" spans="1:7">
      <c r="A2460" s="78"/>
      <c r="B2460" s="37"/>
      <c r="C2460" s="1"/>
      <c r="D2460" s="37"/>
      <c r="E2460" s="37"/>
      <c r="F2460" s="37"/>
      <c r="G2460" s="79"/>
    </row>
    <row r="2461" spans="1:7">
      <c r="A2461" s="78"/>
      <c r="B2461" s="37"/>
      <c r="C2461" s="1"/>
      <c r="D2461" s="37"/>
      <c r="E2461" s="37"/>
      <c r="F2461" s="37"/>
      <c r="G2461" s="79"/>
    </row>
    <row r="2462" spans="1:7">
      <c r="A2462" s="78"/>
      <c r="B2462" s="37"/>
      <c r="C2462" s="1"/>
      <c r="D2462" s="37"/>
      <c r="E2462" s="37"/>
      <c r="F2462" s="37"/>
      <c r="G2462" s="79"/>
    </row>
    <row r="2463" spans="1:7">
      <c r="A2463" s="78"/>
      <c r="B2463" s="37"/>
      <c r="C2463" s="1"/>
      <c r="D2463" s="37"/>
      <c r="E2463" s="37"/>
      <c r="F2463" s="37"/>
      <c r="G2463" s="79"/>
    </row>
    <row r="2464" spans="1:7">
      <c r="A2464" s="78"/>
      <c r="B2464" s="37"/>
      <c r="C2464" s="1"/>
      <c r="D2464" s="37"/>
      <c r="E2464" s="37"/>
      <c r="F2464" s="37"/>
      <c r="G2464" s="79"/>
    </row>
    <row r="2465" spans="1:7">
      <c r="A2465" s="78"/>
      <c r="B2465" s="37"/>
      <c r="C2465" s="1"/>
      <c r="D2465" s="37"/>
      <c r="E2465" s="37"/>
      <c r="F2465" s="37"/>
      <c r="G2465" s="79"/>
    </row>
    <row r="2466" spans="1:7">
      <c r="A2466" s="78"/>
      <c r="B2466" s="37"/>
      <c r="C2466" s="1"/>
      <c r="D2466" s="37"/>
      <c r="E2466" s="37"/>
      <c r="F2466" s="37"/>
      <c r="G2466" s="79"/>
    </row>
    <row r="2467" spans="1:7">
      <c r="A2467" s="78"/>
      <c r="B2467" s="37"/>
      <c r="C2467" s="1"/>
      <c r="D2467" s="37"/>
      <c r="E2467" s="37"/>
      <c r="F2467" s="37"/>
      <c r="G2467" s="79"/>
    </row>
    <row r="2468" spans="1:7">
      <c r="A2468" s="78"/>
      <c r="B2468" s="37"/>
      <c r="C2468" s="1"/>
      <c r="D2468" s="37"/>
      <c r="E2468" s="37"/>
      <c r="F2468" s="37"/>
      <c r="G2468" s="79"/>
    </row>
    <row r="2469" spans="1:7">
      <c r="A2469" s="78"/>
      <c r="B2469" s="37"/>
      <c r="C2469" s="1"/>
      <c r="D2469" s="37"/>
      <c r="E2469" s="37"/>
      <c r="F2469" s="37"/>
      <c r="G2469" s="79"/>
    </row>
    <row r="2470" spans="1:7">
      <c r="A2470" s="78"/>
      <c r="B2470" s="37"/>
      <c r="C2470" s="1"/>
      <c r="D2470" s="37"/>
      <c r="E2470" s="37"/>
      <c r="F2470" s="37"/>
      <c r="G2470" s="79"/>
    </row>
    <row r="2471" spans="1:7">
      <c r="A2471" s="78"/>
      <c r="B2471" s="37"/>
      <c r="C2471" s="1"/>
      <c r="D2471" s="37"/>
      <c r="E2471" s="37"/>
      <c r="F2471" s="37"/>
      <c r="G2471" s="79"/>
    </row>
    <row r="2472" spans="1:7">
      <c r="A2472" s="78"/>
      <c r="B2472" s="37"/>
      <c r="C2472" s="1"/>
      <c r="D2472" s="37"/>
      <c r="E2472" s="37"/>
      <c r="F2472" s="37"/>
      <c r="G2472" s="79"/>
    </row>
    <row r="2473" spans="1:7">
      <c r="A2473" s="78"/>
      <c r="B2473" s="37"/>
      <c r="C2473" s="1"/>
      <c r="D2473" s="37"/>
      <c r="E2473" s="37"/>
      <c r="F2473" s="37"/>
      <c r="G2473" s="79"/>
    </row>
    <row r="2474" spans="1:7">
      <c r="A2474" s="78"/>
      <c r="B2474" s="37"/>
      <c r="C2474" s="1"/>
      <c r="D2474" s="37"/>
      <c r="E2474" s="37"/>
      <c r="F2474" s="37"/>
      <c r="G2474" s="79"/>
    </row>
    <row r="2475" spans="1:7">
      <c r="A2475" s="78"/>
      <c r="B2475" s="37"/>
      <c r="C2475" s="1"/>
      <c r="D2475" s="37"/>
      <c r="E2475" s="37"/>
      <c r="F2475" s="37"/>
      <c r="G2475" s="79"/>
    </row>
    <row r="2476" spans="1:7">
      <c r="A2476" s="78"/>
      <c r="B2476" s="37"/>
      <c r="C2476" s="1"/>
      <c r="D2476" s="37"/>
      <c r="E2476" s="37"/>
      <c r="F2476" s="37"/>
      <c r="G2476" s="79"/>
    </row>
    <row r="2477" spans="1:7">
      <c r="A2477" s="78"/>
      <c r="B2477" s="37"/>
      <c r="C2477" s="1"/>
      <c r="D2477" s="37"/>
      <c r="E2477" s="37"/>
      <c r="F2477" s="37"/>
      <c r="G2477" s="79"/>
    </row>
    <row r="2478" spans="1:7">
      <c r="A2478" s="78"/>
      <c r="B2478" s="37"/>
      <c r="C2478" s="1"/>
      <c r="D2478" s="37"/>
      <c r="E2478" s="37"/>
      <c r="F2478" s="37"/>
      <c r="G2478" s="79"/>
    </row>
    <row r="2479" spans="1:7">
      <c r="A2479" s="78"/>
      <c r="B2479" s="37"/>
      <c r="C2479" s="1"/>
      <c r="D2479" s="37"/>
      <c r="E2479" s="37"/>
      <c r="F2479" s="37"/>
      <c r="G2479" s="79"/>
    </row>
    <row r="2480" spans="1:7">
      <c r="A2480" s="78"/>
      <c r="B2480" s="37"/>
      <c r="C2480" s="1"/>
      <c r="D2480" s="37"/>
      <c r="E2480" s="37"/>
      <c r="F2480" s="37"/>
      <c r="G2480" s="79"/>
    </row>
    <row r="2481" spans="1:7">
      <c r="A2481" s="78"/>
      <c r="B2481" s="37"/>
      <c r="C2481" s="1"/>
      <c r="D2481" s="37"/>
      <c r="E2481" s="37"/>
      <c r="F2481" s="37"/>
      <c r="G2481" s="79"/>
    </row>
    <row r="2482" spans="1:7">
      <c r="A2482" s="78"/>
      <c r="B2482" s="37"/>
      <c r="C2482" s="1"/>
      <c r="D2482" s="37"/>
      <c r="E2482" s="37"/>
      <c r="F2482" s="37"/>
      <c r="G2482" s="79"/>
    </row>
    <row r="2483" spans="1:7">
      <c r="A2483" s="78"/>
      <c r="B2483" s="37"/>
      <c r="C2483" s="1"/>
      <c r="D2483" s="37"/>
      <c r="E2483" s="37"/>
      <c r="F2483" s="37"/>
      <c r="G2483" s="79"/>
    </row>
    <row r="2484" spans="1:7">
      <c r="A2484" s="78"/>
      <c r="B2484" s="37"/>
      <c r="C2484" s="1"/>
      <c r="D2484" s="37"/>
      <c r="E2484" s="37"/>
      <c r="F2484" s="37"/>
      <c r="G2484" s="79"/>
    </row>
    <row r="2485" spans="1:7">
      <c r="A2485" s="78"/>
      <c r="B2485" s="37"/>
      <c r="C2485" s="1"/>
      <c r="D2485" s="37"/>
      <c r="E2485" s="37"/>
      <c r="F2485" s="37"/>
      <c r="G2485" s="79"/>
    </row>
    <row r="2486" spans="1:7">
      <c r="A2486" s="78"/>
      <c r="B2486" s="37"/>
      <c r="C2486" s="1"/>
      <c r="D2486" s="37"/>
      <c r="E2486" s="37"/>
      <c r="F2486" s="37"/>
      <c r="G2486" s="79"/>
    </row>
    <row r="2487" spans="1:7">
      <c r="A2487" s="78"/>
      <c r="B2487" s="37"/>
      <c r="C2487" s="1"/>
      <c r="D2487" s="37"/>
      <c r="E2487" s="37"/>
      <c r="F2487" s="37"/>
      <c r="G2487" s="79"/>
    </row>
    <row r="2488" spans="1:7">
      <c r="A2488" s="78"/>
      <c r="B2488" s="37"/>
      <c r="C2488" s="1"/>
      <c r="D2488" s="37"/>
      <c r="E2488" s="37"/>
      <c r="F2488" s="37"/>
      <c r="G2488" s="79"/>
    </row>
    <row r="2489" spans="1:7">
      <c r="A2489" s="78"/>
      <c r="B2489" s="37"/>
      <c r="C2489" s="1"/>
      <c r="D2489" s="37"/>
      <c r="E2489" s="37"/>
      <c r="F2489" s="37"/>
      <c r="G2489" s="79"/>
    </row>
    <row r="2490" spans="1:7">
      <c r="A2490" s="78"/>
      <c r="B2490" s="37"/>
      <c r="C2490" s="1"/>
      <c r="D2490" s="37"/>
      <c r="E2490" s="37"/>
      <c r="F2490" s="37"/>
      <c r="G2490" s="79"/>
    </row>
    <row r="2491" spans="1:7">
      <c r="A2491" s="78"/>
      <c r="B2491" s="37"/>
      <c r="C2491" s="1"/>
      <c r="D2491" s="37"/>
      <c r="E2491" s="37"/>
      <c r="F2491" s="37"/>
      <c r="G2491" s="79"/>
    </row>
    <row r="2492" spans="1:7">
      <c r="A2492" s="78"/>
      <c r="B2492" s="37"/>
      <c r="C2492" s="1"/>
      <c r="D2492" s="37"/>
      <c r="E2492" s="37"/>
      <c r="F2492" s="37"/>
      <c r="G2492" s="79"/>
    </row>
    <row r="2493" spans="1:7">
      <c r="A2493" s="78"/>
      <c r="B2493" s="37"/>
      <c r="C2493" s="1"/>
      <c r="D2493" s="37"/>
      <c r="E2493" s="37"/>
      <c r="F2493" s="37"/>
      <c r="G2493" s="79"/>
    </row>
    <row r="2494" spans="1:7">
      <c r="A2494" s="78"/>
      <c r="B2494" s="37"/>
      <c r="C2494" s="1"/>
      <c r="D2494" s="37"/>
      <c r="E2494" s="37"/>
      <c r="F2494" s="37"/>
      <c r="G2494" s="79"/>
    </row>
    <row r="2495" spans="1:7">
      <c r="A2495" s="78"/>
      <c r="B2495" s="37"/>
      <c r="C2495" s="1"/>
      <c r="D2495" s="37"/>
      <c r="E2495" s="37"/>
      <c r="F2495" s="37"/>
      <c r="G2495" s="79"/>
    </row>
    <row r="2496" spans="1:7">
      <c r="A2496" s="78"/>
      <c r="B2496" s="37"/>
      <c r="C2496" s="1"/>
      <c r="D2496" s="37"/>
      <c r="E2496" s="37"/>
      <c r="F2496" s="37"/>
      <c r="G2496" s="79"/>
    </row>
    <row r="2497" spans="1:7">
      <c r="A2497" s="78"/>
      <c r="B2497" s="37"/>
      <c r="C2497" s="1"/>
      <c r="D2497" s="37"/>
      <c r="E2497" s="37"/>
      <c r="F2497" s="37"/>
      <c r="G2497" s="79"/>
    </row>
    <row r="2498" spans="1:7">
      <c r="A2498" s="78"/>
      <c r="B2498" s="37"/>
      <c r="C2498" s="1"/>
      <c r="D2498" s="37"/>
      <c r="E2498" s="37"/>
      <c r="F2498" s="37"/>
      <c r="G2498" s="79"/>
    </row>
    <row r="2499" spans="1:7">
      <c r="A2499" s="78"/>
      <c r="B2499" s="37"/>
      <c r="C2499" s="1"/>
      <c r="D2499" s="37"/>
      <c r="E2499" s="37"/>
      <c r="F2499" s="37"/>
      <c r="G2499" s="79"/>
    </row>
    <row r="2500" spans="1:7">
      <c r="A2500" s="78"/>
      <c r="B2500" s="37"/>
      <c r="C2500" s="1"/>
      <c r="D2500" s="37"/>
      <c r="E2500" s="37"/>
      <c r="F2500" s="37"/>
      <c r="G2500" s="79"/>
    </row>
    <row r="2501" spans="1:7">
      <c r="A2501" s="78"/>
      <c r="B2501" s="37"/>
      <c r="C2501" s="1"/>
      <c r="D2501" s="37"/>
      <c r="E2501" s="37"/>
      <c r="F2501" s="37"/>
      <c r="G2501" s="79"/>
    </row>
    <row r="2502" spans="1:7">
      <c r="A2502" s="78"/>
      <c r="B2502" s="37"/>
      <c r="C2502" s="1"/>
      <c r="D2502" s="37"/>
      <c r="E2502" s="37"/>
      <c r="F2502" s="37"/>
      <c r="G2502" s="79"/>
    </row>
    <row r="2503" spans="1:7">
      <c r="A2503" s="78"/>
      <c r="B2503" s="37"/>
      <c r="C2503" s="1"/>
      <c r="D2503" s="37"/>
      <c r="E2503" s="37"/>
      <c r="F2503" s="37"/>
      <c r="G2503" s="79"/>
    </row>
    <row r="2504" spans="1:7">
      <c r="A2504" s="78"/>
      <c r="B2504" s="37"/>
      <c r="C2504" s="1"/>
      <c r="D2504" s="37"/>
      <c r="E2504" s="37"/>
      <c r="F2504" s="37"/>
      <c r="G2504" s="79"/>
    </row>
    <row r="2505" spans="1:7">
      <c r="A2505" s="78"/>
      <c r="B2505" s="37"/>
      <c r="C2505" s="1"/>
      <c r="D2505" s="37"/>
      <c r="E2505" s="37"/>
      <c r="F2505" s="37"/>
      <c r="G2505" s="79"/>
    </row>
    <row r="2506" spans="1:7">
      <c r="A2506" s="78"/>
      <c r="B2506" s="37"/>
      <c r="C2506" s="1"/>
      <c r="D2506" s="37"/>
      <c r="E2506" s="37"/>
      <c r="F2506" s="37"/>
      <c r="G2506" s="79"/>
    </row>
    <row r="2507" spans="1:7">
      <c r="A2507" s="78"/>
      <c r="B2507" s="37"/>
      <c r="C2507" s="1"/>
      <c r="D2507" s="37"/>
      <c r="E2507" s="37"/>
      <c r="F2507" s="37"/>
      <c r="G2507" s="79"/>
    </row>
    <row r="2508" spans="1:7">
      <c r="A2508" s="78"/>
      <c r="B2508" s="37"/>
      <c r="C2508" s="1"/>
      <c r="D2508" s="37"/>
      <c r="E2508" s="37"/>
      <c r="F2508" s="37"/>
      <c r="G2508" s="79"/>
    </row>
    <row r="2509" spans="1:7">
      <c r="A2509" s="78"/>
      <c r="B2509" s="37"/>
      <c r="C2509" s="1"/>
      <c r="D2509" s="37"/>
      <c r="E2509" s="37"/>
      <c r="F2509" s="37"/>
      <c r="G2509" s="79"/>
    </row>
    <row r="2510" spans="1:7">
      <c r="A2510" s="78"/>
      <c r="B2510" s="37"/>
      <c r="C2510" s="1"/>
      <c r="D2510" s="37"/>
      <c r="E2510" s="37"/>
      <c r="F2510" s="37"/>
      <c r="G2510" s="79"/>
    </row>
    <row r="2511" spans="1:7">
      <c r="A2511" s="78"/>
      <c r="B2511" s="37"/>
      <c r="C2511" s="1"/>
      <c r="D2511" s="37"/>
      <c r="E2511" s="37"/>
      <c r="F2511" s="37"/>
      <c r="G2511" s="79"/>
    </row>
    <row r="2512" spans="1:7">
      <c r="A2512" s="78"/>
      <c r="B2512" s="37"/>
      <c r="C2512" s="1"/>
      <c r="D2512" s="37"/>
      <c r="E2512" s="37"/>
      <c r="F2512" s="37"/>
      <c r="G2512" s="79"/>
    </row>
    <row r="2513" spans="1:7">
      <c r="A2513" s="78"/>
      <c r="B2513" s="37"/>
      <c r="C2513" s="1"/>
      <c r="D2513" s="37"/>
      <c r="E2513" s="37"/>
      <c r="F2513" s="37"/>
      <c r="G2513" s="79"/>
    </row>
    <row r="2514" spans="1:7">
      <c r="A2514" s="78"/>
      <c r="B2514" s="37"/>
      <c r="C2514" s="1"/>
      <c r="D2514" s="37"/>
      <c r="E2514" s="37"/>
      <c r="F2514" s="37"/>
      <c r="G2514" s="79"/>
    </row>
    <row r="2515" spans="1:7">
      <c r="A2515" s="78"/>
      <c r="B2515" s="37"/>
      <c r="C2515" s="1"/>
      <c r="D2515" s="37"/>
      <c r="E2515" s="37"/>
      <c r="F2515" s="37"/>
      <c r="G2515" s="79"/>
    </row>
    <row r="2516" spans="1:7">
      <c r="A2516" s="78"/>
      <c r="B2516" s="37"/>
      <c r="C2516" s="1"/>
      <c r="D2516" s="37"/>
      <c r="E2516" s="37"/>
      <c r="F2516" s="37"/>
      <c r="G2516" s="79"/>
    </row>
    <row r="2517" spans="1:7">
      <c r="A2517" s="78"/>
      <c r="B2517" s="37"/>
      <c r="C2517" s="1"/>
      <c r="D2517" s="37"/>
      <c r="E2517" s="37"/>
      <c r="F2517" s="37"/>
      <c r="G2517" s="79"/>
    </row>
    <row r="2518" spans="1:7">
      <c r="A2518" s="78"/>
      <c r="B2518" s="37"/>
      <c r="C2518" s="1"/>
      <c r="D2518" s="37"/>
      <c r="E2518" s="37"/>
      <c r="F2518" s="37"/>
      <c r="G2518" s="79"/>
    </row>
    <row r="2519" spans="1:7">
      <c r="A2519" s="78"/>
      <c r="B2519" s="37"/>
      <c r="C2519" s="1"/>
      <c r="D2519" s="37"/>
      <c r="E2519" s="37"/>
      <c r="F2519" s="37"/>
      <c r="G2519" s="79"/>
    </row>
    <row r="2520" spans="1:7">
      <c r="A2520" s="78"/>
      <c r="B2520" s="37"/>
      <c r="C2520" s="1"/>
      <c r="D2520" s="37"/>
      <c r="E2520" s="37"/>
      <c r="F2520" s="37"/>
      <c r="G2520" s="79"/>
    </row>
    <row r="2521" spans="1:7">
      <c r="A2521" s="78"/>
      <c r="B2521" s="37"/>
      <c r="C2521" s="1"/>
      <c r="D2521" s="37"/>
      <c r="E2521" s="37"/>
      <c r="F2521" s="37"/>
      <c r="G2521" s="79"/>
    </row>
    <row r="2522" spans="1:7">
      <c r="A2522" s="78"/>
      <c r="B2522" s="37"/>
      <c r="C2522" s="1"/>
      <c r="D2522" s="37"/>
      <c r="E2522" s="37"/>
      <c r="F2522" s="37"/>
      <c r="G2522" s="79"/>
    </row>
    <row r="2523" spans="1:7">
      <c r="A2523" s="78"/>
      <c r="B2523" s="37"/>
      <c r="C2523" s="1"/>
      <c r="D2523" s="37"/>
      <c r="E2523" s="37"/>
      <c r="F2523" s="37"/>
      <c r="G2523" s="79"/>
    </row>
    <row r="2524" spans="1:7">
      <c r="A2524" s="78"/>
      <c r="B2524" s="37"/>
      <c r="C2524" s="1"/>
      <c r="D2524" s="37"/>
      <c r="E2524" s="37"/>
      <c r="F2524" s="37"/>
      <c r="G2524" s="79"/>
    </row>
    <row r="2525" spans="1:7">
      <c r="A2525" s="78"/>
      <c r="B2525" s="37"/>
      <c r="C2525" s="1"/>
      <c r="D2525" s="37"/>
      <c r="E2525" s="37"/>
      <c r="F2525" s="37"/>
      <c r="G2525" s="79"/>
    </row>
    <row r="2526" spans="1:7">
      <c r="A2526" s="78"/>
      <c r="B2526" s="37"/>
      <c r="C2526" s="1"/>
      <c r="D2526" s="37"/>
      <c r="E2526" s="37"/>
      <c r="F2526" s="37"/>
      <c r="G2526" s="79"/>
    </row>
    <row r="2527" spans="1:7">
      <c r="A2527" s="78"/>
      <c r="B2527" s="37"/>
      <c r="C2527" s="1"/>
      <c r="D2527" s="37"/>
      <c r="E2527" s="37"/>
      <c r="F2527" s="37"/>
      <c r="G2527" s="79"/>
    </row>
    <row r="2528" spans="1:7">
      <c r="A2528" s="78"/>
      <c r="B2528" s="37"/>
      <c r="C2528" s="1"/>
      <c r="D2528" s="37"/>
      <c r="E2528" s="37"/>
      <c r="F2528" s="37"/>
      <c r="G2528" s="79"/>
    </row>
    <row r="2529" spans="1:7">
      <c r="A2529" s="78"/>
      <c r="B2529" s="37"/>
      <c r="C2529" s="1"/>
      <c r="D2529" s="37"/>
      <c r="E2529" s="37"/>
      <c r="F2529" s="37"/>
      <c r="G2529" s="79"/>
    </row>
    <row r="2530" spans="1:7">
      <c r="A2530" s="78"/>
      <c r="B2530" s="37"/>
      <c r="C2530" s="1"/>
      <c r="D2530" s="37"/>
      <c r="E2530" s="37"/>
      <c r="F2530" s="37"/>
      <c r="G2530" s="79"/>
    </row>
    <row r="2531" spans="1:7">
      <c r="A2531" s="78"/>
      <c r="B2531" s="37"/>
      <c r="C2531" s="1"/>
      <c r="D2531" s="37"/>
      <c r="E2531" s="37"/>
      <c r="F2531" s="37"/>
      <c r="G2531" s="79"/>
    </row>
    <row r="2532" spans="1:7">
      <c r="A2532" s="78"/>
      <c r="B2532" s="37"/>
      <c r="C2532" s="1"/>
      <c r="D2532" s="37"/>
      <c r="E2532" s="37"/>
      <c r="F2532" s="37"/>
      <c r="G2532" s="79"/>
    </row>
    <row r="2533" spans="1:7">
      <c r="A2533" s="78"/>
      <c r="B2533" s="37"/>
      <c r="C2533" s="1"/>
      <c r="D2533" s="37"/>
      <c r="E2533" s="37"/>
      <c r="F2533" s="37"/>
      <c r="G2533" s="79"/>
    </row>
    <row r="2534" spans="1:7">
      <c r="A2534" s="78"/>
      <c r="B2534" s="37"/>
      <c r="C2534" s="1"/>
      <c r="D2534" s="37"/>
      <c r="E2534" s="37"/>
      <c r="F2534" s="37"/>
      <c r="G2534" s="79"/>
    </row>
    <row r="2535" spans="1:7">
      <c r="A2535" s="78"/>
      <c r="B2535" s="37"/>
      <c r="C2535" s="1"/>
      <c r="D2535" s="37"/>
      <c r="E2535" s="37"/>
      <c r="F2535" s="37"/>
      <c r="G2535" s="79"/>
    </row>
    <row r="2536" spans="1:7">
      <c r="A2536" s="78"/>
      <c r="B2536" s="37"/>
      <c r="C2536" s="1"/>
      <c r="D2536" s="37"/>
      <c r="E2536" s="37"/>
      <c r="F2536" s="37"/>
      <c r="G2536" s="79"/>
    </row>
    <row r="2537" spans="1:7">
      <c r="A2537" s="78"/>
      <c r="B2537" s="37"/>
      <c r="C2537" s="1"/>
      <c r="D2537" s="37"/>
      <c r="E2537" s="37"/>
      <c r="F2537" s="37"/>
      <c r="G2537" s="79"/>
    </row>
    <row r="2538" spans="1:7">
      <c r="A2538" s="78"/>
      <c r="B2538" s="37"/>
      <c r="C2538" s="1"/>
      <c r="D2538" s="37"/>
      <c r="E2538" s="37"/>
      <c r="F2538" s="37"/>
      <c r="G2538" s="79"/>
    </row>
    <row r="2539" spans="1:7">
      <c r="A2539" s="78"/>
      <c r="B2539" s="37"/>
      <c r="C2539" s="1"/>
      <c r="D2539" s="37"/>
      <c r="E2539" s="37"/>
      <c r="F2539" s="37"/>
      <c r="G2539" s="79"/>
    </row>
    <row r="2540" spans="1:7">
      <c r="A2540" s="78"/>
      <c r="B2540" s="37"/>
      <c r="C2540" s="1"/>
      <c r="D2540" s="37"/>
      <c r="E2540" s="37"/>
      <c r="F2540" s="37"/>
      <c r="G2540" s="79"/>
    </row>
    <row r="2541" spans="1:7">
      <c r="A2541" s="78"/>
      <c r="B2541" s="37"/>
      <c r="C2541" s="1"/>
      <c r="D2541" s="37"/>
      <c r="E2541" s="37"/>
      <c r="F2541" s="37"/>
      <c r="G2541" s="79"/>
    </row>
    <row r="2542" spans="1:7">
      <c r="A2542" s="78"/>
      <c r="B2542" s="37"/>
      <c r="C2542" s="1"/>
      <c r="D2542" s="37"/>
      <c r="E2542" s="37"/>
      <c r="F2542" s="37"/>
      <c r="G2542" s="79"/>
    </row>
    <row r="2543" spans="1:7">
      <c r="A2543" s="78"/>
      <c r="B2543" s="37"/>
      <c r="C2543" s="1"/>
      <c r="D2543" s="37"/>
      <c r="E2543" s="37"/>
      <c r="F2543" s="37"/>
      <c r="G2543" s="79"/>
    </row>
    <row r="2544" spans="1:7">
      <c r="A2544" s="78"/>
      <c r="B2544" s="37"/>
      <c r="C2544" s="1"/>
      <c r="D2544" s="37"/>
      <c r="E2544" s="37"/>
      <c r="F2544" s="37"/>
      <c r="G2544" s="79"/>
    </row>
    <row r="2545" spans="1:7">
      <c r="A2545" s="78"/>
      <c r="B2545" s="37"/>
      <c r="C2545" s="1"/>
      <c r="D2545" s="37"/>
      <c r="E2545" s="37"/>
      <c r="F2545" s="37"/>
      <c r="G2545" s="79"/>
    </row>
    <row r="2546" spans="1:7">
      <c r="A2546" s="78"/>
      <c r="B2546" s="37"/>
      <c r="C2546" s="1"/>
      <c r="D2546" s="37"/>
      <c r="E2546" s="37"/>
      <c r="F2546" s="37"/>
      <c r="G2546" s="79"/>
    </row>
    <row r="2547" spans="1:7">
      <c r="A2547" s="78"/>
      <c r="B2547" s="37"/>
      <c r="C2547" s="1"/>
      <c r="D2547" s="37"/>
      <c r="E2547" s="37"/>
      <c r="F2547" s="37"/>
      <c r="G2547" s="79"/>
    </row>
    <row r="2548" spans="1:7">
      <c r="A2548" s="78"/>
      <c r="B2548" s="37"/>
      <c r="C2548" s="1"/>
      <c r="D2548" s="37"/>
      <c r="E2548" s="37"/>
      <c r="F2548" s="37"/>
      <c r="G2548" s="79"/>
    </row>
    <row r="2549" spans="1:7">
      <c r="A2549" s="78"/>
      <c r="B2549" s="37"/>
      <c r="C2549" s="1"/>
      <c r="D2549" s="37"/>
      <c r="E2549" s="37"/>
      <c r="F2549" s="37"/>
      <c r="G2549" s="79"/>
    </row>
    <row r="2550" spans="1:7">
      <c r="A2550" s="78"/>
      <c r="B2550" s="37"/>
      <c r="C2550" s="1"/>
      <c r="D2550" s="37"/>
      <c r="E2550" s="37"/>
      <c r="F2550" s="37"/>
      <c r="G2550" s="79"/>
    </row>
    <row r="2551" spans="1:7">
      <c r="A2551" s="78"/>
      <c r="B2551" s="37"/>
      <c r="C2551" s="1"/>
      <c r="D2551" s="37"/>
      <c r="E2551" s="37"/>
      <c r="F2551" s="37"/>
      <c r="G2551" s="79"/>
    </row>
    <row r="2552" spans="1:7">
      <c r="A2552" s="78"/>
      <c r="B2552" s="37"/>
      <c r="C2552" s="1"/>
      <c r="D2552" s="37"/>
      <c r="E2552" s="37"/>
      <c r="F2552" s="37"/>
      <c r="G2552" s="79"/>
    </row>
    <row r="2553" spans="1:7">
      <c r="A2553" s="78"/>
      <c r="B2553" s="37"/>
      <c r="C2553" s="1"/>
      <c r="D2553" s="37"/>
      <c r="E2553" s="37"/>
      <c r="F2553" s="37"/>
      <c r="G2553" s="79"/>
    </row>
    <row r="2554" spans="1:7">
      <c r="A2554" s="78"/>
      <c r="B2554" s="37"/>
      <c r="C2554" s="1"/>
      <c r="D2554" s="37"/>
      <c r="E2554" s="37"/>
      <c r="F2554" s="37"/>
      <c r="G2554" s="79"/>
    </row>
    <row r="2555" spans="1:7">
      <c r="A2555" s="78"/>
      <c r="B2555" s="37"/>
      <c r="C2555" s="1"/>
      <c r="D2555" s="37"/>
      <c r="E2555" s="37"/>
      <c r="F2555" s="37"/>
      <c r="G2555" s="79"/>
    </row>
    <row r="2556" spans="1:7">
      <c r="A2556" s="78"/>
      <c r="B2556" s="37"/>
      <c r="C2556" s="1"/>
      <c r="D2556" s="37"/>
      <c r="E2556" s="37"/>
      <c r="F2556" s="37"/>
      <c r="G2556" s="79"/>
    </row>
    <row r="2557" spans="1:7">
      <c r="A2557" s="78"/>
      <c r="B2557" s="37"/>
      <c r="C2557" s="1"/>
      <c r="D2557" s="37"/>
      <c r="E2557" s="37"/>
      <c r="F2557" s="37"/>
      <c r="G2557" s="79"/>
    </row>
    <row r="2558" spans="1:7">
      <c r="A2558" s="78"/>
      <c r="B2558" s="37"/>
      <c r="C2558" s="1"/>
      <c r="D2558" s="37"/>
      <c r="E2558" s="37"/>
      <c r="F2558" s="37"/>
      <c r="G2558" s="79"/>
    </row>
    <row r="2559" spans="1:7">
      <c r="A2559" s="78"/>
      <c r="B2559" s="37"/>
      <c r="C2559" s="1"/>
      <c r="D2559" s="37"/>
      <c r="E2559" s="37"/>
      <c r="F2559" s="37"/>
      <c r="G2559" s="79"/>
    </row>
    <row r="2560" spans="1:7">
      <c r="A2560" s="78"/>
      <c r="B2560" s="37"/>
      <c r="C2560" s="1"/>
      <c r="D2560" s="37"/>
      <c r="E2560" s="37"/>
      <c r="F2560" s="37"/>
      <c r="G2560" s="79"/>
    </row>
    <row r="2561" spans="1:7">
      <c r="A2561" s="78"/>
      <c r="B2561" s="37"/>
      <c r="C2561" s="1"/>
      <c r="D2561" s="37"/>
      <c r="E2561" s="37"/>
      <c r="F2561" s="37"/>
      <c r="G2561" s="79"/>
    </row>
    <row r="2562" spans="1:7">
      <c r="A2562" s="78"/>
      <c r="B2562" s="37"/>
      <c r="C2562" s="1"/>
      <c r="D2562" s="37"/>
      <c r="E2562" s="37"/>
      <c r="F2562" s="37"/>
      <c r="G2562" s="79"/>
    </row>
    <row r="2563" spans="1:7">
      <c r="A2563" s="78"/>
      <c r="B2563" s="37"/>
      <c r="C2563" s="1"/>
      <c r="D2563" s="37"/>
      <c r="E2563" s="37"/>
      <c r="F2563" s="37"/>
      <c r="G2563" s="79"/>
    </row>
    <row r="2564" spans="1:7">
      <c r="A2564" s="78"/>
      <c r="B2564" s="37"/>
      <c r="C2564" s="1"/>
      <c r="D2564" s="37"/>
      <c r="E2564" s="37"/>
      <c r="F2564" s="37"/>
      <c r="G2564" s="79"/>
    </row>
    <row r="2565" spans="1:7">
      <c r="A2565" s="78"/>
      <c r="B2565" s="37"/>
      <c r="C2565" s="1"/>
      <c r="D2565" s="37"/>
      <c r="E2565" s="37"/>
      <c r="F2565" s="37"/>
      <c r="G2565" s="79"/>
    </row>
    <row r="2566" spans="1:7">
      <c r="A2566" s="78"/>
      <c r="B2566" s="37"/>
      <c r="C2566" s="1"/>
      <c r="D2566" s="37"/>
      <c r="E2566" s="37"/>
      <c r="F2566" s="37"/>
      <c r="G2566" s="79"/>
    </row>
    <row r="2567" spans="1:7">
      <c r="A2567" s="78"/>
      <c r="B2567" s="37"/>
      <c r="C2567" s="1"/>
      <c r="D2567" s="37"/>
      <c r="E2567" s="37"/>
      <c r="F2567" s="37"/>
      <c r="G2567" s="79"/>
    </row>
    <row r="2568" spans="1:7">
      <c r="A2568" s="78"/>
      <c r="B2568" s="37"/>
      <c r="C2568" s="1"/>
      <c r="D2568" s="37"/>
      <c r="E2568" s="37"/>
      <c r="F2568" s="37"/>
      <c r="G2568" s="79"/>
    </row>
    <row r="2569" spans="1:7">
      <c r="A2569" s="78"/>
      <c r="B2569" s="37"/>
      <c r="C2569" s="1"/>
      <c r="D2569" s="37"/>
      <c r="E2569" s="37"/>
      <c r="F2569" s="37"/>
      <c r="G2569" s="79"/>
    </row>
    <row r="2570" spans="1:7">
      <c r="A2570" s="78"/>
      <c r="B2570" s="37"/>
      <c r="C2570" s="1"/>
      <c r="D2570" s="37"/>
      <c r="E2570" s="37"/>
      <c r="F2570" s="37"/>
      <c r="G2570" s="79"/>
    </row>
    <row r="2571" spans="1:7">
      <c r="A2571" s="78"/>
      <c r="B2571" s="37"/>
      <c r="C2571" s="1"/>
      <c r="D2571" s="37"/>
      <c r="E2571" s="37"/>
      <c r="F2571" s="37"/>
      <c r="G2571" s="79"/>
    </row>
    <row r="2572" spans="1:7">
      <c r="A2572" s="78"/>
      <c r="B2572" s="37"/>
      <c r="C2572" s="1"/>
      <c r="D2572" s="37"/>
      <c r="E2572" s="37"/>
      <c r="F2572" s="37"/>
      <c r="G2572" s="79"/>
    </row>
    <row r="2573" spans="1:7">
      <c r="A2573" s="78"/>
      <c r="B2573" s="37"/>
      <c r="C2573" s="1"/>
      <c r="D2573" s="37"/>
      <c r="E2573" s="37"/>
      <c r="F2573" s="37"/>
      <c r="G2573" s="79"/>
    </row>
    <row r="2574" spans="1:7">
      <c r="A2574" s="78"/>
      <c r="B2574" s="37"/>
      <c r="C2574" s="1"/>
      <c r="D2574" s="37"/>
      <c r="E2574" s="37"/>
      <c r="F2574" s="37"/>
      <c r="G2574" s="79"/>
    </row>
    <row r="2575" spans="1:7">
      <c r="A2575" s="78"/>
      <c r="B2575" s="37"/>
      <c r="C2575" s="1"/>
      <c r="D2575" s="37"/>
      <c r="E2575" s="37"/>
      <c r="F2575" s="37"/>
      <c r="G2575" s="79"/>
    </row>
    <row r="2576" spans="1:7">
      <c r="A2576" s="78"/>
      <c r="B2576" s="37"/>
      <c r="C2576" s="1"/>
      <c r="D2576" s="37"/>
      <c r="E2576" s="37"/>
      <c r="F2576" s="37"/>
      <c r="G2576" s="79"/>
    </row>
    <row r="2577" spans="1:7">
      <c r="A2577" s="78"/>
      <c r="B2577" s="37"/>
      <c r="C2577" s="1"/>
      <c r="D2577" s="37"/>
      <c r="E2577" s="37"/>
      <c r="F2577" s="37"/>
      <c r="G2577" s="79"/>
    </row>
    <row r="2578" spans="1:7">
      <c r="A2578" s="78"/>
      <c r="B2578" s="37"/>
      <c r="C2578" s="1"/>
      <c r="D2578" s="37"/>
      <c r="E2578" s="37"/>
      <c r="F2578" s="37"/>
      <c r="G2578" s="79"/>
    </row>
    <row r="2579" spans="1:7">
      <c r="A2579" s="78"/>
      <c r="B2579" s="37"/>
      <c r="C2579" s="1"/>
      <c r="D2579" s="37"/>
      <c r="E2579" s="37"/>
      <c r="F2579" s="37"/>
      <c r="G2579" s="79"/>
    </row>
    <row r="2580" spans="1:7">
      <c r="A2580" s="78"/>
      <c r="B2580" s="37"/>
      <c r="C2580" s="1"/>
      <c r="D2580" s="37"/>
      <c r="E2580" s="37"/>
      <c r="F2580" s="37"/>
      <c r="G2580" s="79"/>
    </row>
    <row r="2581" spans="1:7">
      <c r="A2581" s="78"/>
      <c r="B2581" s="37"/>
      <c r="C2581" s="1"/>
      <c r="D2581" s="37"/>
      <c r="E2581" s="37"/>
      <c r="F2581" s="37"/>
      <c r="G2581" s="79"/>
    </row>
    <row r="2582" spans="1:7">
      <c r="A2582" s="78"/>
      <c r="B2582" s="37"/>
      <c r="C2582" s="1"/>
      <c r="D2582" s="37"/>
      <c r="E2582" s="37"/>
      <c r="F2582" s="37"/>
      <c r="G2582" s="79"/>
    </row>
    <row r="2583" spans="1:7">
      <c r="A2583" s="78"/>
      <c r="B2583" s="37"/>
      <c r="C2583" s="1"/>
      <c r="D2583" s="37"/>
      <c r="E2583" s="37"/>
      <c r="F2583" s="37"/>
      <c r="G2583" s="79"/>
    </row>
    <row r="2584" spans="1:7">
      <c r="A2584" s="78"/>
      <c r="B2584" s="37"/>
      <c r="C2584" s="1"/>
      <c r="D2584" s="37"/>
      <c r="E2584" s="37"/>
      <c r="F2584" s="37"/>
      <c r="G2584" s="79"/>
    </row>
    <row r="2585" spans="1:7">
      <c r="A2585" s="78"/>
      <c r="B2585" s="37"/>
      <c r="C2585" s="1"/>
      <c r="D2585" s="37"/>
      <c r="E2585" s="37"/>
      <c r="F2585" s="37"/>
      <c r="G2585" s="79"/>
    </row>
    <row r="2586" spans="1:7">
      <c r="A2586" s="78"/>
      <c r="B2586" s="37"/>
      <c r="C2586" s="1"/>
      <c r="D2586" s="37"/>
      <c r="E2586" s="37"/>
      <c r="F2586" s="37"/>
      <c r="G2586" s="79"/>
    </row>
    <row r="2587" spans="1:7">
      <c r="A2587" s="78"/>
      <c r="B2587" s="37"/>
      <c r="C2587" s="1"/>
      <c r="D2587" s="37"/>
      <c r="E2587" s="37"/>
      <c r="F2587" s="37"/>
      <c r="G2587" s="79"/>
    </row>
    <row r="2588" spans="1:7">
      <c r="A2588" s="78"/>
      <c r="B2588" s="37"/>
      <c r="C2588" s="1"/>
      <c r="D2588" s="37"/>
      <c r="E2588" s="37"/>
      <c r="F2588" s="37"/>
      <c r="G2588" s="79"/>
    </row>
    <row r="2589" spans="1:7">
      <c r="A2589" s="78"/>
      <c r="B2589" s="37"/>
      <c r="C2589" s="1"/>
      <c r="D2589" s="37"/>
      <c r="E2589" s="37"/>
      <c r="F2589" s="37"/>
      <c r="G2589" s="79"/>
    </row>
    <row r="2590" spans="1:7">
      <c r="A2590" s="78"/>
      <c r="B2590" s="37"/>
      <c r="C2590" s="1"/>
      <c r="D2590" s="37"/>
      <c r="E2590" s="37"/>
      <c r="F2590" s="37"/>
      <c r="G2590" s="79"/>
    </row>
    <row r="2591" spans="1:7">
      <c r="A2591" s="78"/>
      <c r="B2591" s="37"/>
      <c r="C2591" s="1"/>
      <c r="D2591" s="37"/>
      <c r="E2591" s="37"/>
      <c r="F2591" s="37"/>
      <c r="G2591" s="79"/>
    </row>
    <row r="2592" spans="1:7">
      <c r="A2592" s="78"/>
      <c r="B2592" s="37"/>
      <c r="C2592" s="1"/>
      <c r="D2592" s="37"/>
      <c r="E2592" s="37"/>
      <c r="F2592" s="37"/>
      <c r="G2592" s="79"/>
    </row>
    <row r="2593" spans="1:7">
      <c r="A2593" s="78"/>
      <c r="B2593" s="37"/>
      <c r="C2593" s="1"/>
      <c r="D2593" s="37"/>
      <c r="E2593" s="37"/>
      <c r="F2593" s="37"/>
      <c r="G2593" s="79"/>
    </row>
    <row r="2594" spans="1:7">
      <c r="A2594" s="78"/>
      <c r="B2594" s="37"/>
      <c r="C2594" s="1"/>
      <c r="D2594" s="37"/>
      <c r="E2594" s="37"/>
      <c r="F2594" s="37"/>
      <c r="G2594" s="79"/>
    </row>
    <row r="2595" spans="1:7">
      <c r="A2595" s="78"/>
      <c r="B2595" s="37"/>
      <c r="C2595" s="1"/>
      <c r="D2595" s="37"/>
      <c r="E2595" s="37"/>
      <c r="F2595" s="37"/>
      <c r="G2595" s="79"/>
    </row>
    <row r="2596" spans="1:7">
      <c r="A2596" s="78"/>
      <c r="B2596" s="37"/>
      <c r="C2596" s="1"/>
      <c r="D2596" s="37"/>
      <c r="E2596" s="37"/>
      <c r="F2596" s="37"/>
      <c r="G2596" s="79"/>
    </row>
    <row r="2597" spans="1:7">
      <c r="A2597" s="78"/>
      <c r="B2597" s="37"/>
      <c r="C2597" s="1"/>
      <c r="D2597" s="37"/>
      <c r="E2597" s="37"/>
      <c r="F2597" s="37"/>
      <c r="G2597" s="79"/>
    </row>
    <row r="2598" spans="1:7">
      <c r="A2598" s="78"/>
      <c r="B2598" s="37"/>
      <c r="C2598" s="1"/>
      <c r="D2598" s="37"/>
      <c r="E2598" s="37"/>
      <c r="F2598" s="37"/>
      <c r="G2598" s="79"/>
    </row>
    <row r="2599" spans="1:7">
      <c r="A2599" s="78"/>
      <c r="B2599" s="37"/>
      <c r="C2599" s="1"/>
      <c r="D2599" s="37"/>
      <c r="E2599" s="37"/>
      <c r="F2599" s="37"/>
      <c r="G2599" s="79"/>
    </row>
    <row r="2600" spans="1:7">
      <c r="A2600" s="78"/>
      <c r="B2600" s="37"/>
      <c r="C2600" s="1"/>
      <c r="D2600" s="37"/>
      <c r="E2600" s="37"/>
      <c r="F2600" s="37"/>
      <c r="G2600" s="79"/>
    </row>
    <row r="2601" spans="1:7">
      <c r="A2601" s="78"/>
      <c r="B2601" s="37"/>
      <c r="C2601" s="1"/>
      <c r="D2601" s="37"/>
      <c r="E2601" s="37"/>
      <c r="F2601" s="37"/>
      <c r="G2601" s="79"/>
    </row>
    <row r="2602" spans="1:7">
      <c r="A2602" s="78"/>
      <c r="B2602" s="37"/>
      <c r="C2602" s="1"/>
      <c r="D2602" s="37"/>
      <c r="E2602" s="37"/>
      <c r="F2602" s="37"/>
      <c r="G2602" s="79"/>
    </row>
    <row r="2603" spans="1:7">
      <c r="A2603" s="78"/>
      <c r="B2603" s="37"/>
      <c r="C2603" s="1"/>
      <c r="D2603" s="37"/>
      <c r="E2603" s="37"/>
      <c r="F2603" s="37"/>
      <c r="G2603" s="79"/>
    </row>
    <row r="2604" spans="1:7">
      <c r="A2604" s="78"/>
      <c r="B2604" s="37"/>
      <c r="C2604" s="1"/>
      <c r="D2604" s="37"/>
      <c r="E2604" s="37"/>
      <c r="F2604" s="37"/>
      <c r="G2604" s="79"/>
    </row>
    <row r="2605" spans="1:7">
      <c r="A2605" s="78"/>
      <c r="B2605" s="37"/>
      <c r="C2605" s="1"/>
      <c r="D2605" s="37"/>
      <c r="E2605" s="37"/>
      <c r="F2605" s="37"/>
      <c r="G2605" s="79"/>
    </row>
    <row r="2606" spans="1:7">
      <c r="A2606" s="78"/>
      <c r="B2606" s="37"/>
      <c r="C2606" s="1"/>
      <c r="D2606" s="37"/>
      <c r="E2606" s="37"/>
      <c r="F2606" s="37"/>
      <c r="G2606" s="79"/>
    </row>
    <row r="2607" spans="1:7">
      <c r="A2607" s="78"/>
      <c r="B2607" s="37"/>
      <c r="C2607" s="1"/>
      <c r="D2607" s="37"/>
      <c r="E2607" s="37"/>
      <c r="F2607" s="37"/>
      <c r="G2607" s="79"/>
    </row>
    <row r="2608" spans="1:7">
      <c r="A2608" s="78"/>
      <c r="B2608" s="37"/>
      <c r="C2608" s="1"/>
      <c r="D2608" s="37"/>
      <c r="E2608" s="37"/>
      <c r="F2608" s="37"/>
      <c r="G2608" s="79"/>
    </row>
    <row r="2609" spans="1:7">
      <c r="A2609" s="78"/>
      <c r="B2609" s="37"/>
      <c r="C2609" s="1"/>
      <c r="D2609" s="37"/>
      <c r="E2609" s="37"/>
      <c r="F2609" s="37"/>
      <c r="G2609" s="79"/>
    </row>
    <row r="2610" spans="1:7">
      <c r="A2610" s="78"/>
      <c r="B2610" s="37"/>
      <c r="C2610" s="1"/>
      <c r="D2610" s="37"/>
      <c r="E2610" s="37"/>
      <c r="F2610" s="37"/>
      <c r="G2610" s="79"/>
    </row>
    <row r="2611" spans="1:7">
      <c r="A2611" s="78"/>
      <c r="B2611" s="37"/>
      <c r="C2611" s="1"/>
      <c r="D2611" s="37"/>
      <c r="E2611" s="37"/>
      <c r="F2611" s="37"/>
      <c r="G2611" s="79"/>
    </row>
    <row r="2612" spans="1:7">
      <c r="A2612" s="78"/>
      <c r="B2612" s="37"/>
      <c r="C2612" s="1"/>
      <c r="D2612" s="37"/>
      <c r="E2612" s="37"/>
      <c r="F2612" s="37"/>
      <c r="G2612" s="79"/>
    </row>
    <row r="2613" spans="1:7">
      <c r="A2613" s="78"/>
      <c r="B2613" s="37"/>
      <c r="C2613" s="1"/>
      <c r="D2613" s="37"/>
      <c r="E2613" s="37"/>
      <c r="F2613" s="37"/>
      <c r="G2613" s="79"/>
    </row>
    <row r="2614" spans="1:7">
      <c r="A2614" s="78"/>
      <c r="B2614" s="37"/>
      <c r="C2614" s="1"/>
      <c r="D2614" s="37"/>
      <c r="E2614" s="37"/>
      <c r="F2614" s="37"/>
      <c r="G2614" s="79"/>
    </row>
    <row r="2615" spans="1:7">
      <c r="A2615" s="78"/>
      <c r="B2615" s="37"/>
      <c r="C2615" s="1"/>
      <c r="D2615" s="37"/>
      <c r="E2615" s="37"/>
      <c r="F2615" s="37"/>
      <c r="G2615" s="79"/>
    </row>
    <row r="2616" spans="1:7">
      <c r="A2616" s="78"/>
      <c r="B2616" s="37"/>
      <c r="C2616" s="1"/>
      <c r="D2616" s="37"/>
      <c r="E2616" s="37"/>
      <c r="F2616" s="37"/>
      <c r="G2616" s="79"/>
    </row>
    <row r="2617" spans="1:7">
      <c r="A2617" s="78"/>
      <c r="B2617" s="37"/>
      <c r="C2617" s="1"/>
      <c r="D2617" s="37"/>
      <c r="E2617" s="37"/>
      <c r="F2617" s="37"/>
      <c r="G2617" s="79"/>
    </row>
    <row r="2618" spans="1:7">
      <c r="A2618" s="78"/>
      <c r="B2618" s="37"/>
      <c r="C2618" s="1"/>
      <c r="D2618" s="37"/>
      <c r="E2618" s="37"/>
      <c r="F2618" s="37"/>
      <c r="G2618" s="79"/>
    </row>
    <row r="2619" spans="1:7">
      <c r="A2619" s="78"/>
      <c r="B2619" s="37"/>
      <c r="C2619" s="1"/>
      <c r="D2619" s="37"/>
      <c r="E2619" s="37"/>
      <c r="F2619" s="37"/>
      <c r="G2619" s="79"/>
    </row>
    <row r="2620" spans="1:7">
      <c r="A2620" s="78"/>
      <c r="B2620" s="37"/>
      <c r="C2620" s="1"/>
      <c r="D2620" s="37"/>
      <c r="E2620" s="37"/>
      <c r="F2620" s="37"/>
      <c r="G2620" s="79"/>
    </row>
    <row r="2621" spans="1:7">
      <c r="A2621" s="78"/>
      <c r="B2621" s="37"/>
      <c r="C2621" s="1"/>
      <c r="D2621" s="37"/>
      <c r="E2621" s="37"/>
      <c r="F2621" s="37"/>
      <c r="G2621" s="79"/>
    </row>
    <row r="2622" spans="1:7">
      <c r="A2622" s="78"/>
      <c r="B2622" s="37"/>
      <c r="C2622" s="1"/>
      <c r="D2622" s="37"/>
      <c r="E2622" s="37"/>
      <c r="F2622" s="37"/>
      <c r="G2622" s="79"/>
    </row>
    <row r="2623" spans="1:7">
      <c r="A2623" s="78"/>
      <c r="B2623" s="37"/>
      <c r="C2623" s="1"/>
      <c r="D2623" s="37"/>
      <c r="E2623" s="37"/>
      <c r="F2623" s="37"/>
      <c r="G2623" s="79"/>
    </row>
    <row r="2624" spans="1:7">
      <c r="A2624" s="78"/>
      <c r="B2624" s="37"/>
      <c r="C2624" s="1"/>
      <c r="D2624" s="37"/>
      <c r="E2624" s="37"/>
      <c r="F2624" s="37"/>
      <c r="G2624" s="79"/>
    </row>
    <row r="2625" spans="1:7">
      <c r="A2625" s="78"/>
      <c r="B2625" s="37"/>
      <c r="C2625" s="1"/>
      <c r="D2625" s="37"/>
      <c r="E2625" s="37"/>
      <c r="F2625" s="37"/>
      <c r="G2625" s="79"/>
    </row>
    <row r="2626" spans="1:7">
      <c r="A2626" s="78"/>
      <c r="B2626" s="37"/>
      <c r="C2626" s="1"/>
      <c r="D2626" s="37"/>
      <c r="E2626" s="37"/>
      <c r="F2626" s="37"/>
      <c r="G2626" s="79"/>
    </row>
    <row r="2627" spans="1:7">
      <c r="A2627" s="78"/>
      <c r="B2627" s="37"/>
      <c r="C2627" s="1"/>
      <c r="D2627" s="37"/>
      <c r="E2627" s="37"/>
      <c r="F2627" s="37"/>
      <c r="G2627" s="79"/>
    </row>
    <row r="2628" spans="1:7">
      <c r="A2628" s="78"/>
      <c r="B2628" s="37"/>
      <c r="C2628" s="1"/>
      <c r="D2628" s="37"/>
      <c r="E2628" s="37"/>
      <c r="F2628" s="37"/>
      <c r="G2628" s="79"/>
    </row>
    <row r="2629" spans="1:7">
      <c r="A2629" s="78"/>
      <c r="B2629" s="37"/>
      <c r="C2629" s="1"/>
      <c r="D2629" s="37"/>
      <c r="E2629" s="37"/>
      <c r="F2629" s="37"/>
      <c r="G2629" s="79"/>
    </row>
    <row r="2630" spans="1:7">
      <c r="A2630" s="78"/>
      <c r="B2630" s="37"/>
      <c r="C2630" s="1"/>
      <c r="D2630" s="37"/>
      <c r="E2630" s="37"/>
      <c r="F2630" s="37"/>
      <c r="G2630" s="79"/>
    </row>
    <row r="2631" spans="1:7">
      <c r="A2631" s="78"/>
      <c r="B2631" s="37"/>
      <c r="C2631" s="1"/>
      <c r="D2631" s="37"/>
      <c r="E2631" s="37"/>
      <c r="F2631" s="37"/>
      <c r="G2631" s="79"/>
    </row>
    <row r="2632" spans="1:7">
      <c r="A2632" s="78"/>
      <c r="B2632" s="37"/>
      <c r="C2632" s="1"/>
      <c r="D2632" s="37"/>
      <c r="E2632" s="37"/>
      <c r="F2632" s="37"/>
      <c r="G2632" s="79"/>
    </row>
    <row r="2633" spans="1:7">
      <c r="A2633" s="78"/>
      <c r="B2633" s="37"/>
      <c r="C2633" s="1"/>
      <c r="D2633" s="37"/>
      <c r="E2633" s="37"/>
      <c r="F2633" s="37"/>
      <c r="G2633" s="79"/>
    </row>
    <row r="2634" spans="1:7">
      <c r="A2634" s="78"/>
      <c r="B2634" s="37"/>
      <c r="C2634" s="1"/>
      <c r="D2634" s="37"/>
      <c r="E2634" s="37"/>
      <c r="F2634" s="37"/>
      <c r="G2634" s="79"/>
    </row>
    <row r="2635" spans="1:7">
      <c r="A2635" s="78"/>
      <c r="B2635" s="37"/>
      <c r="C2635" s="1"/>
      <c r="D2635" s="37"/>
      <c r="E2635" s="37"/>
      <c r="F2635" s="37"/>
      <c r="G2635" s="79"/>
    </row>
    <row r="2636" spans="1:7">
      <c r="A2636" s="78"/>
      <c r="B2636" s="37"/>
      <c r="C2636" s="1"/>
      <c r="D2636" s="37"/>
      <c r="E2636" s="37"/>
      <c r="F2636" s="37"/>
      <c r="G2636" s="79"/>
    </row>
    <row r="2637" spans="1:7">
      <c r="A2637" s="78"/>
      <c r="B2637" s="37"/>
      <c r="C2637" s="1"/>
      <c r="D2637" s="37"/>
      <c r="E2637" s="37"/>
      <c r="F2637" s="37"/>
      <c r="G2637" s="79"/>
    </row>
    <row r="2638" spans="1:7">
      <c r="A2638" s="78"/>
      <c r="B2638" s="37"/>
      <c r="C2638" s="1"/>
      <c r="D2638" s="37"/>
      <c r="E2638" s="37"/>
      <c r="F2638" s="37"/>
      <c r="G2638" s="79"/>
    </row>
    <row r="2639" spans="1:7">
      <c r="A2639" s="78"/>
      <c r="B2639" s="37"/>
      <c r="C2639" s="1"/>
      <c r="D2639" s="37"/>
      <c r="E2639" s="37"/>
      <c r="F2639" s="37"/>
      <c r="G2639" s="79"/>
    </row>
    <row r="2640" spans="1:7">
      <c r="A2640" s="78"/>
      <c r="B2640" s="37"/>
      <c r="C2640" s="1"/>
      <c r="D2640" s="37"/>
      <c r="E2640" s="37"/>
      <c r="F2640" s="37"/>
      <c r="G2640" s="79"/>
    </row>
    <row r="2641" spans="1:7">
      <c r="A2641" s="78"/>
      <c r="B2641" s="37"/>
      <c r="C2641" s="1"/>
      <c r="D2641" s="37"/>
      <c r="E2641" s="37"/>
      <c r="F2641" s="37"/>
      <c r="G2641" s="79"/>
    </row>
    <row r="2642" spans="1:7">
      <c r="A2642" s="78"/>
      <c r="B2642" s="37"/>
      <c r="C2642" s="1"/>
      <c r="D2642" s="37"/>
      <c r="E2642" s="37"/>
      <c r="F2642" s="37"/>
      <c r="G2642" s="79"/>
    </row>
    <row r="2643" spans="1:7">
      <c r="A2643" s="78"/>
      <c r="B2643" s="37"/>
      <c r="C2643" s="1"/>
      <c r="D2643" s="37"/>
      <c r="E2643" s="37"/>
      <c r="F2643" s="37"/>
      <c r="G2643" s="79"/>
    </row>
    <row r="2644" spans="1:7">
      <c r="A2644" s="78"/>
      <c r="B2644" s="37"/>
      <c r="C2644" s="1"/>
      <c r="D2644" s="37"/>
      <c r="E2644" s="37"/>
      <c r="F2644" s="37"/>
      <c r="G2644" s="79"/>
    </row>
    <row r="2645" spans="1:7">
      <c r="A2645" s="78"/>
      <c r="B2645" s="37"/>
      <c r="C2645" s="1"/>
      <c r="D2645" s="37"/>
      <c r="E2645" s="37"/>
      <c r="F2645" s="37"/>
      <c r="G2645" s="79"/>
    </row>
    <row r="2646" spans="1:7">
      <c r="A2646" s="78"/>
      <c r="B2646" s="37"/>
      <c r="C2646" s="1"/>
      <c r="D2646" s="37"/>
      <c r="E2646" s="37"/>
      <c r="F2646" s="37"/>
      <c r="G2646" s="79"/>
    </row>
    <row r="2647" spans="1:7">
      <c r="A2647" s="78"/>
      <c r="B2647" s="37"/>
      <c r="C2647" s="1"/>
      <c r="D2647" s="37"/>
      <c r="E2647" s="37"/>
      <c r="F2647" s="37"/>
      <c r="G2647" s="79"/>
    </row>
    <row r="2648" spans="1:7">
      <c r="A2648" s="78"/>
      <c r="B2648" s="37"/>
      <c r="C2648" s="1"/>
      <c r="D2648" s="37"/>
      <c r="E2648" s="37"/>
      <c r="F2648" s="37"/>
      <c r="G2648" s="79"/>
    </row>
    <row r="2649" spans="1:7">
      <c r="A2649" s="78"/>
      <c r="B2649" s="37"/>
      <c r="C2649" s="1"/>
      <c r="D2649" s="37"/>
      <c r="E2649" s="37"/>
      <c r="F2649" s="37"/>
      <c r="G2649" s="79"/>
    </row>
    <row r="2650" spans="1:7">
      <c r="A2650" s="78"/>
      <c r="B2650" s="37"/>
      <c r="C2650" s="1"/>
      <c r="D2650" s="37"/>
      <c r="E2650" s="37"/>
      <c r="F2650" s="37"/>
      <c r="G2650" s="79"/>
    </row>
    <row r="2651" spans="1:7">
      <c r="A2651" s="78"/>
      <c r="B2651" s="37"/>
      <c r="C2651" s="1"/>
      <c r="D2651" s="37"/>
      <c r="E2651" s="37"/>
      <c r="F2651" s="37"/>
      <c r="G2651" s="79"/>
    </row>
    <row r="2652" spans="1:7">
      <c r="A2652" s="78"/>
      <c r="B2652" s="37"/>
      <c r="C2652" s="1"/>
      <c r="D2652" s="37"/>
      <c r="E2652" s="37"/>
      <c r="F2652" s="37"/>
      <c r="G2652" s="79"/>
    </row>
    <row r="2653" spans="1:7">
      <c r="A2653" s="78"/>
      <c r="B2653" s="37"/>
      <c r="C2653" s="1"/>
      <c r="D2653" s="37"/>
      <c r="E2653" s="37"/>
      <c r="F2653" s="37"/>
      <c r="G2653" s="79"/>
    </row>
    <row r="2654" spans="1:7">
      <c r="A2654" s="78"/>
      <c r="B2654" s="37"/>
      <c r="C2654" s="1"/>
      <c r="D2654" s="37"/>
      <c r="E2654" s="37"/>
      <c r="F2654" s="37"/>
      <c r="G2654" s="79"/>
    </row>
    <row r="2655" spans="1:7">
      <c r="A2655" s="78"/>
      <c r="B2655" s="37"/>
      <c r="C2655" s="1"/>
      <c r="D2655" s="37"/>
      <c r="E2655" s="37"/>
      <c r="F2655" s="37"/>
      <c r="G2655" s="79"/>
    </row>
    <row r="2656" spans="1:7">
      <c r="A2656" s="78"/>
      <c r="B2656" s="37"/>
      <c r="C2656" s="1"/>
      <c r="D2656" s="37"/>
      <c r="E2656" s="37"/>
      <c r="F2656" s="37"/>
      <c r="G2656" s="79"/>
    </row>
    <row r="2657" spans="1:7">
      <c r="A2657" s="78"/>
      <c r="B2657" s="37"/>
      <c r="C2657" s="1"/>
      <c r="D2657" s="37"/>
      <c r="E2657" s="37"/>
      <c r="F2657" s="37"/>
      <c r="G2657" s="79"/>
    </row>
    <row r="2658" spans="1:7">
      <c r="A2658" s="78"/>
      <c r="B2658" s="37"/>
      <c r="C2658" s="1"/>
      <c r="D2658" s="37"/>
      <c r="E2658" s="37"/>
      <c r="F2658" s="37"/>
      <c r="G2658" s="79"/>
    </row>
    <row r="2659" spans="1:7">
      <c r="A2659" s="78"/>
      <c r="B2659" s="37"/>
      <c r="C2659" s="1"/>
      <c r="D2659" s="37"/>
      <c r="E2659" s="37"/>
      <c r="F2659" s="37"/>
      <c r="G2659" s="79"/>
    </row>
    <row r="2660" spans="1:7">
      <c r="A2660" s="78"/>
      <c r="B2660" s="37"/>
      <c r="C2660" s="1"/>
      <c r="D2660" s="37"/>
      <c r="E2660" s="37"/>
      <c r="F2660" s="37"/>
      <c r="G2660" s="79"/>
    </row>
    <row r="2661" spans="1:7">
      <c r="A2661" s="78"/>
      <c r="B2661" s="37"/>
      <c r="C2661" s="1"/>
      <c r="D2661" s="37"/>
      <c r="E2661" s="37"/>
      <c r="F2661" s="37"/>
      <c r="G2661" s="79"/>
    </row>
    <row r="2662" spans="1:7">
      <c r="A2662" s="78"/>
      <c r="B2662" s="37"/>
      <c r="C2662" s="1"/>
      <c r="D2662" s="37"/>
      <c r="E2662" s="37"/>
      <c r="F2662" s="37"/>
      <c r="G2662" s="79"/>
    </row>
    <row r="2663" spans="1:7">
      <c r="A2663" s="78"/>
      <c r="B2663" s="37"/>
      <c r="C2663" s="1"/>
      <c r="D2663" s="37"/>
      <c r="E2663" s="37"/>
      <c r="F2663" s="37"/>
      <c r="G2663" s="79"/>
    </row>
    <row r="2664" spans="1:7">
      <c r="A2664" s="78"/>
      <c r="B2664" s="37"/>
      <c r="C2664" s="1"/>
      <c r="D2664" s="37"/>
      <c r="E2664" s="37"/>
      <c r="F2664" s="37"/>
      <c r="G2664" s="79"/>
    </row>
    <row r="2665" spans="1:7">
      <c r="A2665" s="78"/>
      <c r="B2665" s="37"/>
      <c r="C2665" s="1"/>
      <c r="D2665" s="37"/>
      <c r="E2665" s="37"/>
      <c r="F2665" s="37"/>
      <c r="G2665" s="79"/>
    </row>
    <row r="2666" spans="1:7">
      <c r="A2666" s="78"/>
      <c r="B2666" s="37"/>
      <c r="C2666" s="1"/>
      <c r="D2666" s="37"/>
      <c r="E2666" s="37"/>
      <c r="F2666" s="37"/>
      <c r="G2666" s="79"/>
    </row>
    <row r="2667" spans="1:7">
      <c r="A2667" s="78"/>
      <c r="B2667" s="37"/>
      <c r="C2667" s="1"/>
      <c r="D2667" s="37"/>
      <c r="E2667" s="37"/>
      <c r="F2667" s="37"/>
      <c r="G2667" s="79"/>
    </row>
    <row r="2668" spans="1:7">
      <c r="A2668" s="78"/>
      <c r="B2668" s="37"/>
      <c r="C2668" s="1"/>
      <c r="D2668" s="37"/>
      <c r="E2668" s="37"/>
      <c r="F2668" s="37"/>
      <c r="G2668" s="79"/>
    </row>
    <row r="2669" spans="1:7">
      <c r="A2669" s="78"/>
      <c r="B2669" s="37"/>
      <c r="C2669" s="1"/>
      <c r="D2669" s="37"/>
      <c r="E2669" s="37"/>
      <c r="F2669" s="37"/>
      <c r="G2669" s="79"/>
    </row>
    <row r="2670" spans="1:7">
      <c r="A2670" s="78"/>
      <c r="B2670" s="37"/>
      <c r="C2670" s="1"/>
      <c r="D2670" s="37"/>
      <c r="E2670" s="37"/>
      <c r="F2670" s="37"/>
      <c r="G2670" s="79"/>
    </row>
    <row r="2671" spans="1:7">
      <c r="A2671" s="78"/>
      <c r="B2671" s="37"/>
      <c r="C2671" s="1"/>
      <c r="D2671" s="37"/>
      <c r="E2671" s="37"/>
      <c r="F2671" s="37"/>
      <c r="G2671" s="79"/>
    </row>
    <row r="2672" spans="1:7">
      <c r="A2672" s="78"/>
      <c r="B2672" s="37"/>
      <c r="C2672" s="1"/>
      <c r="D2672" s="37"/>
      <c r="E2672" s="37"/>
      <c r="F2672" s="37"/>
      <c r="G2672" s="79"/>
    </row>
    <row r="2673" spans="1:7">
      <c r="A2673" s="78"/>
      <c r="B2673" s="37"/>
      <c r="C2673" s="1"/>
      <c r="D2673" s="37"/>
      <c r="E2673" s="37"/>
      <c r="F2673" s="37"/>
      <c r="G2673" s="79"/>
    </row>
    <row r="2674" spans="1:7">
      <c r="A2674" s="78"/>
      <c r="B2674" s="37"/>
      <c r="C2674" s="1"/>
      <c r="D2674" s="37"/>
      <c r="E2674" s="37"/>
      <c r="F2674" s="37"/>
      <c r="G2674" s="79"/>
    </row>
    <row r="2675" spans="1:7">
      <c r="A2675" s="78"/>
      <c r="B2675" s="37"/>
      <c r="C2675" s="1"/>
      <c r="D2675" s="37"/>
      <c r="E2675" s="37"/>
      <c r="F2675" s="37"/>
      <c r="G2675" s="79"/>
    </row>
    <row r="2676" spans="1:7">
      <c r="A2676" s="78"/>
      <c r="B2676" s="37"/>
      <c r="C2676" s="1"/>
      <c r="D2676" s="37"/>
      <c r="E2676" s="37"/>
      <c r="F2676" s="37"/>
      <c r="G2676" s="79"/>
    </row>
    <row r="2677" spans="1:7">
      <c r="A2677" s="78"/>
      <c r="B2677" s="37"/>
      <c r="C2677" s="1"/>
      <c r="D2677" s="37"/>
      <c r="E2677" s="37"/>
      <c r="F2677" s="37"/>
      <c r="G2677" s="79"/>
    </row>
    <row r="2678" spans="1:7">
      <c r="A2678" s="78"/>
      <c r="B2678" s="37"/>
      <c r="C2678" s="1"/>
      <c r="D2678" s="37"/>
      <c r="E2678" s="37"/>
      <c r="F2678" s="37"/>
      <c r="G2678" s="79"/>
    </row>
    <row r="2679" spans="1:7">
      <c r="A2679" s="78"/>
      <c r="B2679" s="37"/>
      <c r="C2679" s="1"/>
      <c r="D2679" s="37"/>
      <c r="E2679" s="37"/>
      <c r="F2679" s="37"/>
      <c r="G2679" s="79"/>
    </row>
    <row r="2680" spans="1:7">
      <c r="A2680" s="78"/>
      <c r="B2680" s="37"/>
      <c r="C2680" s="1"/>
      <c r="D2680" s="37"/>
      <c r="E2680" s="37"/>
      <c r="F2680" s="37"/>
      <c r="G2680" s="79"/>
    </row>
    <row r="2681" spans="1:7">
      <c r="A2681" s="78"/>
      <c r="B2681" s="37"/>
      <c r="C2681" s="1"/>
      <c r="D2681" s="37"/>
      <c r="E2681" s="37"/>
      <c r="F2681" s="37"/>
      <c r="G2681" s="79"/>
    </row>
    <row r="2682" spans="1:7">
      <c r="A2682" s="78"/>
      <c r="B2682" s="37"/>
      <c r="C2682" s="1"/>
      <c r="D2682" s="37"/>
      <c r="E2682" s="37"/>
      <c r="F2682" s="37"/>
      <c r="G2682" s="79"/>
    </row>
    <row r="2683" spans="1:7">
      <c r="A2683" s="78"/>
      <c r="B2683" s="37"/>
      <c r="C2683" s="1"/>
      <c r="D2683" s="37"/>
      <c r="E2683" s="37"/>
      <c r="F2683" s="37"/>
      <c r="G2683" s="79"/>
    </row>
    <row r="2684" spans="1:7">
      <c r="A2684" s="78"/>
      <c r="B2684" s="37"/>
      <c r="C2684" s="1"/>
      <c r="D2684" s="37"/>
      <c r="E2684" s="37"/>
      <c r="F2684" s="37"/>
      <c r="G2684" s="79"/>
    </row>
    <row r="2685" spans="1:7">
      <c r="A2685" s="78"/>
      <c r="B2685" s="37"/>
      <c r="C2685" s="1"/>
      <c r="D2685" s="37"/>
      <c r="E2685" s="37"/>
      <c r="F2685" s="37"/>
      <c r="G2685" s="79"/>
    </row>
    <row r="2686" spans="1:7">
      <c r="A2686" s="78"/>
      <c r="B2686" s="37"/>
      <c r="C2686" s="1"/>
      <c r="D2686" s="37"/>
      <c r="E2686" s="37"/>
      <c r="F2686" s="37"/>
      <c r="G2686" s="79"/>
    </row>
    <row r="2687" spans="1:7">
      <c r="A2687" s="78"/>
      <c r="B2687" s="37"/>
      <c r="C2687" s="1"/>
      <c r="D2687" s="37"/>
      <c r="E2687" s="37"/>
      <c r="F2687" s="37"/>
      <c r="G2687" s="79"/>
    </row>
    <row r="2688" spans="1:7">
      <c r="A2688" s="78"/>
      <c r="B2688" s="37"/>
      <c r="C2688" s="1"/>
      <c r="D2688" s="37"/>
      <c r="E2688" s="37"/>
      <c r="F2688" s="37"/>
      <c r="G2688" s="79"/>
    </row>
    <row r="2689" spans="1:7">
      <c r="A2689" s="78"/>
      <c r="B2689" s="37"/>
      <c r="C2689" s="1"/>
      <c r="D2689" s="37"/>
      <c r="E2689" s="37"/>
      <c r="F2689" s="37"/>
      <c r="G2689" s="79"/>
    </row>
    <row r="2690" spans="1:7">
      <c r="A2690" s="78"/>
      <c r="B2690" s="37"/>
      <c r="C2690" s="1"/>
      <c r="D2690" s="37"/>
      <c r="E2690" s="37"/>
      <c r="F2690" s="37"/>
      <c r="G2690" s="79"/>
    </row>
    <row r="2691" spans="1:7">
      <c r="A2691" s="78"/>
      <c r="B2691" s="37"/>
      <c r="C2691" s="1"/>
      <c r="D2691" s="37"/>
      <c r="E2691" s="37"/>
      <c r="F2691" s="37"/>
      <c r="G2691" s="79"/>
    </row>
    <row r="2692" spans="1:7">
      <c r="A2692" s="78"/>
      <c r="B2692" s="37"/>
      <c r="C2692" s="1"/>
      <c r="D2692" s="37"/>
      <c r="E2692" s="37"/>
      <c r="F2692" s="37"/>
      <c r="G2692" s="79"/>
    </row>
    <row r="2693" spans="1:7">
      <c r="A2693" s="78"/>
      <c r="B2693" s="37"/>
      <c r="C2693" s="1"/>
      <c r="D2693" s="37"/>
      <c r="E2693" s="37"/>
      <c r="F2693" s="37"/>
      <c r="G2693" s="79"/>
    </row>
    <row r="2694" spans="1:7">
      <c r="A2694" s="78"/>
      <c r="B2694" s="37"/>
      <c r="C2694" s="1"/>
      <c r="D2694" s="37"/>
      <c r="E2694" s="37"/>
      <c r="F2694" s="37"/>
      <c r="G2694" s="79"/>
    </row>
    <row r="2695" spans="1:7">
      <c r="A2695" s="78"/>
      <c r="B2695" s="37"/>
      <c r="C2695" s="1"/>
      <c r="D2695" s="37"/>
      <c r="E2695" s="37"/>
      <c r="F2695" s="37"/>
      <c r="G2695" s="79"/>
    </row>
    <row r="2696" spans="1:7">
      <c r="A2696" s="78"/>
      <c r="B2696" s="37"/>
      <c r="C2696" s="1"/>
      <c r="D2696" s="37"/>
      <c r="E2696" s="37"/>
      <c r="F2696" s="37"/>
      <c r="G2696" s="79"/>
    </row>
    <row r="2697" spans="1:7">
      <c r="A2697" s="78"/>
      <c r="B2697" s="37"/>
      <c r="C2697" s="1"/>
      <c r="D2697" s="37"/>
      <c r="E2697" s="37"/>
      <c r="F2697" s="37"/>
      <c r="G2697" s="79"/>
    </row>
    <row r="2698" spans="1:7">
      <c r="A2698" s="78"/>
      <c r="B2698" s="37"/>
      <c r="C2698" s="1"/>
      <c r="D2698" s="37"/>
      <c r="E2698" s="37"/>
      <c r="F2698" s="37"/>
      <c r="G2698" s="79"/>
    </row>
    <row r="2699" spans="1:7">
      <c r="A2699" s="78"/>
      <c r="B2699" s="37"/>
      <c r="C2699" s="1"/>
      <c r="D2699" s="37"/>
      <c r="E2699" s="37"/>
      <c r="F2699" s="37"/>
      <c r="G2699" s="79"/>
    </row>
    <row r="2700" spans="1:7">
      <c r="A2700" s="78"/>
      <c r="B2700" s="37"/>
      <c r="C2700" s="1"/>
      <c r="D2700" s="37"/>
      <c r="E2700" s="37"/>
      <c r="F2700" s="37"/>
      <c r="G2700" s="79"/>
    </row>
    <row r="2701" spans="1:7">
      <c r="A2701" s="78"/>
      <c r="B2701" s="37"/>
      <c r="C2701" s="1"/>
      <c r="D2701" s="37"/>
      <c r="E2701" s="37"/>
      <c r="F2701" s="37"/>
      <c r="G2701" s="79"/>
    </row>
    <row r="2702" spans="1:7">
      <c r="A2702" s="78"/>
      <c r="B2702" s="37"/>
      <c r="C2702" s="1"/>
      <c r="D2702" s="37"/>
      <c r="E2702" s="37"/>
      <c r="F2702" s="37"/>
      <c r="G2702" s="79"/>
    </row>
    <row r="2703" spans="1:7">
      <c r="A2703" s="78"/>
      <c r="B2703" s="37"/>
      <c r="C2703" s="1"/>
      <c r="D2703" s="37"/>
      <c r="E2703" s="37"/>
      <c r="F2703" s="37"/>
      <c r="G2703" s="79"/>
    </row>
    <row r="2704" spans="1:7">
      <c r="A2704" s="78"/>
      <c r="B2704" s="37"/>
      <c r="C2704" s="1"/>
      <c r="D2704" s="37"/>
      <c r="E2704" s="37"/>
      <c r="F2704" s="37"/>
      <c r="G2704" s="79"/>
    </row>
    <row r="2705" spans="1:7">
      <c r="A2705" s="78"/>
      <c r="B2705" s="37"/>
      <c r="C2705" s="1"/>
      <c r="D2705" s="37"/>
      <c r="E2705" s="37"/>
      <c r="F2705" s="37"/>
      <c r="G2705" s="79"/>
    </row>
    <row r="2706" spans="1:7">
      <c r="A2706" s="78"/>
      <c r="B2706" s="37"/>
      <c r="C2706" s="1"/>
      <c r="D2706" s="37"/>
      <c r="E2706" s="37"/>
      <c r="F2706" s="37"/>
      <c r="G2706" s="79"/>
    </row>
    <row r="2707" spans="1:7">
      <c r="A2707" s="78"/>
      <c r="B2707" s="37"/>
      <c r="C2707" s="1"/>
      <c r="D2707" s="37"/>
      <c r="E2707" s="37"/>
      <c r="F2707" s="37"/>
      <c r="G2707" s="79"/>
    </row>
    <row r="2708" spans="1:7">
      <c r="A2708" s="78"/>
      <c r="B2708" s="37"/>
      <c r="C2708" s="1"/>
      <c r="D2708" s="37"/>
      <c r="E2708" s="37"/>
      <c r="F2708" s="37"/>
      <c r="G2708" s="79"/>
    </row>
    <row r="2709" spans="1:7">
      <c r="A2709" s="78"/>
      <c r="B2709" s="37"/>
      <c r="C2709" s="1"/>
      <c r="D2709" s="37"/>
      <c r="E2709" s="37"/>
      <c r="F2709" s="37"/>
      <c r="G2709" s="79"/>
    </row>
    <row r="2710" spans="1:7">
      <c r="A2710" s="78"/>
      <c r="B2710" s="37"/>
      <c r="C2710" s="1"/>
      <c r="D2710" s="37"/>
      <c r="E2710" s="37"/>
      <c r="F2710" s="37"/>
      <c r="G2710" s="79"/>
    </row>
    <row r="2711" spans="1:7">
      <c r="A2711" s="78"/>
      <c r="B2711" s="37"/>
      <c r="C2711" s="1"/>
      <c r="D2711" s="37"/>
      <c r="E2711" s="37"/>
      <c r="F2711" s="37"/>
      <c r="G2711" s="79"/>
    </row>
    <row r="2712" spans="1:7">
      <c r="A2712" s="78"/>
      <c r="B2712" s="37"/>
      <c r="C2712" s="1"/>
      <c r="D2712" s="37"/>
      <c r="E2712" s="37"/>
      <c r="F2712" s="37"/>
      <c r="G2712" s="79"/>
    </row>
    <row r="2713" spans="1:7">
      <c r="A2713" s="78"/>
      <c r="B2713" s="37"/>
      <c r="C2713" s="1"/>
      <c r="D2713" s="37"/>
      <c r="E2713" s="37"/>
      <c r="F2713" s="37"/>
      <c r="G2713" s="79"/>
    </row>
    <row r="2714" spans="1:7">
      <c r="A2714" s="78"/>
      <c r="B2714" s="37"/>
      <c r="C2714" s="1"/>
      <c r="D2714" s="37"/>
      <c r="E2714" s="37"/>
      <c r="F2714" s="37"/>
      <c r="G2714" s="79"/>
    </row>
    <row r="2715" spans="1:7">
      <c r="A2715" s="78"/>
      <c r="B2715" s="37"/>
      <c r="C2715" s="1"/>
      <c r="D2715" s="37"/>
      <c r="E2715" s="37"/>
      <c r="F2715" s="37"/>
      <c r="G2715" s="79"/>
    </row>
    <row r="2716" spans="1:7">
      <c r="A2716" s="78"/>
      <c r="B2716" s="37"/>
      <c r="C2716" s="1"/>
      <c r="D2716" s="37"/>
      <c r="E2716" s="37"/>
      <c r="F2716" s="37"/>
      <c r="G2716" s="79"/>
    </row>
    <row r="2717" spans="1:7">
      <c r="A2717" s="78"/>
      <c r="B2717" s="37"/>
      <c r="C2717" s="1"/>
      <c r="D2717" s="37"/>
      <c r="E2717" s="37"/>
      <c r="F2717" s="37"/>
      <c r="G2717" s="79"/>
    </row>
    <row r="2718" spans="1:7">
      <c r="A2718" s="78"/>
      <c r="B2718" s="37"/>
      <c r="C2718" s="1"/>
      <c r="D2718" s="37"/>
      <c r="E2718" s="37"/>
      <c r="F2718" s="37"/>
      <c r="G2718" s="79"/>
    </row>
    <row r="2719" spans="1:7">
      <c r="A2719" s="78"/>
      <c r="B2719" s="37"/>
      <c r="C2719" s="1"/>
      <c r="D2719" s="37"/>
      <c r="E2719" s="37"/>
      <c r="F2719" s="37"/>
      <c r="G2719" s="79"/>
    </row>
    <row r="2720" spans="1:7">
      <c r="A2720" s="78"/>
      <c r="B2720" s="37"/>
      <c r="C2720" s="1"/>
      <c r="D2720" s="37"/>
      <c r="E2720" s="37"/>
      <c r="F2720" s="37"/>
      <c r="G2720" s="79"/>
    </row>
    <row r="2721" spans="1:7">
      <c r="A2721" s="78"/>
      <c r="B2721" s="37"/>
      <c r="C2721" s="1"/>
      <c r="D2721" s="37"/>
      <c r="E2721" s="37"/>
      <c r="F2721" s="37"/>
      <c r="G2721" s="79"/>
    </row>
    <row r="2722" spans="1:7">
      <c r="A2722" s="78"/>
      <c r="B2722" s="37"/>
      <c r="C2722" s="1"/>
      <c r="D2722" s="37"/>
      <c r="E2722" s="37"/>
      <c r="F2722" s="37"/>
      <c r="G2722" s="79"/>
    </row>
    <row r="2723" spans="1:7">
      <c r="A2723" s="78"/>
      <c r="B2723" s="37"/>
      <c r="C2723" s="1"/>
      <c r="D2723" s="37"/>
      <c r="E2723" s="37"/>
      <c r="F2723" s="37"/>
      <c r="G2723" s="79"/>
    </row>
    <row r="2724" spans="1:7">
      <c r="A2724" s="78"/>
      <c r="B2724" s="37"/>
      <c r="C2724" s="1"/>
      <c r="D2724" s="37"/>
      <c r="E2724" s="37"/>
      <c r="F2724" s="37"/>
      <c r="G2724" s="79"/>
    </row>
    <row r="2725" spans="1:7">
      <c r="A2725" s="78"/>
      <c r="B2725" s="37"/>
      <c r="C2725" s="1"/>
      <c r="D2725" s="37"/>
      <c r="E2725" s="37"/>
      <c r="F2725" s="37"/>
      <c r="G2725" s="79"/>
    </row>
    <row r="2726" spans="1:7">
      <c r="A2726" s="78"/>
      <c r="B2726" s="37"/>
      <c r="C2726" s="1"/>
      <c r="D2726" s="37"/>
      <c r="E2726" s="37"/>
      <c r="F2726" s="37"/>
      <c r="G2726" s="79"/>
    </row>
    <row r="2727" spans="1:7">
      <c r="A2727" s="78"/>
      <c r="B2727" s="37"/>
      <c r="C2727" s="1"/>
      <c r="D2727" s="37"/>
      <c r="E2727" s="37"/>
      <c r="F2727" s="37"/>
      <c r="G2727" s="79"/>
    </row>
    <row r="2728" spans="1:7">
      <c r="A2728" s="78"/>
      <c r="B2728" s="37"/>
      <c r="C2728" s="1"/>
      <c r="D2728" s="37"/>
      <c r="E2728" s="37"/>
      <c r="F2728" s="37"/>
      <c r="G2728" s="79"/>
    </row>
    <row r="2729" spans="1:7">
      <c r="A2729" s="78"/>
      <c r="B2729" s="37"/>
      <c r="C2729" s="1"/>
      <c r="D2729" s="37"/>
      <c r="E2729" s="37"/>
      <c r="F2729" s="37"/>
      <c r="G2729" s="79"/>
    </row>
    <row r="2730" spans="1:7">
      <c r="A2730" s="78"/>
      <c r="B2730" s="37"/>
      <c r="C2730" s="1"/>
      <c r="D2730" s="37"/>
      <c r="E2730" s="37"/>
      <c r="F2730" s="37"/>
      <c r="G2730" s="79"/>
    </row>
    <row r="2731" spans="1:7">
      <c r="A2731" s="78"/>
      <c r="B2731" s="37"/>
      <c r="C2731" s="1"/>
      <c r="D2731" s="37"/>
      <c r="E2731" s="37"/>
      <c r="F2731" s="37"/>
      <c r="G2731" s="79"/>
    </row>
    <row r="2732" spans="1:7">
      <c r="A2732" s="78"/>
      <c r="B2732" s="37"/>
      <c r="C2732" s="1"/>
      <c r="D2732" s="37"/>
      <c r="E2732" s="37"/>
      <c r="F2732" s="37"/>
      <c r="G2732" s="79"/>
    </row>
    <row r="2733" spans="1:7">
      <c r="A2733" s="78"/>
      <c r="B2733" s="37"/>
      <c r="C2733" s="1"/>
      <c r="D2733" s="37"/>
      <c r="E2733" s="37"/>
      <c r="F2733" s="37"/>
      <c r="G2733" s="79"/>
    </row>
    <row r="2734" spans="1:7">
      <c r="A2734" s="78"/>
      <c r="B2734" s="37"/>
      <c r="C2734" s="1"/>
      <c r="D2734" s="37"/>
      <c r="E2734" s="37"/>
      <c r="F2734" s="37"/>
      <c r="G2734" s="79"/>
    </row>
    <row r="2735" spans="1:7">
      <c r="A2735" s="78"/>
      <c r="B2735" s="37"/>
      <c r="C2735" s="1"/>
      <c r="D2735" s="37"/>
      <c r="E2735" s="37"/>
      <c r="F2735" s="37"/>
      <c r="G2735" s="79"/>
    </row>
    <row r="2736" spans="1:7">
      <c r="A2736" s="78"/>
      <c r="B2736" s="37"/>
      <c r="C2736" s="1"/>
      <c r="D2736" s="37"/>
      <c r="E2736" s="37"/>
      <c r="F2736" s="37"/>
      <c r="G2736" s="79"/>
    </row>
    <row r="2737" spans="1:7">
      <c r="A2737" s="78"/>
      <c r="B2737" s="37"/>
      <c r="C2737" s="1"/>
      <c r="D2737" s="37"/>
      <c r="E2737" s="37"/>
      <c r="F2737" s="37"/>
      <c r="G2737" s="79"/>
    </row>
    <row r="2738" spans="1:7">
      <c r="A2738" s="78"/>
      <c r="B2738" s="37"/>
      <c r="C2738" s="1"/>
      <c r="D2738" s="37"/>
      <c r="E2738" s="37"/>
      <c r="F2738" s="37"/>
      <c r="G2738" s="79"/>
    </row>
    <row r="2739" spans="1:7">
      <c r="A2739" s="78"/>
      <c r="B2739" s="37"/>
      <c r="C2739" s="1"/>
      <c r="D2739" s="37"/>
      <c r="E2739" s="37"/>
      <c r="F2739" s="37"/>
      <c r="G2739" s="79"/>
    </row>
    <row r="2740" spans="1:7">
      <c r="A2740" s="78"/>
      <c r="B2740" s="37"/>
      <c r="C2740" s="1"/>
      <c r="D2740" s="37"/>
      <c r="E2740" s="37"/>
      <c r="F2740" s="37"/>
      <c r="G2740" s="79"/>
    </row>
    <row r="2741" spans="1:7">
      <c r="A2741" s="78"/>
      <c r="B2741" s="37"/>
      <c r="C2741" s="1"/>
      <c r="D2741" s="37"/>
      <c r="E2741" s="37"/>
      <c r="F2741" s="37"/>
      <c r="G2741" s="79"/>
    </row>
    <row r="2742" spans="1:7">
      <c r="A2742" s="78"/>
      <c r="B2742" s="37"/>
      <c r="C2742" s="1"/>
      <c r="D2742" s="37"/>
      <c r="E2742" s="37"/>
      <c r="F2742" s="37"/>
      <c r="G2742" s="79"/>
    </row>
    <row r="2743" spans="1:7">
      <c r="A2743" s="78"/>
      <c r="B2743" s="37"/>
      <c r="C2743" s="1"/>
      <c r="D2743" s="37"/>
      <c r="E2743" s="37"/>
      <c r="F2743" s="37"/>
      <c r="G2743" s="79"/>
    </row>
    <row r="2744" spans="1:7">
      <c r="A2744" s="78"/>
      <c r="B2744" s="37"/>
      <c r="C2744" s="1"/>
      <c r="D2744" s="37"/>
      <c r="E2744" s="37"/>
      <c r="F2744" s="37"/>
      <c r="G2744" s="79"/>
    </row>
    <row r="2745" spans="1:7">
      <c r="A2745" s="78"/>
      <c r="B2745" s="37"/>
      <c r="C2745" s="1"/>
      <c r="D2745" s="37"/>
      <c r="E2745" s="37"/>
      <c r="F2745" s="37"/>
      <c r="G2745" s="79"/>
    </row>
    <row r="2746" spans="1:7">
      <c r="A2746" s="78"/>
      <c r="B2746" s="37"/>
      <c r="C2746" s="1"/>
      <c r="D2746" s="37"/>
      <c r="E2746" s="37"/>
      <c r="F2746" s="37"/>
      <c r="G2746" s="79"/>
    </row>
    <row r="2747" spans="1:7">
      <c r="A2747" s="78"/>
      <c r="B2747" s="37"/>
      <c r="C2747" s="1"/>
      <c r="D2747" s="37"/>
      <c r="E2747" s="37"/>
      <c r="F2747" s="37"/>
      <c r="G2747" s="79"/>
    </row>
    <row r="2748" spans="1:7">
      <c r="A2748" s="78"/>
      <c r="B2748" s="37"/>
      <c r="C2748" s="1"/>
      <c r="D2748" s="37"/>
      <c r="E2748" s="37"/>
      <c r="F2748" s="37"/>
      <c r="G2748" s="79"/>
    </row>
    <row r="2749" spans="1:7">
      <c r="A2749" s="78"/>
      <c r="B2749" s="37"/>
      <c r="C2749" s="1"/>
      <c r="D2749" s="37"/>
      <c r="E2749" s="37"/>
      <c r="F2749" s="37"/>
      <c r="G2749" s="79"/>
    </row>
    <row r="2750" spans="1:7">
      <c r="A2750" s="78"/>
      <c r="B2750" s="37"/>
      <c r="C2750" s="1"/>
      <c r="D2750" s="37"/>
      <c r="E2750" s="37"/>
      <c r="F2750" s="37"/>
      <c r="G2750" s="79"/>
    </row>
    <row r="2751" spans="1:7">
      <c r="A2751" s="78"/>
      <c r="B2751" s="37"/>
      <c r="C2751" s="1"/>
      <c r="D2751" s="37"/>
      <c r="E2751" s="37"/>
      <c r="F2751" s="37"/>
      <c r="G2751" s="79"/>
    </row>
    <row r="2752" spans="1:7">
      <c r="A2752" s="78"/>
      <c r="B2752" s="37"/>
      <c r="C2752" s="1"/>
      <c r="D2752" s="37"/>
      <c r="E2752" s="37"/>
      <c r="F2752" s="37"/>
      <c r="G2752" s="79"/>
    </row>
    <row r="2753" spans="1:7">
      <c r="A2753" s="78"/>
      <c r="B2753" s="37"/>
      <c r="C2753" s="1"/>
      <c r="D2753" s="37"/>
      <c r="E2753" s="37"/>
      <c r="F2753" s="37"/>
      <c r="G2753" s="79"/>
    </row>
    <row r="2754" spans="1:7">
      <c r="A2754" s="78"/>
      <c r="B2754" s="37"/>
      <c r="C2754" s="1"/>
      <c r="D2754" s="37"/>
      <c r="E2754" s="37"/>
      <c r="F2754" s="37"/>
      <c r="G2754" s="79"/>
    </row>
    <row r="2755" spans="1:7">
      <c r="A2755" s="78"/>
      <c r="B2755" s="37"/>
      <c r="C2755" s="1"/>
      <c r="D2755" s="37"/>
      <c r="E2755" s="37"/>
      <c r="F2755" s="37"/>
      <c r="G2755" s="79"/>
    </row>
    <row r="2756" spans="1:7">
      <c r="A2756" s="78"/>
      <c r="B2756" s="37"/>
      <c r="C2756" s="1"/>
      <c r="D2756" s="37"/>
      <c r="E2756" s="37"/>
      <c r="F2756" s="37"/>
      <c r="G2756" s="79"/>
    </row>
    <row r="2757" spans="1:7">
      <c r="A2757" s="78"/>
      <c r="B2757" s="37"/>
      <c r="C2757" s="1"/>
      <c r="D2757" s="37"/>
      <c r="E2757" s="37"/>
      <c r="F2757" s="37"/>
      <c r="G2757" s="79"/>
    </row>
    <row r="2758" spans="1:7">
      <c r="A2758" s="78"/>
      <c r="B2758" s="37"/>
      <c r="C2758" s="1"/>
      <c r="D2758" s="37"/>
      <c r="E2758" s="37"/>
      <c r="F2758" s="37"/>
      <c r="G2758" s="79"/>
    </row>
    <row r="2759" spans="1:7">
      <c r="A2759" s="78"/>
      <c r="B2759" s="37"/>
      <c r="C2759" s="1"/>
      <c r="D2759" s="37"/>
      <c r="E2759" s="37"/>
      <c r="F2759" s="37"/>
      <c r="G2759" s="79"/>
    </row>
    <row r="2760" spans="1:7">
      <c r="A2760" s="78"/>
      <c r="B2760" s="37"/>
      <c r="C2760" s="1"/>
      <c r="D2760" s="37"/>
      <c r="E2760" s="37"/>
      <c r="F2760" s="37"/>
      <c r="G2760" s="79"/>
    </row>
    <row r="2761" spans="1:7">
      <c r="A2761" s="78"/>
      <c r="B2761" s="37"/>
      <c r="C2761" s="1"/>
      <c r="D2761" s="37"/>
      <c r="E2761" s="37"/>
      <c r="F2761" s="37"/>
      <c r="G2761" s="79"/>
    </row>
    <row r="2762" spans="1:7">
      <c r="A2762" s="78"/>
      <c r="B2762" s="37"/>
      <c r="C2762" s="1"/>
      <c r="D2762" s="37"/>
      <c r="E2762" s="37"/>
      <c r="F2762" s="37"/>
      <c r="G2762" s="79"/>
    </row>
    <row r="2763" spans="1:7">
      <c r="A2763" s="78"/>
      <c r="B2763" s="37"/>
      <c r="C2763" s="1"/>
      <c r="D2763" s="37"/>
      <c r="E2763" s="37"/>
      <c r="F2763" s="37"/>
      <c r="G2763" s="79"/>
    </row>
    <row r="2764" spans="1:7">
      <c r="A2764" s="78"/>
      <c r="B2764" s="37"/>
      <c r="C2764" s="1"/>
      <c r="D2764" s="37"/>
      <c r="E2764" s="37"/>
      <c r="F2764" s="37"/>
      <c r="G2764" s="79"/>
    </row>
    <row r="2765" spans="1:7">
      <c r="A2765" s="78"/>
      <c r="B2765" s="37"/>
      <c r="C2765" s="1"/>
      <c r="D2765" s="37"/>
      <c r="E2765" s="37"/>
      <c r="F2765" s="37"/>
      <c r="G2765" s="79"/>
    </row>
    <row r="2766" spans="1:7">
      <c r="A2766" s="78"/>
      <c r="B2766" s="37"/>
      <c r="C2766" s="1"/>
      <c r="D2766" s="37"/>
      <c r="E2766" s="37"/>
      <c r="F2766" s="37"/>
      <c r="G2766" s="79"/>
    </row>
    <row r="2767" spans="1:7">
      <c r="A2767" s="78"/>
      <c r="B2767" s="37"/>
      <c r="C2767" s="1"/>
      <c r="D2767" s="37"/>
      <c r="E2767" s="37"/>
      <c r="F2767" s="37"/>
      <c r="G2767" s="79"/>
    </row>
    <row r="2768" spans="1:7">
      <c r="A2768" s="78"/>
      <c r="B2768" s="37"/>
      <c r="C2768" s="1"/>
      <c r="D2768" s="37"/>
      <c r="E2768" s="37"/>
      <c r="F2768" s="37"/>
      <c r="G2768" s="79"/>
    </row>
    <row r="2769" spans="1:7">
      <c r="A2769" s="78"/>
      <c r="B2769" s="37"/>
      <c r="C2769" s="1"/>
      <c r="D2769" s="37"/>
      <c r="E2769" s="37"/>
      <c r="F2769" s="37"/>
      <c r="G2769" s="79"/>
    </row>
    <row r="2770" spans="1:7">
      <c r="A2770" s="78"/>
      <c r="B2770" s="37"/>
      <c r="C2770" s="1"/>
      <c r="D2770" s="37"/>
      <c r="E2770" s="37"/>
      <c r="F2770" s="37"/>
      <c r="G2770" s="79"/>
    </row>
    <row r="2771" spans="1:7">
      <c r="A2771" s="78"/>
      <c r="B2771" s="37"/>
      <c r="C2771" s="1"/>
      <c r="D2771" s="37"/>
      <c r="E2771" s="37"/>
      <c r="F2771" s="37"/>
      <c r="G2771" s="79"/>
    </row>
    <row r="2772" spans="1:7">
      <c r="A2772" s="78"/>
      <c r="B2772" s="37"/>
      <c r="C2772" s="1"/>
      <c r="D2772" s="37"/>
      <c r="E2772" s="37"/>
      <c r="F2772" s="37"/>
      <c r="G2772" s="79"/>
    </row>
    <row r="2773" spans="1:7">
      <c r="A2773" s="78"/>
      <c r="B2773" s="37"/>
      <c r="C2773" s="1"/>
      <c r="D2773" s="37"/>
      <c r="E2773" s="37"/>
      <c r="F2773" s="37"/>
      <c r="G2773" s="79"/>
    </row>
    <row r="2774" spans="1:7">
      <c r="A2774" s="78"/>
      <c r="B2774" s="37"/>
      <c r="C2774" s="1"/>
      <c r="D2774" s="37"/>
      <c r="E2774" s="37"/>
      <c r="F2774" s="37"/>
      <c r="G2774" s="79"/>
    </row>
    <row r="2775" spans="1:7">
      <c r="A2775" s="78"/>
      <c r="B2775" s="37"/>
      <c r="C2775" s="1"/>
      <c r="D2775" s="37"/>
      <c r="E2775" s="37"/>
      <c r="F2775" s="37"/>
      <c r="G2775" s="79"/>
    </row>
    <row r="2776" spans="1:7">
      <c r="A2776" s="78"/>
      <c r="B2776" s="37"/>
      <c r="C2776" s="1"/>
      <c r="D2776" s="37"/>
      <c r="E2776" s="37"/>
      <c r="F2776" s="37"/>
      <c r="G2776" s="79"/>
    </row>
    <row r="2777" spans="1:7">
      <c r="A2777" s="78"/>
      <c r="B2777" s="37"/>
      <c r="C2777" s="1"/>
      <c r="D2777" s="37"/>
      <c r="E2777" s="37"/>
      <c r="F2777" s="37"/>
      <c r="G2777" s="79"/>
    </row>
    <row r="2778" spans="1:7">
      <c r="A2778" s="78"/>
      <c r="B2778" s="37"/>
      <c r="C2778" s="1"/>
      <c r="D2778" s="37"/>
      <c r="E2778" s="37"/>
      <c r="F2778" s="37"/>
      <c r="G2778" s="79"/>
    </row>
    <row r="2779" spans="1:7">
      <c r="A2779" s="78"/>
      <c r="B2779" s="37"/>
      <c r="C2779" s="1"/>
      <c r="D2779" s="37"/>
      <c r="E2779" s="37"/>
      <c r="F2779" s="37"/>
      <c r="G2779" s="79"/>
    </row>
    <row r="2780" spans="1:7">
      <c r="A2780" s="78"/>
      <c r="B2780" s="37"/>
      <c r="C2780" s="1"/>
      <c r="D2780" s="37"/>
      <c r="E2780" s="37"/>
      <c r="F2780" s="37"/>
      <c r="G2780" s="79"/>
    </row>
    <row r="2781" spans="1:7">
      <c r="A2781" s="78"/>
      <c r="B2781" s="37"/>
      <c r="C2781" s="1"/>
      <c r="D2781" s="37"/>
      <c r="E2781" s="37"/>
      <c r="F2781" s="37"/>
      <c r="G2781" s="79"/>
    </row>
    <row r="2782" spans="1:7">
      <c r="A2782" s="78"/>
      <c r="B2782" s="37"/>
      <c r="C2782" s="1"/>
      <c r="D2782" s="37"/>
      <c r="E2782" s="37"/>
      <c r="F2782" s="37"/>
      <c r="G2782" s="79"/>
    </row>
    <row r="2783" spans="1:7">
      <c r="A2783" s="78"/>
      <c r="B2783" s="37"/>
      <c r="C2783" s="1"/>
      <c r="D2783" s="37"/>
      <c r="E2783" s="37"/>
      <c r="F2783" s="37"/>
      <c r="G2783" s="79"/>
    </row>
    <row r="2784" spans="1:7">
      <c r="A2784" s="78"/>
      <c r="B2784" s="37"/>
      <c r="C2784" s="1"/>
      <c r="D2784" s="37"/>
      <c r="E2784" s="37"/>
      <c r="F2784" s="37"/>
      <c r="G2784" s="79"/>
    </row>
    <row r="2785" spans="1:7">
      <c r="A2785" s="78"/>
      <c r="B2785" s="37"/>
      <c r="C2785" s="1"/>
      <c r="D2785" s="37"/>
      <c r="E2785" s="37"/>
      <c r="F2785" s="37"/>
      <c r="G2785" s="79"/>
    </row>
    <row r="2786" spans="1:7">
      <c r="A2786" s="78"/>
      <c r="B2786" s="37"/>
      <c r="C2786" s="1"/>
      <c r="D2786" s="37"/>
      <c r="E2786" s="37"/>
      <c r="F2786" s="37"/>
      <c r="G2786" s="79"/>
    </row>
    <row r="2787" spans="1:7">
      <c r="A2787" s="78"/>
      <c r="B2787" s="37"/>
      <c r="C2787" s="1"/>
      <c r="D2787" s="37"/>
      <c r="E2787" s="37"/>
      <c r="F2787" s="37"/>
      <c r="G2787" s="79"/>
    </row>
    <row r="2788" spans="1:7">
      <c r="A2788" s="78"/>
      <c r="B2788" s="37"/>
      <c r="C2788" s="1"/>
      <c r="D2788" s="37"/>
      <c r="E2788" s="37"/>
      <c r="F2788" s="37"/>
      <c r="G2788" s="79"/>
    </row>
    <row r="2789" spans="1:7">
      <c r="A2789" s="78"/>
      <c r="B2789" s="37"/>
      <c r="C2789" s="1"/>
      <c r="D2789" s="37"/>
      <c r="E2789" s="37"/>
      <c r="F2789" s="37"/>
      <c r="G2789" s="79"/>
    </row>
    <row r="2790" spans="1:7">
      <c r="A2790" s="78"/>
      <c r="B2790" s="37"/>
      <c r="C2790" s="1"/>
      <c r="D2790" s="37"/>
      <c r="E2790" s="37"/>
      <c r="F2790" s="37"/>
      <c r="G2790" s="79"/>
    </row>
    <row r="2791" spans="1:7">
      <c r="A2791" s="78"/>
      <c r="B2791" s="37"/>
      <c r="C2791" s="1"/>
      <c r="D2791" s="37"/>
      <c r="E2791" s="37"/>
      <c r="F2791" s="37"/>
      <c r="G2791" s="79"/>
    </row>
    <row r="2792" spans="1:7">
      <c r="A2792" s="78"/>
      <c r="B2792" s="37"/>
      <c r="C2792" s="1"/>
      <c r="D2792" s="37"/>
      <c r="E2792" s="37"/>
      <c r="F2792" s="37"/>
      <c r="G2792" s="79"/>
    </row>
    <row r="2793" spans="1:7">
      <c r="A2793" s="78"/>
      <c r="B2793" s="37"/>
      <c r="C2793" s="1"/>
      <c r="D2793" s="37"/>
      <c r="E2793" s="37"/>
      <c r="F2793" s="37"/>
      <c r="G2793" s="79"/>
    </row>
    <row r="2794" spans="1:7">
      <c r="A2794" s="78"/>
      <c r="B2794" s="37"/>
      <c r="C2794" s="1"/>
      <c r="D2794" s="37"/>
      <c r="E2794" s="37"/>
      <c r="F2794" s="37"/>
      <c r="G2794" s="79"/>
    </row>
    <row r="2795" spans="1:7">
      <c r="A2795" s="78"/>
      <c r="B2795" s="37"/>
      <c r="C2795" s="1"/>
      <c r="D2795" s="37"/>
      <c r="E2795" s="37"/>
      <c r="F2795" s="37"/>
      <c r="G2795" s="79"/>
    </row>
    <row r="2796" spans="1:7">
      <c r="A2796" s="78"/>
      <c r="B2796" s="37"/>
      <c r="C2796" s="1"/>
      <c r="D2796" s="37"/>
      <c r="E2796" s="37"/>
      <c r="F2796" s="37"/>
      <c r="G2796" s="79"/>
    </row>
    <row r="2797" spans="1:7">
      <c r="A2797" s="78"/>
      <c r="B2797" s="37"/>
      <c r="C2797" s="1"/>
      <c r="D2797" s="37"/>
      <c r="E2797" s="37"/>
      <c r="F2797" s="37"/>
      <c r="G2797" s="79"/>
    </row>
    <row r="2798" spans="1:7">
      <c r="A2798" s="78"/>
      <c r="B2798" s="37"/>
      <c r="C2798" s="1"/>
      <c r="D2798" s="37"/>
      <c r="E2798" s="37"/>
      <c r="F2798" s="37"/>
      <c r="G2798" s="79"/>
    </row>
    <row r="2799" spans="1:7">
      <c r="A2799" s="78"/>
      <c r="B2799" s="37"/>
      <c r="C2799" s="1"/>
      <c r="D2799" s="37"/>
      <c r="E2799" s="37"/>
      <c r="F2799" s="37"/>
      <c r="G2799" s="79"/>
    </row>
    <row r="2800" spans="1:7">
      <c r="A2800" s="78"/>
      <c r="B2800" s="37"/>
      <c r="C2800" s="1"/>
      <c r="D2800" s="37"/>
      <c r="E2800" s="37"/>
      <c r="F2800" s="37"/>
      <c r="G2800" s="79"/>
    </row>
    <row r="2801" spans="1:7">
      <c r="A2801" s="78"/>
      <c r="B2801" s="37"/>
      <c r="C2801" s="1"/>
      <c r="D2801" s="37"/>
      <c r="E2801" s="37"/>
      <c r="F2801" s="37"/>
      <c r="G2801" s="79"/>
    </row>
    <row r="2802" spans="1:7">
      <c r="A2802" s="78"/>
      <c r="B2802" s="37"/>
      <c r="C2802" s="1"/>
      <c r="D2802" s="37"/>
      <c r="E2802" s="37"/>
      <c r="F2802" s="37"/>
      <c r="G2802" s="79"/>
    </row>
    <row r="2803" spans="1:7">
      <c r="A2803" s="78"/>
      <c r="B2803" s="37"/>
      <c r="C2803" s="1"/>
      <c r="D2803" s="37"/>
      <c r="E2803" s="37"/>
      <c r="F2803" s="37"/>
      <c r="G2803" s="79"/>
    </row>
    <row r="2804" spans="1:7">
      <c r="A2804" s="78"/>
      <c r="B2804" s="37"/>
      <c r="C2804" s="1"/>
      <c r="D2804" s="37"/>
      <c r="E2804" s="37"/>
      <c r="F2804" s="37"/>
      <c r="G2804" s="79"/>
    </row>
    <row r="2805" spans="1:7">
      <c r="A2805" s="78"/>
      <c r="B2805" s="37"/>
      <c r="C2805" s="1"/>
      <c r="D2805" s="37"/>
      <c r="E2805" s="37"/>
      <c r="F2805" s="37"/>
      <c r="G2805" s="79"/>
    </row>
    <row r="2806" spans="1:7">
      <c r="A2806" s="78"/>
      <c r="B2806" s="37"/>
      <c r="C2806" s="1"/>
      <c r="D2806" s="37"/>
      <c r="E2806" s="37"/>
      <c r="F2806" s="37"/>
      <c r="G2806" s="79"/>
    </row>
    <row r="2807" spans="1:7">
      <c r="A2807" s="78"/>
      <c r="B2807" s="37"/>
      <c r="C2807" s="1"/>
      <c r="D2807" s="37"/>
      <c r="E2807" s="37"/>
      <c r="F2807" s="37"/>
      <c r="G2807" s="79"/>
    </row>
    <row r="2808" spans="1:7">
      <c r="A2808" s="78"/>
      <c r="B2808" s="37"/>
      <c r="C2808" s="1"/>
      <c r="D2808" s="37"/>
      <c r="E2808" s="37"/>
      <c r="F2808" s="37"/>
      <c r="G2808" s="79"/>
    </row>
    <row r="2809" spans="1:7">
      <c r="A2809" s="78"/>
      <c r="B2809" s="37"/>
      <c r="C2809" s="1"/>
      <c r="D2809" s="37"/>
      <c r="E2809" s="37"/>
      <c r="F2809" s="37"/>
      <c r="G2809" s="79"/>
    </row>
    <row r="2810" spans="1:7">
      <c r="A2810" s="78"/>
      <c r="B2810" s="37"/>
      <c r="C2810" s="1"/>
      <c r="D2810" s="37"/>
      <c r="E2810" s="37"/>
      <c r="F2810" s="37"/>
      <c r="G2810" s="79"/>
    </row>
    <row r="2811" spans="1:7">
      <c r="A2811" s="78"/>
      <c r="B2811" s="37"/>
      <c r="C2811" s="1"/>
      <c r="D2811" s="37"/>
      <c r="E2811" s="37"/>
      <c r="F2811" s="37"/>
      <c r="G2811" s="79"/>
    </row>
    <row r="2812" spans="1:7">
      <c r="A2812" s="78"/>
      <c r="B2812" s="37"/>
      <c r="C2812" s="1"/>
      <c r="D2812" s="37"/>
      <c r="E2812" s="37"/>
      <c r="F2812" s="37"/>
      <c r="G2812" s="79"/>
    </row>
    <row r="2813" spans="1:7">
      <c r="A2813" s="78"/>
      <c r="B2813" s="37"/>
      <c r="C2813" s="1"/>
      <c r="D2813" s="37"/>
      <c r="E2813" s="37"/>
      <c r="F2813" s="37"/>
      <c r="G2813" s="79"/>
    </row>
    <row r="2814" spans="1:7">
      <c r="A2814" s="78"/>
      <c r="B2814" s="37"/>
      <c r="C2814" s="1"/>
      <c r="D2814" s="37"/>
      <c r="E2814" s="37"/>
      <c r="F2814" s="37"/>
      <c r="G2814" s="79"/>
    </row>
    <row r="2815" spans="1:7">
      <c r="A2815" s="78"/>
      <c r="B2815" s="37"/>
      <c r="C2815" s="1"/>
      <c r="D2815" s="37"/>
      <c r="E2815" s="37"/>
      <c r="F2815" s="37"/>
      <c r="G2815" s="79"/>
    </row>
    <row r="2816" spans="1:7">
      <c r="A2816" s="78"/>
      <c r="B2816" s="37"/>
      <c r="C2816" s="1"/>
      <c r="D2816" s="37"/>
      <c r="E2816" s="37"/>
      <c r="F2816" s="37"/>
      <c r="G2816" s="79"/>
    </row>
    <row r="2817" spans="1:7">
      <c r="A2817" s="78"/>
      <c r="B2817" s="37"/>
      <c r="C2817" s="1"/>
      <c r="D2817" s="37"/>
      <c r="E2817" s="37"/>
      <c r="F2817" s="37"/>
      <c r="G2817" s="79"/>
    </row>
    <row r="2818" spans="1:7">
      <c r="A2818" s="78"/>
      <c r="B2818" s="37"/>
      <c r="C2818" s="1"/>
      <c r="D2818" s="37"/>
      <c r="E2818" s="37"/>
      <c r="F2818" s="37"/>
      <c r="G2818" s="79"/>
    </row>
    <row r="2819" spans="1:7">
      <c r="A2819" s="78"/>
      <c r="B2819" s="37"/>
      <c r="C2819" s="1"/>
      <c r="D2819" s="37"/>
      <c r="E2819" s="37"/>
      <c r="F2819" s="37"/>
      <c r="G2819" s="79"/>
    </row>
    <row r="2820" spans="1:7">
      <c r="A2820" s="78"/>
      <c r="B2820" s="37"/>
      <c r="C2820" s="1"/>
      <c r="D2820" s="37"/>
      <c r="E2820" s="37"/>
      <c r="F2820" s="37"/>
      <c r="G2820" s="79"/>
    </row>
    <row r="2821" spans="1:7">
      <c r="A2821" s="78"/>
      <c r="B2821" s="37"/>
      <c r="C2821" s="1"/>
      <c r="D2821" s="37"/>
      <c r="E2821" s="37"/>
      <c r="F2821" s="37"/>
      <c r="G2821" s="79"/>
    </row>
    <row r="2822" spans="1:7">
      <c r="A2822" s="78"/>
      <c r="B2822" s="37"/>
      <c r="C2822" s="1"/>
      <c r="D2822" s="37"/>
      <c r="E2822" s="37"/>
      <c r="F2822" s="37"/>
      <c r="G2822" s="79"/>
    </row>
    <row r="2823" spans="1:7">
      <c r="A2823" s="78"/>
      <c r="B2823" s="37"/>
      <c r="C2823" s="1"/>
      <c r="D2823" s="37"/>
      <c r="E2823" s="37"/>
      <c r="F2823" s="37"/>
      <c r="G2823" s="79"/>
    </row>
    <row r="2824" spans="1:7">
      <c r="A2824" s="78"/>
      <c r="B2824" s="37"/>
      <c r="C2824" s="1"/>
      <c r="D2824" s="37"/>
      <c r="E2824" s="37"/>
      <c r="F2824" s="37"/>
      <c r="G2824" s="79"/>
    </row>
    <row r="2825" spans="1:7">
      <c r="A2825" s="78"/>
      <c r="B2825" s="37"/>
      <c r="C2825" s="1"/>
      <c r="D2825" s="37"/>
      <c r="E2825" s="37"/>
      <c r="F2825" s="37"/>
      <c r="G2825" s="79"/>
    </row>
    <row r="2826" spans="1:7">
      <c r="A2826" s="78"/>
      <c r="B2826" s="37"/>
      <c r="C2826" s="1"/>
      <c r="D2826" s="37"/>
      <c r="E2826" s="37"/>
      <c r="F2826" s="37"/>
      <c r="G2826" s="79"/>
    </row>
    <row r="2827" spans="1:7">
      <c r="A2827" s="78"/>
      <c r="B2827" s="37"/>
      <c r="C2827" s="1"/>
      <c r="D2827" s="37"/>
      <c r="E2827" s="37"/>
      <c r="F2827" s="37"/>
      <c r="G2827" s="79"/>
    </row>
    <row r="2828" spans="1:7">
      <c r="A2828" s="78"/>
      <c r="B2828" s="37"/>
      <c r="C2828" s="1"/>
      <c r="D2828" s="37"/>
      <c r="E2828" s="37"/>
      <c r="F2828" s="37"/>
      <c r="G2828" s="79"/>
    </row>
    <row r="2829" spans="1:7">
      <c r="A2829" s="78"/>
      <c r="B2829" s="37"/>
      <c r="C2829" s="1"/>
      <c r="D2829" s="37"/>
      <c r="E2829" s="37"/>
      <c r="F2829" s="37"/>
      <c r="G2829" s="79"/>
    </row>
    <row r="2830" spans="1:7">
      <c r="A2830" s="78"/>
      <c r="B2830" s="37"/>
      <c r="C2830" s="1"/>
      <c r="D2830" s="37"/>
      <c r="E2830" s="37"/>
      <c r="F2830" s="37"/>
      <c r="G2830" s="79"/>
    </row>
    <row r="2831" spans="1:7">
      <c r="A2831" s="78"/>
      <c r="B2831" s="37"/>
      <c r="C2831" s="1"/>
      <c r="D2831" s="37"/>
      <c r="E2831" s="37"/>
      <c r="F2831" s="37"/>
      <c r="G2831" s="79"/>
    </row>
    <row r="2832" spans="1:7">
      <c r="A2832" s="78"/>
      <c r="B2832" s="37"/>
      <c r="C2832" s="1"/>
      <c r="D2832" s="37"/>
      <c r="E2832" s="37"/>
      <c r="F2832" s="37"/>
      <c r="G2832" s="79"/>
    </row>
    <row r="2833" spans="1:7">
      <c r="A2833" s="78"/>
      <c r="B2833" s="37"/>
      <c r="C2833" s="1"/>
      <c r="D2833" s="37"/>
      <c r="E2833" s="37"/>
      <c r="F2833" s="37"/>
      <c r="G2833" s="79"/>
    </row>
    <row r="2834" spans="1:7">
      <c r="A2834" s="78"/>
      <c r="B2834" s="37"/>
      <c r="C2834" s="1"/>
      <c r="D2834" s="37"/>
      <c r="E2834" s="37"/>
      <c r="F2834" s="37"/>
      <c r="G2834" s="79"/>
    </row>
    <row r="2835" spans="1:7">
      <c r="A2835" s="78"/>
      <c r="B2835" s="37"/>
      <c r="C2835" s="1"/>
      <c r="D2835" s="37"/>
      <c r="E2835" s="37"/>
      <c r="F2835" s="37"/>
      <c r="G2835" s="79"/>
    </row>
    <row r="2836" spans="1:7">
      <c r="A2836" s="78"/>
      <c r="B2836" s="37"/>
      <c r="C2836" s="1"/>
      <c r="D2836" s="37"/>
      <c r="E2836" s="37"/>
      <c r="F2836" s="37"/>
      <c r="G2836" s="79"/>
    </row>
    <row r="2837" spans="1:7">
      <c r="A2837" s="78"/>
      <c r="B2837" s="37"/>
      <c r="C2837" s="1"/>
      <c r="D2837" s="37"/>
      <c r="E2837" s="37"/>
      <c r="F2837" s="37"/>
      <c r="G2837" s="79"/>
    </row>
    <row r="2838" spans="1:7">
      <c r="A2838" s="78"/>
      <c r="B2838" s="37"/>
      <c r="C2838" s="1"/>
      <c r="D2838" s="37"/>
      <c r="E2838" s="37"/>
      <c r="F2838" s="37"/>
      <c r="G2838" s="79"/>
    </row>
    <row r="2839" spans="1:7">
      <c r="A2839" s="78"/>
      <c r="B2839" s="37"/>
      <c r="C2839" s="1"/>
      <c r="D2839" s="37"/>
      <c r="E2839" s="37"/>
      <c r="F2839" s="37"/>
      <c r="G2839" s="79"/>
    </row>
    <row r="2840" spans="1:7">
      <c r="A2840" s="78"/>
      <c r="B2840" s="37"/>
      <c r="C2840" s="1"/>
      <c r="D2840" s="37"/>
      <c r="E2840" s="37"/>
      <c r="F2840" s="37"/>
      <c r="G2840" s="79"/>
    </row>
    <row r="2841" spans="1:7">
      <c r="A2841" s="78"/>
      <c r="B2841" s="37"/>
      <c r="C2841" s="1"/>
      <c r="D2841" s="37"/>
      <c r="E2841" s="37"/>
      <c r="F2841" s="37"/>
      <c r="G2841" s="79"/>
    </row>
    <row r="2842" spans="1:7">
      <c r="A2842" s="78"/>
      <c r="B2842" s="37"/>
      <c r="C2842" s="1"/>
      <c r="D2842" s="37"/>
      <c r="E2842" s="37"/>
      <c r="F2842" s="37"/>
      <c r="G2842" s="79"/>
    </row>
    <row r="2843" spans="1:7">
      <c r="A2843" s="78"/>
      <c r="B2843" s="37"/>
      <c r="C2843" s="1"/>
      <c r="D2843" s="37"/>
      <c r="E2843" s="37"/>
      <c r="F2843" s="37"/>
      <c r="G2843" s="79"/>
    </row>
    <row r="2844" spans="1:7">
      <c r="A2844" s="78"/>
      <c r="B2844" s="37"/>
      <c r="C2844" s="1"/>
      <c r="D2844" s="37"/>
      <c r="E2844" s="37"/>
      <c r="F2844" s="37"/>
      <c r="G2844" s="79"/>
    </row>
    <row r="2845" spans="1:7">
      <c r="A2845" s="78"/>
      <c r="B2845" s="37"/>
      <c r="C2845" s="1"/>
      <c r="D2845" s="37"/>
      <c r="E2845" s="37"/>
      <c r="F2845" s="37"/>
      <c r="G2845" s="79"/>
    </row>
    <row r="2846" spans="1:7">
      <c r="A2846" s="78"/>
      <c r="B2846" s="37"/>
      <c r="C2846" s="1"/>
      <c r="D2846" s="37"/>
      <c r="E2846" s="37"/>
      <c r="F2846" s="37"/>
      <c r="G2846" s="79"/>
    </row>
    <row r="2847" spans="1:7">
      <c r="A2847" s="78"/>
      <c r="B2847" s="37"/>
      <c r="C2847" s="1"/>
      <c r="D2847" s="37"/>
      <c r="E2847" s="37"/>
      <c r="F2847" s="37"/>
      <c r="G2847" s="79"/>
    </row>
    <row r="2848" spans="1:7">
      <c r="A2848" s="78"/>
      <c r="B2848" s="37"/>
      <c r="C2848" s="1"/>
      <c r="D2848" s="37"/>
      <c r="E2848" s="37"/>
      <c r="F2848" s="37"/>
      <c r="G2848" s="79"/>
    </row>
    <row r="2849" spans="1:7">
      <c r="A2849" s="78"/>
      <c r="B2849" s="37"/>
      <c r="C2849" s="1"/>
      <c r="D2849" s="37"/>
      <c r="E2849" s="37"/>
      <c r="F2849" s="37"/>
      <c r="G2849" s="79"/>
    </row>
    <row r="2850" spans="1:7">
      <c r="A2850" s="78"/>
      <c r="B2850" s="37"/>
      <c r="C2850" s="1"/>
      <c r="D2850" s="37"/>
      <c r="E2850" s="37"/>
      <c r="F2850" s="37"/>
      <c r="G2850" s="79"/>
    </row>
    <row r="2851" spans="1:7">
      <c r="A2851" s="78"/>
      <c r="B2851" s="37"/>
      <c r="C2851" s="1"/>
      <c r="D2851" s="37"/>
      <c r="E2851" s="37"/>
      <c r="F2851" s="37"/>
      <c r="G2851" s="79"/>
    </row>
    <row r="2852" spans="1:7">
      <c r="A2852" s="78"/>
      <c r="B2852" s="37"/>
      <c r="C2852" s="1"/>
      <c r="D2852" s="37"/>
      <c r="E2852" s="37"/>
      <c r="F2852" s="37"/>
      <c r="G2852" s="79"/>
    </row>
    <row r="2853" spans="1:7">
      <c r="A2853" s="78"/>
      <c r="B2853" s="37"/>
      <c r="C2853" s="1"/>
      <c r="D2853" s="37"/>
      <c r="E2853" s="37"/>
      <c r="F2853" s="37"/>
      <c r="G2853" s="79"/>
    </row>
    <row r="2854" spans="1:7">
      <c r="A2854" s="78"/>
      <c r="B2854" s="37"/>
      <c r="C2854" s="1"/>
      <c r="D2854" s="37"/>
      <c r="E2854" s="37"/>
      <c r="F2854" s="37"/>
      <c r="G2854" s="79"/>
    </row>
    <row r="2855" spans="1:7">
      <c r="A2855" s="78"/>
      <c r="B2855" s="37"/>
      <c r="C2855" s="1"/>
      <c r="D2855" s="37"/>
      <c r="E2855" s="37"/>
      <c r="F2855" s="37"/>
      <c r="G2855" s="79"/>
    </row>
    <row r="2856" spans="1:7">
      <c r="A2856" s="78"/>
      <c r="B2856" s="37"/>
      <c r="C2856" s="1"/>
      <c r="D2856" s="37"/>
      <c r="E2856" s="37"/>
      <c r="F2856" s="37"/>
      <c r="G2856" s="79"/>
    </row>
    <row r="2857" spans="1:7">
      <c r="A2857" s="78"/>
      <c r="B2857" s="37"/>
      <c r="C2857" s="1"/>
      <c r="D2857" s="37"/>
      <c r="E2857" s="37"/>
      <c r="F2857" s="37"/>
      <c r="G2857" s="79"/>
    </row>
    <row r="2858" spans="1:7">
      <c r="A2858" s="78"/>
      <c r="B2858" s="37"/>
      <c r="C2858" s="1"/>
      <c r="D2858" s="37"/>
      <c r="E2858" s="37"/>
      <c r="F2858" s="37"/>
      <c r="G2858" s="79"/>
    </row>
    <row r="2859" spans="1:7">
      <c r="A2859" s="78"/>
      <c r="B2859" s="37"/>
      <c r="C2859" s="1"/>
      <c r="D2859" s="37"/>
      <c r="E2859" s="37"/>
      <c r="F2859" s="37"/>
      <c r="G2859" s="79"/>
    </row>
    <row r="2860" spans="1:7">
      <c r="A2860" s="78"/>
      <c r="B2860" s="37"/>
      <c r="C2860" s="1"/>
      <c r="D2860" s="37"/>
      <c r="E2860" s="37"/>
      <c r="F2860" s="37"/>
      <c r="G2860" s="79"/>
    </row>
    <row r="2861" spans="1:7">
      <c r="A2861" s="78"/>
      <c r="B2861" s="37"/>
      <c r="C2861" s="1"/>
      <c r="D2861" s="37"/>
      <c r="E2861" s="37"/>
      <c r="F2861" s="37"/>
      <c r="G2861" s="79"/>
    </row>
    <row r="2862" spans="1:7">
      <c r="A2862" s="78"/>
      <c r="B2862" s="37"/>
      <c r="C2862" s="1"/>
      <c r="D2862" s="37"/>
      <c r="E2862" s="37"/>
      <c r="F2862" s="37"/>
      <c r="G2862" s="79"/>
    </row>
    <row r="2863" spans="1:7">
      <c r="A2863" s="78"/>
      <c r="B2863" s="37"/>
      <c r="C2863" s="1"/>
      <c r="D2863" s="37"/>
      <c r="E2863" s="37"/>
      <c r="F2863" s="37"/>
      <c r="G2863" s="79"/>
    </row>
    <row r="2864" spans="1:7">
      <c r="A2864" s="78"/>
      <c r="B2864" s="37"/>
      <c r="C2864" s="1"/>
      <c r="D2864" s="37"/>
      <c r="E2864" s="37"/>
      <c r="F2864" s="37"/>
      <c r="G2864" s="79"/>
    </row>
    <row r="2865" spans="1:7">
      <c r="A2865" s="78"/>
      <c r="B2865" s="37"/>
      <c r="C2865" s="1"/>
      <c r="D2865" s="37"/>
      <c r="E2865" s="37"/>
      <c r="F2865" s="37"/>
      <c r="G2865" s="79"/>
    </row>
    <row r="2866" spans="1:7">
      <c r="A2866" s="78"/>
      <c r="B2866" s="37"/>
      <c r="C2866" s="1"/>
      <c r="D2866" s="37"/>
      <c r="E2866" s="37"/>
      <c r="F2866" s="37"/>
      <c r="G2866" s="79"/>
    </row>
    <row r="2867" spans="1:7">
      <c r="A2867" s="78"/>
      <c r="B2867" s="37"/>
      <c r="C2867" s="1"/>
      <c r="D2867" s="37"/>
      <c r="E2867" s="37"/>
      <c r="F2867" s="37"/>
      <c r="G2867" s="79"/>
    </row>
    <row r="2868" spans="1:7">
      <c r="A2868" s="78"/>
      <c r="B2868" s="37"/>
      <c r="C2868" s="1"/>
      <c r="D2868" s="37"/>
      <c r="E2868" s="37"/>
      <c r="F2868" s="37"/>
      <c r="G2868" s="79"/>
    </row>
    <row r="2869" spans="1:7">
      <c r="A2869" s="78"/>
      <c r="B2869" s="37"/>
      <c r="C2869" s="1"/>
      <c r="D2869" s="37"/>
      <c r="E2869" s="37"/>
      <c r="F2869" s="37"/>
      <c r="G2869" s="79"/>
    </row>
    <row r="2870" spans="1:7">
      <c r="A2870" s="78"/>
      <c r="B2870" s="37"/>
      <c r="C2870" s="1"/>
      <c r="D2870" s="37"/>
      <c r="E2870" s="37"/>
      <c r="F2870" s="37"/>
      <c r="G2870" s="79"/>
    </row>
    <row r="2871" spans="1:7">
      <c r="A2871" s="78"/>
      <c r="B2871" s="37"/>
      <c r="C2871" s="1"/>
      <c r="D2871" s="37"/>
      <c r="E2871" s="37"/>
      <c r="F2871" s="37"/>
      <c r="G2871" s="79"/>
    </row>
    <row r="2872" spans="1:7">
      <c r="A2872" s="78"/>
      <c r="B2872" s="37"/>
      <c r="C2872" s="1"/>
      <c r="D2872" s="37"/>
      <c r="E2872" s="37"/>
      <c r="F2872" s="37"/>
      <c r="G2872" s="79"/>
    </row>
    <row r="2873" spans="1:7">
      <c r="A2873" s="78"/>
      <c r="B2873" s="37"/>
      <c r="C2873" s="1"/>
      <c r="D2873" s="37"/>
      <c r="E2873" s="37"/>
      <c r="F2873" s="37"/>
      <c r="G2873" s="79"/>
    </row>
    <row r="2874" spans="1:7">
      <c r="A2874" s="78"/>
      <c r="B2874" s="37"/>
      <c r="C2874" s="1"/>
      <c r="D2874" s="37"/>
      <c r="E2874" s="37"/>
      <c r="F2874" s="37"/>
      <c r="G2874" s="79"/>
    </row>
    <row r="2875" spans="1:7">
      <c r="A2875" s="78"/>
      <c r="B2875" s="37"/>
      <c r="C2875" s="1"/>
      <c r="D2875" s="37"/>
      <c r="E2875" s="37"/>
      <c r="F2875" s="37"/>
      <c r="G2875" s="79"/>
    </row>
    <row r="2876" spans="1:7">
      <c r="A2876" s="78"/>
      <c r="B2876" s="37"/>
      <c r="C2876" s="1"/>
      <c r="D2876" s="37"/>
      <c r="E2876" s="37"/>
      <c r="F2876" s="37"/>
      <c r="G2876" s="79"/>
    </row>
    <row r="2877" spans="1:7">
      <c r="A2877" s="78"/>
      <c r="B2877" s="37"/>
      <c r="C2877" s="1"/>
      <c r="D2877" s="37"/>
      <c r="E2877" s="37"/>
      <c r="F2877" s="37"/>
      <c r="G2877" s="79"/>
    </row>
    <row r="2878" spans="1:7">
      <c r="A2878" s="78"/>
      <c r="B2878" s="37"/>
      <c r="C2878" s="1"/>
      <c r="D2878" s="37"/>
      <c r="E2878" s="37"/>
      <c r="F2878" s="37"/>
      <c r="G2878" s="79"/>
    </row>
    <row r="2879" spans="1:7">
      <c r="A2879" s="78"/>
      <c r="B2879" s="37"/>
      <c r="C2879" s="1"/>
      <c r="D2879" s="37"/>
      <c r="E2879" s="37"/>
      <c r="F2879" s="37"/>
      <c r="G2879" s="79"/>
    </row>
    <row r="2880" spans="1:7">
      <c r="A2880" s="78"/>
      <c r="B2880" s="37"/>
      <c r="C2880" s="1"/>
      <c r="D2880" s="37"/>
      <c r="E2880" s="37"/>
      <c r="F2880" s="37"/>
      <c r="G2880" s="79"/>
    </row>
    <row r="2881" spans="1:7">
      <c r="A2881" s="78"/>
      <c r="B2881" s="37"/>
      <c r="C2881" s="1"/>
      <c r="D2881" s="37"/>
      <c r="E2881" s="37"/>
      <c r="F2881" s="37"/>
      <c r="G2881" s="79"/>
    </row>
    <row r="2882" spans="1:7">
      <c r="A2882" s="78"/>
      <c r="B2882" s="37"/>
      <c r="C2882" s="1"/>
      <c r="D2882" s="37"/>
      <c r="E2882" s="37"/>
      <c r="F2882" s="37"/>
      <c r="G2882" s="79"/>
    </row>
    <row r="2883" spans="1:7">
      <c r="A2883" s="78"/>
      <c r="B2883" s="37"/>
      <c r="C2883" s="1"/>
      <c r="D2883" s="37"/>
      <c r="E2883" s="37"/>
      <c r="F2883" s="37"/>
      <c r="G2883" s="79"/>
    </row>
    <row r="2884" spans="1:7">
      <c r="A2884" s="78"/>
      <c r="B2884" s="37"/>
      <c r="C2884" s="1"/>
      <c r="D2884" s="37"/>
      <c r="E2884" s="37"/>
      <c r="F2884" s="37"/>
      <c r="G2884" s="79"/>
    </row>
    <row r="2885" spans="1:7">
      <c r="A2885" s="78"/>
      <c r="B2885" s="37"/>
      <c r="C2885" s="1"/>
      <c r="D2885" s="37"/>
      <c r="E2885" s="37"/>
      <c r="F2885" s="37"/>
      <c r="G2885" s="79"/>
    </row>
    <row r="2886" spans="1:7">
      <c r="A2886" s="78"/>
      <c r="B2886" s="37"/>
      <c r="C2886" s="1"/>
      <c r="D2886" s="37"/>
      <c r="E2886" s="37"/>
      <c r="F2886" s="37"/>
      <c r="G2886" s="79"/>
    </row>
    <row r="2887" spans="1:7">
      <c r="A2887" s="78"/>
      <c r="B2887" s="37"/>
      <c r="C2887" s="1"/>
      <c r="D2887" s="37"/>
      <c r="E2887" s="37"/>
      <c r="F2887" s="37"/>
      <c r="G2887" s="79"/>
    </row>
    <row r="2888" spans="1:7">
      <c r="A2888" s="78"/>
      <c r="B2888" s="37"/>
      <c r="C2888" s="1"/>
      <c r="D2888" s="37"/>
      <c r="E2888" s="37"/>
      <c r="F2888" s="37"/>
      <c r="G2888" s="79"/>
    </row>
    <row r="2889" spans="1:7">
      <c r="A2889" s="78"/>
      <c r="B2889" s="37"/>
      <c r="C2889" s="1"/>
      <c r="D2889" s="37"/>
      <c r="E2889" s="37"/>
      <c r="F2889" s="37"/>
      <c r="G2889" s="79"/>
    </row>
    <row r="2890" spans="1:7">
      <c r="A2890" s="78"/>
      <c r="B2890" s="37"/>
      <c r="C2890" s="1"/>
      <c r="D2890" s="37"/>
      <c r="E2890" s="37"/>
      <c r="F2890" s="37"/>
      <c r="G2890" s="79"/>
    </row>
    <row r="2891" spans="1:7">
      <c r="A2891" s="78"/>
      <c r="B2891" s="37"/>
      <c r="C2891" s="1"/>
      <c r="D2891" s="37"/>
      <c r="E2891" s="37"/>
      <c r="F2891" s="37"/>
      <c r="G2891" s="79"/>
    </row>
    <row r="2892" spans="1:7">
      <c r="A2892" s="78"/>
      <c r="B2892" s="37"/>
      <c r="C2892" s="1"/>
      <c r="D2892" s="37"/>
      <c r="E2892" s="37"/>
      <c r="F2892" s="37"/>
      <c r="G2892" s="79"/>
    </row>
    <row r="2893" spans="1:7">
      <c r="A2893" s="78"/>
      <c r="B2893" s="37"/>
      <c r="C2893" s="1"/>
      <c r="D2893" s="37"/>
      <c r="E2893" s="37"/>
      <c r="F2893" s="37"/>
      <c r="G2893" s="79"/>
    </row>
    <row r="2894" spans="1:7">
      <c r="A2894" s="78"/>
      <c r="B2894" s="37"/>
      <c r="C2894" s="1"/>
      <c r="D2894" s="37"/>
      <c r="E2894" s="37"/>
      <c r="F2894" s="37"/>
      <c r="G2894" s="79"/>
    </row>
    <row r="2895" spans="1:7">
      <c r="A2895" s="78"/>
      <c r="B2895" s="37"/>
      <c r="C2895" s="1"/>
      <c r="D2895" s="37"/>
      <c r="E2895" s="37"/>
      <c r="F2895" s="37"/>
      <c r="G2895" s="79"/>
    </row>
    <row r="2896" spans="1:7">
      <c r="A2896" s="78"/>
      <c r="B2896" s="37"/>
      <c r="C2896" s="1"/>
      <c r="D2896" s="37"/>
      <c r="E2896" s="37"/>
      <c r="F2896" s="37"/>
      <c r="G2896" s="79"/>
    </row>
    <row r="2897" spans="1:7">
      <c r="A2897" s="78"/>
      <c r="B2897" s="37"/>
      <c r="C2897" s="1"/>
      <c r="D2897" s="37"/>
      <c r="E2897" s="37"/>
      <c r="F2897" s="37"/>
      <c r="G2897" s="79"/>
    </row>
    <row r="2898" spans="1:7">
      <c r="A2898" s="78"/>
      <c r="B2898" s="37"/>
      <c r="C2898" s="1"/>
      <c r="D2898" s="37"/>
      <c r="E2898" s="37"/>
      <c r="F2898" s="37"/>
      <c r="G2898" s="79"/>
    </row>
    <row r="2899" spans="1:7">
      <c r="A2899" s="78"/>
      <c r="B2899" s="37"/>
      <c r="C2899" s="1"/>
      <c r="D2899" s="37"/>
      <c r="E2899" s="37"/>
      <c r="F2899" s="37"/>
      <c r="G2899" s="79"/>
    </row>
    <row r="2900" spans="1:7">
      <c r="A2900" s="78"/>
      <c r="B2900" s="37"/>
      <c r="C2900" s="1"/>
      <c r="D2900" s="37"/>
      <c r="E2900" s="37"/>
      <c r="F2900" s="37"/>
      <c r="G2900" s="79"/>
    </row>
    <row r="2901" spans="1:7">
      <c r="A2901" s="78"/>
      <c r="B2901" s="37"/>
      <c r="C2901" s="1"/>
      <c r="D2901" s="37"/>
      <c r="E2901" s="37"/>
      <c r="F2901" s="37"/>
      <c r="G2901" s="79"/>
    </row>
    <row r="2902" spans="1:7">
      <c r="A2902" s="78"/>
      <c r="B2902" s="37"/>
      <c r="C2902" s="1"/>
      <c r="D2902" s="37"/>
      <c r="E2902" s="37"/>
      <c r="F2902" s="37"/>
      <c r="G2902" s="79"/>
    </row>
    <row r="2903" spans="1:7">
      <c r="A2903" s="78"/>
      <c r="B2903" s="37"/>
      <c r="C2903" s="1"/>
      <c r="D2903" s="37"/>
      <c r="E2903" s="37"/>
      <c r="F2903" s="37"/>
      <c r="G2903" s="79"/>
    </row>
    <row r="2904" spans="1:7">
      <c r="A2904" s="78"/>
      <c r="B2904" s="37"/>
      <c r="C2904" s="1"/>
      <c r="D2904" s="37"/>
      <c r="E2904" s="37"/>
      <c r="F2904" s="37"/>
      <c r="G2904" s="79"/>
    </row>
    <row r="2905" spans="1:7">
      <c r="A2905" s="78"/>
      <c r="B2905" s="37"/>
      <c r="C2905" s="1"/>
      <c r="D2905" s="37"/>
      <c r="E2905" s="37"/>
      <c r="F2905" s="37"/>
      <c r="G2905" s="79"/>
    </row>
    <row r="2906" spans="1:7">
      <c r="A2906" s="78"/>
      <c r="B2906" s="37"/>
      <c r="C2906" s="1"/>
      <c r="D2906" s="37"/>
      <c r="E2906" s="37"/>
      <c r="F2906" s="37"/>
      <c r="G2906" s="79"/>
    </row>
    <row r="2907" spans="1:7">
      <c r="A2907" s="78"/>
      <c r="B2907" s="37"/>
      <c r="C2907" s="1"/>
      <c r="D2907" s="37"/>
      <c r="E2907" s="37"/>
      <c r="F2907" s="37"/>
      <c r="G2907" s="79"/>
    </row>
    <row r="2908" spans="1:7">
      <c r="A2908" s="78"/>
      <c r="B2908" s="37"/>
      <c r="C2908" s="1"/>
      <c r="D2908" s="37"/>
      <c r="E2908" s="37"/>
      <c r="F2908" s="37"/>
      <c r="G2908" s="79"/>
    </row>
    <row r="2909" spans="1:7">
      <c r="A2909" s="78"/>
      <c r="B2909" s="37"/>
      <c r="C2909" s="1"/>
      <c r="D2909" s="37"/>
      <c r="E2909" s="37"/>
      <c r="F2909" s="37"/>
      <c r="G2909" s="79"/>
    </row>
    <row r="2910" spans="1:7">
      <c r="A2910" s="78"/>
      <c r="B2910" s="37"/>
      <c r="C2910" s="1"/>
      <c r="D2910" s="37"/>
      <c r="E2910" s="37"/>
      <c r="F2910" s="37"/>
      <c r="G2910" s="79"/>
    </row>
    <row r="2911" spans="1:7">
      <c r="A2911" s="78"/>
      <c r="B2911" s="37"/>
      <c r="C2911" s="1"/>
      <c r="D2911" s="37"/>
      <c r="E2911" s="37"/>
      <c r="F2911" s="37"/>
      <c r="G2911" s="79"/>
    </row>
    <row r="2912" spans="1:7">
      <c r="A2912" s="78"/>
      <c r="B2912" s="37"/>
      <c r="C2912" s="1"/>
      <c r="D2912" s="37"/>
      <c r="E2912" s="37"/>
      <c r="F2912" s="37"/>
      <c r="G2912" s="79"/>
    </row>
    <row r="2913" spans="1:7">
      <c r="A2913" s="78"/>
      <c r="B2913" s="37"/>
      <c r="C2913" s="1"/>
      <c r="D2913" s="37"/>
      <c r="E2913" s="37"/>
      <c r="F2913" s="37"/>
      <c r="G2913" s="79"/>
    </row>
    <row r="2914" spans="1:7">
      <c r="A2914" s="78"/>
      <c r="B2914" s="37"/>
      <c r="C2914" s="1"/>
      <c r="D2914" s="37"/>
      <c r="E2914" s="37"/>
      <c r="F2914" s="37"/>
      <c r="G2914" s="79"/>
    </row>
    <row r="2915" spans="1:7">
      <c r="A2915" s="78"/>
      <c r="B2915" s="37"/>
      <c r="C2915" s="1"/>
      <c r="D2915" s="37"/>
      <c r="E2915" s="37"/>
      <c r="F2915" s="37"/>
      <c r="G2915" s="79"/>
    </row>
    <row r="2916" spans="1:7">
      <c r="A2916" s="78"/>
      <c r="B2916" s="37"/>
      <c r="C2916" s="1"/>
      <c r="D2916" s="37"/>
      <c r="E2916" s="37"/>
      <c r="F2916" s="37"/>
      <c r="G2916" s="79"/>
    </row>
    <row r="2917" spans="1:7">
      <c r="A2917" s="78"/>
      <c r="B2917" s="37"/>
      <c r="C2917" s="1"/>
      <c r="D2917" s="37"/>
      <c r="E2917" s="37"/>
      <c r="F2917" s="37"/>
      <c r="G2917" s="79"/>
    </row>
    <row r="2918" spans="1:7">
      <c r="A2918" s="78"/>
      <c r="B2918" s="37"/>
      <c r="C2918" s="1"/>
      <c r="D2918" s="37"/>
      <c r="E2918" s="37"/>
      <c r="F2918" s="37"/>
      <c r="G2918" s="79"/>
    </row>
    <row r="2919" spans="1:7">
      <c r="A2919" s="78"/>
      <c r="B2919" s="37"/>
      <c r="C2919" s="1"/>
      <c r="D2919" s="37"/>
      <c r="E2919" s="37"/>
      <c r="F2919" s="37"/>
      <c r="G2919" s="79"/>
    </row>
    <row r="2920" spans="1:7">
      <c r="A2920" s="78"/>
      <c r="B2920" s="37"/>
      <c r="C2920" s="1"/>
      <c r="D2920" s="37"/>
      <c r="E2920" s="37"/>
      <c r="F2920" s="37"/>
      <c r="G2920" s="79"/>
    </row>
    <row r="2921" spans="1:7">
      <c r="A2921" s="78"/>
      <c r="B2921" s="37"/>
      <c r="C2921" s="1"/>
      <c r="D2921" s="37"/>
      <c r="E2921" s="37"/>
      <c r="F2921" s="37"/>
      <c r="G2921" s="79"/>
    </row>
    <row r="2922" spans="1:7">
      <c r="A2922" s="78"/>
      <c r="B2922" s="37"/>
      <c r="C2922" s="1"/>
      <c r="D2922" s="37"/>
      <c r="E2922" s="37"/>
      <c r="F2922" s="37"/>
      <c r="G2922" s="79"/>
    </row>
    <row r="2923" spans="1:7">
      <c r="A2923" s="78"/>
      <c r="B2923" s="37"/>
      <c r="C2923" s="1"/>
      <c r="D2923" s="37"/>
      <c r="E2923" s="37"/>
      <c r="F2923" s="37"/>
      <c r="G2923" s="79"/>
    </row>
    <row r="2924" spans="1:7">
      <c r="A2924" s="78"/>
      <c r="B2924" s="37"/>
      <c r="C2924" s="1"/>
      <c r="D2924" s="37"/>
      <c r="E2924" s="37"/>
      <c r="F2924" s="37"/>
      <c r="G2924" s="79"/>
    </row>
    <row r="2925" spans="1:7">
      <c r="A2925" s="78"/>
      <c r="B2925" s="37"/>
      <c r="C2925" s="1"/>
      <c r="D2925" s="37"/>
      <c r="E2925" s="37"/>
      <c r="F2925" s="37"/>
      <c r="G2925" s="79"/>
    </row>
    <row r="2926" spans="1:7">
      <c r="A2926" s="78"/>
      <c r="B2926" s="37"/>
      <c r="C2926" s="1"/>
      <c r="D2926" s="37"/>
      <c r="E2926" s="37"/>
      <c r="F2926" s="37"/>
      <c r="G2926" s="79"/>
    </row>
    <row r="2927" spans="1:7">
      <c r="A2927" s="78"/>
      <c r="B2927" s="37"/>
      <c r="C2927" s="1"/>
      <c r="D2927" s="37"/>
      <c r="E2927" s="37"/>
      <c r="F2927" s="37"/>
      <c r="G2927" s="79"/>
    </row>
    <row r="2928" spans="1:7">
      <c r="A2928" s="78"/>
      <c r="B2928" s="37"/>
      <c r="C2928" s="1"/>
      <c r="D2928" s="37"/>
      <c r="E2928" s="37"/>
      <c r="F2928" s="37"/>
      <c r="G2928" s="79"/>
    </row>
    <row r="2929" spans="1:7">
      <c r="A2929" s="78"/>
      <c r="B2929" s="37"/>
      <c r="C2929" s="1"/>
      <c r="D2929" s="37"/>
      <c r="E2929" s="37"/>
      <c r="F2929" s="37"/>
      <c r="G2929" s="79"/>
    </row>
    <row r="2930" spans="1:7">
      <c r="A2930" s="78"/>
      <c r="B2930" s="37"/>
      <c r="C2930" s="1"/>
      <c r="D2930" s="37"/>
      <c r="E2930" s="37"/>
      <c r="F2930" s="37"/>
      <c r="G2930" s="79"/>
    </row>
    <row r="2931" spans="1:7">
      <c r="A2931" s="78"/>
      <c r="B2931" s="37"/>
      <c r="C2931" s="1"/>
      <c r="D2931" s="37"/>
      <c r="E2931" s="37"/>
      <c r="F2931" s="37"/>
      <c r="G2931" s="79"/>
    </row>
    <row r="2932" spans="1:7">
      <c r="A2932" s="78"/>
      <c r="B2932" s="37"/>
      <c r="C2932" s="1"/>
      <c r="D2932" s="37"/>
      <c r="E2932" s="37"/>
      <c r="F2932" s="37"/>
      <c r="G2932" s="79"/>
    </row>
    <row r="2933" spans="1:7">
      <c r="A2933" s="78"/>
      <c r="B2933" s="37"/>
      <c r="C2933" s="1"/>
      <c r="D2933" s="37"/>
      <c r="E2933" s="37"/>
      <c r="F2933" s="37"/>
      <c r="G2933" s="79"/>
    </row>
    <row r="2934" spans="1:7">
      <c r="A2934" s="78"/>
      <c r="B2934" s="37"/>
      <c r="C2934" s="1"/>
      <c r="D2934" s="37"/>
      <c r="E2934" s="37"/>
      <c r="F2934" s="37"/>
      <c r="G2934" s="79"/>
    </row>
    <row r="2935" spans="1:7">
      <c r="A2935" s="78"/>
      <c r="B2935" s="37"/>
      <c r="C2935" s="1"/>
      <c r="D2935" s="37"/>
      <c r="E2935" s="37"/>
      <c r="F2935" s="37"/>
      <c r="G2935" s="79"/>
    </row>
    <row r="2936" spans="1:7">
      <c r="A2936" s="78"/>
      <c r="B2936" s="37"/>
      <c r="C2936" s="1"/>
      <c r="D2936" s="37"/>
      <c r="E2936" s="37"/>
      <c r="F2936" s="37"/>
      <c r="G2936" s="79"/>
    </row>
    <row r="2937" spans="1:7">
      <c r="A2937" s="78"/>
      <c r="B2937" s="37"/>
      <c r="C2937" s="1"/>
      <c r="D2937" s="37"/>
      <c r="E2937" s="37"/>
      <c r="F2937" s="37"/>
      <c r="G2937" s="79"/>
    </row>
    <row r="2938" spans="1:7">
      <c r="A2938" s="78"/>
      <c r="B2938" s="37"/>
      <c r="C2938" s="1"/>
      <c r="D2938" s="37"/>
      <c r="E2938" s="37"/>
      <c r="F2938" s="37"/>
      <c r="G2938" s="79"/>
    </row>
    <row r="2939" spans="1:7">
      <c r="A2939" s="78"/>
      <c r="B2939" s="37"/>
      <c r="C2939" s="1"/>
      <c r="D2939" s="37"/>
      <c r="E2939" s="37"/>
      <c r="F2939" s="37"/>
      <c r="G2939" s="79"/>
    </row>
    <row r="2940" spans="1:7">
      <c r="A2940" s="78"/>
      <c r="B2940" s="37"/>
      <c r="C2940" s="1"/>
      <c r="D2940" s="37"/>
      <c r="E2940" s="37"/>
      <c r="F2940" s="37"/>
      <c r="G2940" s="79"/>
    </row>
    <row r="2941" spans="1:7">
      <c r="A2941" s="78"/>
      <c r="B2941" s="37"/>
      <c r="C2941" s="1"/>
      <c r="D2941" s="37"/>
      <c r="E2941" s="37"/>
      <c r="F2941" s="37"/>
      <c r="G2941" s="79"/>
    </row>
    <row r="2942" spans="1:7">
      <c r="A2942" s="78"/>
      <c r="B2942" s="37"/>
      <c r="C2942" s="1"/>
      <c r="D2942" s="37"/>
      <c r="E2942" s="37"/>
      <c r="F2942" s="37"/>
      <c r="G2942" s="79"/>
    </row>
    <row r="2943" spans="1:7">
      <c r="A2943" s="78"/>
      <c r="B2943" s="37"/>
      <c r="C2943" s="1"/>
      <c r="D2943" s="37"/>
      <c r="E2943" s="37"/>
      <c r="F2943" s="37"/>
      <c r="G2943" s="79"/>
    </row>
    <row r="2944" spans="1:7">
      <c r="A2944" s="78"/>
      <c r="B2944" s="37"/>
      <c r="C2944" s="1"/>
      <c r="D2944" s="37"/>
      <c r="E2944" s="37"/>
      <c r="F2944" s="37"/>
      <c r="G2944" s="79"/>
    </row>
    <row r="2945" spans="1:7">
      <c r="A2945" s="78"/>
      <c r="B2945" s="37"/>
      <c r="C2945" s="1"/>
      <c r="D2945" s="37"/>
      <c r="E2945" s="37"/>
      <c r="F2945" s="37"/>
      <c r="G2945" s="79"/>
    </row>
    <row r="2946" spans="1:7">
      <c r="A2946" s="78"/>
      <c r="B2946" s="37"/>
      <c r="C2946" s="1"/>
      <c r="D2946" s="37"/>
      <c r="E2946" s="37"/>
      <c r="F2946" s="37"/>
      <c r="G2946" s="79"/>
    </row>
    <row r="2947" spans="1:7">
      <c r="A2947" s="78"/>
      <c r="B2947" s="37"/>
      <c r="C2947" s="1"/>
      <c r="D2947" s="37"/>
      <c r="E2947" s="37"/>
      <c r="F2947" s="37"/>
      <c r="G2947" s="79"/>
    </row>
    <row r="2948" spans="1:7">
      <c r="A2948" s="78"/>
      <c r="B2948" s="37"/>
      <c r="C2948" s="1"/>
      <c r="D2948" s="37"/>
      <c r="E2948" s="37"/>
      <c r="F2948" s="37"/>
      <c r="G2948" s="79"/>
    </row>
    <row r="2949" spans="1:7">
      <c r="A2949" s="78"/>
      <c r="B2949" s="37"/>
      <c r="C2949" s="1"/>
      <c r="D2949" s="37"/>
      <c r="E2949" s="37"/>
      <c r="F2949" s="37"/>
      <c r="G2949" s="79"/>
    </row>
    <row r="2950" spans="1:7">
      <c r="A2950" s="78"/>
      <c r="B2950" s="37"/>
      <c r="C2950" s="1"/>
      <c r="D2950" s="37"/>
      <c r="E2950" s="37"/>
      <c r="F2950" s="37"/>
      <c r="G2950" s="79"/>
    </row>
    <row r="2951" spans="1:7">
      <c r="A2951" s="78"/>
      <c r="B2951" s="37"/>
      <c r="C2951" s="1"/>
      <c r="D2951" s="37"/>
      <c r="E2951" s="37"/>
      <c r="F2951" s="37"/>
      <c r="G2951" s="79"/>
    </row>
    <row r="2952" spans="1:7">
      <c r="A2952" s="78"/>
      <c r="B2952" s="37"/>
      <c r="C2952" s="1"/>
      <c r="D2952" s="37"/>
      <c r="E2952" s="37"/>
      <c r="F2952" s="37"/>
      <c r="G2952" s="79"/>
    </row>
    <row r="2953" spans="1:7">
      <c r="A2953" s="78"/>
      <c r="B2953" s="37"/>
      <c r="C2953" s="1"/>
      <c r="D2953" s="37"/>
      <c r="E2953" s="37"/>
      <c r="F2953" s="37"/>
      <c r="G2953" s="79"/>
    </row>
    <row r="2954" spans="1:7">
      <c r="A2954" s="78"/>
      <c r="B2954" s="37"/>
      <c r="C2954" s="1"/>
      <c r="D2954" s="37"/>
      <c r="E2954" s="37"/>
      <c r="F2954" s="37"/>
      <c r="G2954" s="79"/>
    </row>
    <row r="2955" spans="1:7">
      <c r="A2955" s="78"/>
      <c r="B2955" s="37"/>
      <c r="C2955" s="1"/>
      <c r="D2955" s="37"/>
      <c r="E2955" s="37"/>
      <c r="F2955" s="37"/>
      <c r="G2955" s="79"/>
    </row>
    <row r="2956" spans="1:7">
      <c r="A2956" s="78"/>
      <c r="B2956" s="37"/>
      <c r="C2956" s="1"/>
      <c r="D2956" s="37"/>
      <c r="E2956" s="37"/>
      <c r="F2956" s="37"/>
      <c r="G2956" s="79"/>
    </row>
    <row r="2957" spans="1:7">
      <c r="A2957" s="78"/>
      <c r="B2957" s="37"/>
      <c r="C2957" s="1"/>
      <c r="D2957" s="37"/>
      <c r="E2957" s="37"/>
      <c r="F2957" s="37"/>
      <c r="G2957" s="79"/>
    </row>
    <row r="2958" spans="1:7">
      <c r="A2958" s="78"/>
      <c r="B2958" s="37"/>
      <c r="C2958" s="1"/>
      <c r="D2958" s="37"/>
      <c r="E2958" s="37"/>
      <c r="F2958" s="37"/>
      <c r="G2958" s="79"/>
    </row>
    <row r="2959" spans="1:7">
      <c r="A2959" s="78"/>
      <c r="B2959" s="37"/>
      <c r="C2959" s="1"/>
      <c r="D2959" s="37"/>
      <c r="E2959" s="37"/>
      <c r="F2959" s="37"/>
      <c r="G2959" s="79"/>
    </row>
    <row r="2960" spans="1:7">
      <c r="A2960" s="78"/>
      <c r="B2960" s="37"/>
      <c r="C2960" s="1"/>
      <c r="D2960" s="37"/>
      <c r="E2960" s="37"/>
      <c r="F2960" s="37"/>
      <c r="G2960" s="79"/>
    </row>
    <row r="2961" spans="1:7">
      <c r="A2961" s="78"/>
      <c r="B2961" s="37"/>
      <c r="C2961" s="1"/>
      <c r="D2961" s="37"/>
      <c r="E2961" s="37"/>
      <c r="F2961" s="37"/>
      <c r="G2961" s="79"/>
    </row>
    <row r="2962" spans="1:7">
      <c r="A2962" s="78"/>
      <c r="B2962" s="37"/>
      <c r="C2962" s="1"/>
      <c r="D2962" s="37"/>
      <c r="E2962" s="37"/>
      <c r="F2962" s="37"/>
      <c r="G2962" s="79"/>
    </row>
    <row r="2963" spans="1:7">
      <c r="A2963" s="78"/>
      <c r="B2963" s="37"/>
      <c r="C2963" s="1"/>
      <c r="D2963" s="37"/>
      <c r="E2963" s="37"/>
      <c r="F2963" s="37"/>
      <c r="G2963" s="79"/>
    </row>
    <row r="2964" spans="1:7">
      <c r="A2964" s="78"/>
      <c r="B2964" s="37"/>
      <c r="C2964" s="1"/>
      <c r="D2964" s="37"/>
      <c r="E2964" s="37"/>
      <c r="F2964" s="37"/>
      <c r="G2964" s="79"/>
    </row>
    <row r="2965" spans="1:7">
      <c r="A2965" s="78"/>
      <c r="B2965" s="37"/>
      <c r="C2965" s="1"/>
      <c r="D2965" s="37"/>
      <c r="E2965" s="37"/>
      <c r="F2965" s="37"/>
      <c r="G2965" s="79"/>
    </row>
    <row r="2966" spans="1:7">
      <c r="A2966" s="78"/>
      <c r="B2966" s="37"/>
      <c r="C2966" s="1"/>
      <c r="D2966" s="37"/>
      <c r="E2966" s="37"/>
      <c r="F2966" s="37"/>
      <c r="G2966" s="79"/>
    </row>
    <row r="2967" spans="1:7">
      <c r="A2967" s="78"/>
      <c r="B2967" s="37"/>
      <c r="C2967" s="1"/>
      <c r="D2967" s="37"/>
      <c r="E2967" s="37"/>
      <c r="F2967" s="37"/>
      <c r="G2967" s="79"/>
    </row>
    <row r="2968" spans="1:7">
      <c r="A2968" s="78"/>
      <c r="B2968" s="37"/>
      <c r="C2968" s="1"/>
      <c r="D2968" s="37"/>
      <c r="E2968" s="37"/>
      <c r="F2968" s="37"/>
      <c r="G2968" s="79"/>
    </row>
    <row r="2969" spans="1:7">
      <c r="A2969" s="78"/>
      <c r="B2969" s="37"/>
      <c r="C2969" s="1"/>
      <c r="D2969" s="37"/>
      <c r="E2969" s="37"/>
      <c r="F2969" s="37"/>
      <c r="G2969" s="79"/>
    </row>
    <row r="2970" spans="1:7">
      <c r="A2970" s="78"/>
      <c r="B2970" s="37"/>
      <c r="C2970" s="1"/>
      <c r="D2970" s="37"/>
      <c r="E2970" s="37"/>
      <c r="F2970" s="37"/>
      <c r="G2970" s="79"/>
    </row>
    <row r="2971" spans="1:7">
      <c r="A2971" s="78"/>
      <c r="B2971" s="37"/>
      <c r="C2971" s="1"/>
      <c r="D2971" s="37"/>
      <c r="E2971" s="37"/>
      <c r="F2971" s="37"/>
      <c r="G2971" s="79"/>
    </row>
    <row r="2972" spans="1:7">
      <c r="A2972" s="78"/>
      <c r="B2972" s="37"/>
      <c r="C2972" s="1"/>
      <c r="D2972" s="37"/>
      <c r="E2972" s="37"/>
      <c r="F2972" s="37"/>
      <c r="G2972" s="79"/>
    </row>
    <row r="2973" spans="1:7">
      <c r="A2973" s="78"/>
      <c r="B2973" s="37"/>
      <c r="C2973" s="1"/>
      <c r="D2973" s="37"/>
      <c r="E2973" s="37"/>
      <c r="F2973" s="37"/>
      <c r="G2973" s="79"/>
    </row>
    <row r="2974" spans="1:7">
      <c r="A2974" s="78"/>
      <c r="B2974" s="37"/>
      <c r="C2974" s="1"/>
      <c r="D2974" s="37"/>
      <c r="E2974" s="37"/>
      <c r="F2974" s="37"/>
      <c r="G2974" s="79"/>
    </row>
    <row r="2975" spans="1:7">
      <c r="A2975" s="78"/>
      <c r="B2975" s="37"/>
      <c r="C2975" s="1"/>
      <c r="D2975" s="37"/>
      <c r="E2975" s="37"/>
      <c r="F2975" s="37"/>
      <c r="G2975" s="79"/>
    </row>
    <row r="2976" spans="1:7">
      <c r="A2976" s="78"/>
      <c r="B2976" s="37"/>
      <c r="C2976" s="1"/>
      <c r="D2976" s="37"/>
      <c r="E2976" s="37"/>
      <c r="F2976" s="37"/>
      <c r="G2976" s="79"/>
    </row>
    <row r="2977" spans="1:7">
      <c r="A2977" s="78"/>
      <c r="B2977" s="37"/>
      <c r="C2977" s="1"/>
      <c r="D2977" s="37"/>
      <c r="E2977" s="37"/>
      <c r="F2977" s="37"/>
      <c r="G2977" s="79"/>
    </row>
    <row r="2978" spans="1:7">
      <c r="A2978" s="78"/>
      <c r="B2978" s="37"/>
      <c r="C2978" s="1"/>
      <c r="D2978" s="37"/>
      <c r="E2978" s="37"/>
      <c r="F2978" s="37"/>
      <c r="G2978" s="79"/>
    </row>
    <row r="2979" spans="1:7">
      <c r="A2979" s="78"/>
      <c r="B2979" s="37"/>
      <c r="C2979" s="1"/>
      <c r="D2979" s="37"/>
      <c r="E2979" s="37"/>
      <c r="F2979" s="37"/>
      <c r="G2979" s="79"/>
    </row>
    <row r="2980" spans="1:7">
      <c r="A2980" s="78"/>
      <c r="B2980" s="37"/>
      <c r="C2980" s="1"/>
      <c r="D2980" s="37"/>
      <c r="E2980" s="37"/>
      <c r="F2980" s="37"/>
      <c r="G2980" s="79"/>
    </row>
    <row r="2981" spans="1:7">
      <c r="A2981" s="78"/>
      <c r="B2981" s="37"/>
      <c r="C2981" s="1"/>
      <c r="D2981" s="37"/>
      <c r="E2981" s="37"/>
      <c r="F2981" s="37"/>
      <c r="G2981" s="79"/>
    </row>
    <row r="2982" spans="1:7">
      <c r="A2982" s="78"/>
      <c r="B2982" s="37"/>
      <c r="C2982" s="1"/>
      <c r="D2982" s="37"/>
      <c r="E2982" s="37"/>
      <c r="F2982" s="37"/>
      <c r="G2982" s="79"/>
    </row>
    <row r="2983" spans="1:7">
      <c r="A2983" s="78"/>
      <c r="B2983" s="37"/>
      <c r="C2983" s="1"/>
      <c r="D2983" s="37"/>
      <c r="E2983" s="37"/>
      <c r="F2983" s="37"/>
      <c r="G2983" s="79"/>
    </row>
    <row r="2984" spans="1:7">
      <c r="A2984" s="78"/>
      <c r="B2984" s="37"/>
      <c r="C2984" s="1"/>
      <c r="D2984" s="37"/>
      <c r="E2984" s="37"/>
      <c r="F2984" s="37"/>
      <c r="G2984" s="79"/>
    </row>
    <row r="2985" spans="1:7">
      <c r="A2985" s="78"/>
      <c r="B2985" s="37"/>
      <c r="C2985" s="1"/>
      <c r="D2985" s="37"/>
      <c r="E2985" s="37"/>
      <c r="F2985" s="37"/>
      <c r="G2985" s="79"/>
    </row>
    <row r="2986" spans="1:7">
      <c r="A2986" s="78"/>
      <c r="B2986" s="37"/>
      <c r="C2986" s="1"/>
      <c r="D2986" s="37"/>
      <c r="E2986" s="37"/>
      <c r="F2986" s="37"/>
      <c r="G2986" s="79"/>
    </row>
    <row r="2987" spans="1:7">
      <c r="A2987" s="78"/>
      <c r="B2987" s="37"/>
      <c r="C2987" s="1"/>
      <c r="D2987" s="37"/>
      <c r="E2987" s="37"/>
      <c r="F2987" s="37"/>
      <c r="G2987" s="79"/>
    </row>
    <row r="2988" spans="1:7">
      <c r="A2988" s="78"/>
      <c r="B2988" s="37"/>
      <c r="C2988" s="1"/>
      <c r="D2988" s="37"/>
      <c r="E2988" s="37"/>
      <c r="F2988" s="37"/>
      <c r="G2988" s="79"/>
    </row>
    <row r="2989" spans="1:7">
      <c r="A2989" s="78"/>
      <c r="B2989" s="37"/>
      <c r="C2989" s="1"/>
      <c r="D2989" s="37"/>
      <c r="E2989" s="37"/>
      <c r="F2989" s="37"/>
      <c r="G2989" s="79"/>
    </row>
    <row r="2990" spans="1:7">
      <c r="A2990" s="78"/>
      <c r="B2990" s="37"/>
      <c r="C2990" s="1"/>
      <c r="D2990" s="37"/>
      <c r="E2990" s="37"/>
      <c r="F2990" s="37"/>
      <c r="G2990" s="79"/>
    </row>
    <row r="2991" spans="1:7">
      <c r="A2991" s="78"/>
      <c r="B2991" s="37"/>
      <c r="C2991" s="1"/>
      <c r="D2991" s="37"/>
      <c r="E2991" s="37"/>
      <c r="F2991" s="37"/>
      <c r="G2991" s="79"/>
    </row>
    <row r="2992" spans="1:7">
      <c r="A2992" s="78"/>
      <c r="B2992" s="37"/>
      <c r="C2992" s="1"/>
      <c r="D2992" s="37"/>
      <c r="E2992" s="37"/>
      <c r="F2992" s="37"/>
      <c r="G2992" s="79"/>
    </row>
    <row r="2993" spans="1:7">
      <c r="A2993" s="78"/>
      <c r="B2993" s="37"/>
      <c r="C2993" s="1"/>
      <c r="D2993" s="37"/>
      <c r="E2993" s="37"/>
      <c r="F2993" s="37"/>
      <c r="G2993" s="79"/>
    </row>
    <row r="2994" spans="1:7">
      <c r="A2994" s="78"/>
      <c r="B2994" s="37"/>
      <c r="C2994" s="1"/>
      <c r="D2994" s="37"/>
      <c r="E2994" s="37"/>
      <c r="F2994" s="37"/>
      <c r="G2994" s="79"/>
    </row>
    <row r="2995" spans="1:7">
      <c r="A2995" s="78"/>
      <c r="B2995" s="37"/>
      <c r="C2995" s="1"/>
      <c r="D2995" s="37"/>
      <c r="E2995" s="37"/>
      <c r="F2995" s="37"/>
      <c r="G2995" s="79"/>
    </row>
    <row r="2996" spans="1:7">
      <c r="A2996" s="78"/>
      <c r="B2996" s="37"/>
      <c r="C2996" s="1"/>
      <c r="D2996" s="37"/>
      <c r="E2996" s="37"/>
      <c r="F2996" s="37"/>
      <c r="G2996" s="79"/>
    </row>
    <row r="2997" spans="1:7">
      <c r="A2997" s="78"/>
      <c r="B2997" s="37"/>
      <c r="C2997" s="1"/>
      <c r="D2997" s="37"/>
      <c r="E2997" s="37"/>
      <c r="F2997" s="37"/>
      <c r="G2997" s="79"/>
    </row>
    <row r="2998" spans="1:7">
      <c r="A2998" s="78"/>
      <c r="B2998" s="37"/>
      <c r="C2998" s="1"/>
      <c r="D2998" s="37"/>
      <c r="E2998" s="37"/>
      <c r="F2998" s="37"/>
      <c r="G2998" s="79"/>
    </row>
    <row r="2999" spans="1:7">
      <c r="A2999" s="78"/>
      <c r="B2999" s="37"/>
      <c r="C2999" s="1"/>
      <c r="D2999" s="37"/>
      <c r="E2999" s="37"/>
      <c r="F2999" s="37"/>
      <c r="G2999" s="79"/>
    </row>
    <row r="3000" spans="1:7">
      <c r="A3000" s="78"/>
      <c r="B3000" s="37"/>
      <c r="C3000" s="1"/>
      <c r="D3000" s="37"/>
      <c r="E3000" s="37"/>
      <c r="F3000" s="37"/>
      <c r="G3000" s="79"/>
    </row>
    <row r="3001" spans="1:7">
      <c r="A3001" s="78"/>
      <c r="B3001" s="37"/>
      <c r="C3001" s="1"/>
      <c r="D3001" s="37"/>
      <c r="E3001" s="37"/>
      <c r="F3001" s="37"/>
      <c r="G3001" s="79"/>
    </row>
    <row r="3002" spans="1:7">
      <c r="A3002" s="78"/>
      <c r="B3002" s="37"/>
      <c r="C3002" s="1"/>
      <c r="D3002" s="37"/>
      <c r="E3002" s="37"/>
      <c r="F3002" s="37"/>
      <c r="G3002" s="79"/>
    </row>
    <row r="3003" spans="1:7">
      <c r="A3003" s="78"/>
      <c r="B3003" s="37"/>
      <c r="C3003" s="1"/>
      <c r="D3003" s="37"/>
      <c r="E3003" s="37"/>
      <c r="F3003" s="37"/>
      <c r="G3003" s="79"/>
    </row>
    <row r="3004" spans="1:7">
      <c r="A3004" s="78"/>
      <c r="B3004" s="37"/>
      <c r="C3004" s="1"/>
      <c r="D3004" s="37"/>
      <c r="E3004" s="37"/>
      <c r="F3004" s="37"/>
      <c r="G3004" s="79"/>
    </row>
    <row r="3005" spans="1:7">
      <c r="A3005" s="78"/>
      <c r="B3005" s="37"/>
      <c r="C3005" s="1"/>
      <c r="D3005" s="37"/>
      <c r="E3005" s="37"/>
      <c r="F3005" s="37"/>
      <c r="G3005" s="79"/>
    </row>
    <row r="3006" spans="1:7">
      <c r="A3006" s="78"/>
      <c r="B3006" s="37"/>
      <c r="C3006" s="1"/>
      <c r="D3006" s="37"/>
      <c r="E3006" s="37"/>
      <c r="F3006" s="37"/>
      <c r="G3006" s="79"/>
    </row>
    <row r="3007" spans="1:7">
      <c r="A3007" s="78"/>
      <c r="B3007" s="37"/>
      <c r="C3007" s="1"/>
      <c r="D3007" s="37"/>
      <c r="E3007" s="37"/>
      <c r="F3007" s="37"/>
      <c r="G3007" s="79"/>
    </row>
    <row r="3008" spans="1:7">
      <c r="A3008" s="78"/>
      <c r="B3008" s="37"/>
      <c r="C3008" s="1"/>
      <c r="D3008" s="37"/>
      <c r="E3008" s="37"/>
      <c r="F3008" s="37"/>
      <c r="G3008" s="79"/>
    </row>
    <row r="3009" spans="1:7">
      <c r="A3009" s="78"/>
      <c r="B3009" s="37"/>
      <c r="C3009" s="1"/>
      <c r="D3009" s="37"/>
      <c r="E3009" s="37"/>
      <c r="F3009" s="37"/>
      <c r="G3009" s="79"/>
    </row>
    <row r="3010" spans="1:7">
      <c r="A3010" s="78"/>
      <c r="B3010" s="37"/>
      <c r="C3010" s="1"/>
      <c r="D3010" s="37"/>
      <c r="E3010" s="37"/>
      <c r="F3010" s="37"/>
      <c r="G3010" s="79"/>
    </row>
    <row r="3011" spans="1:7">
      <c r="A3011" s="78"/>
      <c r="B3011" s="37"/>
      <c r="C3011" s="1"/>
      <c r="D3011" s="37"/>
      <c r="E3011" s="37"/>
      <c r="F3011" s="37"/>
      <c r="G3011" s="79"/>
    </row>
    <row r="3012" spans="1:7">
      <c r="A3012" s="78"/>
      <c r="B3012" s="37"/>
      <c r="C3012" s="1"/>
      <c r="D3012" s="37"/>
      <c r="E3012" s="37"/>
      <c r="F3012" s="37"/>
      <c r="G3012" s="79"/>
    </row>
    <row r="3013" spans="1:7">
      <c r="A3013" s="78"/>
      <c r="B3013" s="37"/>
      <c r="C3013" s="1"/>
      <c r="D3013" s="37"/>
      <c r="E3013" s="37"/>
      <c r="F3013" s="37"/>
      <c r="G3013" s="79"/>
    </row>
    <row r="3014" spans="1:7">
      <c r="A3014" s="78"/>
      <c r="B3014" s="37"/>
      <c r="C3014" s="1"/>
      <c r="D3014" s="37"/>
      <c r="E3014" s="37"/>
      <c r="F3014" s="37"/>
      <c r="G3014" s="79"/>
    </row>
    <row r="3015" spans="1:7">
      <c r="A3015" s="78"/>
      <c r="B3015" s="37"/>
      <c r="C3015" s="1"/>
      <c r="D3015" s="37"/>
      <c r="E3015" s="37"/>
      <c r="F3015" s="37"/>
      <c r="G3015" s="79"/>
    </row>
    <row r="3016" spans="1:7">
      <c r="A3016" s="78"/>
      <c r="B3016" s="37"/>
      <c r="C3016" s="1"/>
      <c r="D3016" s="37"/>
      <c r="E3016" s="37"/>
      <c r="F3016" s="37"/>
      <c r="G3016" s="79"/>
    </row>
    <row r="3017" spans="1:7">
      <c r="A3017" s="78"/>
      <c r="B3017" s="37"/>
      <c r="C3017" s="1"/>
      <c r="D3017" s="37"/>
      <c r="E3017" s="37"/>
      <c r="F3017" s="37"/>
      <c r="G3017" s="79"/>
    </row>
    <row r="3018" spans="1:7">
      <c r="A3018" s="78"/>
      <c r="B3018" s="37"/>
      <c r="C3018" s="1"/>
      <c r="D3018" s="37"/>
      <c r="E3018" s="37"/>
      <c r="F3018" s="37"/>
      <c r="G3018" s="79"/>
    </row>
    <row r="3019" spans="1:7">
      <c r="A3019" s="78"/>
      <c r="B3019" s="37"/>
      <c r="C3019" s="1"/>
      <c r="D3019" s="37"/>
      <c r="E3019" s="37"/>
      <c r="F3019" s="37"/>
      <c r="G3019" s="79"/>
    </row>
    <row r="3020" spans="1:7">
      <c r="A3020" s="78"/>
      <c r="B3020" s="37"/>
      <c r="C3020" s="1"/>
      <c r="D3020" s="37"/>
      <c r="E3020" s="37"/>
      <c r="F3020" s="37"/>
      <c r="G3020" s="79"/>
    </row>
    <row r="3021" spans="1:7">
      <c r="A3021" s="78"/>
      <c r="B3021" s="37"/>
      <c r="C3021" s="1"/>
      <c r="D3021" s="37"/>
      <c r="E3021" s="37"/>
      <c r="F3021" s="37"/>
      <c r="G3021" s="79"/>
    </row>
    <row r="3022" spans="1:7">
      <c r="A3022" s="78"/>
      <c r="B3022" s="37"/>
      <c r="C3022" s="1"/>
      <c r="D3022" s="37"/>
      <c r="E3022" s="37"/>
      <c r="F3022" s="37"/>
      <c r="G3022" s="79"/>
    </row>
    <row r="3023" spans="1:7">
      <c r="A3023" s="78"/>
      <c r="B3023" s="37"/>
      <c r="C3023" s="1"/>
      <c r="D3023" s="37"/>
      <c r="E3023" s="37"/>
      <c r="F3023" s="37"/>
      <c r="G3023" s="79"/>
    </row>
    <row r="3024" spans="1:7">
      <c r="A3024" s="78"/>
      <c r="B3024" s="37"/>
      <c r="C3024" s="1"/>
      <c r="D3024" s="37"/>
      <c r="E3024" s="37"/>
      <c r="F3024" s="37"/>
      <c r="G3024" s="79"/>
    </row>
    <row r="3025" spans="1:7">
      <c r="A3025" s="78"/>
      <c r="B3025" s="37"/>
      <c r="C3025" s="1"/>
      <c r="D3025" s="37"/>
      <c r="E3025" s="37"/>
      <c r="F3025" s="37"/>
      <c r="G3025" s="79"/>
    </row>
    <row r="3026" spans="1:7">
      <c r="A3026" s="78"/>
      <c r="B3026" s="37"/>
      <c r="C3026" s="1"/>
      <c r="D3026" s="37"/>
      <c r="E3026" s="37"/>
      <c r="F3026" s="37"/>
      <c r="G3026" s="79"/>
    </row>
    <row r="3027" spans="1:7">
      <c r="A3027" s="78"/>
      <c r="B3027" s="37"/>
      <c r="C3027" s="1"/>
      <c r="D3027" s="37"/>
      <c r="E3027" s="37"/>
      <c r="F3027" s="37"/>
      <c r="G3027" s="79"/>
    </row>
    <row r="3028" spans="1:7">
      <c r="A3028" s="78"/>
      <c r="B3028" s="37"/>
      <c r="C3028" s="1"/>
      <c r="D3028" s="37"/>
      <c r="E3028" s="37"/>
      <c r="F3028" s="37"/>
      <c r="G3028" s="79"/>
    </row>
    <row r="3029" spans="1:7">
      <c r="A3029" s="78"/>
      <c r="B3029" s="37"/>
      <c r="C3029" s="1"/>
      <c r="D3029" s="37"/>
      <c r="E3029" s="37"/>
      <c r="F3029" s="37"/>
      <c r="G3029" s="79"/>
    </row>
    <row r="3030" spans="1:7">
      <c r="A3030" s="78"/>
      <c r="B3030" s="37"/>
      <c r="C3030" s="1"/>
      <c r="D3030" s="37"/>
      <c r="E3030" s="37"/>
      <c r="F3030" s="37"/>
      <c r="G3030" s="79"/>
    </row>
    <row r="3031" spans="1:7">
      <c r="A3031" s="78"/>
      <c r="B3031" s="37"/>
      <c r="C3031" s="1"/>
      <c r="D3031" s="37"/>
      <c r="E3031" s="37"/>
      <c r="F3031" s="37"/>
      <c r="G3031" s="79"/>
    </row>
    <row r="3032" spans="1:7">
      <c r="A3032" s="78"/>
      <c r="B3032" s="37"/>
      <c r="C3032" s="1"/>
      <c r="D3032" s="37"/>
      <c r="E3032" s="37"/>
      <c r="F3032" s="37"/>
      <c r="G3032" s="79"/>
    </row>
    <row r="3033" spans="1:7">
      <c r="A3033" s="78"/>
      <c r="B3033" s="37"/>
      <c r="C3033" s="1"/>
      <c r="D3033" s="37"/>
      <c r="E3033" s="37"/>
      <c r="F3033" s="37"/>
      <c r="G3033" s="79"/>
    </row>
    <row r="3034" spans="1:7">
      <c r="A3034" s="78"/>
      <c r="B3034" s="37"/>
      <c r="C3034" s="1"/>
      <c r="D3034" s="37"/>
      <c r="E3034" s="37"/>
      <c r="F3034" s="37"/>
      <c r="G3034" s="79"/>
    </row>
    <row r="3035" spans="1:7">
      <c r="A3035" s="78"/>
      <c r="B3035" s="37"/>
      <c r="C3035" s="1"/>
      <c r="D3035" s="37"/>
      <c r="E3035" s="37"/>
      <c r="F3035" s="37"/>
      <c r="G3035" s="79"/>
    </row>
    <row r="3036" spans="1:7">
      <c r="A3036" s="78"/>
      <c r="B3036" s="37"/>
      <c r="C3036" s="1"/>
      <c r="D3036" s="37"/>
      <c r="E3036" s="37"/>
      <c r="F3036" s="37"/>
      <c r="G3036" s="79"/>
    </row>
    <row r="3037" spans="1:7">
      <c r="A3037" s="78"/>
      <c r="B3037" s="37"/>
      <c r="C3037" s="1"/>
      <c r="D3037" s="37"/>
      <c r="E3037" s="37"/>
      <c r="F3037" s="37"/>
      <c r="G3037" s="79"/>
    </row>
    <row r="3038" spans="1:7">
      <c r="A3038" s="78"/>
      <c r="B3038" s="37"/>
      <c r="C3038" s="1"/>
      <c r="D3038" s="37"/>
      <c r="E3038" s="37"/>
      <c r="F3038" s="37"/>
      <c r="G3038" s="79"/>
    </row>
    <row r="3039" spans="1:7">
      <c r="A3039" s="78"/>
      <c r="B3039" s="37"/>
      <c r="C3039" s="1"/>
      <c r="D3039" s="37"/>
      <c r="E3039" s="37"/>
      <c r="F3039" s="37"/>
      <c r="G3039" s="79"/>
    </row>
    <row r="3040" spans="1:7">
      <c r="A3040" s="78"/>
      <c r="B3040" s="37"/>
      <c r="C3040" s="1"/>
      <c r="D3040" s="37"/>
      <c r="E3040" s="37"/>
      <c r="F3040" s="37"/>
      <c r="G3040" s="79"/>
    </row>
    <row r="3041" spans="1:7">
      <c r="A3041" s="78"/>
      <c r="B3041" s="37"/>
      <c r="C3041" s="1"/>
      <c r="D3041" s="37"/>
      <c r="E3041" s="37"/>
      <c r="F3041" s="37"/>
      <c r="G3041" s="79"/>
    </row>
    <row r="3042" spans="1:7">
      <c r="A3042" s="78"/>
      <c r="B3042" s="37"/>
      <c r="C3042" s="1"/>
      <c r="D3042" s="37"/>
      <c r="E3042" s="37"/>
      <c r="F3042" s="37"/>
      <c r="G3042" s="79"/>
    </row>
    <row r="3043" spans="1:7">
      <c r="A3043" s="78"/>
      <c r="B3043" s="37"/>
      <c r="C3043" s="1"/>
      <c r="D3043" s="37"/>
      <c r="E3043" s="37"/>
      <c r="F3043" s="37"/>
      <c r="G3043" s="79"/>
    </row>
    <row r="3044" spans="1:7">
      <c r="A3044" s="78"/>
      <c r="B3044" s="37"/>
      <c r="C3044" s="1"/>
      <c r="D3044" s="37"/>
      <c r="E3044" s="37"/>
      <c r="F3044" s="37"/>
      <c r="G3044" s="79"/>
    </row>
    <row r="3045" spans="1:7">
      <c r="A3045" s="78"/>
      <c r="B3045" s="37"/>
      <c r="C3045" s="1"/>
      <c r="D3045" s="37"/>
      <c r="E3045" s="37"/>
      <c r="F3045" s="37"/>
      <c r="G3045" s="79"/>
    </row>
    <row r="3046" spans="1:7">
      <c r="A3046" s="78"/>
      <c r="B3046" s="37"/>
      <c r="C3046" s="1"/>
      <c r="D3046" s="37"/>
      <c r="E3046" s="37"/>
      <c r="F3046" s="37"/>
      <c r="G3046" s="79"/>
    </row>
    <row r="3047" spans="1:7">
      <c r="A3047" s="78"/>
      <c r="B3047" s="37"/>
      <c r="C3047" s="1"/>
      <c r="D3047" s="37"/>
      <c r="E3047" s="37"/>
      <c r="F3047" s="37"/>
      <c r="G3047" s="79"/>
    </row>
    <row r="3048" spans="1:7">
      <c r="A3048" s="78"/>
      <c r="B3048" s="37"/>
      <c r="C3048" s="1"/>
      <c r="D3048" s="37"/>
      <c r="E3048" s="37"/>
      <c r="F3048" s="37"/>
      <c r="G3048" s="79"/>
    </row>
    <row r="3049" spans="1:7">
      <c r="A3049" s="78"/>
      <c r="B3049" s="37"/>
      <c r="C3049" s="1"/>
      <c r="D3049" s="37"/>
      <c r="E3049" s="37"/>
      <c r="F3049" s="37"/>
      <c r="G3049" s="79"/>
    </row>
    <row r="3050" spans="1:7">
      <c r="A3050" s="78"/>
      <c r="B3050" s="37"/>
      <c r="C3050" s="1"/>
      <c r="D3050" s="37"/>
      <c r="E3050" s="37"/>
      <c r="F3050" s="37"/>
      <c r="G3050" s="79"/>
    </row>
    <row r="3051" spans="1:7">
      <c r="A3051" s="78"/>
      <c r="B3051" s="37"/>
      <c r="C3051" s="1"/>
      <c r="D3051" s="37"/>
      <c r="E3051" s="37"/>
      <c r="F3051" s="37"/>
      <c r="G3051" s="79"/>
    </row>
    <row r="3052" spans="1:7">
      <c r="A3052" s="78"/>
      <c r="B3052" s="37"/>
      <c r="C3052" s="1"/>
      <c r="D3052" s="37"/>
      <c r="E3052" s="37"/>
      <c r="F3052" s="37"/>
      <c r="G3052" s="79"/>
    </row>
    <row r="3053" spans="1:7">
      <c r="A3053" s="78"/>
      <c r="B3053" s="37"/>
      <c r="C3053" s="1"/>
      <c r="D3053" s="37"/>
      <c r="E3053" s="37"/>
      <c r="F3053" s="37"/>
      <c r="G3053" s="79"/>
    </row>
    <row r="3054" spans="1:7">
      <c r="A3054" s="78"/>
      <c r="B3054" s="37"/>
      <c r="C3054" s="1"/>
      <c r="D3054" s="37"/>
      <c r="E3054" s="37"/>
      <c r="F3054" s="37"/>
      <c r="G3054" s="79"/>
    </row>
    <row r="3055" spans="1:7">
      <c r="A3055" s="78"/>
      <c r="B3055" s="37"/>
      <c r="C3055" s="1"/>
      <c r="D3055" s="37"/>
      <c r="E3055" s="37"/>
      <c r="F3055" s="37"/>
      <c r="G3055" s="79"/>
    </row>
    <row r="3056" spans="1:7">
      <c r="A3056" s="78"/>
      <c r="B3056" s="37"/>
      <c r="C3056" s="1"/>
      <c r="D3056" s="37"/>
      <c r="E3056" s="37"/>
      <c r="F3056" s="37"/>
      <c r="G3056" s="79"/>
    </row>
    <row r="3057" spans="1:7">
      <c r="A3057" s="78"/>
      <c r="B3057" s="37"/>
      <c r="C3057" s="1"/>
      <c r="D3057" s="37"/>
      <c r="E3057" s="37"/>
      <c r="F3057" s="37"/>
      <c r="G3057" s="79"/>
    </row>
    <row r="3058" spans="1:7">
      <c r="A3058" s="78"/>
      <c r="B3058" s="37"/>
      <c r="C3058" s="1"/>
      <c r="D3058" s="37"/>
      <c r="E3058" s="37"/>
      <c r="F3058" s="37"/>
      <c r="G3058" s="79"/>
    </row>
    <row r="3059" spans="1:7">
      <c r="A3059" s="78"/>
      <c r="B3059" s="37"/>
      <c r="C3059" s="1"/>
      <c r="D3059" s="37"/>
      <c r="E3059" s="37"/>
      <c r="F3059" s="37"/>
      <c r="G3059" s="79"/>
    </row>
    <row r="3060" spans="1:7">
      <c r="A3060" s="78"/>
      <c r="B3060" s="37"/>
      <c r="C3060" s="1"/>
      <c r="D3060" s="37"/>
      <c r="E3060" s="37"/>
      <c r="F3060" s="37"/>
      <c r="G3060" s="79"/>
    </row>
    <row r="3061" spans="1:7">
      <c r="A3061" s="78"/>
      <c r="B3061" s="37"/>
      <c r="C3061" s="1"/>
      <c r="D3061" s="37"/>
      <c r="E3061" s="37"/>
      <c r="F3061" s="37"/>
      <c r="G3061" s="79"/>
    </row>
    <row r="3062" spans="1:7">
      <c r="A3062" s="78"/>
      <c r="B3062" s="37"/>
      <c r="C3062" s="1"/>
      <c r="D3062" s="37"/>
      <c r="E3062" s="37"/>
      <c r="F3062" s="37"/>
      <c r="G3062" s="79"/>
    </row>
    <row r="3063" spans="1:7">
      <c r="A3063" s="78"/>
      <c r="B3063" s="37"/>
      <c r="C3063" s="1"/>
      <c r="D3063" s="37"/>
      <c r="E3063" s="37"/>
      <c r="F3063" s="37"/>
      <c r="G3063" s="79"/>
    </row>
    <row r="3064" spans="1:7">
      <c r="A3064" s="78"/>
      <c r="B3064" s="37"/>
      <c r="C3064" s="1"/>
      <c r="D3064" s="37"/>
      <c r="E3064" s="37"/>
      <c r="F3064" s="37"/>
      <c r="G3064" s="79"/>
    </row>
    <row r="3065" spans="1:7">
      <c r="A3065" s="78"/>
      <c r="B3065" s="37"/>
      <c r="C3065" s="1"/>
      <c r="D3065" s="37"/>
      <c r="E3065" s="37"/>
      <c r="F3065" s="37"/>
      <c r="G3065" s="79"/>
    </row>
    <row r="3066" spans="1:7">
      <c r="A3066" s="78"/>
      <c r="B3066" s="37"/>
      <c r="C3066" s="1"/>
      <c r="D3066" s="37"/>
      <c r="E3066" s="37"/>
      <c r="F3066" s="37"/>
      <c r="G3066" s="79"/>
    </row>
    <row r="3067" spans="1:7">
      <c r="A3067" s="78"/>
      <c r="B3067" s="37"/>
      <c r="C3067" s="1"/>
      <c r="D3067" s="37"/>
      <c r="E3067" s="37"/>
      <c r="F3067" s="37"/>
      <c r="G3067" s="79"/>
    </row>
    <row r="3068" spans="1:7">
      <c r="A3068" s="78"/>
      <c r="B3068" s="37"/>
      <c r="C3068" s="1"/>
      <c r="D3068" s="37"/>
      <c r="E3068" s="37"/>
      <c r="F3068" s="37"/>
      <c r="G3068" s="79"/>
    </row>
    <row r="3069" spans="1:7">
      <c r="A3069" s="78"/>
      <c r="B3069" s="37"/>
      <c r="C3069" s="1"/>
      <c r="D3069" s="37"/>
      <c r="E3069" s="37"/>
      <c r="F3069" s="37"/>
      <c r="G3069" s="79"/>
    </row>
    <row r="3070" spans="1:7">
      <c r="A3070" s="78"/>
      <c r="B3070" s="37"/>
      <c r="C3070" s="1"/>
      <c r="D3070" s="37"/>
      <c r="E3070" s="37"/>
      <c r="F3070" s="37"/>
      <c r="G3070" s="79"/>
    </row>
    <row r="3071" spans="1:7">
      <c r="A3071" s="78"/>
      <c r="B3071" s="37"/>
      <c r="C3071" s="1"/>
      <c r="D3071" s="37"/>
      <c r="E3071" s="37"/>
      <c r="F3071" s="37"/>
      <c r="G3071" s="79"/>
    </row>
    <row r="3072" spans="1:7">
      <c r="A3072" s="78"/>
      <c r="B3072" s="37"/>
      <c r="C3072" s="1"/>
      <c r="D3072" s="37"/>
      <c r="E3072" s="37"/>
      <c r="F3072" s="37"/>
      <c r="G3072" s="79"/>
    </row>
    <row r="3073" spans="1:7">
      <c r="A3073" s="78"/>
      <c r="B3073" s="37"/>
      <c r="C3073" s="1"/>
      <c r="D3073" s="37"/>
      <c r="E3073" s="37"/>
      <c r="F3073" s="37"/>
      <c r="G3073" s="79"/>
    </row>
    <row r="3074" spans="1:7">
      <c r="A3074" s="78"/>
      <c r="B3074" s="37"/>
      <c r="C3074" s="1"/>
      <c r="D3074" s="37"/>
      <c r="E3074" s="37"/>
      <c r="F3074" s="37"/>
      <c r="G3074" s="79"/>
    </row>
    <row r="3075" spans="1:7">
      <c r="A3075" s="78"/>
      <c r="B3075" s="37"/>
      <c r="C3075" s="1"/>
      <c r="D3075" s="37"/>
      <c r="E3075" s="37"/>
      <c r="F3075" s="37"/>
      <c r="G3075" s="79"/>
    </row>
    <row r="3076" spans="1:7">
      <c r="A3076" s="78"/>
      <c r="B3076" s="37"/>
      <c r="C3076" s="1"/>
      <c r="D3076" s="37"/>
      <c r="E3076" s="37"/>
      <c r="F3076" s="37"/>
      <c r="G3076" s="79"/>
    </row>
    <row r="3077" spans="1:7">
      <c r="A3077" s="78"/>
      <c r="B3077" s="37"/>
      <c r="C3077" s="1"/>
      <c r="D3077" s="37"/>
      <c r="E3077" s="37"/>
      <c r="F3077" s="37"/>
      <c r="G3077" s="79"/>
    </row>
    <row r="3078" spans="1:7">
      <c r="A3078" s="78"/>
      <c r="B3078" s="37"/>
      <c r="C3078" s="1"/>
      <c r="D3078" s="37"/>
      <c r="E3078" s="37"/>
      <c r="F3078" s="37"/>
      <c r="G3078" s="79"/>
    </row>
    <row r="3079" spans="1:7">
      <c r="A3079" s="78"/>
      <c r="B3079" s="37"/>
      <c r="C3079" s="1"/>
      <c r="D3079" s="37"/>
      <c r="E3079" s="37"/>
      <c r="F3079" s="37"/>
      <c r="G3079" s="79"/>
    </row>
    <row r="3080" spans="1:7">
      <c r="A3080" s="78"/>
      <c r="B3080" s="37"/>
      <c r="C3080" s="1"/>
      <c r="D3080" s="37"/>
      <c r="E3080" s="37"/>
      <c r="F3080" s="37"/>
      <c r="G3080" s="79"/>
    </row>
    <row r="3081" spans="1:7">
      <c r="A3081" s="78"/>
      <c r="B3081" s="37"/>
      <c r="C3081" s="1"/>
      <c r="D3081" s="37"/>
      <c r="E3081" s="37"/>
      <c r="F3081" s="37"/>
      <c r="G3081" s="79"/>
    </row>
    <row r="3082" spans="1:7">
      <c r="A3082" s="78"/>
      <c r="B3082" s="37"/>
      <c r="C3082" s="1"/>
      <c r="D3082" s="37"/>
      <c r="E3082" s="37"/>
      <c r="F3082" s="37"/>
      <c r="G3082" s="79"/>
    </row>
    <row r="3083" spans="1:7">
      <c r="A3083" s="78"/>
      <c r="B3083" s="37"/>
      <c r="C3083" s="1"/>
      <c r="D3083" s="37"/>
      <c r="E3083" s="37"/>
      <c r="F3083" s="37"/>
      <c r="G3083" s="79"/>
    </row>
    <row r="3084" spans="1:7">
      <c r="A3084" s="78"/>
      <c r="B3084" s="37"/>
      <c r="C3084" s="1"/>
      <c r="D3084" s="37"/>
      <c r="E3084" s="37"/>
      <c r="F3084" s="37"/>
      <c r="G3084" s="79"/>
    </row>
    <row r="3085" spans="1:7">
      <c r="A3085" s="78"/>
      <c r="B3085" s="37"/>
      <c r="C3085" s="1"/>
      <c r="D3085" s="37"/>
      <c r="E3085" s="37"/>
      <c r="F3085" s="37"/>
      <c r="G3085" s="79"/>
    </row>
    <row r="3086" spans="1:7">
      <c r="A3086" s="78"/>
      <c r="B3086" s="37"/>
      <c r="C3086" s="1"/>
      <c r="D3086" s="37"/>
      <c r="E3086" s="37"/>
      <c r="F3086" s="37"/>
      <c r="G3086" s="79"/>
    </row>
    <row r="3087" spans="1:7">
      <c r="A3087" s="78"/>
      <c r="B3087" s="37"/>
      <c r="C3087" s="1"/>
      <c r="D3087" s="37"/>
      <c r="E3087" s="37"/>
      <c r="F3087" s="37"/>
      <c r="G3087" s="79"/>
    </row>
    <row r="3088" spans="1:7">
      <c r="A3088" s="78"/>
      <c r="B3088" s="37"/>
      <c r="C3088" s="1"/>
      <c r="D3088" s="37"/>
      <c r="E3088" s="37"/>
      <c r="F3088" s="37"/>
      <c r="G3088" s="79"/>
    </row>
    <row r="3089" spans="1:7">
      <c r="A3089" s="78"/>
      <c r="B3089" s="37"/>
      <c r="C3089" s="1"/>
      <c r="D3089" s="37"/>
      <c r="E3089" s="37"/>
      <c r="F3089" s="37"/>
      <c r="G3089" s="79"/>
    </row>
    <row r="3090" spans="1:7">
      <c r="A3090" s="78"/>
      <c r="B3090" s="37"/>
      <c r="C3090" s="1"/>
      <c r="D3090" s="37"/>
      <c r="E3090" s="37"/>
      <c r="F3090" s="37"/>
      <c r="G3090" s="79"/>
    </row>
    <row r="3091" spans="1:7">
      <c r="A3091" s="78"/>
      <c r="B3091" s="37"/>
      <c r="C3091" s="1"/>
      <c r="D3091" s="37"/>
      <c r="E3091" s="37"/>
      <c r="F3091" s="37"/>
      <c r="G3091" s="79"/>
    </row>
    <row r="3092" spans="1:7">
      <c r="A3092" s="78"/>
      <c r="B3092" s="37"/>
      <c r="C3092" s="1"/>
      <c r="D3092" s="37"/>
      <c r="E3092" s="37"/>
      <c r="F3092" s="37"/>
      <c r="G3092" s="79"/>
    </row>
    <row r="3093" spans="1:7">
      <c r="A3093" s="78"/>
      <c r="B3093" s="37"/>
      <c r="C3093" s="1"/>
      <c r="D3093" s="37"/>
      <c r="E3093" s="37"/>
      <c r="F3093" s="37"/>
      <c r="G3093" s="79"/>
    </row>
    <row r="3094" spans="1:7">
      <c r="A3094" s="78"/>
      <c r="B3094" s="37"/>
      <c r="C3094" s="1"/>
      <c r="D3094" s="37"/>
      <c r="E3094" s="37"/>
      <c r="F3094" s="37"/>
      <c r="G3094" s="79"/>
    </row>
    <row r="3095" spans="1:7">
      <c r="A3095" s="78"/>
      <c r="B3095" s="37"/>
      <c r="C3095" s="1"/>
      <c r="D3095" s="37"/>
      <c r="E3095" s="37"/>
      <c r="F3095" s="37"/>
      <c r="G3095" s="79"/>
    </row>
    <row r="3096" spans="1:7">
      <c r="A3096" s="78"/>
      <c r="B3096" s="37"/>
      <c r="C3096" s="1"/>
      <c r="D3096" s="37"/>
      <c r="E3096" s="37"/>
      <c r="F3096" s="37"/>
      <c r="G3096" s="79"/>
    </row>
    <row r="3097" spans="1:7">
      <c r="A3097" s="78"/>
      <c r="B3097" s="37"/>
      <c r="C3097" s="1"/>
      <c r="D3097" s="37"/>
      <c r="E3097" s="37"/>
      <c r="F3097" s="37"/>
      <c r="G3097" s="79"/>
    </row>
    <row r="3098" spans="1:7">
      <c r="A3098" s="78"/>
      <c r="B3098" s="37"/>
      <c r="C3098" s="1"/>
      <c r="D3098" s="37"/>
      <c r="E3098" s="37"/>
      <c r="F3098" s="37"/>
      <c r="G3098" s="79"/>
    </row>
    <row r="3099" spans="1:7">
      <c r="A3099" s="78"/>
      <c r="B3099" s="37"/>
      <c r="C3099" s="1"/>
      <c r="D3099" s="37"/>
      <c r="E3099" s="37"/>
      <c r="F3099" s="37"/>
      <c r="G3099" s="79"/>
    </row>
    <row r="3100" spans="1:7">
      <c r="A3100" s="78"/>
      <c r="B3100" s="37"/>
      <c r="C3100" s="1"/>
      <c r="D3100" s="37"/>
      <c r="E3100" s="37"/>
      <c r="F3100" s="37"/>
      <c r="G3100" s="79"/>
    </row>
    <row r="3101" spans="1:7">
      <c r="A3101" s="78"/>
      <c r="B3101" s="37"/>
      <c r="C3101" s="1"/>
      <c r="D3101" s="37"/>
      <c r="E3101" s="37"/>
      <c r="F3101" s="37"/>
      <c r="G3101" s="79"/>
    </row>
    <row r="3102" spans="1:7">
      <c r="A3102" s="78"/>
      <c r="B3102" s="37"/>
      <c r="C3102" s="1"/>
      <c r="D3102" s="37"/>
      <c r="E3102" s="37"/>
      <c r="F3102" s="37"/>
      <c r="G3102" s="79"/>
    </row>
    <row r="3103" spans="1:7">
      <c r="A3103" s="78"/>
      <c r="B3103" s="37"/>
      <c r="C3103" s="1"/>
      <c r="D3103" s="37"/>
      <c r="E3103" s="37"/>
      <c r="F3103" s="37"/>
      <c r="G3103" s="79"/>
    </row>
    <row r="3104" spans="1:7">
      <c r="A3104" s="78"/>
      <c r="B3104" s="37"/>
      <c r="C3104" s="1"/>
      <c r="D3104" s="37"/>
      <c r="E3104" s="37"/>
      <c r="F3104" s="37"/>
      <c r="G3104" s="79"/>
    </row>
    <row r="3105" spans="1:7">
      <c r="A3105" s="78"/>
      <c r="B3105" s="37"/>
      <c r="C3105" s="1"/>
      <c r="D3105" s="37"/>
      <c r="E3105" s="37"/>
      <c r="F3105" s="37"/>
      <c r="G3105" s="79"/>
    </row>
    <row r="3106" spans="1:7">
      <c r="A3106" s="78"/>
      <c r="B3106" s="37"/>
      <c r="C3106" s="1"/>
      <c r="D3106" s="37"/>
      <c r="E3106" s="37"/>
      <c r="F3106" s="37"/>
      <c r="G3106" s="79"/>
    </row>
    <row r="3107" spans="1:7">
      <c r="A3107" s="78"/>
      <c r="B3107" s="37"/>
      <c r="C3107" s="1"/>
      <c r="D3107" s="37"/>
      <c r="E3107" s="37"/>
      <c r="F3107" s="37"/>
      <c r="G3107" s="79"/>
    </row>
    <row r="3108" spans="1:7">
      <c r="A3108" s="78"/>
      <c r="B3108" s="37"/>
      <c r="C3108" s="1"/>
      <c r="D3108" s="37"/>
      <c r="E3108" s="37"/>
      <c r="F3108" s="37"/>
      <c r="G3108" s="79"/>
    </row>
    <row r="3109" spans="1:7">
      <c r="A3109" s="78"/>
      <c r="B3109" s="37"/>
      <c r="C3109" s="1"/>
      <c r="D3109" s="37"/>
      <c r="E3109" s="37"/>
      <c r="F3109" s="37"/>
      <c r="G3109" s="79"/>
    </row>
    <row r="3110" spans="1:7">
      <c r="A3110" s="78"/>
      <c r="B3110" s="37"/>
      <c r="C3110" s="1"/>
      <c r="D3110" s="37"/>
      <c r="E3110" s="37"/>
      <c r="F3110" s="37"/>
      <c r="G3110" s="79"/>
    </row>
    <row r="3111" spans="1:7">
      <c r="A3111" s="78"/>
      <c r="B3111" s="37"/>
      <c r="C3111" s="1"/>
      <c r="D3111" s="37"/>
      <c r="E3111" s="37"/>
      <c r="F3111" s="37"/>
      <c r="G3111" s="79"/>
    </row>
    <row r="3112" spans="1:7">
      <c r="A3112" s="78"/>
      <c r="B3112" s="37"/>
      <c r="C3112" s="1"/>
      <c r="D3112" s="37"/>
      <c r="E3112" s="37"/>
      <c r="F3112" s="37"/>
      <c r="G3112" s="79"/>
    </row>
    <row r="3113" spans="1:7">
      <c r="A3113" s="78"/>
      <c r="B3113" s="37"/>
      <c r="C3113" s="1"/>
      <c r="D3113" s="37"/>
      <c r="E3113" s="37"/>
      <c r="F3113" s="37"/>
      <c r="G3113" s="79"/>
    </row>
    <row r="3114" spans="1:7">
      <c r="A3114" s="78"/>
      <c r="B3114" s="37"/>
      <c r="C3114" s="1"/>
      <c r="D3114" s="37"/>
      <c r="E3114" s="37"/>
      <c r="F3114" s="37"/>
      <c r="G3114" s="79"/>
    </row>
    <row r="3115" spans="1:7">
      <c r="A3115" s="78"/>
      <c r="B3115" s="37"/>
      <c r="C3115" s="1"/>
      <c r="D3115" s="37"/>
      <c r="E3115" s="37"/>
      <c r="F3115" s="37"/>
      <c r="G3115" s="79"/>
    </row>
    <row r="3116" spans="1:7">
      <c r="A3116" s="78"/>
      <c r="B3116" s="37"/>
      <c r="C3116" s="1"/>
      <c r="D3116" s="37"/>
      <c r="E3116" s="37"/>
      <c r="F3116" s="37"/>
      <c r="G3116" s="79"/>
    </row>
    <row r="3117" spans="1:7">
      <c r="A3117" s="78"/>
      <c r="B3117" s="37"/>
      <c r="C3117" s="1"/>
      <c r="D3117" s="37"/>
      <c r="E3117" s="37"/>
      <c r="F3117" s="37"/>
      <c r="G3117" s="79"/>
    </row>
    <row r="3118" spans="1:7">
      <c r="A3118" s="78"/>
      <c r="B3118" s="37"/>
      <c r="C3118" s="1"/>
      <c r="D3118" s="37"/>
      <c r="E3118" s="37"/>
      <c r="F3118" s="37"/>
      <c r="G3118" s="79"/>
    </row>
    <row r="3119" spans="1:7">
      <c r="A3119" s="78"/>
      <c r="B3119" s="37"/>
      <c r="C3119" s="1"/>
      <c r="D3119" s="37"/>
      <c r="E3119" s="37"/>
      <c r="F3119" s="37"/>
      <c r="G3119" s="79"/>
    </row>
    <row r="3120" spans="1:7">
      <c r="A3120" s="78"/>
      <c r="B3120" s="37"/>
      <c r="C3120" s="1"/>
      <c r="D3120" s="37"/>
      <c r="E3120" s="37"/>
      <c r="F3120" s="37"/>
      <c r="G3120" s="79"/>
    </row>
    <row r="3121" spans="1:7">
      <c r="A3121" s="78"/>
      <c r="B3121" s="37"/>
      <c r="C3121" s="1"/>
      <c r="D3121" s="37"/>
      <c r="E3121" s="37"/>
      <c r="F3121" s="37"/>
      <c r="G3121" s="79"/>
    </row>
    <row r="3122" spans="1:7">
      <c r="A3122" s="78"/>
      <c r="B3122" s="37"/>
      <c r="C3122" s="1"/>
      <c r="D3122" s="37"/>
      <c r="E3122" s="37"/>
      <c r="F3122" s="37"/>
      <c r="G3122" s="79"/>
    </row>
    <row r="3123" spans="1:7">
      <c r="A3123" s="78"/>
      <c r="B3123" s="37"/>
      <c r="C3123" s="1"/>
      <c r="D3123" s="37"/>
      <c r="E3123" s="37"/>
      <c r="F3123" s="37"/>
      <c r="G3123" s="79"/>
    </row>
    <row r="3124" spans="1:7">
      <c r="A3124" s="78"/>
      <c r="B3124" s="37"/>
      <c r="C3124" s="1"/>
      <c r="D3124" s="37"/>
      <c r="E3124" s="37"/>
      <c r="F3124" s="37"/>
      <c r="G3124" s="79"/>
    </row>
    <row r="3125" spans="1:7">
      <c r="A3125" s="78"/>
      <c r="B3125" s="37"/>
      <c r="C3125" s="1"/>
      <c r="D3125" s="37"/>
      <c r="E3125" s="37"/>
      <c r="F3125" s="37"/>
      <c r="G3125" s="79"/>
    </row>
    <row r="3126" spans="1:7">
      <c r="A3126" s="78"/>
      <c r="B3126" s="37"/>
      <c r="C3126" s="1"/>
      <c r="D3126" s="37"/>
      <c r="E3126" s="37"/>
      <c r="F3126" s="37"/>
      <c r="G3126" s="79"/>
    </row>
    <row r="3127" spans="1:7">
      <c r="A3127" s="78"/>
      <c r="B3127" s="37"/>
      <c r="C3127" s="1"/>
      <c r="D3127" s="37"/>
      <c r="E3127" s="37"/>
      <c r="F3127" s="37"/>
      <c r="G3127" s="79"/>
    </row>
    <row r="3128" spans="1:7">
      <c r="A3128" s="78"/>
      <c r="B3128" s="37"/>
      <c r="C3128" s="1"/>
      <c r="D3128" s="37"/>
      <c r="E3128" s="37"/>
      <c r="F3128" s="37"/>
      <c r="G3128" s="79"/>
    </row>
    <row r="3129" spans="1:7">
      <c r="A3129" s="78"/>
      <c r="B3129" s="37"/>
      <c r="C3129" s="1"/>
      <c r="D3129" s="37"/>
      <c r="E3129" s="37"/>
      <c r="F3129" s="37"/>
      <c r="G3129" s="79"/>
    </row>
    <row r="3130" spans="1:7">
      <c r="A3130" s="78"/>
      <c r="B3130" s="37"/>
      <c r="C3130" s="1"/>
      <c r="D3130" s="37"/>
      <c r="E3130" s="37"/>
      <c r="F3130" s="37"/>
      <c r="G3130" s="79"/>
    </row>
    <row r="3131" spans="1:7">
      <c r="A3131" s="78"/>
      <c r="B3131" s="37"/>
      <c r="C3131" s="1"/>
      <c r="D3131" s="37"/>
      <c r="E3131" s="37"/>
      <c r="F3131" s="37"/>
      <c r="G3131" s="79"/>
    </row>
    <row r="3132" spans="1:7">
      <c r="A3132" s="78"/>
      <c r="B3132" s="37"/>
      <c r="C3132" s="1"/>
      <c r="D3132" s="37"/>
      <c r="E3132" s="37"/>
      <c r="F3132" s="37"/>
      <c r="G3132" s="79"/>
    </row>
    <row r="3133" spans="1:7">
      <c r="A3133" s="78"/>
      <c r="B3133" s="37"/>
      <c r="C3133" s="1"/>
      <c r="D3133" s="37"/>
      <c r="E3133" s="37"/>
      <c r="F3133" s="37"/>
      <c r="G3133" s="79"/>
    </row>
    <row r="3134" spans="1:7">
      <c r="A3134" s="78"/>
      <c r="B3134" s="37"/>
      <c r="C3134" s="1"/>
      <c r="D3134" s="37"/>
      <c r="E3134" s="37"/>
      <c r="F3134" s="37"/>
      <c r="G3134" s="79"/>
    </row>
    <row r="3135" spans="1:7">
      <c r="A3135" s="78"/>
      <c r="B3135" s="37"/>
      <c r="C3135" s="1"/>
      <c r="D3135" s="37"/>
      <c r="E3135" s="37"/>
      <c r="F3135" s="37"/>
      <c r="G3135" s="79"/>
    </row>
    <row r="3136" spans="1:7">
      <c r="A3136" s="78"/>
      <c r="B3136" s="37"/>
      <c r="C3136" s="1"/>
      <c r="D3136" s="37"/>
      <c r="E3136" s="37"/>
      <c r="F3136" s="37"/>
      <c r="G3136" s="79"/>
    </row>
    <row r="3137" spans="1:7">
      <c r="A3137" s="78"/>
      <c r="B3137" s="37"/>
      <c r="C3137" s="1"/>
      <c r="D3137" s="37"/>
      <c r="E3137" s="37"/>
      <c r="F3137" s="37"/>
      <c r="G3137" s="79"/>
    </row>
    <row r="3138" spans="1:7">
      <c r="A3138" s="78"/>
      <c r="B3138" s="37"/>
      <c r="C3138" s="1"/>
      <c r="D3138" s="37"/>
      <c r="E3138" s="37"/>
      <c r="F3138" s="37"/>
      <c r="G3138" s="79"/>
    </row>
    <row r="3139" spans="1:7">
      <c r="A3139" s="78"/>
      <c r="B3139" s="37"/>
      <c r="C3139" s="1"/>
      <c r="D3139" s="37"/>
      <c r="E3139" s="37"/>
      <c r="F3139" s="37"/>
      <c r="G3139" s="79"/>
    </row>
    <row r="3140" spans="1:7">
      <c r="A3140" s="78"/>
      <c r="B3140" s="37"/>
      <c r="C3140" s="1"/>
      <c r="D3140" s="37"/>
      <c r="E3140" s="37"/>
      <c r="F3140" s="37"/>
      <c r="G3140" s="79"/>
    </row>
    <row r="3141" spans="1:7">
      <c r="A3141" s="78"/>
      <c r="B3141" s="37"/>
      <c r="C3141" s="1"/>
      <c r="D3141" s="37"/>
      <c r="E3141" s="37"/>
      <c r="F3141" s="37"/>
      <c r="G3141" s="79"/>
    </row>
    <row r="3142" spans="1:7">
      <c r="A3142" s="78"/>
      <c r="B3142" s="37"/>
      <c r="C3142" s="1"/>
      <c r="D3142" s="37"/>
      <c r="E3142" s="37"/>
      <c r="F3142" s="37"/>
      <c r="G3142" s="79"/>
    </row>
    <row r="3143" spans="1:7">
      <c r="A3143" s="78"/>
      <c r="B3143" s="37"/>
      <c r="C3143" s="1"/>
      <c r="D3143" s="37"/>
      <c r="E3143" s="37"/>
      <c r="F3143" s="37"/>
      <c r="G3143" s="79"/>
    </row>
    <row r="3144" spans="1:7">
      <c r="A3144" s="78"/>
      <c r="B3144" s="37"/>
      <c r="C3144" s="1"/>
      <c r="D3144" s="37"/>
      <c r="E3144" s="37"/>
      <c r="F3144" s="37"/>
      <c r="G3144" s="79"/>
    </row>
    <row r="3145" spans="1:7">
      <c r="A3145" s="78"/>
      <c r="B3145" s="37"/>
      <c r="C3145" s="1"/>
      <c r="D3145" s="37"/>
      <c r="E3145" s="37"/>
      <c r="F3145" s="37"/>
      <c r="G3145" s="79"/>
    </row>
    <row r="3146" spans="1:7">
      <c r="A3146" s="78"/>
      <c r="B3146" s="37"/>
      <c r="C3146" s="1"/>
      <c r="D3146" s="37"/>
      <c r="E3146" s="37"/>
      <c r="F3146" s="37"/>
      <c r="G3146" s="79"/>
    </row>
    <row r="3147" spans="1:7">
      <c r="A3147" s="78"/>
      <c r="B3147" s="37"/>
      <c r="C3147" s="1"/>
      <c r="D3147" s="37"/>
      <c r="E3147" s="37"/>
      <c r="F3147" s="37"/>
      <c r="G3147" s="79"/>
    </row>
    <row r="3148" spans="1:7">
      <c r="A3148" s="78"/>
      <c r="B3148" s="37"/>
      <c r="C3148" s="1"/>
      <c r="D3148" s="37"/>
      <c r="E3148" s="37"/>
      <c r="F3148" s="37"/>
      <c r="G3148" s="79"/>
    </row>
    <row r="3149" spans="1:7">
      <c r="A3149" s="78"/>
      <c r="B3149" s="37"/>
      <c r="C3149" s="1"/>
      <c r="D3149" s="37"/>
      <c r="E3149" s="37"/>
      <c r="F3149" s="37"/>
      <c r="G3149" s="79"/>
    </row>
    <row r="3150" spans="1:7">
      <c r="A3150" s="78"/>
      <c r="B3150" s="37"/>
      <c r="C3150" s="1"/>
      <c r="D3150" s="37"/>
      <c r="E3150" s="37"/>
      <c r="F3150" s="37"/>
      <c r="G3150" s="79"/>
    </row>
    <row r="3151" spans="1:7">
      <c r="A3151" s="78"/>
      <c r="B3151" s="37"/>
      <c r="C3151" s="1"/>
      <c r="D3151" s="37"/>
      <c r="E3151" s="37"/>
      <c r="F3151" s="37"/>
      <c r="G3151" s="79"/>
    </row>
    <row r="3152" spans="1:7">
      <c r="A3152" s="78"/>
      <c r="B3152" s="37"/>
      <c r="C3152" s="1"/>
      <c r="D3152" s="37"/>
      <c r="E3152" s="37"/>
      <c r="F3152" s="37"/>
      <c r="G3152" s="79"/>
    </row>
    <row r="3153" spans="1:7">
      <c r="A3153" s="78"/>
      <c r="B3153" s="37"/>
      <c r="C3153" s="1"/>
      <c r="D3153" s="37"/>
      <c r="E3153" s="37"/>
      <c r="F3153" s="37"/>
      <c r="G3153" s="79"/>
    </row>
    <row r="3154" spans="1:7">
      <c r="A3154" s="78"/>
      <c r="B3154" s="37"/>
      <c r="C3154" s="1"/>
      <c r="D3154" s="37"/>
      <c r="E3154" s="37"/>
      <c r="F3154" s="37"/>
      <c r="G3154" s="79"/>
    </row>
    <row r="3155" spans="1:7">
      <c r="A3155" s="78"/>
      <c r="B3155" s="37"/>
      <c r="C3155" s="1"/>
      <c r="D3155" s="37"/>
      <c r="E3155" s="37"/>
      <c r="F3155" s="37"/>
      <c r="G3155" s="79"/>
    </row>
    <row r="3156" spans="1:7">
      <c r="A3156" s="78"/>
      <c r="B3156" s="37"/>
      <c r="C3156" s="1"/>
      <c r="D3156" s="37"/>
      <c r="E3156" s="37"/>
      <c r="F3156" s="37"/>
      <c r="G3156" s="79"/>
    </row>
    <row r="3157" spans="1:7">
      <c r="A3157" s="78"/>
      <c r="B3157" s="37"/>
      <c r="C3157" s="1"/>
      <c r="D3157" s="37"/>
      <c r="E3157" s="37"/>
      <c r="F3157" s="37"/>
      <c r="G3157" s="79"/>
    </row>
    <row r="3158" spans="1:7">
      <c r="A3158" s="78"/>
      <c r="B3158" s="37"/>
      <c r="C3158" s="1"/>
      <c r="D3158" s="37"/>
      <c r="E3158" s="37"/>
      <c r="F3158" s="37"/>
      <c r="G3158" s="79"/>
    </row>
    <row r="3159" spans="1:7">
      <c r="A3159" s="78"/>
      <c r="B3159" s="37"/>
      <c r="C3159" s="1"/>
      <c r="D3159" s="37"/>
      <c r="E3159" s="37"/>
      <c r="F3159" s="37"/>
      <c r="G3159" s="79"/>
    </row>
    <row r="3160" spans="1:7">
      <c r="A3160" s="78"/>
      <c r="B3160" s="37"/>
      <c r="C3160" s="1"/>
      <c r="D3160" s="37"/>
      <c r="E3160" s="37"/>
      <c r="F3160" s="37"/>
      <c r="G3160" s="79"/>
    </row>
    <row r="3161" spans="1:7">
      <c r="A3161" s="78"/>
      <c r="B3161" s="37"/>
      <c r="C3161" s="1"/>
      <c r="D3161" s="37"/>
      <c r="E3161" s="37"/>
      <c r="F3161" s="37"/>
      <c r="G3161" s="79"/>
    </row>
    <row r="3162" spans="1:7">
      <c r="A3162" s="78"/>
      <c r="B3162" s="37"/>
      <c r="C3162" s="1"/>
      <c r="D3162" s="37"/>
      <c r="E3162" s="37"/>
      <c r="F3162" s="37"/>
      <c r="G3162" s="79"/>
    </row>
    <row r="3163" spans="1:7">
      <c r="A3163" s="78"/>
      <c r="B3163" s="37"/>
      <c r="C3163" s="1"/>
      <c r="D3163" s="37"/>
      <c r="E3163" s="37"/>
      <c r="F3163" s="37"/>
      <c r="G3163" s="79"/>
    </row>
    <row r="3164" spans="1:7">
      <c r="A3164" s="78"/>
      <c r="B3164" s="37"/>
      <c r="C3164" s="1"/>
      <c r="D3164" s="37"/>
      <c r="E3164" s="37"/>
      <c r="F3164" s="37"/>
      <c r="G3164" s="79"/>
    </row>
    <row r="3165" spans="1:7">
      <c r="A3165" s="78"/>
      <c r="B3165" s="37"/>
      <c r="C3165" s="1"/>
      <c r="D3165" s="37"/>
      <c r="E3165" s="37"/>
      <c r="F3165" s="37"/>
      <c r="G3165" s="79"/>
    </row>
    <row r="3166" spans="1:7">
      <c r="A3166" s="78"/>
      <c r="B3166" s="37"/>
      <c r="C3166" s="1"/>
      <c r="D3166" s="37"/>
      <c r="E3166" s="37"/>
      <c r="F3166" s="37"/>
      <c r="G3166" s="79"/>
    </row>
    <row r="3167" spans="1:7">
      <c r="A3167" s="78"/>
      <c r="B3167" s="37"/>
      <c r="C3167" s="1"/>
      <c r="D3167" s="37"/>
      <c r="E3167" s="37"/>
      <c r="F3167" s="37"/>
      <c r="G3167" s="79"/>
    </row>
    <row r="3168" spans="1:7">
      <c r="A3168" s="78"/>
      <c r="B3168" s="37"/>
      <c r="C3168" s="1"/>
      <c r="D3168" s="37"/>
      <c r="E3168" s="37"/>
      <c r="F3168" s="37"/>
      <c r="G3168" s="79"/>
    </row>
    <row r="3169" spans="1:7">
      <c r="A3169" s="78"/>
      <c r="B3169" s="37"/>
      <c r="C3169" s="1"/>
      <c r="D3169" s="37"/>
      <c r="E3169" s="37"/>
      <c r="F3169" s="37"/>
      <c r="G3169" s="79"/>
    </row>
    <row r="3170" spans="1:7">
      <c r="A3170" s="78"/>
      <c r="B3170" s="37"/>
      <c r="C3170" s="1"/>
      <c r="D3170" s="37"/>
      <c r="E3170" s="37"/>
      <c r="F3170" s="37"/>
      <c r="G3170" s="79"/>
    </row>
    <row r="3171" spans="1:7">
      <c r="A3171" s="78"/>
      <c r="B3171" s="37"/>
      <c r="C3171" s="1"/>
      <c r="D3171" s="37"/>
      <c r="E3171" s="37"/>
      <c r="F3171" s="37"/>
      <c r="G3171" s="79"/>
    </row>
    <row r="3172" spans="1:7">
      <c r="A3172" s="78"/>
      <c r="B3172" s="37"/>
      <c r="C3172" s="1"/>
      <c r="D3172" s="37"/>
      <c r="E3172" s="37"/>
      <c r="F3172" s="37"/>
      <c r="G3172" s="79"/>
    </row>
    <row r="3173" spans="1:7">
      <c r="A3173" s="78"/>
      <c r="B3173" s="37"/>
      <c r="C3173" s="1"/>
      <c r="D3173" s="37"/>
      <c r="E3173" s="37"/>
      <c r="F3173" s="37"/>
      <c r="G3173" s="79"/>
    </row>
    <row r="3174" spans="1:7">
      <c r="A3174" s="78"/>
      <c r="B3174" s="37"/>
      <c r="C3174" s="1"/>
      <c r="D3174" s="37"/>
      <c r="E3174" s="37"/>
      <c r="F3174" s="37"/>
      <c r="G3174" s="79"/>
    </row>
    <row r="3175" spans="1:7">
      <c r="A3175" s="78"/>
      <c r="B3175" s="37"/>
      <c r="C3175" s="1"/>
      <c r="D3175" s="37"/>
      <c r="E3175" s="37"/>
      <c r="F3175" s="37"/>
      <c r="G3175" s="79"/>
    </row>
    <row r="3176" spans="1:7">
      <c r="A3176" s="78"/>
      <c r="B3176" s="37"/>
      <c r="C3176" s="1"/>
      <c r="D3176" s="37"/>
      <c r="E3176" s="37"/>
      <c r="F3176" s="37"/>
      <c r="G3176" s="79"/>
    </row>
    <row r="3177" spans="1:7">
      <c r="A3177" s="78"/>
      <c r="B3177" s="37"/>
      <c r="C3177" s="1"/>
      <c r="D3177" s="37"/>
      <c r="E3177" s="37"/>
      <c r="F3177" s="37"/>
      <c r="G3177" s="79"/>
    </row>
    <row r="3178" spans="1:7">
      <c r="A3178" s="78"/>
      <c r="B3178" s="37"/>
      <c r="C3178" s="1"/>
      <c r="D3178" s="37"/>
      <c r="E3178" s="37"/>
      <c r="F3178" s="37"/>
      <c r="G3178" s="79"/>
    </row>
    <row r="3179" spans="1:7">
      <c r="A3179" s="78"/>
      <c r="B3179" s="37"/>
      <c r="C3179" s="1"/>
      <c r="D3179" s="37"/>
      <c r="E3179" s="37"/>
      <c r="F3179" s="37"/>
      <c r="G3179" s="79"/>
    </row>
    <row r="3180" spans="1:7">
      <c r="A3180" s="78"/>
      <c r="B3180" s="37"/>
      <c r="C3180" s="1"/>
      <c r="D3180" s="37"/>
      <c r="E3180" s="37"/>
      <c r="F3180" s="37"/>
      <c r="G3180" s="79"/>
    </row>
    <row r="3181" spans="1:7">
      <c r="A3181" s="78"/>
      <c r="B3181" s="37"/>
      <c r="C3181" s="1"/>
      <c r="D3181" s="37"/>
      <c r="E3181" s="37"/>
      <c r="F3181" s="37"/>
      <c r="G3181" s="79"/>
    </row>
    <row r="3182" spans="1:7">
      <c r="A3182" s="78"/>
      <c r="B3182" s="37"/>
      <c r="C3182" s="1"/>
      <c r="D3182" s="37"/>
      <c r="E3182" s="37"/>
      <c r="F3182" s="37"/>
      <c r="G3182" s="79"/>
    </row>
    <row r="3183" spans="1:7">
      <c r="A3183" s="78"/>
      <c r="B3183" s="37"/>
      <c r="C3183" s="1"/>
      <c r="D3183" s="37"/>
      <c r="E3183" s="37"/>
      <c r="F3183" s="37"/>
      <c r="G3183" s="79"/>
    </row>
    <row r="3184" spans="1:7">
      <c r="A3184" s="78"/>
      <c r="B3184" s="37"/>
      <c r="C3184" s="1"/>
      <c r="D3184" s="37"/>
      <c r="E3184" s="37"/>
      <c r="F3184" s="37"/>
      <c r="G3184" s="79"/>
    </row>
    <row r="3185" spans="1:7">
      <c r="A3185" s="78"/>
      <c r="B3185" s="37"/>
      <c r="C3185" s="1"/>
      <c r="D3185" s="37"/>
      <c r="E3185" s="37"/>
      <c r="F3185" s="37"/>
      <c r="G3185" s="79"/>
    </row>
    <row r="3186" spans="1:7">
      <c r="A3186" s="78"/>
      <c r="B3186" s="37"/>
      <c r="C3186" s="1"/>
      <c r="D3186" s="37"/>
      <c r="E3186" s="37"/>
      <c r="F3186" s="37"/>
      <c r="G3186" s="79"/>
    </row>
    <row r="3187" spans="1:7">
      <c r="A3187" s="78"/>
      <c r="B3187" s="37"/>
      <c r="C3187" s="1"/>
      <c r="D3187" s="37"/>
      <c r="E3187" s="37"/>
      <c r="F3187" s="37"/>
      <c r="G3187" s="79"/>
    </row>
    <row r="3188" spans="1:7">
      <c r="A3188" s="78"/>
      <c r="B3188" s="37"/>
      <c r="C3188" s="1"/>
      <c r="D3188" s="37"/>
      <c r="E3188" s="37"/>
      <c r="F3188" s="37"/>
      <c r="G3188" s="79"/>
    </row>
    <row r="3189" spans="1:7">
      <c r="A3189" s="78"/>
      <c r="B3189" s="37"/>
      <c r="C3189" s="1"/>
      <c r="D3189" s="37"/>
      <c r="E3189" s="37"/>
      <c r="F3189" s="37"/>
      <c r="G3189" s="79"/>
    </row>
    <row r="3190" spans="1:7">
      <c r="A3190" s="78"/>
      <c r="B3190" s="37"/>
      <c r="C3190" s="1"/>
      <c r="D3190" s="37"/>
      <c r="E3190" s="37"/>
      <c r="F3190" s="37"/>
      <c r="G3190" s="79"/>
    </row>
    <row r="3191" spans="1:7">
      <c r="A3191" s="78"/>
      <c r="B3191" s="37"/>
      <c r="C3191" s="1"/>
      <c r="D3191" s="37"/>
      <c r="E3191" s="37"/>
      <c r="F3191" s="37"/>
      <c r="G3191" s="79"/>
    </row>
    <row r="3192" spans="1:7">
      <c r="A3192" s="78"/>
      <c r="B3192" s="37"/>
      <c r="C3192" s="1"/>
      <c r="D3192" s="37"/>
      <c r="E3192" s="37"/>
      <c r="F3192" s="37"/>
      <c r="G3192" s="79"/>
    </row>
    <row r="3193" spans="1:7">
      <c r="A3193" s="78"/>
      <c r="B3193" s="37"/>
      <c r="C3193" s="1"/>
      <c r="D3193" s="37"/>
      <c r="E3193" s="37"/>
      <c r="F3193" s="37"/>
      <c r="G3193" s="79"/>
    </row>
    <row r="3194" spans="1:7">
      <c r="A3194" s="78"/>
      <c r="B3194" s="37"/>
      <c r="C3194" s="1"/>
      <c r="D3194" s="37"/>
      <c r="E3194" s="37"/>
      <c r="F3194" s="37"/>
      <c r="G3194" s="79"/>
    </row>
    <row r="3195" spans="1:7">
      <c r="A3195" s="78"/>
      <c r="B3195" s="37"/>
      <c r="C3195" s="1"/>
      <c r="D3195" s="37"/>
      <c r="E3195" s="37"/>
      <c r="F3195" s="37"/>
      <c r="G3195" s="79"/>
    </row>
    <row r="3196" spans="1:7">
      <c r="A3196" s="78"/>
      <c r="B3196" s="37"/>
      <c r="C3196" s="1"/>
      <c r="D3196" s="37"/>
      <c r="E3196" s="37"/>
      <c r="F3196" s="37"/>
      <c r="G3196" s="79"/>
    </row>
    <row r="3197" spans="1:7">
      <c r="A3197" s="78"/>
      <c r="B3197" s="37"/>
      <c r="C3197" s="1"/>
      <c r="D3197" s="37"/>
      <c r="E3197" s="37"/>
      <c r="F3197" s="37"/>
      <c r="G3197" s="79"/>
    </row>
    <row r="3198" spans="1:7">
      <c r="A3198" s="78"/>
      <c r="B3198" s="37"/>
      <c r="C3198" s="1"/>
      <c r="D3198" s="37"/>
      <c r="E3198" s="37"/>
      <c r="F3198" s="37"/>
      <c r="G3198" s="79"/>
    </row>
    <row r="3199" spans="1:7">
      <c r="A3199" s="78"/>
      <c r="B3199" s="37"/>
      <c r="C3199" s="1"/>
      <c r="D3199" s="37"/>
      <c r="E3199" s="37"/>
      <c r="F3199" s="37"/>
      <c r="G3199" s="79"/>
    </row>
    <row r="3200" spans="1:7">
      <c r="A3200" s="78"/>
      <c r="B3200" s="37"/>
      <c r="C3200" s="1"/>
      <c r="D3200" s="37"/>
      <c r="E3200" s="37"/>
      <c r="F3200" s="37"/>
      <c r="G3200" s="79"/>
    </row>
    <row r="3201" spans="1:7">
      <c r="A3201" s="78"/>
      <c r="B3201" s="37"/>
      <c r="C3201" s="1"/>
      <c r="D3201" s="37"/>
      <c r="E3201" s="37"/>
      <c r="F3201" s="37"/>
      <c r="G3201" s="79"/>
    </row>
    <row r="3202" spans="1:7">
      <c r="A3202" s="78"/>
      <c r="B3202" s="37"/>
      <c r="C3202" s="1"/>
      <c r="D3202" s="37"/>
      <c r="E3202" s="37"/>
      <c r="F3202" s="37"/>
      <c r="G3202" s="79"/>
    </row>
    <row r="3203" spans="1:7">
      <c r="A3203" s="78"/>
      <c r="B3203" s="37"/>
      <c r="C3203" s="1"/>
      <c r="D3203" s="37"/>
      <c r="E3203" s="37"/>
      <c r="F3203" s="37"/>
      <c r="G3203" s="79"/>
    </row>
    <row r="3204" spans="1:7">
      <c r="A3204" s="78"/>
      <c r="B3204" s="37"/>
      <c r="C3204" s="1"/>
      <c r="D3204" s="37"/>
      <c r="E3204" s="37"/>
      <c r="F3204" s="37"/>
      <c r="G3204" s="79"/>
    </row>
    <row r="3205" spans="1:7">
      <c r="A3205" s="78"/>
      <c r="B3205" s="37"/>
      <c r="C3205" s="1"/>
      <c r="D3205" s="37"/>
      <c r="E3205" s="37"/>
      <c r="F3205" s="37"/>
      <c r="G3205" s="79"/>
    </row>
    <row r="3206" spans="1:7">
      <c r="A3206" s="78"/>
      <c r="B3206" s="37"/>
      <c r="C3206" s="1"/>
      <c r="D3206" s="37"/>
      <c r="E3206" s="37"/>
      <c r="F3206" s="37"/>
      <c r="G3206" s="79"/>
    </row>
    <row r="3207" spans="1:7">
      <c r="A3207" s="78"/>
      <c r="B3207" s="37"/>
      <c r="C3207" s="1"/>
      <c r="D3207" s="37"/>
      <c r="E3207" s="37"/>
      <c r="F3207" s="37"/>
      <c r="G3207" s="79"/>
    </row>
    <row r="3208" spans="1:7">
      <c r="A3208" s="78"/>
      <c r="B3208" s="37"/>
      <c r="C3208" s="1"/>
      <c r="D3208" s="37"/>
      <c r="E3208" s="37"/>
      <c r="F3208" s="37"/>
      <c r="G3208" s="79"/>
    </row>
    <row r="3209" spans="1:7">
      <c r="A3209" s="78"/>
      <c r="B3209" s="37"/>
      <c r="C3209" s="1"/>
      <c r="D3209" s="37"/>
      <c r="E3209" s="37"/>
      <c r="F3209" s="37"/>
      <c r="G3209" s="79"/>
    </row>
    <row r="3210" spans="1:7">
      <c r="A3210" s="78"/>
      <c r="B3210" s="37"/>
      <c r="C3210" s="1"/>
      <c r="D3210" s="37"/>
      <c r="E3210" s="37"/>
      <c r="F3210" s="37"/>
      <c r="G3210" s="79"/>
    </row>
    <row r="3211" spans="1:7">
      <c r="A3211" s="78"/>
      <c r="B3211" s="37"/>
      <c r="C3211" s="1"/>
      <c r="D3211" s="37"/>
      <c r="E3211" s="37"/>
      <c r="F3211" s="37"/>
      <c r="G3211" s="79"/>
    </row>
    <row r="3212" spans="1:7">
      <c r="A3212" s="78"/>
      <c r="B3212" s="37"/>
      <c r="C3212" s="1"/>
      <c r="D3212" s="37"/>
      <c r="E3212" s="37"/>
      <c r="F3212" s="37"/>
      <c r="G3212" s="79"/>
    </row>
    <row r="3213" spans="1:7">
      <c r="A3213" s="78"/>
      <c r="B3213" s="37"/>
      <c r="C3213" s="1"/>
      <c r="D3213" s="37"/>
      <c r="E3213" s="37"/>
      <c r="F3213" s="37"/>
      <c r="G3213" s="79"/>
    </row>
    <row r="3214" spans="1:7">
      <c r="A3214" s="78"/>
      <c r="B3214" s="37"/>
      <c r="C3214" s="1"/>
      <c r="D3214" s="37"/>
      <c r="E3214" s="37"/>
      <c r="F3214" s="37"/>
      <c r="G3214" s="79"/>
    </row>
    <row r="3215" spans="1:7">
      <c r="A3215" s="78"/>
      <c r="B3215" s="37"/>
      <c r="C3215" s="1"/>
      <c r="D3215" s="37"/>
      <c r="E3215" s="37"/>
      <c r="F3215" s="37"/>
      <c r="G3215" s="79"/>
    </row>
    <row r="3216" spans="1:7">
      <c r="A3216" s="78"/>
      <c r="B3216" s="37"/>
      <c r="C3216" s="1"/>
      <c r="D3216" s="37"/>
      <c r="E3216" s="37"/>
      <c r="F3216" s="37"/>
      <c r="G3216" s="79"/>
    </row>
    <row r="3217" spans="1:7">
      <c r="A3217" s="78"/>
      <c r="B3217" s="37"/>
      <c r="C3217" s="1"/>
      <c r="D3217" s="37"/>
      <c r="E3217" s="37"/>
      <c r="F3217" s="37"/>
      <c r="G3217" s="79"/>
    </row>
    <row r="3218" spans="1:7">
      <c r="A3218" s="78"/>
      <c r="B3218" s="37"/>
      <c r="C3218" s="1"/>
      <c r="D3218" s="37"/>
      <c r="E3218" s="37"/>
      <c r="F3218" s="37"/>
      <c r="G3218" s="79"/>
    </row>
    <row r="3219" spans="1:7">
      <c r="A3219" s="78"/>
      <c r="B3219" s="37"/>
      <c r="C3219" s="1"/>
      <c r="D3219" s="37"/>
      <c r="E3219" s="37"/>
      <c r="F3219" s="37"/>
      <c r="G3219" s="79"/>
    </row>
    <row r="3220" spans="1:7">
      <c r="A3220" s="78"/>
      <c r="B3220" s="37"/>
      <c r="C3220" s="1"/>
      <c r="D3220" s="37"/>
      <c r="E3220" s="37"/>
      <c r="F3220" s="37"/>
      <c r="G3220" s="79"/>
    </row>
    <row r="3221" spans="1:7">
      <c r="A3221" s="78"/>
      <c r="B3221" s="37"/>
      <c r="C3221" s="1"/>
      <c r="D3221" s="37"/>
      <c r="E3221" s="37"/>
      <c r="F3221" s="37"/>
      <c r="G3221" s="79"/>
    </row>
    <row r="3222" spans="1:7">
      <c r="A3222" s="78"/>
      <c r="B3222" s="37"/>
      <c r="C3222" s="1"/>
      <c r="D3222" s="37"/>
      <c r="E3222" s="37"/>
      <c r="F3222" s="37"/>
      <c r="G3222" s="79"/>
    </row>
    <row r="3223" spans="1:7">
      <c r="A3223" s="78"/>
      <c r="B3223" s="37"/>
      <c r="C3223" s="1"/>
      <c r="D3223" s="37"/>
      <c r="E3223" s="37"/>
      <c r="F3223" s="37"/>
      <c r="G3223" s="79"/>
    </row>
    <row r="3224" spans="1:7">
      <c r="A3224" s="78"/>
      <c r="B3224" s="37"/>
      <c r="C3224" s="1"/>
      <c r="D3224" s="37"/>
      <c r="E3224" s="37"/>
      <c r="F3224" s="37"/>
      <c r="G3224" s="79"/>
    </row>
    <row r="3225" spans="1:7">
      <c r="A3225" s="78"/>
      <c r="B3225" s="37"/>
      <c r="C3225" s="1"/>
      <c r="D3225" s="37"/>
      <c r="E3225" s="37"/>
      <c r="F3225" s="37"/>
      <c r="G3225" s="79"/>
    </row>
    <row r="3226" spans="1:7">
      <c r="A3226" s="78"/>
      <c r="B3226" s="37"/>
      <c r="C3226" s="1"/>
      <c r="D3226" s="37"/>
      <c r="E3226" s="37"/>
      <c r="F3226" s="37"/>
      <c r="G3226" s="79"/>
    </row>
    <row r="3227" spans="1:7">
      <c r="A3227" s="78"/>
      <c r="B3227" s="37"/>
      <c r="C3227" s="1"/>
      <c r="D3227" s="37"/>
      <c r="E3227" s="37"/>
      <c r="F3227" s="37"/>
      <c r="G3227" s="79"/>
    </row>
    <row r="3228" spans="1:7">
      <c r="A3228" s="78"/>
      <c r="B3228" s="37"/>
      <c r="C3228" s="1"/>
      <c r="D3228" s="37"/>
      <c r="E3228" s="37"/>
      <c r="F3228" s="37"/>
      <c r="G3228" s="79"/>
    </row>
    <row r="3229" spans="1:7">
      <c r="A3229" s="78"/>
      <c r="B3229" s="37"/>
      <c r="C3229" s="1"/>
      <c r="D3229" s="37"/>
      <c r="E3229" s="37"/>
      <c r="F3229" s="37"/>
      <c r="G3229" s="79"/>
    </row>
    <row r="3230" spans="1:7">
      <c r="A3230" s="78"/>
      <c r="B3230" s="37"/>
      <c r="C3230" s="1"/>
      <c r="D3230" s="37"/>
      <c r="E3230" s="37"/>
      <c r="F3230" s="37"/>
      <c r="G3230" s="79"/>
    </row>
    <row r="3231" spans="1:7">
      <c r="A3231" s="78"/>
      <c r="B3231" s="37"/>
      <c r="C3231" s="1"/>
      <c r="D3231" s="37"/>
      <c r="E3231" s="37"/>
      <c r="F3231" s="37"/>
      <c r="G3231" s="79"/>
    </row>
    <row r="3232" spans="1:7">
      <c r="A3232" s="78"/>
      <c r="B3232" s="37"/>
      <c r="C3232" s="1"/>
      <c r="D3232" s="37"/>
      <c r="E3232" s="37"/>
      <c r="F3232" s="37"/>
      <c r="G3232" s="79"/>
    </row>
    <row r="3233" spans="1:7">
      <c r="A3233" s="78"/>
      <c r="B3233" s="37"/>
      <c r="C3233" s="1"/>
      <c r="D3233" s="37"/>
      <c r="E3233" s="37"/>
      <c r="F3233" s="37"/>
      <c r="G3233" s="79"/>
    </row>
    <row r="3234" spans="1:7">
      <c r="A3234" s="78"/>
      <c r="B3234" s="37"/>
      <c r="C3234" s="1"/>
      <c r="D3234" s="37"/>
      <c r="E3234" s="37"/>
      <c r="F3234" s="37"/>
      <c r="G3234" s="79"/>
    </row>
    <row r="3235" spans="1:7">
      <c r="A3235" s="78"/>
      <c r="B3235" s="37"/>
      <c r="C3235" s="1"/>
      <c r="D3235" s="37"/>
      <c r="E3235" s="37"/>
      <c r="F3235" s="37"/>
      <c r="G3235" s="79"/>
    </row>
    <row r="3236" spans="1:7">
      <c r="A3236" s="78"/>
      <c r="B3236" s="37"/>
      <c r="C3236" s="1"/>
      <c r="D3236" s="37"/>
      <c r="E3236" s="37"/>
      <c r="F3236" s="37"/>
      <c r="G3236" s="79"/>
    </row>
    <row r="3237" spans="1:7">
      <c r="A3237" s="78"/>
      <c r="B3237" s="37"/>
      <c r="C3237" s="1"/>
      <c r="D3237" s="37"/>
      <c r="E3237" s="37"/>
      <c r="F3237" s="37"/>
      <c r="G3237" s="79"/>
    </row>
    <row r="3238" spans="1:7">
      <c r="A3238" s="78"/>
      <c r="B3238" s="37"/>
      <c r="C3238" s="1"/>
      <c r="D3238" s="37"/>
      <c r="E3238" s="37"/>
      <c r="F3238" s="37"/>
      <c r="G3238" s="79"/>
    </row>
    <row r="3239" spans="1:7">
      <c r="A3239" s="78"/>
      <c r="B3239" s="37"/>
      <c r="C3239" s="1"/>
      <c r="D3239" s="37"/>
      <c r="E3239" s="37"/>
      <c r="F3239" s="37"/>
      <c r="G3239" s="79"/>
    </row>
    <row r="3240" spans="1:7">
      <c r="A3240" s="78"/>
      <c r="B3240" s="37"/>
      <c r="C3240" s="1"/>
      <c r="D3240" s="37"/>
      <c r="E3240" s="37"/>
      <c r="F3240" s="37"/>
      <c r="G3240" s="79"/>
    </row>
    <row r="3241" spans="1:7">
      <c r="A3241" s="78"/>
      <c r="B3241" s="37"/>
      <c r="C3241" s="1"/>
      <c r="D3241" s="37"/>
      <c r="E3241" s="37"/>
      <c r="F3241" s="37"/>
      <c r="G3241" s="79"/>
    </row>
    <row r="3242" spans="1:7">
      <c r="A3242" s="78"/>
      <c r="B3242" s="37"/>
      <c r="C3242" s="1"/>
      <c r="D3242" s="37"/>
      <c r="E3242" s="37"/>
      <c r="F3242" s="37"/>
      <c r="G3242" s="79"/>
    </row>
    <row r="3243" spans="1:7">
      <c r="A3243" s="78"/>
      <c r="B3243" s="37"/>
      <c r="C3243" s="1"/>
      <c r="D3243" s="37"/>
      <c r="E3243" s="37"/>
      <c r="F3243" s="37"/>
      <c r="G3243" s="79"/>
    </row>
    <row r="3244" spans="1:7">
      <c r="A3244" s="78"/>
      <c r="B3244" s="37"/>
      <c r="C3244" s="1"/>
      <c r="D3244" s="37"/>
      <c r="E3244" s="37"/>
      <c r="F3244" s="37"/>
      <c r="G3244" s="79"/>
    </row>
    <row r="3245" spans="1:7">
      <c r="A3245" s="78"/>
      <c r="B3245" s="37"/>
      <c r="C3245" s="1"/>
      <c r="D3245" s="37"/>
      <c r="E3245" s="37"/>
      <c r="F3245" s="37"/>
      <c r="G3245" s="79"/>
    </row>
    <row r="3246" spans="1:7">
      <c r="A3246" s="78"/>
      <c r="B3246" s="37"/>
      <c r="C3246" s="1"/>
      <c r="D3246" s="37"/>
      <c r="E3246" s="37"/>
      <c r="F3246" s="37"/>
      <c r="G3246" s="79"/>
    </row>
    <row r="3247" spans="1:7">
      <c r="A3247" s="78"/>
      <c r="B3247" s="37"/>
      <c r="C3247" s="1"/>
      <c r="D3247" s="37"/>
      <c r="E3247" s="37"/>
      <c r="F3247" s="37"/>
      <c r="G3247" s="79"/>
    </row>
    <row r="3248" spans="1:7">
      <c r="A3248" s="78"/>
      <c r="B3248" s="37"/>
      <c r="C3248" s="1"/>
      <c r="D3248" s="37"/>
      <c r="E3248" s="37"/>
      <c r="F3248" s="37"/>
      <c r="G3248" s="79"/>
    </row>
    <row r="3249" spans="1:7">
      <c r="A3249" s="78"/>
      <c r="B3249" s="37"/>
      <c r="C3249" s="1"/>
      <c r="D3249" s="37"/>
      <c r="E3249" s="37"/>
      <c r="F3249" s="37"/>
      <c r="G3249" s="79"/>
    </row>
    <row r="3250" spans="1:7">
      <c r="A3250" s="78"/>
      <c r="B3250" s="37"/>
      <c r="C3250" s="1"/>
      <c r="D3250" s="37"/>
      <c r="E3250" s="37"/>
      <c r="F3250" s="37"/>
      <c r="G3250" s="79"/>
    </row>
    <row r="3251" spans="1:7">
      <c r="A3251" s="78"/>
      <c r="B3251" s="37"/>
      <c r="C3251" s="1"/>
      <c r="D3251" s="37"/>
      <c r="E3251" s="37"/>
      <c r="F3251" s="37"/>
      <c r="G3251" s="79"/>
    </row>
    <row r="3252" spans="1:7">
      <c r="A3252" s="78"/>
      <c r="B3252" s="37"/>
      <c r="C3252" s="1"/>
      <c r="D3252" s="37"/>
      <c r="E3252" s="37"/>
      <c r="F3252" s="37"/>
      <c r="G3252" s="79"/>
    </row>
    <row r="3253" spans="1:7">
      <c r="A3253" s="78"/>
      <c r="B3253" s="37"/>
      <c r="C3253" s="1"/>
      <c r="D3253" s="37"/>
      <c r="E3253" s="37"/>
      <c r="F3253" s="37"/>
      <c r="G3253" s="79"/>
    </row>
    <row r="3254" spans="1:7">
      <c r="A3254" s="78"/>
      <c r="B3254" s="37"/>
      <c r="C3254" s="1"/>
      <c r="D3254" s="37"/>
      <c r="E3254" s="37"/>
      <c r="F3254" s="37"/>
      <c r="G3254" s="79"/>
    </row>
    <row r="3255" spans="1:7">
      <c r="A3255" s="78"/>
      <c r="B3255" s="37"/>
      <c r="C3255" s="1"/>
      <c r="D3255" s="37"/>
      <c r="E3255" s="37"/>
      <c r="F3255" s="37"/>
      <c r="G3255" s="79"/>
    </row>
    <row r="3256" spans="1:7">
      <c r="A3256" s="78"/>
      <c r="B3256" s="37"/>
      <c r="C3256" s="1"/>
      <c r="D3256" s="37"/>
      <c r="E3256" s="37"/>
      <c r="F3256" s="37"/>
      <c r="G3256" s="79"/>
    </row>
    <row r="3257" spans="1:7">
      <c r="A3257" s="78"/>
      <c r="B3257" s="37"/>
      <c r="C3257" s="1"/>
      <c r="D3257" s="37"/>
      <c r="E3257" s="37"/>
      <c r="F3257" s="37"/>
      <c r="G3257" s="79"/>
    </row>
    <row r="3258" spans="1:7">
      <c r="A3258" s="78"/>
      <c r="B3258" s="37"/>
      <c r="C3258" s="1"/>
      <c r="D3258" s="37"/>
      <c r="E3258" s="37"/>
      <c r="F3258" s="37"/>
      <c r="G3258" s="79"/>
    </row>
    <row r="3259" spans="1:7">
      <c r="A3259" s="78"/>
      <c r="B3259" s="37"/>
      <c r="C3259" s="1"/>
      <c r="D3259" s="37"/>
      <c r="E3259" s="37"/>
      <c r="F3259" s="37"/>
      <c r="G3259" s="79"/>
    </row>
    <row r="3260" spans="1:7">
      <c r="A3260" s="78"/>
      <c r="B3260" s="37"/>
      <c r="C3260" s="1"/>
      <c r="D3260" s="37"/>
      <c r="E3260" s="37"/>
      <c r="F3260" s="37"/>
      <c r="G3260" s="79"/>
    </row>
    <row r="3261" spans="1:7">
      <c r="A3261" s="78"/>
      <c r="B3261" s="37"/>
      <c r="C3261" s="1"/>
      <c r="D3261" s="37"/>
      <c r="E3261" s="37"/>
      <c r="F3261" s="37"/>
      <c r="G3261" s="79"/>
    </row>
    <row r="3262" spans="1:7">
      <c r="A3262" s="78"/>
      <c r="B3262" s="37"/>
      <c r="C3262" s="1"/>
      <c r="D3262" s="37"/>
      <c r="E3262" s="37"/>
      <c r="F3262" s="37"/>
      <c r="G3262" s="79"/>
    </row>
    <row r="3263" spans="1:7">
      <c r="A3263" s="78"/>
      <c r="B3263" s="37"/>
      <c r="C3263" s="1"/>
      <c r="D3263" s="37"/>
      <c r="E3263" s="37"/>
      <c r="F3263" s="37"/>
      <c r="G3263" s="79"/>
    </row>
    <row r="3264" spans="1:7">
      <c r="A3264" s="78"/>
      <c r="B3264" s="37"/>
      <c r="C3264" s="1"/>
      <c r="D3264" s="37"/>
      <c r="E3264" s="37"/>
      <c r="F3264" s="37"/>
      <c r="G3264" s="79"/>
    </row>
    <row r="3265" spans="1:7">
      <c r="A3265" s="78"/>
      <c r="B3265" s="37"/>
      <c r="C3265" s="1"/>
      <c r="D3265" s="37"/>
      <c r="E3265" s="37"/>
      <c r="F3265" s="37"/>
      <c r="G3265" s="79"/>
    </row>
    <row r="3266" spans="1:7">
      <c r="A3266" s="78"/>
      <c r="B3266" s="37"/>
      <c r="C3266" s="1"/>
      <c r="D3266" s="37"/>
      <c r="E3266" s="37"/>
      <c r="F3266" s="37"/>
      <c r="G3266" s="79"/>
    </row>
    <row r="3267" spans="1:7">
      <c r="A3267" s="78"/>
      <c r="B3267" s="37"/>
      <c r="C3267" s="1"/>
      <c r="D3267" s="37"/>
      <c r="E3267" s="37"/>
      <c r="F3267" s="37"/>
      <c r="G3267" s="79"/>
    </row>
    <row r="3268" spans="1:7">
      <c r="A3268" s="78"/>
      <c r="B3268" s="37"/>
      <c r="C3268" s="1"/>
      <c r="D3268" s="37"/>
      <c r="E3268" s="37"/>
      <c r="F3268" s="37"/>
      <c r="G3268" s="79"/>
    </row>
    <row r="3269" spans="1:7">
      <c r="A3269" s="78"/>
      <c r="B3269" s="37"/>
      <c r="C3269" s="1"/>
      <c r="D3269" s="37"/>
      <c r="E3269" s="37"/>
      <c r="F3269" s="37"/>
      <c r="G3269" s="79"/>
    </row>
    <row r="3270" spans="1:7">
      <c r="A3270" s="78"/>
      <c r="B3270" s="37"/>
      <c r="C3270" s="1"/>
      <c r="D3270" s="37"/>
      <c r="E3270" s="37"/>
      <c r="F3270" s="37"/>
      <c r="G3270" s="79"/>
    </row>
    <row r="3271" spans="1:7">
      <c r="A3271" s="78"/>
      <c r="B3271" s="37"/>
      <c r="C3271" s="1"/>
      <c r="D3271" s="37"/>
      <c r="E3271" s="37"/>
      <c r="F3271" s="37"/>
      <c r="G3271" s="79"/>
    </row>
    <row r="3272" spans="1:7">
      <c r="A3272" s="78"/>
      <c r="B3272" s="37"/>
      <c r="C3272" s="1"/>
      <c r="D3272" s="37"/>
      <c r="E3272" s="37"/>
      <c r="F3272" s="37"/>
      <c r="G3272" s="79"/>
    </row>
    <row r="3273" spans="1:7">
      <c r="A3273" s="78"/>
      <c r="B3273" s="37"/>
      <c r="C3273" s="1"/>
      <c r="D3273" s="37"/>
      <c r="E3273" s="37"/>
      <c r="F3273" s="37"/>
      <c r="G3273" s="79"/>
    </row>
    <row r="3274" spans="1:7">
      <c r="A3274" s="78"/>
      <c r="B3274" s="37"/>
      <c r="C3274" s="1"/>
      <c r="D3274" s="37"/>
      <c r="E3274" s="37"/>
      <c r="F3274" s="37"/>
      <c r="G3274" s="79"/>
    </row>
    <row r="3275" spans="1:7">
      <c r="A3275" s="78"/>
      <c r="B3275" s="37"/>
      <c r="C3275" s="1"/>
      <c r="D3275" s="37"/>
      <c r="E3275" s="37"/>
      <c r="F3275" s="37"/>
      <c r="G3275" s="79"/>
    </row>
    <row r="3276" spans="1:7">
      <c r="A3276" s="78"/>
      <c r="B3276" s="37"/>
      <c r="C3276" s="1"/>
      <c r="D3276" s="37"/>
      <c r="E3276" s="37"/>
      <c r="F3276" s="37"/>
      <c r="G3276" s="79"/>
    </row>
    <row r="3277" spans="1:7">
      <c r="A3277" s="78"/>
      <c r="B3277" s="37"/>
      <c r="C3277" s="1"/>
      <c r="D3277" s="37"/>
      <c r="E3277" s="37"/>
      <c r="F3277" s="37"/>
      <c r="G3277" s="79"/>
    </row>
    <row r="3278" spans="1:7">
      <c r="A3278" s="78"/>
      <c r="B3278" s="37"/>
      <c r="C3278" s="1"/>
      <c r="D3278" s="37"/>
      <c r="E3278" s="37"/>
      <c r="F3278" s="37"/>
      <c r="G3278" s="79"/>
    </row>
    <row r="3279" spans="1:7">
      <c r="A3279" s="78"/>
      <c r="B3279" s="37"/>
      <c r="C3279" s="1"/>
      <c r="D3279" s="37"/>
      <c r="E3279" s="37"/>
      <c r="F3279" s="37"/>
      <c r="G3279" s="79"/>
    </row>
    <row r="3280" spans="1:7">
      <c r="A3280" s="78"/>
      <c r="B3280" s="37"/>
      <c r="C3280" s="1"/>
      <c r="D3280" s="37"/>
      <c r="E3280" s="37"/>
      <c r="F3280" s="37"/>
      <c r="G3280" s="79"/>
    </row>
    <row r="3281" spans="1:7">
      <c r="A3281" s="78"/>
      <c r="B3281" s="37"/>
      <c r="C3281" s="1"/>
      <c r="D3281" s="37"/>
      <c r="E3281" s="37"/>
      <c r="F3281" s="37"/>
      <c r="G3281" s="79"/>
    </row>
    <row r="3282" spans="1:7">
      <c r="A3282" s="78"/>
      <c r="B3282" s="37"/>
      <c r="C3282" s="1"/>
      <c r="D3282" s="37"/>
      <c r="E3282" s="37"/>
      <c r="F3282" s="37"/>
      <c r="G3282" s="79"/>
    </row>
    <row r="3283" spans="1:7">
      <c r="A3283" s="78"/>
      <c r="B3283" s="37"/>
      <c r="C3283" s="1"/>
      <c r="D3283" s="37"/>
      <c r="E3283" s="37"/>
      <c r="F3283" s="37"/>
      <c r="G3283" s="79"/>
    </row>
    <row r="3284" spans="1:7">
      <c r="A3284" s="78"/>
      <c r="B3284" s="37"/>
      <c r="C3284" s="1"/>
      <c r="D3284" s="37"/>
      <c r="E3284" s="37"/>
      <c r="F3284" s="37"/>
      <c r="G3284" s="79"/>
    </row>
    <row r="3285" spans="1:7">
      <c r="A3285" s="78"/>
      <c r="B3285" s="37"/>
      <c r="C3285" s="1"/>
      <c r="D3285" s="37"/>
      <c r="E3285" s="37"/>
      <c r="F3285" s="37"/>
      <c r="G3285" s="79"/>
    </row>
    <row r="3286" spans="1:7">
      <c r="A3286" s="78"/>
      <c r="B3286" s="37"/>
      <c r="C3286" s="1"/>
      <c r="D3286" s="37"/>
      <c r="E3286" s="37"/>
      <c r="F3286" s="37"/>
      <c r="G3286" s="79"/>
    </row>
    <row r="3287" spans="1:7">
      <c r="A3287" s="78"/>
      <c r="B3287" s="37"/>
      <c r="C3287" s="1"/>
      <c r="D3287" s="37"/>
      <c r="E3287" s="37"/>
      <c r="F3287" s="37"/>
      <c r="G3287" s="79"/>
    </row>
    <row r="3288" spans="1:7">
      <c r="A3288" s="78"/>
      <c r="B3288" s="37"/>
      <c r="C3288" s="1"/>
      <c r="D3288" s="37"/>
      <c r="E3288" s="37"/>
      <c r="F3288" s="37"/>
      <c r="G3288" s="79"/>
    </row>
    <row r="3289" spans="1:7">
      <c r="A3289" s="78"/>
      <c r="B3289" s="37"/>
      <c r="C3289" s="1"/>
      <c r="D3289" s="37"/>
      <c r="E3289" s="37"/>
      <c r="F3289" s="37"/>
      <c r="G3289" s="79"/>
    </row>
    <row r="3290" spans="1:7">
      <c r="A3290" s="78"/>
      <c r="B3290" s="37"/>
      <c r="C3290" s="1"/>
      <c r="D3290" s="37"/>
      <c r="E3290" s="37"/>
      <c r="F3290" s="37"/>
      <c r="G3290" s="79"/>
    </row>
    <row r="3291" spans="1:7">
      <c r="A3291" s="78"/>
      <c r="B3291" s="37"/>
      <c r="C3291" s="1"/>
      <c r="D3291" s="37"/>
      <c r="E3291" s="37"/>
      <c r="F3291" s="37"/>
      <c r="G3291" s="79"/>
    </row>
    <row r="3292" spans="1:7">
      <c r="A3292" s="78"/>
      <c r="B3292" s="37"/>
      <c r="C3292" s="1"/>
      <c r="D3292" s="37"/>
      <c r="E3292" s="37"/>
      <c r="F3292" s="37"/>
      <c r="G3292" s="79"/>
    </row>
    <row r="3293" spans="1:7">
      <c r="A3293" s="78"/>
      <c r="B3293" s="37"/>
      <c r="C3293" s="1"/>
      <c r="D3293" s="37"/>
      <c r="E3293" s="37"/>
      <c r="F3293" s="37"/>
      <c r="G3293" s="79"/>
    </row>
    <row r="3294" spans="1:7">
      <c r="A3294" s="78"/>
      <c r="B3294" s="37"/>
      <c r="C3294" s="1"/>
      <c r="D3294" s="37"/>
      <c r="E3294" s="37"/>
      <c r="F3294" s="37"/>
      <c r="G3294" s="79"/>
    </row>
    <row r="3295" spans="1:7">
      <c r="A3295" s="78"/>
      <c r="B3295" s="37"/>
      <c r="C3295" s="1"/>
      <c r="D3295" s="37"/>
      <c r="E3295" s="37"/>
      <c r="F3295" s="37"/>
      <c r="G3295" s="79"/>
    </row>
    <row r="3296" spans="1:7">
      <c r="A3296" s="78"/>
      <c r="B3296" s="37"/>
      <c r="C3296" s="1"/>
      <c r="D3296" s="37"/>
      <c r="E3296" s="37"/>
      <c r="F3296" s="37"/>
      <c r="G3296" s="79"/>
    </row>
    <row r="3297" spans="1:7">
      <c r="A3297" s="78"/>
      <c r="B3297" s="37"/>
      <c r="C3297" s="1"/>
      <c r="D3297" s="37"/>
      <c r="E3297" s="37"/>
      <c r="F3297" s="37"/>
      <c r="G3297" s="79"/>
    </row>
    <row r="3298" spans="1:7">
      <c r="A3298" s="78"/>
      <c r="B3298" s="37"/>
      <c r="C3298" s="1"/>
      <c r="D3298" s="37"/>
      <c r="E3298" s="37"/>
      <c r="F3298" s="37"/>
      <c r="G3298" s="79"/>
    </row>
    <row r="3299" spans="1:7">
      <c r="A3299" s="78"/>
      <c r="B3299" s="37"/>
      <c r="C3299" s="1"/>
      <c r="D3299" s="37"/>
      <c r="E3299" s="37"/>
      <c r="F3299" s="37"/>
      <c r="G3299" s="79"/>
    </row>
    <row r="3300" spans="1:7">
      <c r="A3300" s="78"/>
      <c r="B3300" s="37"/>
      <c r="C3300" s="1"/>
      <c r="D3300" s="37"/>
      <c r="E3300" s="37"/>
      <c r="F3300" s="37"/>
      <c r="G3300" s="79"/>
    </row>
    <row r="3301" spans="1:7">
      <c r="A3301" s="78"/>
      <c r="B3301" s="37"/>
      <c r="C3301" s="1"/>
      <c r="D3301" s="37"/>
      <c r="E3301" s="37"/>
      <c r="F3301" s="37"/>
      <c r="G3301" s="79"/>
    </row>
    <row r="3302" spans="1:7">
      <c r="A3302" s="78"/>
      <c r="B3302" s="37"/>
      <c r="C3302" s="1"/>
      <c r="D3302" s="37"/>
      <c r="E3302" s="37"/>
      <c r="F3302" s="37"/>
      <c r="G3302" s="79"/>
    </row>
    <row r="3303" spans="1:7">
      <c r="A3303" s="78"/>
      <c r="B3303" s="37"/>
      <c r="C3303" s="1"/>
      <c r="D3303" s="37"/>
      <c r="E3303" s="37"/>
      <c r="F3303" s="37"/>
      <c r="G3303" s="79"/>
    </row>
    <row r="3304" spans="1:7">
      <c r="A3304" s="78"/>
      <c r="B3304" s="37"/>
      <c r="C3304" s="1"/>
      <c r="D3304" s="37"/>
      <c r="E3304" s="37"/>
      <c r="F3304" s="37"/>
      <c r="G3304" s="79"/>
    </row>
    <row r="3305" spans="1:7">
      <c r="A3305" s="78"/>
      <c r="B3305" s="37"/>
      <c r="C3305" s="1"/>
      <c r="D3305" s="37"/>
      <c r="E3305" s="37"/>
      <c r="F3305" s="37"/>
      <c r="G3305" s="79"/>
    </row>
    <row r="3306" spans="1:7">
      <c r="A3306" s="78"/>
      <c r="B3306" s="37"/>
      <c r="C3306" s="1"/>
      <c r="D3306" s="37"/>
      <c r="E3306" s="37"/>
      <c r="F3306" s="37"/>
      <c r="G3306" s="79"/>
    </row>
    <row r="3307" spans="1:7">
      <c r="A3307" s="78"/>
      <c r="B3307" s="37"/>
      <c r="C3307" s="1"/>
      <c r="D3307" s="37"/>
      <c r="E3307" s="37"/>
      <c r="F3307" s="37"/>
      <c r="G3307" s="79"/>
    </row>
    <row r="3308" spans="1:7">
      <c r="A3308" s="78"/>
      <c r="B3308" s="37"/>
      <c r="C3308" s="1"/>
      <c r="D3308" s="37"/>
      <c r="E3308" s="37"/>
      <c r="F3308" s="37"/>
      <c r="G3308" s="79"/>
    </row>
    <row r="3309" spans="1:7">
      <c r="A3309" s="78"/>
      <c r="B3309" s="37"/>
      <c r="C3309" s="1"/>
      <c r="D3309" s="37"/>
      <c r="E3309" s="37"/>
      <c r="F3309" s="37"/>
      <c r="G3309" s="79"/>
    </row>
    <row r="3310" spans="1:7">
      <c r="A3310" s="78"/>
      <c r="B3310" s="37"/>
      <c r="C3310" s="1"/>
      <c r="D3310" s="37"/>
      <c r="E3310" s="37"/>
      <c r="F3310" s="37"/>
      <c r="G3310" s="79"/>
    </row>
    <row r="3311" spans="1:7">
      <c r="A3311" s="78"/>
      <c r="B3311" s="37"/>
      <c r="C3311" s="1"/>
      <c r="D3311" s="37"/>
      <c r="E3311" s="37"/>
      <c r="F3311" s="37"/>
      <c r="G3311" s="79"/>
    </row>
    <row r="3312" spans="1:7">
      <c r="A3312" s="78"/>
      <c r="B3312" s="37"/>
      <c r="C3312" s="1"/>
      <c r="D3312" s="37"/>
      <c r="E3312" s="37"/>
      <c r="F3312" s="37"/>
      <c r="G3312" s="79"/>
    </row>
    <row r="3313" spans="1:7">
      <c r="A3313" s="78"/>
      <c r="B3313" s="37"/>
      <c r="C3313" s="1"/>
      <c r="D3313" s="37"/>
      <c r="E3313" s="37"/>
      <c r="F3313" s="37"/>
      <c r="G3313" s="79"/>
    </row>
    <row r="3314" spans="1:7">
      <c r="A3314" s="78"/>
      <c r="B3314" s="37"/>
      <c r="C3314" s="1"/>
      <c r="D3314" s="37"/>
      <c r="E3314" s="37"/>
      <c r="F3314" s="37"/>
      <c r="G3314" s="79"/>
    </row>
    <row r="3315" spans="1:7">
      <c r="A3315" s="78"/>
      <c r="B3315" s="37"/>
      <c r="C3315" s="1"/>
      <c r="D3315" s="37"/>
      <c r="E3315" s="37"/>
      <c r="F3315" s="37"/>
      <c r="G3315" s="79"/>
    </row>
    <row r="3316" spans="1:7">
      <c r="A3316" s="78"/>
      <c r="B3316" s="37"/>
      <c r="C3316" s="1"/>
      <c r="D3316" s="37"/>
      <c r="E3316" s="37"/>
      <c r="F3316" s="37"/>
      <c r="G3316" s="79"/>
    </row>
    <row r="3317" spans="1:7">
      <c r="A3317" s="78"/>
      <c r="B3317" s="37"/>
      <c r="C3317" s="1"/>
      <c r="D3317" s="37"/>
      <c r="E3317" s="37"/>
      <c r="F3317" s="37"/>
      <c r="G3317" s="79"/>
    </row>
    <row r="3318" spans="1:7">
      <c r="A3318" s="78"/>
      <c r="B3318" s="37"/>
      <c r="C3318" s="1"/>
      <c r="D3318" s="37"/>
      <c r="E3318" s="37"/>
      <c r="F3318" s="37"/>
      <c r="G3318" s="79"/>
    </row>
    <row r="3319" spans="1:7">
      <c r="A3319" s="78"/>
      <c r="B3319" s="37"/>
      <c r="C3319" s="1"/>
      <c r="D3319" s="37"/>
      <c r="E3319" s="37"/>
      <c r="F3319" s="37"/>
      <c r="G3319" s="79"/>
    </row>
    <row r="3320" spans="1:7">
      <c r="A3320" s="78"/>
      <c r="B3320" s="37"/>
      <c r="C3320" s="1"/>
      <c r="D3320" s="37"/>
      <c r="E3320" s="37"/>
      <c r="F3320" s="37"/>
      <c r="G3320" s="79"/>
    </row>
    <row r="3321" spans="1:7">
      <c r="A3321" s="78"/>
      <c r="B3321" s="37"/>
      <c r="C3321" s="1"/>
      <c r="D3321" s="37"/>
      <c r="E3321" s="37"/>
      <c r="F3321" s="37"/>
      <c r="G3321" s="79"/>
    </row>
    <row r="3322" spans="1:7">
      <c r="A3322" s="78"/>
      <c r="B3322" s="37"/>
      <c r="C3322" s="1"/>
      <c r="D3322" s="37"/>
      <c r="E3322" s="37"/>
      <c r="F3322" s="37"/>
      <c r="G3322" s="79"/>
    </row>
    <row r="3323" spans="1:7">
      <c r="A3323" s="78"/>
      <c r="B3323" s="37"/>
      <c r="C3323" s="1"/>
      <c r="D3323" s="37"/>
      <c r="E3323" s="37"/>
      <c r="F3323" s="37"/>
      <c r="G3323" s="79"/>
    </row>
    <row r="3324" spans="1:7">
      <c r="A3324" s="78"/>
      <c r="B3324" s="37"/>
      <c r="C3324" s="1"/>
      <c r="D3324" s="37"/>
      <c r="E3324" s="37"/>
      <c r="F3324" s="37"/>
      <c r="G3324" s="79"/>
    </row>
    <row r="3325" spans="1:7">
      <c r="A3325" s="78"/>
      <c r="B3325" s="37"/>
      <c r="C3325" s="1"/>
      <c r="D3325" s="37"/>
      <c r="E3325" s="37"/>
      <c r="F3325" s="37"/>
      <c r="G3325" s="79"/>
    </row>
    <row r="3326" spans="1:7">
      <c r="A3326" s="78"/>
      <c r="B3326" s="37"/>
      <c r="C3326" s="1"/>
      <c r="D3326" s="37"/>
      <c r="E3326" s="37"/>
      <c r="F3326" s="37"/>
      <c r="G3326" s="79"/>
    </row>
    <row r="3327" spans="1:7">
      <c r="A3327" s="78"/>
      <c r="B3327" s="37"/>
      <c r="C3327" s="1"/>
      <c r="D3327" s="37"/>
      <c r="E3327" s="37"/>
      <c r="F3327" s="37"/>
      <c r="G3327" s="79"/>
    </row>
    <row r="3328" spans="1:7">
      <c r="A3328" s="78"/>
      <c r="B3328" s="37"/>
      <c r="C3328" s="1"/>
      <c r="D3328" s="37"/>
      <c r="E3328" s="37"/>
      <c r="F3328" s="37"/>
      <c r="G3328" s="79"/>
    </row>
    <row r="3329" spans="1:7">
      <c r="A3329" s="78"/>
      <c r="B3329" s="37"/>
      <c r="C3329" s="1"/>
      <c r="D3329" s="37"/>
      <c r="E3329" s="37"/>
      <c r="F3329" s="37"/>
      <c r="G3329" s="79"/>
    </row>
    <row r="3330" spans="1:7">
      <c r="A3330" s="78"/>
      <c r="B3330" s="37"/>
      <c r="C3330" s="1"/>
      <c r="D3330" s="37"/>
      <c r="E3330" s="37"/>
      <c r="F3330" s="37"/>
      <c r="G3330" s="79"/>
    </row>
    <row r="3331" spans="1:7">
      <c r="A3331" s="78"/>
      <c r="B3331" s="37"/>
      <c r="C3331" s="1"/>
      <c r="D3331" s="37"/>
      <c r="E3331" s="37"/>
      <c r="F3331" s="37"/>
      <c r="G3331" s="79"/>
    </row>
    <row r="3332" spans="1:7">
      <c r="A3332" s="78"/>
      <c r="B3332" s="37"/>
      <c r="C3332" s="1"/>
      <c r="D3332" s="37"/>
      <c r="E3332" s="37"/>
      <c r="F3332" s="37"/>
      <c r="G3332" s="79"/>
    </row>
    <row r="3333" spans="1:7">
      <c r="A3333" s="78"/>
      <c r="B3333" s="37"/>
      <c r="C3333" s="1"/>
      <c r="D3333" s="37"/>
      <c r="E3333" s="37"/>
      <c r="F3333" s="37"/>
      <c r="G3333" s="79"/>
    </row>
    <row r="3334" spans="1:7">
      <c r="A3334" s="78"/>
      <c r="B3334" s="37"/>
      <c r="C3334" s="1"/>
      <c r="D3334" s="37"/>
      <c r="E3334" s="37"/>
      <c r="F3334" s="37"/>
      <c r="G3334" s="79"/>
    </row>
    <row r="3335" spans="1:7">
      <c r="A3335" s="78"/>
      <c r="B3335" s="37"/>
      <c r="C3335" s="1"/>
      <c r="D3335" s="37"/>
      <c r="E3335" s="37"/>
      <c r="F3335" s="37"/>
      <c r="G3335" s="79"/>
    </row>
    <row r="3336" spans="1:7">
      <c r="A3336" s="78"/>
      <c r="B3336" s="37"/>
      <c r="C3336" s="1"/>
      <c r="D3336" s="37"/>
      <c r="E3336" s="37"/>
      <c r="F3336" s="37"/>
      <c r="G3336" s="79"/>
    </row>
    <row r="3337" spans="1:7">
      <c r="A3337" s="78"/>
      <c r="B3337" s="37"/>
      <c r="C3337" s="1"/>
      <c r="D3337" s="37"/>
      <c r="E3337" s="37"/>
      <c r="F3337" s="37"/>
      <c r="G3337" s="79"/>
    </row>
    <row r="3338" spans="1:7">
      <c r="A3338" s="78"/>
      <c r="B3338" s="37"/>
      <c r="C3338" s="1"/>
      <c r="D3338" s="37"/>
      <c r="E3338" s="37"/>
      <c r="F3338" s="37"/>
      <c r="G3338" s="79"/>
    </row>
    <row r="3339" spans="1:7">
      <c r="A3339" s="78"/>
      <c r="B3339" s="37"/>
      <c r="C3339" s="1"/>
      <c r="D3339" s="37"/>
      <c r="E3339" s="37"/>
      <c r="F3339" s="37"/>
      <c r="G3339" s="79"/>
    </row>
    <row r="3340" spans="1:7">
      <c r="A3340" s="78"/>
      <c r="B3340" s="37"/>
      <c r="C3340" s="1"/>
      <c r="D3340" s="37"/>
      <c r="E3340" s="37"/>
      <c r="F3340" s="37"/>
      <c r="G3340" s="79"/>
    </row>
    <row r="3341" spans="1:7">
      <c r="A3341" s="78"/>
      <c r="B3341" s="37"/>
      <c r="C3341" s="1"/>
      <c r="D3341" s="37"/>
      <c r="E3341" s="37"/>
      <c r="F3341" s="37"/>
      <c r="G3341" s="79"/>
    </row>
    <row r="3342" spans="1:7">
      <c r="A3342" s="78"/>
      <c r="B3342" s="37"/>
      <c r="C3342" s="1"/>
      <c r="D3342" s="37"/>
      <c r="E3342" s="37"/>
      <c r="F3342" s="37"/>
      <c r="G3342" s="79"/>
    </row>
    <row r="3343" spans="1:7">
      <c r="A3343" s="78"/>
      <c r="B3343" s="37"/>
      <c r="C3343" s="1"/>
      <c r="D3343" s="37"/>
      <c r="E3343" s="37"/>
      <c r="F3343" s="37"/>
      <c r="G3343" s="79"/>
    </row>
    <row r="3344" spans="1:7">
      <c r="A3344" s="78"/>
      <c r="B3344" s="37"/>
      <c r="C3344" s="1"/>
      <c r="D3344" s="37"/>
      <c r="E3344" s="37"/>
      <c r="F3344" s="37"/>
      <c r="G3344" s="79"/>
    </row>
    <row r="3345" spans="1:7">
      <c r="A3345" s="78"/>
      <c r="B3345" s="37"/>
      <c r="C3345" s="1"/>
      <c r="D3345" s="37"/>
      <c r="E3345" s="37"/>
      <c r="F3345" s="37"/>
      <c r="G3345" s="79"/>
    </row>
    <row r="3346" spans="1:7">
      <c r="A3346" s="78"/>
      <c r="B3346" s="37"/>
      <c r="C3346" s="1"/>
      <c r="D3346" s="37"/>
      <c r="E3346" s="37"/>
      <c r="F3346" s="37"/>
      <c r="G3346" s="79"/>
    </row>
    <row r="3347" spans="1:7">
      <c r="A3347" s="78"/>
      <c r="B3347" s="37"/>
      <c r="C3347" s="1"/>
      <c r="D3347" s="37"/>
      <c r="E3347" s="37"/>
      <c r="F3347" s="37"/>
      <c r="G3347" s="79"/>
    </row>
    <row r="3348" spans="1:7">
      <c r="A3348" s="78"/>
      <c r="B3348" s="37"/>
      <c r="C3348" s="1"/>
      <c r="D3348" s="37"/>
      <c r="E3348" s="37"/>
      <c r="F3348" s="37"/>
      <c r="G3348" s="79"/>
    </row>
    <row r="3349" spans="1:7">
      <c r="A3349" s="78"/>
      <c r="B3349" s="37"/>
      <c r="C3349" s="1"/>
      <c r="D3349" s="37"/>
      <c r="E3349" s="37"/>
      <c r="F3349" s="37"/>
      <c r="G3349" s="79"/>
    </row>
    <row r="3350" spans="1:7">
      <c r="A3350" s="78"/>
      <c r="B3350" s="37"/>
      <c r="C3350" s="1"/>
      <c r="D3350" s="37"/>
      <c r="E3350" s="37"/>
      <c r="F3350" s="37"/>
      <c r="G3350" s="79"/>
    </row>
    <row r="3351" spans="1:7">
      <c r="A3351" s="78"/>
      <c r="B3351" s="37"/>
      <c r="C3351" s="1"/>
      <c r="D3351" s="37"/>
      <c r="E3351" s="37"/>
      <c r="F3351" s="37"/>
      <c r="G3351" s="79"/>
    </row>
    <row r="3352" spans="1:7">
      <c r="A3352" s="78"/>
      <c r="B3352" s="37"/>
      <c r="C3352" s="1"/>
      <c r="D3352" s="37"/>
      <c r="E3352" s="37"/>
      <c r="F3352" s="37"/>
      <c r="G3352" s="79"/>
    </row>
    <row r="3353" spans="1:7">
      <c r="A3353" s="78"/>
      <c r="B3353" s="37"/>
      <c r="C3353" s="1"/>
      <c r="D3353" s="37"/>
      <c r="E3353" s="37"/>
      <c r="F3353" s="37"/>
      <c r="G3353" s="79"/>
    </row>
    <row r="3354" spans="1:7">
      <c r="A3354" s="78"/>
      <c r="B3354" s="37"/>
      <c r="C3354" s="1"/>
      <c r="D3354" s="37"/>
      <c r="E3354" s="37"/>
      <c r="F3354" s="37"/>
      <c r="G3354" s="79"/>
    </row>
    <row r="3355" spans="1:7">
      <c r="A3355" s="78"/>
      <c r="B3355" s="37"/>
      <c r="C3355" s="1"/>
      <c r="D3355" s="37"/>
      <c r="E3355" s="37"/>
      <c r="F3355" s="37"/>
      <c r="G3355" s="79"/>
    </row>
    <row r="3356" spans="1:7">
      <c r="A3356" s="78"/>
      <c r="B3356" s="37"/>
      <c r="C3356" s="1"/>
      <c r="D3356" s="37"/>
      <c r="E3356" s="37"/>
      <c r="F3356" s="37"/>
      <c r="G3356" s="79"/>
    </row>
    <row r="3357" spans="1:7">
      <c r="A3357" s="78"/>
      <c r="B3357" s="37"/>
      <c r="C3357" s="1"/>
      <c r="D3357" s="37"/>
      <c r="E3357" s="37"/>
      <c r="F3357" s="37"/>
      <c r="G3357" s="79"/>
    </row>
    <row r="3358" spans="1:7">
      <c r="A3358" s="78"/>
      <c r="B3358" s="37"/>
      <c r="C3358" s="1"/>
      <c r="D3358" s="37"/>
      <c r="E3358" s="37"/>
      <c r="F3358" s="37"/>
      <c r="G3358" s="79"/>
    </row>
    <row r="3359" spans="1:7">
      <c r="A3359" s="78"/>
      <c r="B3359" s="37"/>
      <c r="C3359" s="1"/>
      <c r="D3359" s="37"/>
      <c r="E3359" s="37"/>
      <c r="F3359" s="37"/>
      <c r="G3359" s="79"/>
    </row>
    <row r="3360" spans="1:7">
      <c r="A3360" s="78"/>
      <c r="B3360" s="37"/>
      <c r="C3360" s="1"/>
      <c r="D3360" s="37"/>
      <c r="E3360" s="37"/>
      <c r="F3360" s="37"/>
      <c r="G3360" s="79"/>
    </row>
    <row r="3361" spans="1:7">
      <c r="A3361" s="78"/>
      <c r="B3361" s="37"/>
      <c r="C3361" s="1"/>
      <c r="D3361" s="37"/>
      <c r="E3361" s="37"/>
      <c r="F3361" s="37"/>
      <c r="G3361" s="79"/>
    </row>
    <row r="3362" spans="1:7">
      <c r="A3362" s="78"/>
      <c r="B3362" s="37"/>
      <c r="C3362" s="1"/>
      <c r="D3362" s="37"/>
      <c r="E3362" s="37"/>
      <c r="F3362" s="37"/>
      <c r="G3362" s="79"/>
    </row>
    <row r="3363" spans="1:7">
      <c r="A3363" s="78"/>
      <c r="B3363" s="37"/>
      <c r="C3363" s="1"/>
      <c r="D3363" s="37"/>
      <c r="E3363" s="37"/>
      <c r="F3363" s="37"/>
      <c r="G3363" s="79"/>
    </row>
    <row r="3364" spans="1:7">
      <c r="A3364" s="78"/>
      <c r="B3364" s="37"/>
      <c r="C3364" s="1"/>
      <c r="D3364" s="37"/>
      <c r="E3364" s="37"/>
      <c r="F3364" s="37"/>
      <c r="G3364" s="79"/>
    </row>
    <row r="3365" spans="1:7">
      <c r="A3365" s="78"/>
      <c r="B3365" s="37"/>
      <c r="C3365" s="1"/>
      <c r="D3365" s="37"/>
      <c r="E3365" s="37"/>
      <c r="F3365" s="37"/>
      <c r="G3365" s="79"/>
    </row>
    <row r="3366" spans="1:7">
      <c r="A3366" s="78"/>
      <c r="B3366" s="37"/>
      <c r="C3366" s="1"/>
      <c r="D3366" s="37"/>
      <c r="E3366" s="37"/>
      <c r="F3366" s="37"/>
      <c r="G3366" s="79"/>
    </row>
    <row r="3367" spans="1:7">
      <c r="A3367" s="78"/>
      <c r="B3367" s="37"/>
      <c r="C3367" s="1"/>
      <c r="D3367" s="37"/>
      <c r="E3367" s="37"/>
      <c r="F3367" s="37"/>
      <c r="G3367" s="79"/>
    </row>
    <row r="3368" spans="1:7">
      <c r="A3368" s="78"/>
      <c r="B3368" s="37"/>
      <c r="C3368" s="1"/>
      <c r="D3368" s="37"/>
      <c r="E3368" s="37"/>
      <c r="F3368" s="37"/>
      <c r="G3368" s="79"/>
    </row>
    <row r="3369" spans="1:7">
      <c r="A3369" s="78"/>
      <c r="B3369" s="37"/>
      <c r="C3369" s="1"/>
      <c r="D3369" s="37"/>
      <c r="E3369" s="37"/>
      <c r="F3369" s="37"/>
      <c r="G3369" s="79"/>
    </row>
    <row r="3370" spans="1:7">
      <c r="A3370" s="78"/>
      <c r="B3370" s="37"/>
      <c r="C3370" s="1"/>
      <c r="D3370" s="37"/>
      <c r="E3370" s="37"/>
      <c r="F3370" s="37"/>
      <c r="G3370" s="79"/>
    </row>
    <row r="3371" spans="1:7">
      <c r="A3371" s="78"/>
      <c r="B3371" s="37"/>
      <c r="C3371" s="1"/>
      <c r="D3371" s="37"/>
      <c r="E3371" s="37"/>
      <c r="F3371" s="37"/>
      <c r="G3371" s="79"/>
    </row>
    <row r="3372" spans="1:7">
      <c r="A3372" s="78"/>
      <c r="B3372" s="37"/>
      <c r="C3372" s="1"/>
      <c r="D3372" s="37"/>
      <c r="E3372" s="37"/>
      <c r="F3372" s="37"/>
      <c r="G3372" s="79"/>
    </row>
    <row r="3373" spans="1:7">
      <c r="A3373" s="78"/>
      <c r="B3373" s="37"/>
      <c r="C3373" s="1"/>
      <c r="D3373" s="37"/>
      <c r="E3373" s="37"/>
      <c r="F3373" s="37"/>
      <c r="G3373" s="79"/>
    </row>
    <row r="3374" spans="1:7">
      <c r="A3374" s="78"/>
      <c r="B3374" s="37"/>
      <c r="C3374" s="1"/>
      <c r="D3374" s="37"/>
      <c r="E3374" s="37"/>
      <c r="F3374" s="37"/>
      <c r="G3374" s="79"/>
    </row>
    <row r="3375" spans="1:7">
      <c r="A3375" s="78"/>
      <c r="B3375" s="37"/>
      <c r="C3375" s="1"/>
      <c r="D3375" s="37"/>
      <c r="E3375" s="37"/>
      <c r="F3375" s="37"/>
      <c r="G3375" s="79"/>
    </row>
    <row r="3376" spans="1:7">
      <c r="A3376" s="78"/>
      <c r="B3376" s="37"/>
      <c r="C3376" s="1"/>
      <c r="D3376" s="37"/>
      <c r="E3376" s="37"/>
      <c r="F3376" s="37"/>
      <c r="G3376" s="79"/>
    </row>
    <row r="3377" spans="1:7">
      <c r="A3377" s="78"/>
      <c r="B3377" s="37"/>
      <c r="C3377" s="1"/>
      <c r="D3377" s="37"/>
      <c r="E3377" s="37"/>
      <c r="F3377" s="37"/>
      <c r="G3377" s="79"/>
    </row>
    <row r="3378" spans="1:7">
      <c r="A3378" s="78"/>
      <c r="B3378" s="37"/>
      <c r="C3378" s="1"/>
      <c r="D3378" s="37"/>
      <c r="E3378" s="37"/>
      <c r="F3378" s="37"/>
      <c r="G3378" s="79"/>
    </row>
    <row r="3379" spans="1:7">
      <c r="A3379" s="78"/>
      <c r="B3379" s="37"/>
      <c r="C3379" s="1"/>
      <c r="D3379" s="37"/>
      <c r="E3379" s="37"/>
      <c r="F3379" s="37"/>
      <c r="G3379" s="79"/>
    </row>
    <row r="3380" spans="1:7">
      <c r="A3380" s="78"/>
      <c r="B3380" s="37"/>
      <c r="C3380" s="1"/>
      <c r="D3380" s="37"/>
      <c r="E3380" s="37"/>
      <c r="F3380" s="37"/>
      <c r="G3380" s="79"/>
    </row>
    <row r="3381" spans="1:7">
      <c r="A3381" s="78"/>
      <c r="B3381" s="37"/>
      <c r="C3381" s="1"/>
      <c r="D3381" s="37"/>
      <c r="E3381" s="37"/>
      <c r="F3381" s="37"/>
      <c r="G3381" s="79"/>
    </row>
    <row r="3382" spans="1:7">
      <c r="A3382" s="78"/>
      <c r="B3382" s="37"/>
      <c r="C3382" s="1"/>
      <c r="D3382" s="37"/>
      <c r="E3382" s="37"/>
      <c r="F3382" s="37"/>
      <c r="G3382" s="79"/>
    </row>
    <row r="3383" spans="1:7">
      <c r="A3383" s="78"/>
      <c r="B3383" s="37"/>
      <c r="C3383" s="1"/>
      <c r="D3383" s="37"/>
      <c r="E3383" s="37"/>
      <c r="F3383" s="37"/>
      <c r="G3383" s="79"/>
    </row>
    <row r="3384" spans="1:7">
      <c r="A3384" s="78"/>
      <c r="B3384" s="37"/>
      <c r="C3384" s="1"/>
      <c r="D3384" s="37"/>
      <c r="E3384" s="37"/>
      <c r="F3384" s="37"/>
      <c r="G3384" s="79"/>
    </row>
    <row r="3385" spans="1:7">
      <c r="A3385" s="78"/>
      <c r="B3385" s="37"/>
      <c r="C3385" s="1"/>
      <c r="D3385" s="37"/>
      <c r="E3385" s="37"/>
      <c r="F3385" s="37"/>
      <c r="G3385" s="79"/>
    </row>
    <row r="3386" spans="1:7">
      <c r="A3386" s="78"/>
      <c r="B3386" s="37"/>
      <c r="C3386" s="1"/>
      <c r="D3386" s="37"/>
      <c r="E3386" s="37"/>
      <c r="F3386" s="37"/>
      <c r="G3386" s="79"/>
    </row>
    <row r="3387" spans="1:7">
      <c r="A3387" s="78"/>
      <c r="B3387" s="37"/>
      <c r="C3387" s="1"/>
      <c r="D3387" s="37"/>
      <c r="E3387" s="37"/>
      <c r="F3387" s="37"/>
      <c r="G3387" s="79"/>
    </row>
    <row r="3388" spans="1:7">
      <c r="A3388" s="78"/>
      <c r="B3388" s="37"/>
      <c r="C3388" s="1"/>
      <c r="D3388" s="37"/>
      <c r="E3388" s="37"/>
      <c r="F3388" s="37"/>
      <c r="G3388" s="79"/>
    </row>
    <row r="3389" spans="1:7">
      <c r="A3389" s="78"/>
      <c r="B3389" s="37"/>
      <c r="C3389" s="1"/>
      <c r="D3389" s="37"/>
      <c r="E3389" s="37"/>
      <c r="F3389" s="37"/>
      <c r="G3389" s="79"/>
    </row>
    <row r="3390" spans="1:7">
      <c r="A3390" s="78"/>
      <c r="B3390" s="37"/>
      <c r="C3390" s="1"/>
      <c r="D3390" s="37"/>
      <c r="E3390" s="37"/>
      <c r="F3390" s="37"/>
      <c r="G3390" s="79"/>
    </row>
    <row r="3391" spans="1:7">
      <c r="A3391" s="78"/>
      <c r="B3391" s="37"/>
      <c r="C3391" s="1"/>
      <c r="D3391" s="37"/>
      <c r="E3391" s="37"/>
      <c r="F3391" s="37"/>
      <c r="G3391" s="79"/>
    </row>
    <row r="3392" spans="1:7">
      <c r="A3392" s="78"/>
      <c r="B3392" s="37"/>
      <c r="C3392" s="1"/>
      <c r="D3392" s="37"/>
      <c r="E3392" s="37"/>
      <c r="F3392" s="37"/>
      <c r="G3392" s="79"/>
    </row>
    <row r="3393" spans="1:7">
      <c r="A3393" s="78"/>
      <c r="B3393" s="37"/>
      <c r="C3393" s="1"/>
      <c r="D3393" s="37"/>
      <c r="E3393" s="37"/>
      <c r="F3393" s="37"/>
      <c r="G3393" s="79"/>
    </row>
    <row r="3394" spans="1:7">
      <c r="A3394" s="78"/>
      <c r="B3394" s="37"/>
      <c r="C3394" s="1"/>
      <c r="D3394" s="37"/>
      <c r="E3394" s="37"/>
      <c r="F3394" s="37"/>
      <c r="G3394" s="79"/>
    </row>
    <row r="3395" spans="1:7">
      <c r="A3395" s="78"/>
      <c r="B3395" s="37"/>
      <c r="C3395" s="1"/>
      <c r="D3395" s="37"/>
      <c r="E3395" s="37"/>
      <c r="F3395" s="37"/>
      <c r="G3395" s="79"/>
    </row>
    <row r="3396" spans="1:7">
      <c r="A3396" s="78"/>
      <c r="B3396" s="37"/>
      <c r="C3396" s="1"/>
      <c r="D3396" s="37"/>
      <c r="E3396" s="37"/>
      <c r="F3396" s="37"/>
      <c r="G3396" s="79"/>
    </row>
    <row r="3397" spans="1:7">
      <c r="A3397" s="78"/>
      <c r="B3397" s="37"/>
      <c r="C3397" s="1"/>
      <c r="D3397" s="37"/>
      <c r="E3397" s="37"/>
      <c r="F3397" s="37"/>
      <c r="G3397" s="79"/>
    </row>
    <row r="3398" spans="1:7">
      <c r="A3398" s="78"/>
      <c r="B3398" s="37"/>
      <c r="C3398" s="1"/>
      <c r="D3398" s="37"/>
      <c r="E3398" s="37"/>
      <c r="F3398" s="37"/>
      <c r="G3398" s="79"/>
    </row>
    <row r="3399" spans="1:7">
      <c r="A3399" s="78"/>
      <c r="B3399" s="37"/>
      <c r="C3399" s="1"/>
      <c r="D3399" s="37"/>
      <c r="E3399" s="37"/>
      <c r="F3399" s="37"/>
      <c r="G3399" s="79"/>
    </row>
    <row r="3400" spans="1:7">
      <c r="A3400" s="78"/>
      <c r="B3400" s="37"/>
      <c r="C3400" s="1"/>
      <c r="D3400" s="37"/>
      <c r="E3400" s="37"/>
      <c r="F3400" s="37"/>
      <c r="G3400" s="79"/>
    </row>
    <row r="3401" spans="1:7">
      <c r="A3401" s="78"/>
      <c r="B3401" s="37"/>
      <c r="C3401" s="1"/>
      <c r="D3401" s="37"/>
      <c r="E3401" s="37"/>
      <c r="F3401" s="37"/>
      <c r="G3401" s="79"/>
    </row>
    <row r="3402" spans="1:7">
      <c r="A3402" s="78"/>
      <c r="B3402" s="37"/>
      <c r="C3402" s="1"/>
      <c r="D3402" s="37"/>
      <c r="E3402" s="37"/>
      <c r="F3402" s="37"/>
      <c r="G3402" s="79"/>
    </row>
    <row r="3403" spans="1:7">
      <c r="A3403" s="78"/>
      <c r="B3403" s="37"/>
      <c r="C3403" s="1"/>
      <c r="D3403" s="37"/>
      <c r="E3403" s="37"/>
      <c r="F3403" s="37"/>
      <c r="G3403" s="79"/>
    </row>
    <row r="3404" spans="1:7">
      <c r="A3404" s="78"/>
      <c r="B3404" s="37"/>
      <c r="C3404" s="1"/>
      <c r="D3404" s="37"/>
      <c r="E3404" s="37"/>
      <c r="F3404" s="37"/>
      <c r="G3404" s="79"/>
    </row>
    <row r="3405" spans="1:7">
      <c r="A3405" s="78"/>
      <c r="B3405" s="37"/>
      <c r="C3405" s="1"/>
      <c r="D3405" s="37"/>
      <c r="E3405" s="37"/>
      <c r="F3405" s="37"/>
      <c r="G3405" s="79"/>
    </row>
    <row r="3406" spans="1:7">
      <c r="A3406" s="78"/>
      <c r="B3406" s="37"/>
      <c r="C3406" s="1"/>
      <c r="D3406" s="37"/>
      <c r="E3406" s="37"/>
      <c r="F3406" s="37"/>
      <c r="G3406" s="79"/>
    </row>
    <row r="3407" spans="1:7">
      <c r="A3407" s="78"/>
      <c r="B3407" s="37"/>
      <c r="C3407" s="1"/>
      <c r="D3407" s="37"/>
      <c r="E3407" s="37"/>
      <c r="F3407" s="37"/>
      <c r="G3407" s="79"/>
    </row>
    <row r="3408" spans="1:7">
      <c r="A3408" s="78"/>
      <c r="B3408" s="37"/>
      <c r="C3408" s="1"/>
      <c r="D3408" s="37"/>
      <c r="E3408" s="37"/>
      <c r="F3408" s="37"/>
      <c r="G3408" s="79"/>
    </row>
    <row r="3409" spans="1:7">
      <c r="A3409" s="78"/>
      <c r="B3409" s="37"/>
      <c r="C3409" s="1"/>
      <c r="D3409" s="37"/>
      <c r="E3409" s="37"/>
      <c r="F3409" s="37"/>
      <c r="G3409" s="79"/>
    </row>
    <row r="3410" spans="1:7">
      <c r="A3410" s="78"/>
      <c r="B3410" s="37"/>
      <c r="C3410" s="1"/>
      <c r="D3410" s="37"/>
      <c r="E3410" s="37"/>
      <c r="F3410" s="37"/>
      <c r="G3410" s="79"/>
    </row>
    <row r="3411" spans="1:7">
      <c r="A3411" s="78"/>
      <c r="B3411" s="37"/>
      <c r="C3411" s="1"/>
      <c r="D3411" s="37"/>
      <c r="E3411" s="37"/>
      <c r="F3411" s="37"/>
      <c r="G3411" s="79"/>
    </row>
    <row r="3412" spans="1:7">
      <c r="A3412" s="78"/>
      <c r="B3412" s="37"/>
      <c r="C3412" s="1"/>
      <c r="D3412" s="37"/>
      <c r="E3412" s="37"/>
      <c r="F3412" s="37"/>
      <c r="G3412" s="79"/>
    </row>
    <row r="3413" spans="1:7">
      <c r="A3413" s="78"/>
      <c r="B3413" s="37"/>
      <c r="C3413" s="1"/>
      <c r="D3413" s="37"/>
      <c r="E3413" s="37"/>
      <c r="F3413" s="37"/>
      <c r="G3413" s="79"/>
    </row>
    <row r="3414" spans="1:7">
      <c r="A3414" s="78"/>
      <c r="B3414" s="37"/>
      <c r="C3414" s="1"/>
      <c r="D3414" s="37"/>
      <c r="E3414" s="37"/>
      <c r="F3414" s="37"/>
      <c r="G3414" s="79"/>
    </row>
    <row r="3415" spans="1:7">
      <c r="A3415" s="78"/>
      <c r="B3415" s="37"/>
      <c r="C3415" s="1"/>
      <c r="D3415" s="37"/>
      <c r="E3415" s="37"/>
      <c r="F3415" s="37"/>
      <c r="G3415" s="79"/>
    </row>
    <row r="3416" spans="1:7">
      <c r="A3416" s="78"/>
      <c r="B3416" s="37"/>
      <c r="C3416" s="1"/>
      <c r="D3416" s="37"/>
      <c r="E3416" s="37"/>
      <c r="F3416" s="37"/>
      <c r="G3416" s="79"/>
    </row>
    <row r="3417" spans="1:7">
      <c r="A3417" s="78"/>
      <c r="B3417" s="37"/>
      <c r="C3417" s="1"/>
      <c r="D3417" s="37"/>
      <c r="E3417" s="37"/>
      <c r="F3417" s="37"/>
      <c r="G3417" s="79"/>
    </row>
    <row r="3418" spans="1:7">
      <c r="A3418" s="78"/>
      <c r="B3418" s="37"/>
      <c r="C3418" s="1"/>
      <c r="D3418" s="37"/>
      <c r="E3418" s="37"/>
      <c r="F3418" s="37"/>
      <c r="G3418" s="79"/>
    </row>
    <row r="3419" spans="1:7">
      <c r="A3419" s="78"/>
      <c r="B3419" s="37"/>
      <c r="C3419" s="1"/>
      <c r="D3419" s="37"/>
      <c r="E3419" s="37"/>
      <c r="F3419" s="37"/>
      <c r="G3419" s="79"/>
    </row>
    <row r="3420" spans="1:7">
      <c r="A3420" s="78"/>
      <c r="B3420" s="37"/>
      <c r="C3420" s="1"/>
      <c r="D3420" s="37"/>
      <c r="E3420" s="37"/>
      <c r="F3420" s="37"/>
      <c r="G3420" s="79"/>
    </row>
    <row r="3421" spans="1:7">
      <c r="A3421" s="78"/>
      <c r="B3421" s="37"/>
      <c r="C3421" s="1"/>
      <c r="D3421" s="37"/>
      <c r="E3421" s="37"/>
      <c r="F3421" s="37"/>
      <c r="G3421" s="79"/>
    </row>
    <row r="3422" spans="1:7">
      <c r="A3422" s="78"/>
      <c r="B3422" s="37"/>
      <c r="C3422" s="1"/>
      <c r="D3422" s="37"/>
      <c r="E3422" s="37"/>
      <c r="F3422" s="37"/>
      <c r="G3422" s="79"/>
    </row>
    <row r="3423" spans="1:7">
      <c r="A3423" s="78"/>
      <c r="B3423" s="37"/>
      <c r="C3423" s="1"/>
      <c r="D3423" s="37"/>
      <c r="E3423" s="37"/>
      <c r="F3423" s="37"/>
      <c r="G3423" s="79"/>
    </row>
    <row r="3424" spans="1:7">
      <c r="A3424" s="78"/>
      <c r="B3424" s="37"/>
      <c r="C3424" s="1"/>
      <c r="D3424" s="37"/>
      <c r="E3424" s="37"/>
      <c r="F3424" s="37"/>
      <c r="G3424" s="79"/>
    </row>
    <row r="3425" spans="1:7">
      <c r="A3425" s="78"/>
      <c r="B3425" s="37"/>
      <c r="C3425" s="1"/>
      <c r="D3425" s="37"/>
      <c r="E3425" s="37"/>
      <c r="F3425" s="37"/>
      <c r="G3425" s="79"/>
    </row>
    <row r="3426" spans="1:7">
      <c r="A3426" s="78"/>
      <c r="B3426" s="37"/>
      <c r="C3426" s="1"/>
      <c r="D3426" s="37"/>
      <c r="E3426" s="37"/>
      <c r="F3426" s="37"/>
      <c r="G3426" s="79"/>
    </row>
    <row r="3427" spans="1:7">
      <c r="A3427" s="78"/>
      <c r="B3427" s="37"/>
      <c r="C3427" s="1"/>
      <c r="D3427" s="37"/>
      <c r="E3427" s="37"/>
      <c r="F3427" s="37"/>
      <c r="G3427" s="79"/>
    </row>
    <row r="3428" spans="1:7">
      <c r="A3428" s="78"/>
      <c r="B3428" s="37"/>
      <c r="C3428" s="1"/>
      <c r="D3428" s="37"/>
      <c r="E3428" s="37"/>
      <c r="F3428" s="37"/>
      <c r="G3428" s="79"/>
    </row>
    <row r="3429" spans="1:7">
      <c r="A3429" s="78"/>
      <c r="B3429" s="37"/>
      <c r="C3429" s="1"/>
      <c r="D3429" s="37"/>
      <c r="E3429" s="37"/>
      <c r="F3429" s="37"/>
      <c r="G3429" s="79"/>
    </row>
    <row r="3430" spans="1:7">
      <c r="A3430" s="78"/>
      <c r="B3430" s="37"/>
      <c r="C3430" s="1"/>
      <c r="D3430" s="37"/>
      <c r="E3430" s="37"/>
      <c r="F3430" s="37"/>
      <c r="G3430" s="79"/>
    </row>
    <row r="3431" spans="1:7">
      <c r="A3431" s="78"/>
      <c r="B3431" s="37"/>
      <c r="C3431" s="1"/>
      <c r="D3431" s="37"/>
      <c r="E3431" s="37"/>
      <c r="F3431" s="37"/>
      <c r="G3431" s="79"/>
    </row>
    <row r="3432" spans="1:7">
      <c r="A3432" s="78"/>
      <c r="B3432" s="37"/>
      <c r="C3432" s="1"/>
      <c r="D3432" s="37"/>
      <c r="E3432" s="37"/>
      <c r="F3432" s="37"/>
      <c r="G3432" s="79"/>
    </row>
    <row r="3433" spans="1:7">
      <c r="A3433" s="78"/>
      <c r="B3433" s="37"/>
      <c r="C3433" s="1"/>
      <c r="D3433" s="37"/>
      <c r="E3433" s="37"/>
      <c r="F3433" s="37"/>
      <c r="G3433" s="79"/>
    </row>
    <row r="3434" spans="1:7">
      <c r="A3434" s="78"/>
      <c r="B3434" s="37"/>
      <c r="C3434" s="1"/>
      <c r="D3434" s="37"/>
      <c r="E3434" s="37"/>
      <c r="F3434" s="37"/>
      <c r="G3434" s="79"/>
    </row>
    <row r="3435" spans="1:7">
      <c r="A3435" s="78"/>
      <c r="B3435" s="37"/>
      <c r="C3435" s="1"/>
      <c r="D3435" s="37"/>
      <c r="E3435" s="37"/>
      <c r="F3435" s="37"/>
      <c r="G3435" s="79"/>
    </row>
    <row r="3436" spans="1:7">
      <c r="A3436" s="78"/>
      <c r="B3436" s="37"/>
      <c r="C3436" s="1"/>
      <c r="D3436" s="37"/>
      <c r="E3436" s="37"/>
      <c r="F3436" s="37"/>
      <c r="G3436" s="79"/>
    </row>
    <row r="3437" spans="1:7">
      <c r="A3437" s="78"/>
      <c r="B3437" s="37"/>
      <c r="C3437" s="1"/>
      <c r="D3437" s="37"/>
      <c r="E3437" s="37"/>
      <c r="F3437" s="37"/>
      <c r="G3437" s="79"/>
    </row>
    <row r="3438" spans="1:7">
      <c r="A3438" s="78"/>
      <c r="B3438" s="37"/>
      <c r="C3438" s="1"/>
      <c r="D3438" s="37"/>
      <c r="E3438" s="37"/>
      <c r="F3438" s="37"/>
      <c r="G3438" s="79"/>
    </row>
    <row r="3439" spans="1:7">
      <c r="A3439" s="78"/>
      <c r="B3439" s="37"/>
      <c r="C3439" s="1"/>
      <c r="D3439" s="37"/>
      <c r="E3439" s="37"/>
      <c r="F3439" s="37"/>
      <c r="G3439" s="79"/>
    </row>
    <row r="3440" spans="1:7">
      <c r="A3440" s="78"/>
      <c r="B3440" s="37"/>
      <c r="C3440" s="1"/>
      <c r="D3440" s="37"/>
      <c r="E3440" s="37"/>
      <c r="F3440" s="37"/>
      <c r="G3440" s="79"/>
    </row>
    <row r="3441" spans="1:7">
      <c r="A3441" s="78"/>
      <c r="B3441" s="37"/>
      <c r="C3441" s="1"/>
      <c r="D3441" s="37"/>
      <c r="E3441" s="37"/>
      <c r="F3441" s="37"/>
      <c r="G3441" s="79"/>
    </row>
    <row r="3442" spans="1:7">
      <c r="A3442" s="78"/>
      <c r="B3442" s="37"/>
      <c r="C3442" s="1"/>
      <c r="D3442" s="37"/>
      <c r="E3442" s="37"/>
      <c r="F3442" s="37"/>
      <c r="G3442" s="79"/>
    </row>
    <row r="3443" spans="1:7">
      <c r="A3443" s="78"/>
      <c r="B3443" s="37"/>
      <c r="C3443" s="1"/>
      <c r="D3443" s="37"/>
      <c r="E3443" s="37"/>
      <c r="F3443" s="37"/>
      <c r="G3443" s="79"/>
    </row>
    <row r="3444" spans="1:7">
      <c r="A3444" s="78"/>
      <c r="B3444" s="37"/>
      <c r="C3444" s="1"/>
      <c r="D3444" s="37"/>
      <c r="E3444" s="37"/>
      <c r="F3444" s="37"/>
      <c r="G3444" s="79"/>
    </row>
    <row r="3445" spans="1:7">
      <c r="A3445" s="78"/>
      <c r="B3445" s="37"/>
      <c r="C3445" s="1"/>
      <c r="D3445" s="37"/>
      <c r="E3445" s="37"/>
      <c r="F3445" s="37"/>
      <c r="G3445" s="79"/>
    </row>
    <row r="3446" spans="1:7">
      <c r="A3446" s="78"/>
      <c r="B3446" s="37"/>
      <c r="C3446" s="1"/>
      <c r="D3446" s="37"/>
      <c r="E3446" s="37"/>
      <c r="F3446" s="37"/>
      <c r="G3446" s="79"/>
    </row>
    <row r="3447" spans="1:7">
      <c r="A3447" s="78"/>
      <c r="B3447" s="37"/>
      <c r="C3447" s="1"/>
      <c r="D3447" s="37"/>
      <c r="E3447" s="37"/>
      <c r="F3447" s="37"/>
      <c r="G3447" s="79"/>
    </row>
    <row r="3448" spans="1:7">
      <c r="A3448" s="78"/>
      <c r="B3448" s="37"/>
      <c r="C3448" s="1"/>
      <c r="D3448" s="37"/>
      <c r="E3448" s="37"/>
      <c r="F3448" s="37"/>
      <c r="G3448" s="79"/>
    </row>
    <row r="3449" spans="1:7">
      <c r="A3449" s="78"/>
      <c r="B3449" s="37"/>
      <c r="C3449" s="1"/>
      <c r="D3449" s="37"/>
      <c r="E3449" s="37"/>
      <c r="F3449" s="37"/>
      <c r="G3449" s="79"/>
    </row>
    <row r="3450" spans="1:7">
      <c r="A3450" s="78"/>
      <c r="B3450" s="37"/>
      <c r="C3450" s="1"/>
      <c r="D3450" s="37"/>
      <c r="E3450" s="37"/>
      <c r="F3450" s="37"/>
      <c r="G3450" s="79"/>
    </row>
    <row r="3451" spans="1:7">
      <c r="A3451" s="78"/>
      <c r="B3451" s="37"/>
      <c r="C3451" s="1"/>
      <c r="D3451" s="37"/>
      <c r="E3451" s="37"/>
      <c r="F3451" s="37"/>
      <c r="G3451" s="79"/>
    </row>
    <row r="3452" spans="1:7">
      <c r="A3452" s="78"/>
      <c r="B3452" s="37"/>
      <c r="C3452" s="1"/>
      <c r="D3452" s="37"/>
      <c r="E3452" s="37"/>
      <c r="F3452" s="37"/>
      <c r="G3452" s="79"/>
    </row>
    <row r="3453" spans="1:7">
      <c r="A3453" s="78"/>
      <c r="B3453" s="37"/>
      <c r="C3453" s="1"/>
      <c r="D3453" s="37"/>
      <c r="E3453" s="37"/>
      <c r="F3453" s="37"/>
      <c r="G3453" s="79"/>
    </row>
    <row r="3454" spans="1:7">
      <c r="A3454" s="78"/>
      <c r="B3454" s="37"/>
      <c r="C3454" s="1"/>
      <c r="D3454" s="37"/>
      <c r="E3454" s="37"/>
      <c r="F3454" s="37"/>
      <c r="G3454" s="79"/>
    </row>
    <row r="3455" spans="1:7">
      <c r="A3455" s="78"/>
      <c r="B3455" s="37"/>
      <c r="C3455" s="1"/>
      <c r="D3455" s="37"/>
      <c r="E3455" s="37"/>
      <c r="F3455" s="37"/>
      <c r="G3455" s="79"/>
    </row>
    <row r="3456" spans="1:7">
      <c r="A3456" s="78"/>
      <c r="B3456" s="37"/>
      <c r="C3456" s="1"/>
      <c r="D3456" s="37"/>
      <c r="E3456" s="37"/>
      <c r="F3456" s="37"/>
      <c r="G3456" s="79"/>
    </row>
    <row r="3457" spans="1:7">
      <c r="A3457" s="78"/>
      <c r="B3457" s="37"/>
      <c r="C3457" s="1"/>
      <c r="D3457" s="37"/>
      <c r="E3457" s="37"/>
      <c r="F3457" s="37"/>
      <c r="G3457" s="79"/>
    </row>
    <row r="3458" spans="1:7">
      <c r="A3458" s="78"/>
      <c r="B3458" s="37"/>
      <c r="C3458" s="1"/>
      <c r="D3458" s="37"/>
      <c r="E3458" s="37"/>
      <c r="F3458" s="37"/>
      <c r="G3458" s="79"/>
    </row>
    <row r="3459" spans="1:7">
      <c r="A3459" s="78"/>
      <c r="B3459" s="37"/>
      <c r="C3459" s="1"/>
      <c r="D3459" s="37"/>
      <c r="E3459" s="37"/>
      <c r="F3459" s="37"/>
      <c r="G3459" s="79"/>
    </row>
    <row r="3460" spans="1:7">
      <c r="A3460" s="78"/>
      <c r="B3460" s="37"/>
      <c r="C3460" s="1"/>
      <c r="D3460" s="37"/>
      <c r="E3460" s="37"/>
      <c r="F3460" s="37"/>
      <c r="G3460" s="79"/>
    </row>
    <row r="3461" spans="1:7">
      <c r="A3461" s="78"/>
      <c r="B3461" s="37"/>
      <c r="C3461" s="1"/>
      <c r="D3461" s="37"/>
      <c r="E3461" s="37"/>
      <c r="F3461" s="37"/>
      <c r="G3461" s="79"/>
    </row>
    <row r="3462" spans="1:7">
      <c r="A3462" s="78"/>
      <c r="B3462" s="37"/>
      <c r="C3462" s="1"/>
      <c r="D3462" s="37"/>
      <c r="E3462" s="37"/>
      <c r="F3462" s="37"/>
      <c r="G3462" s="79"/>
    </row>
    <row r="3463" spans="1:7">
      <c r="A3463" s="78"/>
      <c r="B3463" s="37"/>
      <c r="C3463" s="1"/>
      <c r="D3463" s="37"/>
      <c r="E3463" s="37"/>
      <c r="F3463" s="37"/>
      <c r="G3463" s="79"/>
    </row>
    <row r="3464" spans="1:7">
      <c r="A3464" s="78"/>
      <c r="B3464" s="37"/>
      <c r="C3464" s="1"/>
      <c r="D3464" s="37"/>
      <c r="E3464" s="37"/>
      <c r="F3464" s="37"/>
      <c r="G3464" s="79"/>
    </row>
    <row r="3465" spans="1:7">
      <c r="A3465" s="78"/>
      <c r="B3465" s="37"/>
      <c r="C3465" s="1"/>
      <c r="D3465" s="37"/>
      <c r="E3465" s="37"/>
      <c r="F3465" s="37"/>
      <c r="G3465" s="79"/>
    </row>
    <row r="3466" spans="1:7">
      <c r="A3466" s="78"/>
      <c r="B3466" s="37"/>
      <c r="C3466" s="1"/>
      <c r="D3466" s="37"/>
      <c r="E3466" s="37"/>
      <c r="F3466" s="37"/>
      <c r="G3466" s="79"/>
    </row>
    <row r="3467" spans="1:7">
      <c r="A3467" s="78"/>
      <c r="B3467" s="37"/>
      <c r="C3467" s="1"/>
      <c r="D3467" s="37"/>
      <c r="E3467" s="37"/>
      <c r="F3467" s="37"/>
      <c r="G3467" s="79"/>
    </row>
    <row r="3468" spans="1:7">
      <c r="A3468" s="78"/>
      <c r="B3468" s="37"/>
      <c r="C3468" s="1"/>
      <c r="D3468" s="37"/>
      <c r="E3468" s="37"/>
      <c r="F3468" s="37"/>
      <c r="G3468" s="79"/>
    </row>
    <row r="3469" spans="1:7">
      <c r="A3469" s="78"/>
      <c r="B3469" s="37"/>
      <c r="C3469" s="1"/>
      <c r="D3469" s="37"/>
      <c r="E3469" s="37"/>
      <c r="F3469" s="37"/>
      <c r="G3469" s="79"/>
    </row>
    <row r="3470" spans="1:7">
      <c r="A3470" s="78"/>
      <c r="B3470" s="37"/>
      <c r="C3470" s="1"/>
      <c r="D3470" s="37"/>
      <c r="E3470" s="37"/>
      <c r="F3470" s="37"/>
      <c r="G3470" s="79"/>
    </row>
    <row r="3471" spans="1:7">
      <c r="A3471" s="78"/>
      <c r="B3471" s="37"/>
      <c r="C3471" s="1"/>
      <c r="D3471" s="37"/>
      <c r="E3471" s="37"/>
      <c r="F3471" s="37"/>
      <c r="G3471" s="79"/>
    </row>
    <row r="3472" spans="1:7">
      <c r="A3472" s="78"/>
      <c r="B3472" s="37"/>
      <c r="C3472" s="1"/>
      <c r="D3472" s="37"/>
      <c r="E3472" s="37"/>
      <c r="F3472" s="37"/>
      <c r="G3472" s="79"/>
    </row>
    <row r="3473" spans="1:7">
      <c r="A3473" s="78"/>
      <c r="B3473" s="37"/>
      <c r="C3473" s="1"/>
      <c r="D3473" s="37"/>
      <c r="E3473" s="37"/>
      <c r="F3473" s="37"/>
      <c r="G3473" s="79"/>
    </row>
    <row r="3474" spans="1:7">
      <c r="A3474" s="78"/>
      <c r="B3474" s="37"/>
      <c r="C3474" s="1"/>
      <c r="D3474" s="37"/>
      <c r="E3474" s="37"/>
      <c r="F3474" s="37"/>
      <c r="G3474" s="79"/>
    </row>
    <row r="3475" spans="1:7">
      <c r="A3475" s="78"/>
      <c r="B3475" s="37"/>
      <c r="C3475" s="1"/>
      <c r="D3475" s="37"/>
      <c r="E3475" s="37"/>
      <c r="F3475" s="37"/>
      <c r="G3475" s="79"/>
    </row>
    <row r="3476" spans="1:7">
      <c r="A3476" s="78"/>
      <c r="B3476" s="37"/>
      <c r="C3476" s="1"/>
      <c r="D3476" s="37"/>
      <c r="E3476" s="37"/>
      <c r="F3476" s="37"/>
      <c r="G3476" s="79"/>
    </row>
    <row r="3477" spans="1:7">
      <c r="A3477" s="78"/>
      <c r="B3477" s="37"/>
      <c r="C3477" s="1"/>
      <c r="D3477" s="37"/>
      <c r="E3477" s="37"/>
      <c r="F3477" s="37"/>
      <c r="G3477" s="79"/>
    </row>
    <row r="3478" spans="1:7">
      <c r="A3478" s="78"/>
      <c r="B3478" s="37"/>
      <c r="C3478" s="1"/>
      <c r="D3478" s="37"/>
      <c r="E3478" s="37"/>
      <c r="F3478" s="37"/>
      <c r="G3478" s="79"/>
    </row>
    <row r="3479" spans="1:7">
      <c r="A3479" s="78"/>
      <c r="B3479" s="37"/>
      <c r="C3479" s="1"/>
      <c r="D3479" s="37"/>
      <c r="E3479" s="37"/>
      <c r="F3479" s="37"/>
      <c r="G3479" s="79"/>
    </row>
    <row r="3480" spans="1:7">
      <c r="A3480" s="78"/>
      <c r="B3480" s="37"/>
      <c r="C3480" s="1"/>
      <c r="D3480" s="37"/>
      <c r="E3480" s="37"/>
      <c r="F3480" s="37"/>
      <c r="G3480" s="79"/>
    </row>
    <row r="3481" spans="1:7">
      <c r="A3481" s="78"/>
      <c r="B3481" s="37"/>
      <c r="C3481" s="1"/>
      <c r="D3481" s="37"/>
      <c r="E3481" s="37"/>
      <c r="F3481" s="37"/>
      <c r="G3481" s="79"/>
    </row>
    <row r="3482" spans="1:7">
      <c r="A3482" s="78"/>
      <c r="B3482" s="37"/>
      <c r="C3482" s="1"/>
      <c r="D3482" s="37"/>
      <c r="E3482" s="37"/>
      <c r="F3482" s="37"/>
      <c r="G3482" s="79"/>
    </row>
    <row r="3483" spans="1:7">
      <c r="A3483" s="78"/>
      <c r="B3483" s="37"/>
      <c r="C3483" s="1"/>
      <c r="D3483" s="37"/>
      <c r="E3483" s="37"/>
      <c r="F3483" s="37"/>
      <c r="G3483" s="79"/>
    </row>
    <row r="3484" spans="1:7">
      <c r="A3484" s="78"/>
      <c r="B3484" s="37"/>
      <c r="C3484" s="1"/>
      <c r="D3484" s="37"/>
      <c r="E3484" s="37"/>
      <c r="F3484" s="37"/>
      <c r="G3484" s="79"/>
    </row>
    <row r="3485" spans="1:7">
      <c r="A3485" s="78"/>
      <c r="B3485" s="37"/>
      <c r="C3485" s="1"/>
      <c r="D3485" s="37"/>
      <c r="E3485" s="37"/>
      <c r="F3485" s="37"/>
      <c r="G3485" s="79"/>
    </row>
    <row r="3486" spans="1:7">
      <c r="A3486" s="78"/>
      <c r="B3486" s="37"/>
      <c r="C3486" s="1"/>
      <c r="D3486" s="37"/>
      <c r="E3486" s="37"/>
      <c r="F3486" s="37"/>
      <c r="G3486" s="79"/>
    </row>
    <row r="3487" spans="1:7">
      <c r="A3487" s="78"/>
      <c r="B3487" s="37"/>
      <c r="C3487" s="1"/>
      <c r="D3487" s="37"/>
      <c r="E3487" s="37"/>
      <c r="F3487" s="37"/>
      <c r="G3487" s="79"/>
    </row>
    <row r="3488" spans="1:7">
      <c r="A3488" s="78"/>
      <c r="B3488" s="37"/>
      <c r="C3488" s="1"/>
      <c r="D3488" s="37"/>
      <c r="E3488" s="37"/>
      <c r="F3488" s="37"/>
      <c r="G3488" s="79"/>
    </row>
    <row r="3489" spans="1:7">
      <c r="A3489" s="78"/>
      <c r="B3489" s="37"/>
      <c r="C3489" s="1"/>
      <c r="D3489" s="37"/>
      <c r="E3489" s="37"/>
      <c r="F3489" s="37"/>
      <c r="G3489" s="79"/>
    </row>
    <row r="3490" spans="1:7">
      <c r="A3490" s="78"/>
      <c r="B3490" s="37"/>
      <c r="C3490" s="1"/>
      <c r="D3490" s="37"/>
      <c r="E3490" s="37"/>
      <c r="F3490" s="37"/>
      <c r="G3490" s="79"/>
    </row>
    <row r="3491" spans="1:7">
      <c r="A3491" s="78"/>
      <c r="B3491" s="37"/>
      <c r="C3491" s="1"/>
      <c r="D3491" s="37"/>
      <c r="E3491" s="37"/>
      <c r="F3491" s="37"/>
      <c r="G3491" s="79"/>
    </row>
    <row r="3492" spans="1:7">
      <c r="A3492" s="78"/>
      <c r="B3492" s="37"/>
      <c r="C3492" s="1"/>
      <c r="D3492" s="37"/>
      <c r="E3492" s="37"/>
      <c r="F3492" s="37"/>
      <c r="G3492" s="79"/>
    </row>
    <row r="3493" spans="1:7">
      <c r="A3493" s="78"/>
      <c r="B3493" s="37"/>
      <c r="C3493" s="1"/>
      <c r="D3493" s="37"/>
      <c r="E3493" s="37"/>
      <c r="F3493" s="37"/>
      <c r="G3493" s="79"/>
    </row>
    <row r="3494" spans="1:7">
      <c r="A3494" s="78"/>
      <c r="B3494" s="37"/>
      <c r="C3494" s="1"/>
      <c r="D3494" s="37"/>
      <c r="E3494" s="37"/>
      <c r="F3494" s="37"/>
      <c r="G3494" s="79"/>
    </row>
    <row r="3495" spans="1:7">
      <c r="A3495" s="78"/>
      <c r="B3495" s="37"/>
      <c r="C3495" s="1"/>
      <c r="D3495" s="37"/>
      <c r="E3495" s="37"/>
      <c r="F3495" s="37"/>
      <c r="G3495" s="79"/>
    </row>
    <row r="3496" spans="1:7">
      <c r="A3496" s="78"/>
      <c r="B3496" s="37"/>
      <c r="C3496" s="1"/>
      <c r="D3496" s="37"/>
      <c r="E3496" s="37"/>
      <c r="F3496" s="37"/>
      <c r="G3496" s="79"/>
    </row>
    <row r="3497" spans="1:7">
      <c r="A3497" s="78"/>
      <c r="B3497" s="37"/>
      <c r="C3497" s="1"/>
      <c r="D3497" s="37"/>
      <c r="E3497" s="37"/>
      <c r="F3497" s="37"/>
      <c r="G3497" s="79"/>
    </row>
    <row r="3498" spans="1:7">
      <c r="A3498" s="78"/>
      <c r="B3498" s="37"/>
      <c r="C3498" s="1"/>
      <c r="D3498" s="37"/>
      <c r="E3498" s="37"/>
      <c r="F3498" s="37"/>
      <c r="G3498" s="79"/>
    </row>
    <row r="3499" spans="1:7">
      <c r="A3499" s="78"/>
      <c r="B3499" s="37"/>
      <c r="C3499" s="1"/>
      <c r="D3499" s="37"/>
      <c r="E3499" s="37"/>
      <c r="F3499" s="37"/>
      <c r="G3499" s="79"/>
    </row>
    <row r="3500" spans="1:7">
      <c r="A3500" s="78"/>
      <c r="B3500" s="37"/>
      <c r="C3500" s="1"/>
      <c r="D3500" s="37"/>
      <c r="E3500" s="37"/>
      <c r="F3500" s="37"/>
      <c r="G3500" s="79"/>
    </row>
    <row r="3501" spans="1:7">
      <c r="A3501" s="78"/>
      <c r="B3501" s="37"/>
      <c r="C3501" s="1"/>
      <c r="D3501" s="37"/>
      <c r="E3501" s="37"/>
      <c r="F3501" s="37"/>
      <c r="G3501" s="79"/>
    </row>
    <row r="3502" spans="1:7">
      <c r="A3502" s="78"/>
      <c r="B3502" s="37"/>
      <c r="C3502" s="1"/>
      <c r="D3502" s="37"/>
      <c r="E3502" s="37"/>
      <c r="F3502" s="37"/>
      <c r="G3502" s="79"/>
    </row>
    <row r="3503" spans="1:7">
      <c r="A3503" s="78"/>
      <c r="B3503" s="37"/>
      <c r="C3503" s="1"/>
      <c r="D3503" s="37"/>
      <c r="E3503" s="37"/>
      <c r="F3503" s="37"/>
      <c r="G3503" s="79"/>
    </row>
    <row r="3504" spans="1:7">
      <c r="A3504" s="78"/>
      <c r="B3504" s="37"/>
      <c r="C3504" s="1"/>
      <c r="D3504" s="37"/>
      <c r="E3504" s="37"/>
      <c r="F3504" s="37"/>
      <c r="G3504" s="79"/>
    </row>
    <row r="3505" spans="1:7">
      <c r="A3505" s="78"/>
      <c r="B3505" s="37"/>
      <c r="C3505" s="1"/>
      <c r="D3505" s="37"/>
      <c r="E3505" s="37"/>
      <c r="F3505" s="37"/>
      <c r="G3505" s="79"/>
    </row>
    <row r="3506" spans="1:7">
      <c r="A3506" s="78"/>
      <c r="B3506" s="37"/>
      <c r="C3506" s="1"/>
      <c r="D3506" s="37"/>
      <c r="E3506" s="37"/>
      <c r="F3506" s="37"/>
      <c r="G3506" s="79"/>
    </row>
    <row r="3507" spans="1:7">
      <c r="A3507" s="78"/>
      <c r="B3507" s="37"/>
      <c r="C3507" s="1"/>
      <c r="D3507" s="37"/>
      <c r="E3507" s="37"/>
      <c r="F3507" s="37"/>
      <c r="G3507" s="79"/>
    </row>
    <row r="3508" spans="1:7">
      <c r="A3508" s="78"/>
      <c r="B3508" s="37"/>
      <c r="C3508" s="1"/>
      <c r="D3508" s="37"/>
      <c r="E3508" s="37"/>
      <c r="F3508" s="37"/>
      <c r="G3508" s="79"/>
    </row>
    <row r="3509" spans="1:7">
      <c r="A3509" s="78"/>
      <c r="B3509" s="37"/>
      <c r="C3509" s="1"/>
      <c r="D3509" s="37"/>
      <c r="E3509" s="37"/>
      <c r="F3509" s="37"/>
      <c r="G3509" s="79"/>
    </row>
    <row r="3510" spans="1:7">
      <c r="A3510" s="78"/>
      <c r="B3510" s="37"/>
      <c r="C3510" s="1"/>
      <c r="D3510" s="37"/>
      <c r="E3510" s="37"/>
      <c r="F3510" s="37"/>
      <c r="G3510" s="79"/>
    </row>
    <row r="3511" spans="1:7">
      <c r="A3511" s="78"/>
      <c r="B3511" s="37"/>
      <c r="C3511" s="1"/>
      <c r="D3511" s="37"/>
      <c r="E3511" s="37"/>
      <c r="F3511" s="37"/>
      <c r="G3511" s="79"/>
    </row>
    <row r="3512" spans="1:7">
      <c r="A3512" s="78"/>
      <c r="B3512" s="37"/>
      <c r="C3512" s="1"/>
      <c r="D3512" s="37"/>
      <c r="E3512" s="37"/>
      <c r="F3512" s="37"/>
      <c r="G3512" s="79"/>
    </row>
    <row r="3513" spans="1:7">
      <c r="A3513" s="78"/>
      <c r="B3513" s="37"/>
      <c r="C3513" s="1"/>
      <c r="D3513" s="37"/>
      <c r="E3513" s="37"/>
      <c r="F3513" s="37"/>
      <c r="G3513" s="79"/>
    </row>
    <row r="3514" spans="1:7">
      <c r="A3514" s="78"/>
      <c r="B3514" s="37"/>
      <c r="C3514" s="1"/>
      <c r="D3514" s="37"/>
      <c r="E3514" s="37"/>
      <c r="F3514" s="37"/>
      <c r="G3514" s="79"/>
    </row>
    <row r="3515" spans="1:7">
      <c r="A3515" s="78"/>
      <c r="B3515" s="37"/>
      <c r="C3515" s="1"/>
      <c r="D3515" s="37"/>
      <c r="E3515" s="37"/>
      <c r="F3515" s="37"/>
      <c r="G3515" s="79"/>
    </row>
    <row r="3516" spans="1:7">
      <c r="A3516" s="78"/>
      <c r="B3516" s="37"/>
      <c r="C3516" s="1"/>
      <c r="D3516" s="37"/>
      <c r="E3516" s="37"/>
      <c r="F3516" s="37"/>
      <c r="G3516" s="79"/>
    </row>
    <row r="3517" spans="1:7">
      <c r="A3517" s="78"/>
      <c r="B3517" s="37"/>
      <c r="C3517" s="1"/>
      <c r="D3517" s="37"/>
      <c r="E3517" s="37"/>
      <c r="F3517" s="37"/>
      <c r="G3517" s="79"/>
    </row>
    <row r="3518" spans="1:7">
      <c r="A3518" s="78"/>
      <c r="B3518" s="37"/>
      <c r="C3518" s="1"/>
      <c r="D3518" s="37"/>
      <c r="E3518" s="37"/>
      <c r="F3518" s="37"/>
      <c r="G3518" s="79"/>
    </row>
    <row r="3519" spans="1:7">
      <c r="A3519" s="78"/>
      <c r="B3519" s="37"/>
      <c r="C3519" s="1"/>
      <c r="D3519" s="37"/>
      <c r="E3519" s="37"/>
      <c r="F3519" s="37"/>
      <c r="G3519" s="79"/>
    </row>
    <row r="3520" spans="1:7">
      <c r="A3520" s="78"/>
      <c r="B3520" s="37"/>
      <c r="C3520" s="1"/>
      <c r="D3520" s="37"/>
      <c r="E3520" s="37"/>
      <c r="F3520" s="37"/>
      <c r="G3520" s="79"/>
    </row>
    <row r="3521" spans="1:7">
      <c r="A3521" s="78"/>
      <c r="B3521" s="37"/>
      <c r="C3521" s="1"/>
      <c r="D3521" s="37"/>
      <c r="E3521" s="37"/>
      <c r="F3521" s="37"/>
      <c r="G3521" s="79"/>
    </row>
    <row r="3522" spans="1:7">
      <c r="A3522" s="78"/>
      <c r="B3522" s="37"/>
      <c r="C3522" s="1"/>
      <c r="D3522" s="37"/>
      <c r="E3522" s="37"/>
      <c r="F3522" s="37"/>
      <c r="G3522" s="79"/>
    </row>
    <row r="3523" spans="1:7">
      <c r="A3523" s="78"/>
      <c r="B3523" s="37"/>
      <c r="C3523" s="1"/>
      <c r="D3523" s="37"/>
      <c r="E3523" s="37"/>
      <c r="F3523" s="37"/>
      <c r="G3523" s="79"/>
    </row>
    <row r="3524" spans="1:7">
      <c r="A3524" s="78"/>
      <c r="B3524" s="37"/>
      <c r="C3524" s="1"/>
      <c r="D3524" s="37"/>
      <c r="E3524" s="37"/>
      <c r="F3524" s="37"/>
      <c r="G3524" s="79"/>
    </row>
    <row r="3525" spans="1:7">
      <c r="A3525" s="78"/>
      <c r="B3525" s="37"/>
      <c r="C3525" s="1"/>
      <c r="D3525" s="37"/>
      <c r="E3525" s="37"/>
      <c r="F3525" s="37"/>
      <c r="G3525" s="79"/>
    </row>
    <row r="3526" spans="1:7">
      <c r="A3526" s="78"/>
      <c r="B3526" s="37"/>
      <c r="C3526" s="1"/>
      <c r="D3526" s="37"/>
      <c r="E3526" s="37"/>
      <c r="F3526" s="37"/>
      <c r="G3526" s="79"/>
    </row>
    <row r="3527" spans="1:7">
      <c r="A3527" s="78"/>
      <c r="B3527" s="37"/>
      <c r="C3527" s="1"/>
      <c r="D3527" s="37"/>
      <c r="E3527" s="37"/>
      <c r="F3527" s="37"/>
      <c r="G3527" s="79"/>
    </row>
    <row r="3528" spans="1:7">
      <c r="A3528" s="78"/>
      <c r="B3528" s="37"/>
      <c r="C3528" s="1"/>
      <c r="D3528" s="37"/>
      <c r="E3528" s="37"/>
      <c r="F3528" s="37"/>
      <c r="G3528" s="79"/>
    </row>
    <row r="3529" spans="1:7">
      <c r="A3529" s="78"/>
      <c r="B3529" s="37"/>
      <c r="C3529" s="1"/>
      <c r="D3529" s="37"/>
      <c r="E3529" s="37"/>
      <c r="F3529" s="37"/>
      <c r="G3529" s="79"/>
    </row>
    <row r="3530" spans="1:7">
      <c r="A3530" s="78"/>
      <c r="B3530" s="37"/>
      <c r="C3530" s="1"/>
      <c r="D3530" s="37"/>
      <c r="E3530" s="37"/>
      <c r="F3530" s="37"/>
      <c r="G3530" s="79"/>
    </row>
    <row r="3531" spans="1:7">
      <c r="A3531" s="78"/>
      <c r="B3531" s="37"/>
      <c r="C3531" s="1"/>
      <c r="D3531" s="37"/>
      <c r="E3531" s="37"/>
      <c r="F3531" s="37"/>
      <c r="G3531" s="79"/>
    </row>
    <row r="3532" spans="1:7">
      <c r="A3532" s="78"/>
      <c r="B3532" s="37"/>
      <c r="C3532" s="1"/>
      <c r="D3532" s="37"/>
      <c r="E3532" s="37"/>
      <c r="F3532" s="37"/>
      <c r="G3532" s="79"/>
    </row>
    <row r="3533" spans="1:7">
      <c r="A3533" s="78"/>
      <c r="B3533" s="37"/>
      <c r="C3533" s="1"/>
      <c r="D3533" s="37"/>
      <c r="E3533" s="37"/>
      <c r="F3533" s="37"/>
      <c r="G3533" s="79"/>
    </row>
    <row r="3534" spans="1:7">
      <c r="A3534" s="78"/>
      <c r="B3534" s="37"/>
      <c r="C3534" s="1"/>
      <c r="D3534" s="37"/>
      <c r="E3534" s="37"/>
      <c r="F3534" s="37"/>
      <c r="G3534" s="79"/>
    </row>
    <row r="3535" spans="1:7">
      <c r="A3535" s="78"/>
      <c r="B3535" s="37"/>
      <c r="C3535" s="1"/>
      <c r="D3535" s="37"/>
      <c r="E3535" s="37"/>
      <c r="F3535" s="37"/>
      <c r="G3535" s="79"/>
    </row>
    <row r="3536" spans="1:7">
      <c r="A3536" s="78"/>
      <c r="B3536" s="37"/>
      <c r="C3536" s="1"/>
      <c r="D3536" s="37"/>
      <c r="E3536" s="37"/>
      <c r="F3536" s="37"/>
      <c r="G3536" s="79"/>
    </row>
    <row r="3537" spans="1:7">
      <c r="A3537" s="78"/>
      <c r="B3537" s="37"/>
      <c r="C3537" s="1"/>
      <c r="D3537" s="37"/>
      <c r="E3537" s="37"/>
      <c r="F3537" s="37"/>
      <c r="G3537" s="79"/>
    </row>
    <row r="3538" spans="1:7">
      <c r="A3538" s="78"/>
      <c r="B3538" s="37"/>
      <c r="C3538" s="1"/>
      <c r="D3538" s="37"/>
      <c r="E3538" s="37"/>
      <c r="F3538" s="37"/>
      <c r="G3538" s="79"/>
    </row>
    <row r="3539" spans="1:7">
      <c r="A3539" s="78"/>
      <c r="B3539" s="37"/>
      <c r="C3539" s="1"/>
      <c r="D3539" s="37"/>
      <c r="E3539" s="37"/>
      <c r="F3539" s="37"/>
      <c r="G3539" s="79"/>
    </row>
    <row r="3540" spans="1:7">
      <c r="A3540" s="78"/>
      <c r="B3540" s="37"/>
      <c r="C3540" s="1"/>
      <c r="D3540" s="37"/>
      <c r="E3540" s="37"/>
      <c r="F3540" s="37"/>
      <c r="G3540" s="79"/>
    </row>
    <row r="3541" spans="1:7">
      <c r="A3541" s="78"/>
      <c r="B3541" s="37"/>
      <c r="C3541" s="1"/>
      <c r="D3541" s="37"/>
      <c r="E3541" s="37"/>
      <c r="F3541" s="37"/>
      <c r="G3541" s="79"/>
    </row>
    <row r="3542" spans="1:7">
      <c r="A3542" s="78"/>
      <c r="B3542" s="37"/>
      <c r="C3542" s="1"/>
      <c r="D3542" s="37"/>
      <c r="E3542" s="37"/>
      <c r="F3542" s="37"/>
      <c r="G3542" s="79"/>
    </row>
    <row r="3543" spans="1:7">
      <c r="A3543" s="78"/>
      <c r="B3543" s="37"/>
      <c r="C3543" s="1"/>
      <c r="D3543" s="37"/>
      <c r="E3543" s="37"/>
      <c r="F3543" s="37"/>
      <c r="G3543" s="79"/>
    </row>
    <row r="3544" spans="1:7">
      <c r="A3544" s="78"/>
      <c r="B3544" s="37"/>
      <c r="C3544" s="1"/>
      <c r="D3544" s="37"/>
      <c r="E3544" s="37"/>
      <c r="F3544" s="37"/>
      <c r="G3544" s="79"/>
    </row>
    <row r="3545" spans="1:7">
      <c r="A3545" s="78"/>
      <c r="B3545" s="37"/>
      <c r="C3545" s="1"/>
      <c r="D3545" s="37"/>
      <c r="E3545" s="37"/>
      <c r="F3545" s="37"/>
      <c r="G3545" s="79"/>
    </row>
    <row r="3546" spans="1:7">
      <c r="A3546" s="78"/>
      <c r="B3546" s="37"/>
      <c r="C3546" s="1"/>
      <c r="D3546" s="37"/>
      <c r="E3546" s="37"/>
      <c r="F3546" s="37"/>
      <c r="G3546" s="79"/>
    </row>
    <row r="3547" spans="1:7">
      <c r="A3547" s="78"/>
      <c r="B3547" s="37"/>
      <c r="C3547" s="1"/>
      <c r="D3547" s="37"/>
      <c r="E3547" s="37"/>
      <c r="F3547" s="37"/>
      <c r="G3547" s="79"/>
    </row>
    <row r="3548" spans="1:7">
      <c r="A3548" s="78"/>
      <c r="B3548" s="37"/>
      <c r="C3548" s="1"/>
      <c r="D3548" s="37"/>
      <c r="E3548" s="37"/>
      <c r="F3548" s="37"/>
      <c r="G3548" s="79"/>
    </row>
    <row r="3549" spans="1:7">
      <c r="A3549" s="78"/>
      <c r="B3549" s="37"/>
      <c r="C3549" s="1"/>
      <c r="D3549" s="37"/>
      <c r="E3549" s="37"/>
      <c r="F3549" s="37"/>
      <c r="G3549" s="79"/>
    </row>
    <row r="3550" spans="1:7">
      <c r="A3550" s="78"/>
      <c r="B3550" s="37"/>
      <c r="C3550" s="1"/>
      <c r="D3550" s="37"/>
      <c r="E3550" s="37"/>
      <c r="F3550" s="37"/>
      <c r="G3550" s="79"/>
    </row>
    <row r="3551" spans="1:7">
      <c r="A3551" s="78"/>
      <c r="B3551" s="37"/>
      <c r="C3551" s="1"/>
      <c r="D3551" s="37"/>
      <c r="E3551" s="37"/>
      <c r="F3551" s="37"/>
      <c r="G3551" s="79"/>
    </row>
    <row r="3552" spans="1:7">
      <c r="A3552" s="78"/>
      <c r="B3552" s="37"/>
      <c r="C3552" s="1"/>
      <c r="D3552" s="37"/>
      <c r="E3552" s="37"/>
      <c r="F3552" s="37"/>
      <c r="G3552" s="79"/>
    </row>
    <row r="3553" spans="1:7">
      <c r="A3553" s="78"/>
      <c r="B3553" s="37"/>
      <c r="C3553" s="1"/>
      <c r="D3553" s="37"/>
      <c r="E3553" s="37"/>
      <c r="F3553" s="37"/>
      <c r="G3553" s="79"/>
    </row>
    <row r="3554" spans="1:7">
      <c r="A3554" s="78"/>
      <c r="B3554" s="37"/>
      <c r="C3554" s="1"/>
      <c r="D3554" s="37"/>
      <c r="E3554" s="37"/>
      <c r="F3554" s="37"/>
      <c r="G3554" s="79"/>
    </row>
    <row r="3555" spans="1:7">
      <c r="A3555" s="78"/>
      <c r="B3555" s="37"/>
      <c r="C3555" s="1"/>
      <c r="D3555" s="37"/>
      <c r="E3555" s="37"/>
      <c r="F3555" s="37"/>
      <c r="G3555" s="79"/>
    </row>
    <row r="3556" spans="1:7">
      <c r="A3556" s="78"/>
      <c r="B3556" s="37"/>
      <c r="C3556" s="1"/>
      <c r="D3556" s="37"/>
      <c r="E3556" s="37"/>
      <c r="F3556" s="37"/>
      <c r="G3556" s="79"/>
    </row>
    <row r="3557" spans="1:7">
      <c r="A3557" s="78"/>
      <c r="B3557" s="37"/>
      <c r="C3557" s="1"/>
      <c r="D3557" s="37"/>
      <c r="E3557" s="37"/>
      <c r="F3557" s="37"/>
      <c r="G3557" s="79"/>
    </row>
    <row r="3558" spans="1:7">
      <c r="A3558" s="78"/>
      <c r="B3558" s="37"/>
      <c r="C3558" s="1"/>
      <c r="D3558" s="37"/>
      <c r="E3558" s="37"/>
      <c r="F3558" s="37"/>
      <c r="G3558" s="79"/>
    </row>
    <row r="3559" spans="1:7">
      <c r="A3559" s="78"/>
      <c r="B3559" s="37"/>
      <c r="C3559" s="1"/>
      <c r="D3559" s="37"/>
      <c r="E3559" s="37"/>
      <c r="F3559" s="37"/>
      <c r="G3559" s="79"/>
    </row>
    <row r="3560" spans="1:7">
      <c r="A3560" s="78"/>
      <c r="B3560" s="37"/>
      <c r="C3560" s="1"/>
      <c r="D3560" s="37"/>
      <c r="E3560" s="37"/>
      <c r="F3560" s="37"/>
      <c r="G3560" s="79"/>
    </row>
    <row r="3561" spans="1:7">
      <c r="A3561" s="78"/>
      <c r="B3561" s="37"/>
      <c r="C3561" s="1"/>
      <c r="D3561" s="37"/>
      <c r="E3561" s="37"/>
      <c r="F3561" s="37"/>
      <c r="G3561" s="79"/>
    </row>
    <row r="3562" spans="1:7">
      <c r="A3562" s="78"/>
      <c r="B3562" s="37"/>
      <c r="C3562" s="1"/>
      <c r="D3562" s="37"/>
      <c r="E3562" s="37"/>
      <c r="F3562" s="37"/>
      <c r="G3562" s="79"/>
    </row>
    <row r="3563" spans="1:7">
      <c r="A3563" s="78"/>
      <c r="B3563" s="37"/>
      <c r="C3563" s="1"/>
      <c r="D3563" s="37"/>
      <c r="E3563" s="37"/>
      <c r="F3563" s="37"/>
      <c r="G3563" s="79"/>
    </row>
    <row r="3564" spans="1:7">
      <c r="A3564" s="78"/>
      <c r="B3564" s="37"/>
      <c r="C3564" s="1"/>
      <c r="D3564" s="37"/>
      <c r="E3564" s="37"/>
      <c r="F3564" s="37"/>
      <c r="G3564" s="79"/>
    </row>
    <row r="3565" spans="1:7">
      <c r="A3565" s="78"/>
      <c r="B3565" s="37"/>
      <c r="C3565" s="1"/>
      <c r="D3565" s="37"/>
      <c r="E3565" s="37"/>
      <c r="F3565" s="37"/>
      <c r="G3565" s="79"/>
    </row>
    <row r="3566" spans="1:7">
      <c r="A3566" s="78"/>
      <c r="B3566" s="37"/>
      <c r="C3566" s="1"/>
      <c r="D3566" s="37"/>
      <c r="E3566" s="37"/>
      <c r="F3566" s="37"/>
      <c r="G3566" s="79"/>
    </row>
    <row r="3567" spans="1:7">
      <c r="A3567" s="78"/>
      <c r="B3567" s="37"/>
      <c r="C3567" s="1"/>
      <c r="D3567" s="37"/>
      <c r="E3567" s="37"/>
      <c r="F3567" s="37"/>
      <c r="G3567" s="79"/>
    </row>
    <row r="3568" spans="1:7">
      <c r="A3568" s="78"/>
      <c r="B3568" s="37"/>
      <c r="C3568" s="1"/>
      <c r="D3568" s="37"/>
      <c r="E3568" s="37"/>
      <c r="F3568" s="37"/>
      <c r="G3568" s="79"/>
    </row>
    <row r="3569" spans="1:7">
      <c r="A3569" s="78"/>
      <c r="B3569" s="37"/>
      <c r="C3569" s="1"/>
      <c r="D3569" s="37"/>
      <c r="E3569" s="37"/>
      <c r="F3569" s="37"/>
      <c r="G3569" s="79"/>
    </row>
    <row r="3570" spans="1:7">
      <c r="A3570" s="78"/>
      <c r="B3570" s="37"/>
      <c r="C3570" s="1"/>
      <c r="D3570" s="37"/>
      <c r="E3570" s="37"/>
      <c r="F3570" s="37"/>
      <c r="G3570" s="79"/>
    </row>
    <row r="3571" spans="1:7">
      <c r="A3571" s="78"/>
      <c r="B3571" s="37"/>
      <c r="C3571" s="1"/>
      <c r="D3571" s="37"/>
      <c r="E3571" s="37"/>
      <c r="F3571" s="37"/>
      <c r="G3571" s="79"/>
    </row>
    <row r="3572" spans="1:7">
      <c r="A3572" s="78"/>
      <c r="B3572" s="37"/>
      <c r="C3572" s="1"/>
      <c r="D3572" s="37"/>
      <c r="E3572" s="37"/>
      <c r="F3572" s="37"/>
      <c r="G3572" s="79"/>
    </row>
    <row r="3573" spans="1:7">
      <c r="A3573" s="78"/>
      <c r="B3573" s="37"/>
      <c r="C3573" s="1"/>
      <c r="D3573" s="37"/>
      <c r="E3573" s="37"/>
      <c r="F3573" s="37"/>
      <c r="G3573" s="79"/>
    </row>
    <row r="3574" spans="1:7">
      <c r="A3574" s="78"/>
      <c r="B3574" s="37"/>
      <c r="C3574" s="1"/>
      <c r="D3574" s="37"/>
      <c r="E3574" s="37"/>
      <c r="F3574" s="37"/>
      <c r="G3574" s="79"/>
    </row>
    <row r="3575" spans="1:7">
      <c r="A3575" s="78"/>
      <c r="B3575" s="37"/>
      <c r="C3575" s="1"/>
      <c r="D3575" s="37"/>
      <c r="E3575" s="37"/>
      <c r="F3575" s="37"/>
      <c r="G3575" s="79"/>
    </row>
    <row r="3576" spans="1:7">
      <c r="A3576" s="78"/>
      <c r="B3576" s="37"/>
      <c r="C3576" s="1"/>
      <c r="D3576" s="37"/>
      <c r="E3576" s="37"/>
      <c r="F3576" s="37"/>
      <c r="G3576" s="79"/>
    </row>
    <row r="3577" spans="1:7">
      <c r="A3577" s="78"/>
      <c r="B3577" s="37"/>
      <c r="C3577" s="1"/>
      <c r="D3577" s="37"/>
      <c r="E3577" s="37"/>
      <c r="F3577" s="37"/>
      <c r="G3577" s="79"/>
    </row>
    <row r="3578" spans="1:7">
      <c r="A3578" s="78"/>
      <c r="B3578" s="37"/>
      <c r="C3578" s="1"/>
      <c r="D3578" s="37"/>
      <c r="E3578" s="37"/>
      <c r="F3578" s="37"/>
      <c r="G3578" s="79"/>
    </row>
    <row r="3579" spans="1:7">
      <c r="A3579" s="78"/>
      <c r="B3579" s="37"/>
      <c r="C3579" s="1"/>
      <c r="D3579" s="37"/>
      <c r="E3579" s="37"/>
      <c r="F3579" s="37"/>
      <c r="G3579" s="79"/>
    </row>
    <row r="3580" spans="1:7">
      <c r="A3580" s="78"/>
      <c r="B3580" s="37"/>
      <c r="C3580" s="1"/>
      <c r="D3580" s="37"/>
      <c r="E3580" s="37"/>
      <c r="F3580" s="37"/>
      <c r="G3580" s="79"/>
    </row>
    <row r="3581" spans="1:7">
      <c r="A3581" s="78"/>
      <c r="B3581" s="37"/>
      <c r="C3581" s="1"/>
      <c r="D3581" s="37"/>
      <c r="E3581" s="37"/>
      <c r="F3581" s="37"/>
      <c r="G3581" s="79"/>
    </row>
    <row r="3582" spans="1:7">
      <c r="A3582" s="78"/>
      <c r="B3582" s="37"/>
      <c r="C3582" s="1"/>
      <c r="D3582" s="37"/>
      <c r="E3582" s="37"/>
      <c r="F3582" s="37"/>
      <c r="G3582" s="79"/>
    </row>
    <row r="3583" spans="1:7">
      <c r="A3583" s="78"/>
      <c r="B3583" s="37"/>
      <c r="C3583" s="1"/>
      <c r="D3583" s="37"/>
      <c r="E3583" s="37"/>
      <c r="F3583" s="37"/>
      <c r="G3583" s="79"/>
    </row>
    <row r="3584" spans="1:7">
      <c r="A3584" s="78"/>
      <c r="B3584" s="37"/>
      <c r="C3584" s="1"/>
      <c r="D3584" s="37"/>
      <c r="E3584" s="37"/>
      <c r="F3584" s="37"/>
      <c r="G3584" s="79"/>
    </row>
    <row r="3585" spans="1:7">
      <c r="A3585" s="78"/>
      <c r="B3585" s="37"/>
      <c r="C3585" s="1"/>
      <c r="D3585" s="37"/>
      <c r="E3585" s="37"/>
      <c r="F3585" s="37"/>
      <c r="G3585" s="79"/>
    </row>
    <row r="3586" spans="1:7">
      <c r="A3586" s="78"/>
      <c r="B3586" s="37"/>
      <c r="C3586" s="1"/>
      <c r="D3586" s="37"/>
      <c r="E3586" s="37"/>
      <c r="F3586" s="37"/>
      <c r="G3586" s="79"/>
    </row>
    <row r="3587" spans="1:7">
      <c r="A3587" s="78"/>
      <c r="B3587" s="37"/>
      <c r="C3587" s="1"/>
      <c r="D3587" s="37"/>
      <c r="E3587" s="37"/>
      <c r="F3587" s="37"/>
      <c r="G3587" s="79"/>
    </row>
    <row r="3588" spans="1:7">
      <c r="A3588" s="78"/>
      <c r="B3588" s="37"/>
      <c r="C3588" s="1"/>
      <c r="D3588" s="37"/>
      <c r="E3588" s="37"/>
      <c r="F3588" s="37"/>
      <c r="G3588" s="79"/>
    </row>
    <row r="3589" spans="1:7">
      <c r="A3589" s="78"/>
      <c r="B3589" s="37"/>
      <c r="C3589" s="1"/>
      <c r="D3589" s="37"/>
      <c r="E3589" s="37"/>
      <c r="F3589" s="37"/>
      <c r="G3589" s="79"/>
    </row>
    <row r="3590" spans="1:7">
      <c r="A3590" s="78"/>
      <c r="B3590" s="37"/>
      <c r="C3590" s="1"/>
      <c r="D3590" s="37"/>
      <c r="E3590" s="37"/>
      <c r="F3590" s="37"/>
      <c r="G3590" s="79"/>
    </row>
  </sheetData>
  <autoFilter ref="A1:G2332">
    <filterColumn colId="1">
      <customFilters>
        <customFilter val="*Радуга*"/>
      </customFilters>
    </filterColumn>
  </autoFilter>
  <mergeCells count="6">
    <mergeCell ref="G916:G918"/>
    <mergeCell ref="G384:G386"/>
    <mergeCell ref="G400:G401"/>
    <mergeCell ref="G442:G443"/>
    <mergeCell ref="G455:G456"/>
    <mergeCell ref="G493:G49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55"/>
  <sheetViews>
    <sheetView showGridLines="0" workbookViewId="0">
      <pane xSplit="3" ySplit="3" topLeftCell="AM70" activePane="bottomRight" state="frozen"/>
      <selection pane="topRight" activeCell="C1" sqref="C1"/>
      <selection pane="bottomLeft" activeCell="A4" sqref="A4"/>
      <selection pane="bottomRight" activeCell="AQ60" sqref="AQ60"/>
    </sheetView>
  </sheetViews>
  <sheetFormatPr defaultRowHeight="15" outlineLevelCol="1"/>
  <cols>
    <col min="1" max="1" width="27.140625" customWidth="1"/>
    <col min="2" max="2" width="59.28515625" customWidth="1"/>
    <col min="3" max="3" width="26" customWidth="1"/>
    <col min="4" max="15" width="15.7109375" customWidth="1" outlineLevel="1"/>
    <col min="16" max="17" width="15.7109375" customWidth="1"/>
    <col min="18" max="18" width="18.5703125" customWidth="1"/>
    <col min="19" max="22" width="15.7109375" customWidth="1"/>
    <col min="23" max="23" width="15.7109375" customWidth="1" collapsed="1"/>
    <col min="24" max="24" width="15.7109375" customWidth="1"/>
    <col min="25" max="25" width="18.5703125" customWidth="1"/>
    <col min="26" max="29" width="15.7109375" customWidth="1"/>
    <col min="30" max="30" width="15.7109375" customWidth="1" collapsed="1"/>
    <col min="31" max="31" width="15.7109375" customWidth="1"/>
    <col min="32" max="32" width="18.5703125" customWidth="1"/>
    <col min="33" max="36" width="15.7109375" customWidth="1"/>
    <col min="37" max="37" width="15.7109375" customWidth="1" collapsed="1"/>
    <col min="38" max="38" width="15.7109375" customWidth="1"/>
    <col min="39" max="39" width="18.5703125" customWidth="1"/>
    <col min="40" max="43" width="15.7109375" customWidth="1"/>
    <col min="44" max="44" width="15.7109375" customWidth="1" collapsed="1"/>
    <col min="45" max="45" width="15.7109375" customWidth="1"/>
    <col min="46" max="46" width="18.5703125" customWidth="1"/>
    <col min="47" max="58" width="15.7109375" customWidth="1"/>
  </cols>
  <sheetData>
    <row r="1" spans="1:60" ht="15.75" thickBot="1">
      <c r="D1" s="4223" t="s">
        <v>537</v>
      </c>
      <c r="E1" s="4223"/>
      <c r="F1" s="4223"/>
      <c r="G1" s="4223"/>
      <c r="H1" s="4223"/>
      <c r="I1" s="4223"/>
      <c r="J1" s="4223" t="s">
        <v>538</v>
      </c>
      <c r="K1" s="4223"/>
      <c r="L1" s="4223"/>
      <c r="M1" s="4223"/>
      <c r="N1" s="4223"/>
      <c r="O1" s="4223"/>
      <c r="P1" s="4223" t="s">
        <v>592</v>
      </c>
      <c r="Q1" s="4223"/>
      <c r="R1" s="4223"/>
      <c r="S1" s="4223"/>
      <c r="T1" s="4223"/>
      <c r="U1" s="4223"/>
      <c r="V1" s="4223"/>
      <c r="W1" s="4223" t="s">
        <v>658</v>
      </c>
      <c r="X1" s="4223"/>
      <c r="Y1" s="4223"/>
      <c r="Z1" s="4223"/>
      <c r="AA1" s="4223"/>
      <c r="AB1" s="4223"/>
      <c r="AC1" s="4223"/>
      <c r="AD1" s="4223" t="s">
        <v>713</v>
      </c>
      <c r="AE1" s="4223"/>
      <c r="AF1" s="4223"/>
      <c r="AG1" s="4223"/>
      <c r="AH1" s="4223"/>
      <c r="AI1" s="4223"/>
      <c r="AJ1" s="4223"/>
      <c r="AK1" s="4223" t="s">
        <v>775</v>
      </c>
      <c r="AL1" s="4223"/>
      <c r="AM1" s="4223"/>
      <c r="AN1" s="4223"/>
      <c r="AO1" s="4223"/>
      <c r="AP1" s="4223"/>
      <c r="AQ1" s="4223"/>
      <c r="AR1" s="4223" t="s">
        <v>841</v>
      </c>
      <c r="AS1" s="4223"/>
      <c r="AT1" s="4223"/>
      <c r="AU1" s="4223"/>
      <c r="AV1" s="4223"/>
      <c r="AW1" s="4223"/>
      <c r="AX1" s="4223"/>
      <c r="AY1" s="192"/>
      <c r="AZ1" s="192"/>
      <c r="BA1" s="192"/>
      <c r="BB1" s="192"/>
      <c r="BC1" s="192"/>
      <c r="BD1" s="192"/>
      <c r="BE1" s="192"/>
      <c r="BF1" s="192"/>
      <c r="BG1" s="108"/>
      <c r="BH1" s="108"/>
    </row>
    <row r="2" spans="1:60" ht="15.75" thickTop="1">
      <c r="D2" s="4224" t="s">
        <v>337</v>
      </c>
      <c r="E2" s="4225"/>
      <c r="F2" s="4225"/>
      <c r="G2" s="4225"/>
      <c r="H2" s="4225"/>
      <c r="I2" s="4226"/>
      <c r="J2" s="4224" t="s">
        <v>337</v>
      </c>
      <c r="K2" s="4225"/>
      <c r="L2" s="4225"/>
      <c r="M2" s="4225"/>
      <c r="N2" s="4225"/>
      <c r="O2" s="4226"/>
      <c r="P2" s="4224" t="s">
        <v>337</v>
      </c>
      <c r="Q2" s="4225"/>
      <c r="R2" s="4225"/>
      <c r="S2" s="4225"/>
      <c r="T2" s="4225"/>
      <c r="U2" s="4225"/>
      <c r="V2" s="4226"/>
      <c r="W2" s="4224" t="s">
        <v>337</v>
      </c>
      <c r="X2" s="4225"/>
      <c r="Y2" s="4225"/>
      <c r="Z2" s="4225"/>
      <c r="AA2" s="4225"/>
      <c r="AB2" s="4225"/>
      <c r="AC2" s="4226"/>
      <c r="AD2" s="4224" t="s">
        <v>337</v>
      </c>
      <c r="AE2" s="4225"/>
      <c r="AF2" s="4225"/>
      <c r="AG2" s="4225"/>
      <c r="AH2" s="4225"/>
      <c r="AI2" s="4225"/>
      <c r="AJ2" s="4226"/>
      <c r="AK2" s="4224" t="s">
        <v>337</v>
      </c>
      <c r="AL2" s="4225"/>
      <c r="AM2" s="4225"/>
      <c r="AN2" s="4225"/>
      <c r="AO2" s="4225"/>
      <c r="AP2" s="4225"/>
      <c r="AQ2" s="4226"/>
      <c r="AR2" s="4224" t="s">
        <v>337</v>
      </c>
      <c r="AS2" s="4225"/>
      <c r="AT2" s="4225"/>
      <c r="AU2" s="4225"/>
      <c r="AV2" s="4225"/>
      <c r="AW2" s="4225"/>
      <c r="AX2" s="4226"/>
      <c r="AY2" s="4224" t="s">
        <v>339</v>
      </c>
      <c r="AZ2" s="4225"/>
      <c r="BA2" s="4225"/>
      <c r="BB2" s="4225"/>
      <c r="BC2" s="4225"/>
      <c r="BD2" s="4225"/>
      <c r="BE2" s="4225"/>
      <c r="BF2" s="4226"/>
    </row>
    <row r="3" spans="1:60" ht="15.75" thickBot="1">
      <c r="A3" t="s">
        <v>83</v>
      </c>
      <c r="B3" t="s">
        <v>539</v>
      </c>
      <c r="C3" t="s">
        <v>90</v>
      </c>
      <c r="D3" s="113" t="s">
        <v>102</v>
      </c>
      <c r="E3" s="109" t="s">
        <v>338</v>
      </c>
      <c r="F3" s="33" t="s">
        <v>536</v>
      </c>
      <c r="G3" s="33" t="s">
        <v>556</v>
      </c>
      <c r="H3" s="109" t="s">
        <v>163</v>
      </c>
      <c r="I3" s="110" t="s">
        <v>165</v>
      </c>
      <c r="J3" s="113" t="s">
        <v>102</v>
      </c>
      <c r="K3" s="109" t="s">
        <v>338</v>
      </c>
      <c r="L3" s="33" t="s">
        <v>536</v>
      </c>
      <c r="M3" s="33" t="s">
        <v>556</v>
      </c>
      <c r="N3" s="109" t="s">
        <v>163</v>
      </c>
      <c r="O3" s="110" t="s">
        <v>165</v>
      </c>
      <c r="P3" s="113" t="s">
        <v>102</v>
      </c>
      <c r="Q3" s="109" t="s">
        <v>338</v>
      </c>
      <c r="R3" s="33" t="s">
        <v>536</v>
      </c>
      <c r="S3" s="33" t="s">
        <v>556</v>
      </c>
      <c r="T3" s="109" t="s">
        <v>163</v>
      </c>
      <c r="U3" s="33" t="s">
        <v>597</v>
      </c>
      <c r="V3" s="110" t="s">
        <v>165</v>
      </c>
      <c r="W3" s="113" t="s">
        <v>102</v>
      </c>
      <c r="X3" s="109" t="s">
        <v>338</v>
      </c>
      <c r="Y3" s="33" t="s">
        <v>536</v>
      </c>
      <c r="Z3" s="33" t="s">
        <v>556</v>
      </c>
      <c r="AA3" s="109" t="s">
        <v>163</v>
      </c>
      <c r="AB3" s="33" t="s">
        <v>597</v>
      </c>
      <c r="AC3" s="110" t="s">
        <v>165</v>
      </c>
      <c r="AD3" s="113" t="s">
        <v>102</v>
      </c>
      <c r="AE3" s="109" t="s">
        <v>338</v>
      </c>
      <c r="AF3" s="33" t="s">
        <v>536</v>
      </c>
      <c r="AG3" s="33" t="s">
        <v>556</v>
      </c>
      <c r="AH3" s="109" t="s">
        <v>163</v>
      </c>
      <c r="AI3" s="33" t="s">
        <v>597</v>
      </c>
      <c r="AJ3" s="110" t="s">
        <v>165</v>
      </c>
      <c r="AK3" s="113" t="s">
        <v>102</v>
      </c>
      <c r="AL3" s="109" t="s">
        <v>338</v>
      </c>
      <c r="AM3" s="33" t="s">
        <v>536</v>
      </c>
      <c r="AN3" s="33" t="s">
        <v>556</v>
      </c>
      <c r="AO3" s="109" t="s">
        <v>163</v>
      </c>
      <c r="AP3" s="33" t="s">
        <v>597</v>
      </c>
      <c r="AQ3" s="110" t="s">
        <v>165</v>
      </c>
      <c r="AR3" s="113" t="s">
        <v>102</v>
      </c>
      <c r="AS3" s="109" t="s">
        <v>338</v>
      </c>
      <c r="AT3" s="33" t="s">
        <v>536</v>
      </c>
      <c r="AU3" s="33" t="s">
        <v>556</v>
      </c>
      <c r="AV3" s="109" t="s">
        <v>163</v>
      </c>
      <c r="AW3" s="33" t="s">
        <v>597</v>
      </c>
      <c r="AX3" s="110" t="s">
        <v>165</v>
      </c>
      <c r="AY3" s="123" t="s">
        <v>102</v>
      </c>
      <c r="AZ3" s="124" t="s">
        <v>338</v>
      </c>
      <c r="BA3" s="127" t="s">
        <v>163</v>
      </c>
      <c r="BB3" s="121" t="s">
        <v>165</v>
      </c>
      <c r="BC3" s="120" t="s">
        <v>102</v>
      </c>
      <c r="BD3" s="120" t="s">
        <v>338</v>
      </c>
      <c r="BE3" s="120" t="s">
        <v>163</v>
      </c>
      <c r="BF3" s="122" t="s">
        <v>165</v>
      </c>
    </row>
    <row r="4" spans="1:60" ht="15.75" thickTop="1">
      <c r="A4" s="4236" t="s">
        <v>334</v>
      </c>
      <c r="B4" s="193" t="s">
        <v>334</v>
      </c>
      <c r="C4" s="4233" t="s">
        <v>408</v>
      </c>
      <c r="D4" s="252" t="s">
        <v>103</v>
      </c>
      <c r="E4" s="259"/>
      <c r="F4" s="259"/>
      <c r="G4" s="259"/>
      <c r="H4" s="259"/>
      <c r="I4" s="260"/>
      <c r="J4" s="252" t="s">
        <v>104</v>
      </c>
      <c r="K4" s="259"/>
      <c r="L4" s="259"/>
      <c r="M4" s="259"/>
      <c r="N4" s="259"/>
      <c r="O4" s="260"/>
      <c r="P4" s="252" t="s">
        <v>104</v>
      </c>
      <c r="Q4" s="305">
        <f>IF(S4&gt;0,0.05,0)</f>
        <v>0</v>
      </c>
      <c r="R4" s="259" t="s">
        <v>596</v>
      </c>
      <c r="S4" s="259"/>
      <c r="T4" s="259"/>
      <c r="U4" s="259" t="e">
        <f>IF(R4=$A$100,T4/Q4,0)</f>
        <v>#DIV/0!</v>
      </c>
      <c r="V4" s="260"/>
      <c r="W4" s="252" t="s">
        <v>104</v>
      </c>
      <c r="X4" s="305">
        <f>IF(Z4&gt;0,0.05,0)</f>
        <v>0</v>
      </c>
      <c r="Y4" s="259" t="s">
        <v>596</v>
      </c>
      <c r="Z4" s="259"/>
      <c r="AA4" s="259"/>
      <c r="AB4" s="259" t="e">
        <f>IF(Y4=$A$100,AA4/X4,0)</f>
        <v>#DIV/0!</v>
      </c>
      <c r="AC4" s="260"/>
      <c r="AD4" s="252" t="s">
        <v>104</v>
      </c>
      <c r="AE4" s="305">
        <f>IF(AG4&gt;0,0.05,0)</f>
        <v>0</v>
      </c>
      <c r="AF4" s="259" t="s">
        <v>596</v>
      </c>
      <c r="AG4" s="259"/>
      <c r="AH4" s="259"/>
      <c r="AI4" s="259" t="e">
        <f>IF(AF4=$A$100,AH4/AE4,0)</f>
        <v>#DIV/0!</v>
      </c>
      <c r="AJ4" s="260"/>
      <c r="AK4" s="252" t="s">
        <v>104</v>
      </c>
      <c r="AL4" s="305">
        <f>IF(AN4&gt;0,0.05,0)</f>
        <v>0</v>
      </c>
      <c r="AM4" s="259" t="s">
        <v>596</v>
      </c>
      <c r="AN4" s="259"/>
      <c r="AO4" s="259"/>
      <c r="AP4" s="259" t="e">
        <f>IF(AM4=$A$100,AO4/AL4,0)</f>
        <v>#DIV/0!</v>
      </c>
      <c r="AQ4" s="260"/>
      <c r="AR4" s="252" t="s">
        <v>104</v>
      </c>
      <c r="AS4" s="305">
        <f>IF(AU4&gt;0,0.05,0)</f>
        <v>0</v>
      </c>
      <c r="AT4" s="259" t="s">
        <v>596</v>
      </c>
      <c r="AU4" s="259"/>
      <c r="AV4" s="259"/>
      <c r="AW4" s="259" t="e">
        <f>IF(AT4=$A$100,AV4/AS4,0)</f>
        <v>#DIV/0!</v>
      </c>
      <c r="AX4" s="260"/>
      <c r="AY4" s="148"/>
      <c r="AZ4" s="149"/>
      <c r="BA4" s="150"/>
      <c r="BB4" s="151"/>
      <c r="BC4" s="152"/>
      <c r="BD4" s="147"/>
      <c r="BE4" s="147"/>
      <c r="BF4" s="153"/>
    </row>
    <row r="5" spans="1:60">
      <c r="A5" s="4237"/>
      <c r="B5" s="194" t="s">
        <v>329</v>
      </c>
      <c r="C5" s="4234"/>
      <c r="D5" s="253" t="s">
        <v>171</v>
      </c>
      <c r="E5" s="261"/>
      <c r="F5" s="261"/>
      <c r="G5" s="261">
        <v>492636377</v>
      </c>
      <c r="H5" s="261"/>
      <c r="I5" s="262"/>
      <c r="J5" s="253" t="s">
        <v>171</v>
      </c>
      <c r="K5" s="261"/>
      <c r="L5" s="261"/>
      <c r="M5" s="261">
        <v>357004017</v>
      </c>
      <c r="N5" s="261"/>
      <c r="O5" s="262"/>
      <c r="P5" s="253" t="s">
        <v>171</v>
      </c>
      <c r="Q5" s="297">
        <f>IF(S5&gt;0,0.05,0)</f>
        <v>0.05</v>
      </c>
      <c r="R5" s="261" t="s">
        <v>596</v>
      </c>
      <c r="S5" s="261">
        <v>451892121</v>
      </c>
      <c r="T5" s="261"/>
      <c r="U5" s="261">
        <f t="shared" ref="U5:U68" si="0">IF(R5=$A$100,T5/Q5,0)</f>
        <v>0</v>
      </c>
      <c r="V5" s="296"/>
      <c r="W5" s="253" t="s">
        <v>171</v>
      </c>
      <c r="X5" s="297">
        <f>IF(Z5&gt;0,0.05,0)</f>
        <v>0.05</v>
      </c>
      <c r="Y5" s="261" t="s">
        <v>596</v>
      </c>
      <c r="Z5" s="261">
        <v>259824196</v>
      </c>
      <c r="AA5" s="261"/>
      <c r="AB5" s="261">
        <f t="shared" ref="AB5:AB68" si="1">IF(Y5=$A$100,AA5/X5,0)</f>
        <v>0</v>
      </c>
      <c r="AC5" s="296"/>
      <c r="AD5" s="253" t="s">
        <v>171</v>
      </c>
      <c r="AE5" s="297">
        <f>IF(AG5&gt;0,0.05,0)</f>
        <v>0.05</v>
      </c>
      <c r="AF5" s="261" t="s">
        <v>596</v>
      </c>
      <c r="AG5" s="261">
        <v>1407011730</v>
      </c>
      <c r="AH5" s="261"/>
      <c r="AI5" s="261">
        <f t="shared" ref="AI5:AI68" si="2">IF(AF5=$A$100,AH5/AE5,0)</f>
        <v>0</v>
      </c>
      <c r="AJ5" s="296"/>
      <c r="AK5" s="253" t="s">
        <v>171</v>
      </c>
      <c r="AL5" s="297">
        <f>IF(AN5&gt;0,0.05,0)</f>
        <v>0.05</v>
      </c>
      <c r="AM5" s="261" t="s">
        <v>596</v>
      </c>
      <c r="AN5" s="261">
        <v>192593386</v>
      </c>
      <c r="AO5" s="261"/>
      <c r="AP5" s="261">
        <f t="shared" ref="AP5:AP68" si="3">IF(AM5=$A$100,AO5/AL5,0)</f>
        <v>0</v>
      </c>
      <c r="AQ5" s="296"/>
      <c r="AR5" s="253" t="s">
        <v>171</v>
      </c>
      <c r="AS5" s="297">
        <f>IF(AU5&gt;0,0.05,0)</f>
        <v>0.05</v>
      </c>
      <c r="AT5" s="261" t="s">
        <v>596</v>
      </c>
      <c r="AU5" s="261">
        <v>1317157375</v>
      </c>
      <c r="AV5" s="261"/>
      <c r="AW5" s="261">
        <f t="shared" ref="AW5:AW68" si="4">IF(AT5=$A$100,AV5/AS5,0)</f>
        <v>0</v>
      </c>
      <c r="AX5" s="296"/>
      <c r="AY5" s="155"/>
      <c r="AZ5" s="156"/>
      <c r="BA5" s="157"/>
      <c r="BB5" s="158"/>
      <c r="BC5" s="159"/>
      <c r="BD5" s="154"/>
      <c r="BE5" s="154"/>
      <c r="BF5" s="160"/>
    </row>
    <row r="6" spans="1:60">
      <c r="A6" s="4237"/>
      <c r="B6" s="194" t="s">
        <v>541</v>
      </c>
      <c r="C6" s="4234"/>
      <c r="D6" s="253" t="s">
        <v>103</v>
      </c>
      <c r="E6" s="261"/>
      <c r="F6" s="261"/>
      <c r="G6" s="261"/>
      <c r="H6" s="261"/>
      <c r="I6" s="262"/>
      <c r="J6" s="253" t="s">
        <v>103</v>
      </c>
      <c r="K6" s="261"/>
      <c r="L6" s="261"/>
      <c r="M6" s="261"/>
      <c r="N6" s="261"/>
      <c r="O6" s="262"/>
      <c r="P6" s="253" t="s">
        <v>103</v>
      </c>
      <c r="Q6" s="297">
        <f>IF(S6&gt;0,0.05,0)</f>
        <v>0.05</v>
      </c>
      <c r="R6" s="261" t="s">
        <v>596</v>
      </c>
      <c r="S6" s="261">
        <v>4511340</v>
      </c>
      <c r="T6" s="261"/>
      <c r="U6" s="261">
        <f t="shared" si="0"/>
        <v>0</v>
      </c>
      <c r="V6" s="262"/>
      <c r="W6" s="253" t="s">
        <v>103</v>
      </c>
      <c r="X6" s="297">
        <f>IF(Z6&gt;0,0.05,0)</f>
        <v>0.05</v>
      </c>
      <c r="Y6" s="261" t="s">
        <v>596</v>
      </c>
      <c r="Z6" s="261">
        <v>22097454</v>
      </c>
      <c r="AA6" s="261"/>
      <c r="AB6" s="261">
        <f t="shared" si="1"/>
        <v>0</v>
      </c>
      <c r="AC6" s="262"/>
      <c r="AD6" s="253" t="s">
        <v>103</v>
      </c>
      <c r="AE6" s="297">
        <f>IF(AG6&gt;0,0.05,0)</f>
        <v>0.05</v>
      </c>
      <c r="AF6" s="261" t="s">
        <v>596</v>
      </c>
      <c r="AG6" s="261">
        <v>2032181</v>
      </c>
      <c r="AH6" s="261"/>
      <c r="AI6" s="261">
        <f t="shared" si="2"/>
        <v>0</v>
      </c>
      <c r="AJ6" s="262"/>
      <c r="AK6" s="253" t="s">
        <v>103</v>
      </c>
      <c r="AL6" s="297">
        <f>IF(AN6&gt;0,0.05,0)</f>
        <v>0.05</v>
      </c>
      <c r="AM6" s="261" t="s">
        <v>596</v>
      </c>
      <c r="AN6" s="261">
        <v>169038920</v>
      </c>
      <c r="AO6" s="261"/>
      <c r="AP6" s="261">
        <f t="shared" si="3"/>
        <v>0</v>
      </c>
      <c r="AQ6" s="262"/>
      <c r="AR6" s="253" t="s">
        <v>103</v>
      </c>
      <c r="AS6" s="297">
        <f>IF(AU6&gt;0,0.05,0)</f>
        <v>0.05</v>
      </c>
      <c r="AT6" s="261" t="s">
        <v>596</v>
      </c>
      <c r="AU6" s="261">
        <v>6026778</v>
      </c>
      <c r="AV6" s="261"/>
      <c r="AW6" s="261">
        <f t="shared" si="4"/>
        <v>0</v>
      </c>
      <c r="AX6" s="262"/>
      <c r="AY6" s="155"/>
      <c r="AZ6" s="156"/>
      <c r="BA6" s="157"/>
      <c r="BB6" s="158"/>
      <c r="BC6" s="159"/>
      <c r="BD6" s="154"/>
      <c r="BE6" s="154"/>
      <c r="BF6" s="160"/>
    </row>
    <row r="7" spans="1:60" ht="15.75" thickBot="1">
      <c r="A7" s="4238"/>
      <c r="B7" s="195" t="s">
        <v>540</v>
      </c>
      <c r="C7" s="4235"/>
      <c r="D7" s="254" t="s">
        <v>336</v>
      </c>
      <c r="E7" s="263"/>
      <c r="F7" s="263"/>
      <c r="G7" s="263"/>
      <c r="H7" s="263"/>
      <c r="I7" s="264"/>
      <c r="J7" s="254" t="s">
        <v>336</v>
      </c>
      <c r="K7" s="263"/>
      <c r="L7" s="263"/>
      <c r="M7" s="263"/>
      <c r="N7" s="263"/>
      <c r="O7" s="264"/>
      <c r="P7" s="254" t="s">
        <v>336</v>
      </c>
      <c r="Q7" s="306">
        <f>IF(S7&gt;0,0.05,0)</f>
        <v>0</v>
      </c>
      <c r="R7" s="263" t="s">
        <v>596</v>
      </c>
      <c r="S7" s="263"/>
      <c r="T7" s="263"/>
      <c r="U7" s="263" t="e">
        <f t="shared" si="0"/>
        <v>#DIV/0!</v>
      </c>
      <c r="V7" s="264"/>
      <c r="W7" s="254" t="s">
        <v>336</v>
      </c>
      <c r="X7" s="306">
        <f>IF(Z7&gt;0,0.05,0)</f>
        <v>0</v>
      </c>
      <c r="Y7" s="263" t="s">
        <v>596</v>
      </c>
      <c r="Z7" s="263"/>
      <c r="AA7" s="263"/>
      <c r="AB7" s="263" t="e">
        <f t="shared" si="1"/>
        <v>#DIV/0!</v>
      </c>
      <c r="AC7" s="264"/>
      <c r="AD7" s="254" t="s">
        <v>336</v>
      </c>
      <c r="AE7" s="306">
        <f>IF(AG7&gt;0,0.05,0)</f>
        <v>0</v>
      </c>
      <c r="AF7" s="263" t="s">
        <v>596</v>
      </c>
      <c r="AG7" s="263"/>
      <c r="AH7" s="263"/>
      <c r="AI7" s="263" t="e">
        <f t="shared" si="2"/>
        <v>#DIV/0!</v>
      </c>
      <c r="AJ7" s="264"/>
      <c r="AK7" s="254" t="s">
        <v>336</v>
      </c>
      <c r="AL7" s="306">
        <f>IF(AN7&gt;0,0.05,0)</f>
        <v>0</v>
      </c>
      <c r="AM7" s="263" t="s">
        <v>596</v>
      </c>
      <c r="AN7" s="263"/>
      <c r="AO7" s="263"/>
      <c r="AP7" s="263" t="e">
        <f t="shared" si="3"/>
        <v>#DIV/0!</v>
      </c>
      <c r="AQ7" s="264"/>
      <c r="AR7" s="254" t="s">
        <v>336</v>
      </c>
      <c r="AS7" s="306">
        <f>IF(AU7&gt;0,0.05,0)</f>
        <v>0</v>
      </c>
      <c r="AT7" s="263" t="s">
        <v>596</v>
      </c>
      <c r="AU7" s="263"/>
      <c r="AV7" s="263"/>
      <c r="AW7" s="263" t="e">
        <f t="shared" si="4"/>
        <v>#DIV/0!</v>
      </c>
      <c r="AX7" s="264"/>
      <c r="AY7" s="162"/>
      <c r="AZ7" s="163"/>
      <c r="BA7" s="164"/>
      <c r="BB7" s="165"/>
      <c r="BC7" s="166"/>
      <c r="BD7" s="161"/>
      <c r="BE7" s="161"/>
      <c r="BF7" s="167"/>
    </row>
    <row r="8" spans="1:60" ht="15.75" thickTop="1">
      <c r="A8" s="4227" t="s">
        <v>409</v>
      </c>
      <c r="B8" s="196" t="s">
        <v>409</v>
      </c>
      <c r="C8" s="4230" t="s">
        <v>92</v>
      </c>
      <c r="D8" s="252" t="s">
        <v>104</v>
      </c>
      <c r="E8" s="259"/>
      <c r="F8" s="259"/>
      <c r="G8" s="259">
        <v>17186887</v>
      </c>
      <c r="H8" s="259"/>
      <c r="I8" s="260"/>
      <c r="J8" s="252" t="s">
        <v>104</v>
      </c>
      <c r="K8" s="259"/>
      <c r="L8" s="259"/>
      <c r="M8" s="259">
        <v>2246624</v>
      </c>
      <c r="N8" s="259"/>
      <c r="O8" s="260"/>
      <c r="P8" s="252" t="s">
        <v>104</v>
      </c>
      <c r="Q8" s="305"/>
      <c r="R8" s="259"/>
      <c r="S8" s="259">
        <v>16857136</v>
      </c>
      <c r="T8" s="259"/>
      <c r="U8" s="259">
        <f t="shared" si="0"/>
        <v>0</v>
      </c>
      <c r="V8" s="260"/>
      <c r="W8" s="252" t="s">
        <v>104</v>
      </c>
      <c r="X8" s="305"/>
      <c r="Y8" s="259"/>
      <c r="Z8" s="259">
        <v>65715143</v>
      </c>
      <c r="AA8" s="259"/>
      <c r="AB8" s="259">
        <f t="shared" si="1"/>
        <v>0</v>
      </c>
      <c r="AC8" s="260"/>
      <c r="AD8" s="252" t="s">
        <v>104</v>
      </c>
      <c r="AE8" s="305"/>
      <c r="AF8" s="259"/>
      <c r="AG8" s="259">
        <v>30267602</v>
      </c>
      <c r="AH8" s="259"/>
      <c r="AI8" s="259">
        <f t="shared" si="2"/>
        <v>0</v>
      </c>
      <c r="AJ8" s="260"/>
      <c r="AK8" s="252" t="s">
        <v>104</v>
      </c>
      <c r="AL8" s="305"/>
      <c r="AM8" s="259"/>
      <c r="AN8" s="259">
        <v>114606880</v>
      </c>
      <c r="AO8" s="259"/>
      <c r="AP8" s="259">
        <f t="shared" si="3"/>
        <v>0</v>
      </c>
      <c r="AQ8" s="260"/>
      <c r="AR8" s="252" t="s">
        <v>104</v>
      </c>
      <c r="AS8" s="305"/>
      <c r="AT8" s="259"/>
      <c r="AU8" s="259">
        <v>47519855</v>
      </c>
      <c r="AV8" s="259"/>
      <c r="AW8" s="259">
        <f t="shared" si="4"/>
        <v>0</v>
      </c>
      <c r="AX8" s="260"/>
      <c r="AY8" s="132"/>
      <c r="AZ8" s="133"/>
      <c r="BA8" s="134"/>
      <c r="BB8" s="135"/>
      <c r="BC8" s="136"/>
      <c r="BD8" s="131"/>
      <c r="BE8" s="131"/>
      <c r="BF8" s="137"/>
    </row>
    <row r="9" spans="1:60">
      <c r="A9" s="4228"/>
      <c r="B9" s="197" t="s">
        <v>392</v>
      </c>
      <c r="C9" s="4231"/>
      <c r="D9" s="253" t="s">
        <v>171</v>
      </c>
      <c r="E9" s="261"/>
      <c r="F9" s="261"/>
      <c r="G9" s="261"/>
      <c r="H9" s="261"/>
      <c r="I9" s="262"/>
      <c r="J9" s="253" t="s">
        <v>171</v>
      </c>
      <c r="K9" s="261"/>
      <c r="L9" s="261"/>
      <c r="M9" s="261"/>
      <c r="N9" s="261"/>
      <c r="O9" s="262"/>
      <c r="P9" s="253" t="s">
        <v>171</v>
      </c>
      <c r="Q9" s="297"/>
      <c r="R9" s="261"/>
      <c r="S9" s="261"/>
      <c r="T9" s="261"/>
      <c r="U9" s="261">
        <f t="shared" si="0"/>
        <v>0</v>
      </c>
      <c r="V9" s="262"/>
      <c r="W9" s="253" t="s">
        <v>171</v>
      </c>
      <c r="X9" s="297"/>
      <c r="Y9" s="261"/>
      <c r="Z9" s="261">
        <v>0</v>
      </c>
      <c r="AA9" s="261"/>
      <c r="AB9" s="261">
        <f t="shared" si="1"/>
        <v>0</v>
      </c>
      <c r="AC9" s="262"/>
      <c r="AD9" s="253" t="s">
        <v>171</v>
      </c>
      <c r="AE9" s="297"/>
      <c r="AF9" s="261"/>
      <c r="AG9" s="261"/>
      <c r="AH9" s="261"/>
      <c r="AI9" s="261">
        <f t="shared" si="2"/>
        <v>0</v>
      </c>
      <c r="AJ9" s="262"/>
      <c r="AK9" s="253" t="s">
        <v>171</v>
      </c>
      <c r="AL9" s="297"/>
      <c r="AM9" s="261"/>
      <c r="AN9" s="261"/>
      <c r="AO9" s="261"/>
      <c r="AP9" s="261">
        <f t="shared" si="3"/>
        <v>0</v>
      </c>
      <c r="AQ9" s="262"/>
      <c r="AR9" s="253" t="s">
        <v>171</v>
      </c>
      <c r="AS9" s="297"/>
      <c r="AT9" s="261"/>
      <c r="AU9" s="261"/>
      <c r="AV9" s="261"/>
      <c r="AW9" s="261">
        <f t="shared" si="4"/>
        <v>0</v>
      </c>
      <c r="AX9" s="262"/>
      <c r="AY9" s="118"/>
      <c r="AZ9" s="125"/>
      <c r="BA9" s="128"/>
      <c r="BB9" s="114"/>
      <c r="BC9" s="116"/>
      <c r="BD9" s="111"/>
      <c r="BE9" s="111"/>
      <c r="BF9" s="138"/>
    </row>
    <row r="10" spans="1:60">
      <c r="A10" s="4228"/>
      <c r="B10" s="197" t="s">
        <v>534</v>
      </c>
      <c r="C10" s="4231"/>
      <c r="D10" s="253" t="s">
        <v>103</v>
      </c>
      <c r="E10" s="261"/>
      <c r="F10" s="261"/>
      <c r="G10" s="261">
        <v>7083600</v>
      </c>
      <c r="H10" s="261"/>
      <c r="I10" s="262"/>
      <c r="J10" s="253" t="s">
        <v>103</v>
      </c>
      <c r="K10" s="261"/>
      <c r="L10" s="261"/>
      <c r="M10" s="261">
        <v>1965600</v>
      </c>
      <c r="N10" s="261"/>
      <c r="O10" s="262"/>
      <c r="P10" s="253" t="s">
        <v>103</v>
      </c>
      <c r="Q10" s="297"/>
      <c r="R10" s="261"/>
      <c r="S10" s="261">
        <v>6732475</v>
      </c>
      <c r="T10" s="261"/>
      <c r="U10" s="261">
        <f t="shared" si="0"/>
        <v>0</v>
      </c>
      <c r="V10" s="262"/>
      <c r="W10" s="253" t="s">
        <v>103</v>
      </c>
      <c r="X10" s="297"/>
      <c r="Y10" s="261"/>
      <c r="Z10" s="261">
        <v>15550995</v>
      </c>
      <c r="AA10" s="261"/>
      <c r="AB10" s="261">
        <f t="shared" si="1"/>
        <v>0</v>
      </c>
      <c r="AC10" s="262"/>
      <c r="AD10" s="253" t="s">
        <v>103</v>
      </c>
      <c r="AE10" s="297"/>
      <c r="AF10" s="261"/>
      <c r="AG10" s="261">
        <v>13798620</v>
      </c>
      <c r="AH10" s="261"/>
      <c r="AI10" s="261">
        <f t="shared" si="2"/>
        <v>0</v>
      </c>
      <c r="AJ10" s="262"/>
      <c r="AK10" s="253" t="s">
        <v>103</v>
      </c>
      <c r="AL10" s="297"/>
      <c r="AM10" s="261"/>
      <c r="AN10" s="261">
        <v>9968035</v>
      </c>
      <c r="AO10" s="261"/>
      <c r="AP10" s="261">
        <f t="shared" si="3"/>
        <v>0</v>
      </c>
      <c r="AQ10" s="262"/>
      <c r="AR10" s="253" t="s">
        <v>103</v>
      </c>
      <c r="AS10" s="297"/>
      <c r="AT10" s="261"/>
      <c r="AU10" s="261">
        <v>13500689</v>
      </c>
      <c r="AV10" s="261"/>
      <c r="AW10" s="261">
        <f t="shared" si="4"/>
        <v>0</v>
      </c>
      <c r="AX10" s="262"/>
      <c r="AY10" s="118"/>
      <c r="AZ10" s="125"/>
      <c r="BA10" s="128"/>
      <c r="BB10" s="114"/>
      <c r="BC10" s="116"/>
      <c r="BD10" s="111"/>
      <c r="BE10" s="111"/>
      <c r="BF10" s="138"/>
    </row>
    <row r="11" spans="1:60" ht="15.75" thickBot="1">
      <c r="A11" s="4229"/>
      <c r="B11" s="198" t="s">
        <v>535</v>
      </c>
      <c r="C11" s="4232"/>
      <c r="D11" s="254" t="s">
        <v>336</v>
      </c>
      <c r="E11" s="263"/>
      <c r="F11" s="263"/>
      <c r="G11" s="263"/>
      <c r="H11" s="263"/>
      <c r="I11" s="264"/>
      <c r="J11" s="254" t="s">
        <v>336</v>
      </c>
      <c r="K11" s="263"/>
      <c r="L11" s="263"/>
      <c r="M11" s="263"/>
      <c r="N11" s="263"/>
      <c r="O11" s="264"/>
      <c r="P11" s="254" t="s">
        <v>336</v>
      </c>
      <c r="Q11" s="306"/>
      <c r="R11" s="263"/>
      <c r="S11" s="263"/>
      <c r="T11" s="263"/>
      <c r="U11" s="263">
        <f t="shared" si="0"/>
        <v>0</v>
      </c>
      <c r="V11" s="264"/>
      <c r="W11" s="254" t="s">
        <v>336</v>
      </c>
      <c r="X11" s="306"/>
      <c r="Y11" s="263"/>
      <c r="Z11" s="263"/>
      <c r="AA11" s="263"/>
      <c r="AB11" s="263">
        <f t="shared" si="1"/>
        <v>0</v>
      </c>
      <c r="AC11" s="264"/>
      <c r="AD11" s="254" t="s">
        <v>336</v>
      </c>
      <c r="AE11" s="306"/>
      <c r="AF11" s="263"/>
      <c r="AG11" s="263"/>
      <c r="AH11" s="263"/>
      <c r="AI11" s="263">
        <f t="shared" si="2"/>
        <v>0</v>
      </c>
      <c r="AJ11" s="264"/>
      <c r="AK11" s="254" t="s">
        <v>336</v>
      </c>
      <c r="AL11" s="306"/>
      <c r="AM11" s="263"/>
      <c r="AN11" s="263"/>
      <c r="AO11" s="263"/>
      <c r="AP11" s="263">
        <f t="shared" si="3"/>
        <v>0</v>
      </c>
      <c r="AQ11" s="264"/>
      <c r="AR11" s="254" t="s">
        <v>336</v>
      </c>
      <c r="AS11" s="306"/>
      <c r="AT11" s="263"/>
      <c r="AU11" s="263"/>
      <c r="AV11" s="263"/>
      <c r="AW11" s="263">
        <f t="shared" si="4"/>
        <v>0</v>
      </c>
      <c r="AX11" s="264"/>
      <c r="AY11" s="119"/>
      <c r="AZ11" s="126"/>
      <c r="BA11" s="129"/>
      <c r="BB11" s="115"/>
      <c r="BC11" s="117"/>
      <c r="BD11" s="112"/>
      <c r="BE11" s="112"/>
      <c r="BF11" s="139"/>
    </row>
    <row r="12" spans="1:60" ht="15.75" thickTop="1">
      <c r="A12" s="4236" t="s">
        <v>200</v>
      </c>
      <c r="B12" s="199" t="s">
        <v>200</v>
      </c>
      <c r="C12" s="4233" t="s">
        <v>96</v>
      </c>
      <c r="D12" s="252" t="s">
        <v>104</v>
      </c>
      <c r="E12" s="259"/>
      <c r="F12" s="259"/>
      <c r="G12" s="259"/>
      <c r="H12" s="259"/>
      <c r="I12" s="260"/>
      <c r="J12" s="252" t="s">
        <v>104</v>
      </c>
      <c r="K12" s="259"/>
      <c r="L12" s="259"/>
      <c r="M12" s="259"/>
      <c r="N12" s="259"/>
      <c r="O12" s="260"/>
      <c r="P12" s="252" t="s">
        <v>104</v>
      </c>
      <c r="Q12" s="305">
        <v>0.04</v>
      </c>
      <c r="R12" s="259" t="s">
        <v>596</v>
      </c>
      <c r="S12" s="259"/>
      <c r="T12" s="259"/>
      <c r="U12" s="259">
        <f t="shared" si="0"/>
        <v>0</v>
      </c>
      <c r="V12" s="260"/>
      <c r="W12" s="252" t="s">
        <v>104</v>
      </c>
      <c r="X12" s="305">
        <v>0.04</v>
      </c>
      <c r="Y12" s="259" t="s">
        <v>596</v>
      </c>
      <c r="Z12" s="259"/>
      <c r="AA12" s="259"/>
      <c r="AB12" s="259">
        <f t="shared" si="1"/>
        <v>0</v>
      </c>
      <c r="AC12" s="260"/>
      <c r="AD12" s="252" t="s">
        <v>104</v>
      </c>
      <c r="AE12" s="305">
        <v>0.04</v>
      </c>
      <c r="AF12" s="259" t="s">
        <v>596</v>
      </c>
      <c r="AG12" s="259"/>
      <c r="AH12" s="259"/>
      <c r="AI12" s="259">
        <f t="shared" si="2"/>
        <v>0</v>
      </c>
      <c r="AJ12" s="260"/>
      <c r="AK12" s="252" t="s">
        <v>104</v>
      </c>
      <c r="AL12" s="305">
        <v>0.04</v>
      </c>
      <c r="AM12" s="259" t="s">
        <v>596</v>
      </c>
      <c r="AN12" s="259"/>
      <c r="AO12" s="259"/>
      <c r="AP12" s="259">
        <f t="shared" si="3"/>
        <v>0</v>
      </c>
      <c r="AQ12" s="260"/>
      <c r="AR12" s="252" t="s">
        <v>104</v>
      </c>
      <c r="AS12" s="305">
        <v>0.04</v>
      </c>
      <c r="AT12" s="259" t="s">
        <v>596</v>
      </c>
      <c r="AU12" s="259"/>
      <c r="AV12" s="259"/>
      <c r="AW12" s="259">
        <f t="shared" si="4"/>
        <v>0</v>
      </c>
      <c r="AX12" s="260"/>
      <c r="AY12" s="148"/>
      <c r="AZ12" s="149"/>
      <c r="BA12" s="150"/>
      <c r="BB12" s="151"/>
      <c r="BC12" s="152"/>
      <c r="BD12" s="147"/>
      <c r="BE12" s="147"/>
      <c r="BF12" s="153"/>
    </row>
    <row r="13" spans="1:60">
      <c r="A13" s="4237"/>
      <c r="B13" s="194"/>
      <c r="C13" s="4234"/>
      <c r="D13" s="253" t="s">
        <v>171</v>
      </c>
      <c r="E13" s="261"/>
      <c r="F13" s="261"/>
      <c r="G13" s="261">
        <v>855606212</v>
      </c>
      <c r="H13" s="261"/>
      <c r="I13" s="262"/>
      <c r="J13" s="253" t="s">
        <v>171</v>
      </c>
      <c r="K13" s="261"/>
      <c r="L13" s="261"/>
      <c r="M13" s="261">
        <v>344024441</v>
      </c>
      <c r="N13" s="261"/>
      <c r="O13" s="262"/>
      <c r="P13" s="253" t="s">
        <v>171</v>
      </c>
      <c r="Q13" s="297">
        <v>0.04</v>
      </c>
      <c r="R13" s="261" t="s">
        <v>596</v>
      </c>
      <c r="S13" s="261">
        <v>959599466</v>
      </c>
      <c r="T13" s="261"/>
      <c r="U13" s="261">
        <f t="shared" si="0"/>
        <v>0</v>
      </c>
      <c r="V13" s="262"/>
      <c r="W13" s="253" t="s">
        <v>171</v>
      </c>
      <c r="X13" s="297">
        <v>0.04</v>
      </c>
      <c r="Y13" s="261" t="s">
        <v>596</v>
      </c>
      <c r="Z13" s="261">
        <v>262555011</v>
      </c>
      <c r="AA13" s="261"/>
      <c r="AB13" s="261">
        <f t="shared" si="1"/>
        <v>0</v>
      </c>
      <c r="AC13" s="262"/>
      <c r="AD13" s="253" t="s">
        <v>171</v>
      </c>
      <c r="AE13" s="297">
        <v>0.04</v>
      </c>
      <c r="AF13" s="261" t="s">
        <v>596</v>
      </c>
      <c r="AG13" s="261">
        <v>504376379</v>
      </c>
      <c r="AH13" s="261"/>
      <c r="AI13" s="261">
        <f t="shared" si="2"/>
        <v>0</v>
      </c>
      <c r="AJ13" s="262"/>
      <c r="AK13" s="253" t="s">
        <v>171</v>
      </c>
      <c r="AL13" s="297">
        <v>0.04</v>
      </c>
      <c r="AM13" s="261" t="s">
        <v>596</v>
      </c>
      <c r="AN13" s="261">
        <v>1128105077</v>
      </c>
      <c r="AO13" s="261"/>
      <c r="AP13" s="261">
        <f t="shared" si="3"/>
        <v>0</v>
      </c>
      <c r="AQ13" s="262"/>
      <c r="AR13" s="253" t="s">
        <v>171</v>
      </c>
      <c r="AS13" s="297">
        <v>0.04</v>
      </c>
      <c r="AT13" s="261" t="s">
        <v>596</v>
      </c>
      <c r="AU13" s="261">
        <v>238082269</v>
      </c>
      <c r="AV13" s="261"/>
      <c r="AW13" s="261">
        <f t="shared" si="4"/>
        <v>0</v>
      </c>
      <c r="AX13" s="262"/>
      <c r="AY13" s="155"/>
      <c r="AZ13" s="156"/>
      <c r="BA13" s="157"/>
      <c r="BB13" s="158"/>
      <c r="BC13" s="159"/>
      <c r="BD13" s="154"/>
      <c r="BE13" s="154"/>
      <c r="BF13" s="160"/>
    </row>
    <row r="14" spans="1:60">
      <c r="A14" s="4237"/>
      <c r="B14" s="194"/>
      <c r="C14" s="4234"/>
      <c r="D14" s="253" t="s">
        <v>103</v>
      </c>
      <c r="E14" s="261"/>
      <c r="F14" s="261"/>
      <c r="G14" s="261"/>
      <c r="H14" s="261"/>
      <c r="I14" s="262"/>
      <c r="J14" s="253" t="s">
        <v>103</v>
      </c>
      <c r="K14" s="261"/>
      <c r="L14" s="261"/>
      <c r="M14" s="261"/>
      <c r="N14" s="261"/>
      <c r="O14" s="262"/>
      <c r="P14" s="253" t="s">
        <v>103</v>
      </c>
      <c r="Q14" s="297">
        <v>0.04</v>
      </c>
      <c r="R14" s="261" t="s">
        <v>596</v>
      </c>
      <c r="S14" s="261"/>
      <c r="T14" s="261"/>
      <c r="U14" s="261">
        <f t="shared" si="0"/>
        <v>0</v>
      </c>
      <c r="V14" s="262"/>
      <c r="W14" s="253" t="s">
        <v>103</v>
      </c>
      <c r="X14" s="297">
        <v>0.04</v>
      </c>
      <c r="Y14" s="261" t="s">
        <v>596</v>
      </c>
      <c r="Z14" s="261">
        <v>13132800</v>
      </c>
      <c r="AA14" s="261"/>
      <c r="AB14" s="261">
        <f t="shared" si="1"/>
        <v>0</v>
      </c>
      <c r="AC14" s="262"/>
      <c r="AD14" s="253" t="s">
        <v>103</v>
      </c>
      <c r="AE14" s="297">
        <v>0.04</v>
      </c>
      <c r="AF14" s="261" t="s">
        <v>596</v>
      </c>
      <c r="AG14" s="261">
        <v>26009424</v>
      </c>
      <c r="AH14" s="261"/>
      <c r="AI14" s="261">
        <f t="shared" si="2"/>
        <v>0</v>
      </c>
      <c r="AJ14" s="262"/>
      <c r="AK14" s="253" t="s">
        <v>103</v>
      </c>
      <c r="AL14" s="297">
        <v>0.04</v>
      </c>
      <c r="AM14" s="261" t="s">
        <v>596</v>
      </c>
      <c r="AN14" s="261">
        <v>79098876</v>
      </c>
      <c r="AO14" s="261"/>
      <c r="AP14" s="261">
        <f t="shared" si="3"/>
        <v>0</v>
      </c>
      <c r="AQ14" s="262"/>
      <c r="AR14" s="253" t="s">
        <v>103</v>
      </c>
      <c r="AS14" s="297">
        <v>0.04</v>
      </c>
      <c r="AT14" s="261" t="s">
        <v>596</v>
      </c>
      <c r="AU14" s="261">
        <v>102056544</v>
      </c>
      <c r="AV14" s="261"/>
      <c r="AW14" s="261">
        <f t="shared" si="4"/>
        <v>0</v>
      </c>
      <c r="AX14" s="262"/>
      <c r="AY14" s="155"/>
      <c r="AZ14" s="156"/>
      <c r="BA14" s="157"/>
      <c r="BB14" s="158"/>
      <c r="BC14" s="159"/>
      <c r="BD14" s="154"/>
      <c r="BE14" s="154"/>
      <c r="BF14" s="160"/>
    </row>
    <row r="15" spans="1:60" ht="15.75" thickBot="1">
      <c r="A15" s="4239"/>
      <c r="B15" s="200"/>
      <c r="C15" s="4240"/>
      <c r="D15" s="255" t="s">
        <v>336</v>
      </c>
      <c r="E15" s="265"/>
      <c r="F15" s="265"/>
      <c r="G15" s="265">
        <v>3523959</v>
      </c>
      <c r="H15" s="265"/>
      <c r="I15" s="266"/>
      <c r="J15" s="255" t="s">
        <v>336</v>
      </c>
      <c r="K15" s="265"/>
      <c r="L15" s="265"/>
      <c r="M15" s="265">
        <v>69458352</v>
      </c>
      <c r="N15" s="265"/>
      <c r="O15" s="266"/>
      <c r="P15" s="255" t="s">
        <v>336</v>
      </c>
      <c r="Q15" s="307">
        <v>0.04</v>
      </c>
      <c r="R15" s="265" t="s">
        <v>596</v>
      </c>
      <c r="S15" s="265">
        <v>8606110</v>
      </c>
      <c r="T15" s="265"/>
      <c r="U15" s="265">
        <f t="shared" si="0"/>
        <v>0</v>
      </c>
      <c r="V15" s="266"/>
      <c r="W15" s="255" t="s">
        <v>336</v>
      </c>
      <c r="X15" s="307">
        <v>0.04</v>
      </c>
      <c r="Y15" s="265" t="s">
        <v>596</v>
      </c>
      <c r="Z15" s="265">
        <v>11445738</v>
      </c>
      <c r="AA15" s="265"/>
      <c r="AB15" s="265">
        <f t="shared" si="1"/>
        <v>0</v>
      </c>
      <c r="AC15" s="266"/>
      <c r="AD15" s="255" t="s">
        <v>336</v>
      </c>
      <c r="AE15" s="307">
        <v>0.04</v>
      </c>
      <c r="AF15" s="265" t="s">
        <v>596</v>
      </c>
      <c r="AG15" s="265">
        <v>69297757</v>
      </c>
      <c r="AH15" s="265"/>
      <c r="AI15" s="265">
        <f t="shared" si="2"/>
        <v>0</v>
      </c>
      <c r="AJ15" s="266"/>
      <c r="AK15" s="255" t="s">
        <v>336</v>
      </c>
      <c r="AL15" s="307">
        <v>0.04</v>
      </c>
      <c r="AM15" s="265" t="s">
        <v>596</v>
      </c>
      <c r="AN15" s="265">
        <v>30211641</v>
      </c>
      <c r="AO15" s="265"/>
      <c r="AP15" s="265">
        <f t="shared" si="3"/>
        <v>0</v>
      </c>
      <c r="AQ15" s="266"/>
      <c r="AR15" s="255" t="s">
        <v>336</v>
      </c>
      <c r="AS15" s="307">
        <v>0.04</v>
      </c>
      <c r="AT15" s="265" t="s">
        <v>596</v>
      </c>
      <c r="AU15" s="265">
        <v>32659123</v>
      </c>
      <c r="AV15" s="265"/>
      <c r="AW15" s="265">
        <f t="shared" si="4"/>
        <v>0</v>
      </c>
      <c r="AX15" s="266"/>
      <c r="AY15" s="169"/>
      <c r="AZ15" s="170"/>
      <c r="BA15" s="171"/>
      <c r="BB15" s="172"/>
      <c r="BC15" s="173"/>
      <c r="BD15" s="168"/>
      <c r="BE15" s="168"/>
      <c r="BF15" s="174"/>
    </row>
    <row r="16" spans="1:60" ht="15.75" thickTop="1">
      <c r="A16" s="4227" t="s">
        <v>232</v>
      </c>
      <c r="B16" s="201" t="s">
        <v>232</v>
      </c>
      <c r="C16" s="4230" t="s">
        <v>96</v>
      </c>
      <c r="D16" s="252" t="s">
        <v>104</v>
      </c>
      <c r="E16" s="259"/>
      <c r="F16" s="259"/>
      <c r="G16" s="259">
        <v>36529920</v>
      </c>
      <c r="H16" s="259"/>
      <c r="I16" s="260"/>
      <c r="J16" s="252" t="s">
        <v>104</v>
      </c>
      <c r="K16" s="259"/>
      <c r="L16" s="259"/>
      <c r="M16" s="259">
        <v>32876928</v>
      </c>
      <c r="N16" s="259"/>
      <c r="O16" s="260"/>
      <c r="P16" s="252" t="s">
        <v>104</v>
      </c>
      <c r="Q16" s="305"/>
      <c r="R16" s="259"/>
      <c r="S16" s="259">
        <v>8710103</v>
      </c>
      <c r="T16" s="259"/>
      <c r="U16" s="259">
        <f t="shared" si="0"/>
        <v>0</v>
      </c>
      <c r="V16" s="260"/>
      <c r="W16" s="252" t="s">
        <v>104</v>
      </c>
      <c r="X16" s="305"/>
      <c r="Y16" s="259"/>
      <c r="Z16" s="259">
        <v>-57078</v>
      </c>
      <c r="AA16" s="259"/>
      <c r="AB16" s="259">
        <f t="shared" si="1"/>
        <v>0</v>
      </c>
      <c r="AC16" s="260"/>
      <c r="AD16" s="252" t="s">
        <v>104</v>
      </c>
      <c r="AE16" s="305"/>
      <c r="AF16" s="259"/>
      <c r="AG16" s="259">
        <v>115943098</v>
      </c>
      <c r="AH16" s="259"/>
      <c r="AI16" s="259">
        <f t="shared" si="2"/>
        <v>0</v>
      </c>
      <c r="AJ16" s="260"/>
      <c r="AK16" s="252" t="s">
        <v>104</v>
      </c>
      <c r="AL16" s="305"/>
      <c r="AM16" s="259"/>
      <c r="AN16" s="259">
        <v>34157760</v>
      </c>
      <c r="AO16" s="259"/>
      <c r="AP16" s="259">
        <f t="shared" si="3"/>
        <v>0</v>
      </c>
      <c r="AQ16" s="260"/>
      <c r="AR16" s="252" t="s">
        <v>104</v>
      </c>
      <c r="AS16" s="305"/>
      <c r="AT16" s="259"/>
      <c r="AU16" s="259">
        <v>64768553</v>
      </c>
      <c r="AV16" s="259"/>
      <c r="AW16" s="259">
        <f t="shared" si="4"/>
        <v>0</v>
      </c>
      <c r="AX16" s="260"/>
      <c r="AY16" s="132"/>
      <c r="AZ16" s="133"/>
      <c r="BA16" s="134"/>
      <c r="BB16" s="135"/>
      <c r="BC16" s="136"/>
      <c r="BD16" s="131"/>
      <c r="BE16" s="131"/>
      <c r="BF16" s="137"/>
    </row>
    <row r="17" spans="1:58">
      <c r="A17" s="4228"/>
      <c r="B17" s="197"/>
      <c r="C17" s="4231"/>
      <c r="D17" s="253" t="s">
        <v>171</v>
      </c>
      <c r="E17" s="261"/>
      <c r="F17" s="261"/>
      <c r="G17" s="261">
        <v>1733232</v>
      </c>
      <c r="H17" s="261"/>
      <c r="I17" s="262"/>
      <c r="J17" s="253" t="s">
        <v>171</v>
      </c>
      <c r="K17" s="261"/>
      <c r="L17" s="261"/>
      <c r="M17" s="261">
        <v>5185777</v>
      </c>
      <c r="N17" s="261"/>
      <c r="O17" s="262"/>
      <c r="P17" s="253" t="s">
        <v>171</v>
      </c>
      <c r="Q17" s="297"/>
      <c r="R17" s="261"/>
      <c r="S17" s="261">
        <v>1273594</v>
      </c>
      <c r="T17" s="261"/>
      <c r="U17" s="261">
        <f t="shared" si="0"/>
        <v>0</v>
      </c>
      <c r="V17" s="262"/>
      <c r="W17" s="253" t="s">
        <v>171</v>
      </c>
      <c r="X17" s="297"/>
      <c r="Y17" s="261"/>
      <c r="Z17" s="261">
        <v>3535980</v>
      </c>
      <c r="AA17" s="261"/>
      <c r="AB17" s="261">
        <f t="shared" si="1"/>
        <v>0</v>
      </c>
      <c r="AC17" s="262"/>
      <c r="AD17" s="253" t="s">
        <v>171</v>
      </c>
      <c r="AE17" s="297"/>
      <c r="AF17" s="261"/>
      <c r="AG17" s="261">
        <v>5472468</v>
      </c>
      <c r="AH17" s="261"/>
      <c r="AI17" s="261">
        <f t="shared" si="2"/>
        <v>0</v>
      </c>
      <c r="AJ17" s="262"/>
      <c r="AK17" s="253" t="s">
        <v>171</v>
      </c>
      <c r="AL17" s="297"/>
      <c r="AM17" s="261"/>
      <c r="AN17" s="261">
        <v>277497</v>
      </c>
      <c r="AO17" s="261"/>
      <c r="AP17" s="261">
        <f t="shared" si="3"/>
        <v>0</v>
      </c>
      <c r="AQ17" s="262"/>
      <c r="AR17" s="253" t="s">
        <v>171</v>
      </c>
      <c r="AS17" s="297"/>
      <c r="AT17" s="261"/>
      <c r="AU17" s="261">
        <v>2540986</v>
      </c>
      <c r="AV17" s="261"/>
      <c r="AW17" s="261">
        <f t="shared" si="4"/>
        <v>0</v>
      </c>
      <c r="AX17" s="262"/>
      <c r="AY17" s="118"/>
      <c r="AZ17" s="125"/>
      <c r="BA17" s="128"/>
      <c r="BB17" s="114"/>
      <c r="BC17" s="116"/>
      <c r="BD17" s="111"/>
      <c r="BE17" s="111"/>
      <c r="BF17" s="138"/>
    </row>
    <row r="18" spans="1:58">
      <c r="A18" s="4228"/>
      <c r="B18" s="197"/>
      <c r="C18" s="4231"/>
      <c r="D18" s="253" t="s">
        <v>103</v>
      </c>
      <c r="E18" s="261"/>
      <c r="F18" s="261"/>
      <c r="G18" s="261">
        <v>23794318</v>
      </c>
      <c r="H18" s="261"/>
      <c r="I18" s="262"/>
      <c r="J18" s="253" t="s">
        <v>103</v>
      </c>
      <c r="K18" s="261"/>
      <c r="L18" s="261"/>
      <c r="M18" s="261">
        <v>14264790</v>
      </c>
      <c r="N18" s="261"/>
      <c r="O18" s="262"/>
      <c r="P18" s="253" t="s">
        <v>103</v>
      </c>
      <c r="Q18" s="297"/>
      <c r="R18" s="261"/>
      <c r="S18" s="261">
        <v>59793129</v>
      </c>
      <c r="T18" s="261"/>
      <c r="U18" s="261">
        <f t="shared" si="0"/>
        <v>0</v>
      </c>
      <c r="V18" s="262"/>
      <c r="W18" s="253" t="s">
        <v>103</v>
      </c>
      <c r="X18" s="297"/>
      <c r="Y18" s="261"/>
      <c r="Z18" s="261">
        <v>71235809</v>
      </c>
      <c r="AA18" s="261"/>
      <c r="AB18" s="261">
        <f t="shared" si="1"/>
        <v>0</v>
      </c>
      <c r="AC18" s="262"/>
      <c r="AD18" s="253" t="s">
        <v>103</v>
      </c>
      <c r="AE18" s="297"/>
      <c r="AF18" s="261"/>
      <c r="AG18" s="261">
        <v>49130534</v>
      </c>
      <c r="AH18" s="261"/>
      <c r="AI18" s="261">
        <f t="shared" si="2"/>
        <v>0</v>
      </c>
      <c r="AJ18" s="262"/>
      <c r="AK18" s="253" t="s">
        <v>103</v>
      </c>
      <c r="AL18" s="297"/>
      <c r="AM18" s="261"/>
      <c r="AN18" s="261">
        <v>3116400</v>
      </c>
      <c r="AO18" s="261"/>
      <c r="AP18" s="261">
        <f t="shared" si="3"/>
        <v>0</v>
      </c>
      <c r="AQ18" s="262"/>
      <c r="AR18" s="253" t="s">
        <v>103</v>
      </c>
      <c r="AS18" s="297"/>
      <c r="AT18" s="261"/>
      <c r="AU18" s="261">
        <v>127645280</v>
      </c>
      <c r="AV18" s="261"/>
      <c r="AW18" s="261">
        <f t="shared" si="4"/>
        <v>0</v>
      </c>
      <c r="AX18" s="262"/>
      <c r="AY18" s="118"/>
      <c r="AZ18" s="125"/>
      <c r="BA18" s="128"/>
      <c r="BB18" s="114"/>
      <c r="BC18" s="116"/>
      <c r="BD18" s="111"/>
      <c r="BE18" s="111"/>
      <c r="BF18" s="138"/>
    </row>
    <row r="19" spans="1:58" ht="15.75" thickBot="1">
      <c r="A19" s="4241"/>
      <c r="B19" s="202"/>
      <c r="C19" s="4242"/>
      <c r="D19" s="255" t="s">
        <v>336</v>
      </c>
      <c r="E19" s="265"/>
      <c r="F19" s="265"/>
      <c r="G19" s="265">
        <v>5597312</v>
      </c>
      <c r="H19" s="265"/>
      <c r="I19" s="266"/>
      <c r="J19" s="255" t="s">
        <v>336</v>
      </c>
      <c r="K19" s="265"/>
      <c r="L19" s="265"/>
      <c r="M19" s="265">
        <v>2924809</v>
      </c>
      <c r="N19" s="265"/>
      <c r="O19" s="266"/>
      <c r="P19" s="255" t="s">
        <v>336</v>
      </c>
      <c r="Q19" s="307"/>
      <c r="R19" s="265"/>
      <c r="S19" s="265">
        <v>1508866</v>
      </c>
      <c r="T19" s="265"/>
      <c r="U19" s="265">
        <f t="shared" si="0"/>
        <v>0</v>
      </c>
      <c r="V19" s="266"/>
      <c r="W19" s="255" t="s">
        <v>336</v>
      </c>
      <c r="X19" s="307"/>
      <c r="Y19" s="265"/>
      <c r="Z19" s="265">
        <v>2895975</v>
      </c>
      <c r="AA19" s="265"/>
      <c r="AB19" s="265">
        <f t="shared" si="1"/>
        <v>0</v>
      </c>
      <c r="AC19" s="266"/>
      <c r="AD19" s="255" t="s">
        <v>336</v>
      </c>
      <c r="AE19" s="307"/>
      <c r="AF19" s="265"/>
      <c r="AG19" s="265">
        <v>2572278</v>
      </c>
      <c r="AH19" s="265"/>
      <c r="AI19" s="265">
        <f t="shared" si="2"/>
        <v>0</v>
      </c>
      <c r="AJ19" s="266"/>
      <c r="AK19" s="255" t="s">
        <v>336</v>
      </c>
      <c r="AL19" s="307"/>
      <c r="AM19" s="265"/>
      <c r="AN19" s="265">
        <v>706058</v>
      </c>
      <c r="AO19" s="265"/>
      <c r="AP19" s="265">
        <f t="shared" si="3"/>
        <v>0</v>
      </c>
      <c r="AQ19" s="266"/>
      <c r="AR19" s="255" t="s">
        <v>336</v>
      </c>
      <c r="AS19" s="307"/>
      <c r="AT19" s="265"/>
      <c r="AU19" s="265">
        <v>3420905</v>
      </c>
      <c r="AV19" s="265"/>
      <c r="AW19" s="265">
        <f t="shared" si="4"/>
        <v>0</v>
      </c>
      <c r="AX19" s="266"/>
      <c r="AY19" s="141"/>
      <c r="AZ19" s="142"/>
      <c r="BA19" s="143"/>
      <c r="BB19" s="144"/>
      <c r="BC19" s="145"/>
      <c r="BD19" s="140"/>
      <c r="BE19" s="140"/>
      <c r="BF19" s="146"/>
    </row>
    <row r="20" spans="1:58" ht="15.75" thickTop="1">
      <c r="A20" s="4236" t="s">
        <v>106</v>
      </c>
      <c r="B20" s="193" t="s">
        <v>106</v>
      </c>
      <c r="C20" s="4233" t="s">
        <v>92</v>
      </c>
      <c r="D20" s="252" t="s">
        <v>104</v>
      </c>
      <c r="E20" s="259"/>
      <c r="F20" s="259"/>
      <c r="G20" s="259">
        <v>61853914</v>
      </c>
      <c r="H20" s="259"/>
      <c r="I20" s="260"/>
      <c r="J20" s="252" t="s">
        <v>104</v>
      </c>
      <c r="K20" s="259"/>
      <c r="L20" s="259"/>
      <c r="M20" s="259">
        <v>56017646</v>
      </c>
      <c r="N20" s="259"/>
      <c r="O20" s="260"/>
      <c r="P20" s="252" t="s">
        <v>104</v>
      </c>
      <c r="Q20" s="305">
        <f>IF(S20&gt;0,0.05,0)</f>
        <v>0.05</v>
      </c>
      <c r="R20" s="259" t="s">
        <v>595</v>
      </c>
      <c r="S20" s="259">
        <v>101626574</v>
      </c>
      <c r="T20" s="259"/>
      <c r="U20" s="259">
        <f t="shared" si="0"/>
        <v>0</v>
      </c>
      <c r="V20" s="260"/>
      <c r="W20" s="252" t="s">
        <v>104</v>
      </c>
      <c r="X20" s="305">
        <f>IF(Z20&gt;0,0.05,0)</f>
        <v>0.05</v>
      </c>
      <c r="Y20" s="259" t="s">
        <v>595</v>
      </c>
      <c r="Z20" s="259">
        <v>78034135</v>
      </c>
      <c r="AA20" s="259"/>
      <c r="AB20" s="259">
        <f t="shared" si="1"/>
        <v>0</v>
      </c>
      <c r="AC20" s="260"/>
      <c r="AD20" s="252" t="s">
        <v>104</v>
      </c>
      <c r="AE20" s="305">
        <f>IF(AG20&gt;0,0.05,0)</f>
        <v>0.05</v>
      </c>
      <c r="AF20" s="259" t="s">
        <v>595</v>
      </c>
      <c r="AG20" s="259">
        <v>76037361</v>
      </c>
      <c r="AH20" s="259"/>
      <c r="AI20" s="259">
        <f t="shared" si="2"/>
        <v>0</v>
      </c>
      <c r="AJ20" s="260"/>
      <c r="AK20" s="252" t="s">
        <v>104</v>
      </c>
      <c r="AL20" s="305">
        <f>IF(AN20&gt;0,0.05,0)</f>
        <v>0.05</v>
      </c>
      <c r="AM20" s="259" t="s">
        <v>595</v>
      </c>
      <c r="AN20" s="259">
        <v>100997346</v>
      </c>
      <c r="AO20" s="259"/>
      <c r="AP20" s="259">
        <f t="shared" si="3"/>
        <v>0</v>
      </c>
      <c r="AQ20" s="260"/>
      <c r="AR20" s="252" t="s">
        <v>104</v>
      </c>
      <c r="AS20" s="305">
        <f>IF(AU20&gt;0,0.05,0)</f>
        <v>0.05</v>
      </c>
      <c r="AT20" s="259" t="s">
        <v>595</v>
      </c>
      <c r="AU20" s="259">
        <v>94413803</v>
      </c>
      <c r="AV20" s="259"/>
      <c r="AW20" s="259">
        <f t="shared" si="4"/>
        <v>0</v>
      </c>
      <c r="AX20" s="260"/>
      <c r="AY20" s="148"/>
      <c r="AZ20" s="149"/>
      <c r="BA20" s="150"/>
      <c r="BB20" s="151"/>
      <c r="BC20" s="152"/>
      <c r="BD20" s="147"/>
      <c r="BE20" s="147"/>
      <c r="BF20" s="153"/>
    </row>
    <row r="21" spans="1:58">
      <c r="A21" s="4237"/>
      <c r="B21" s="194"/>
      <c r="C21" s="4234"/>
      <c r="D21" s="253" t="s">
        <v>171</v>
      </c>
      <c r="E21" s="261"/>
      <c r="F21" s="261"/>
      <c r="G21" s="261">
        <v>10667883</v>
      </c>
      <c r="H21" s="297">
        <f>G21/SUM(G20:G23)</f>
        <v>0.10740534445311006</v>
      </c>
      <c r="I21" s="262"/>
      <c r="J21" s="253" t="s">
        <v>171</v>
      </c>
      <c r="K21" s="261"/>
      <c r="L21" s="261"/>
      <c r="M21" s="261">
        <v>38848988</v>
      </c>
      <c r="N21" s="297">
        <f>M21/SUM(M20:M23)</f>
        <v>0.32831359891843159</v>
      </c>
      <c r="O21" s="262"/>
      <c r="P21" s="253" t="s">
        <v>171</v>
      </c>
      <c r="Q21" s="297">
        <f>IF(S21&gt;0,0.05,0)</f>
        <v>0.05</v>
      </c>
      <c r="R21" s="261" t="s">
        <v>596</v>
      </c>
      <c r="S21" s="261">
        <v>44236868</v>
      </c>
      <c r="T21" s="261"/>
      <c r="U21" s="261">
        <f t="shared" si="0"/>
        <v>0</v>
      </c>
      <c r="V21" s="262"/>
      <c r="W21" s="253" t="s">
        <v>171</v>
      </c>
      <c r="X21" s="297">
        <f>IF(Z21&gt;0,0.05,0)</f>
        <v>0.05</v>
      </c>
      <c r="Y21" s="261" t="s">
        <v>596</v>
      </c>
      <c r="Z21" s="261">
        <v>32730429</v>
      </c>
      <c r="AA21" s="261"/>
      <c r="AB21" s="261">
        <f t="shared" si="1"/>
        <v>0</v>
      </c>
      <c r="AC21" s="262"/>
      <c r="AD21" s="253" t="s">
        <v>171</v>
      </c>
      <c r="AE21" s="297">
        <f>IF(AG21&gt;0,0.05,0)</f>
        <v>0.05</v>
      </c>
      <c r="AF21" s="261" t="s">
        <v>596</v>
      </c>
      <c r="AG21" s="261">
        <v>38935592</v>
      </c>
      <c r="AH21" s="261"/>
      <c r="AI21" s="261">
        <f t="shared" si="2"/>
        <v>0</v>
      </c>
      <c r="AJ21" s="262"/>
      <c r="AK21" s="253" t="s">
        <v>171</v>
      </c>
      <c r="AL21" s="297">
        <f>IF(AN21&gt;0,0.05,0)</f>
        <v>0.05</v>
      </c>
      <c r="AM21" s="261" t="s">
        <v>596</v>
      </c>
      <c r="AN21" s="261">
        <v>48082901</v>
      </c>
      <c r="AO21" s="261"/>
      <c r="AP21" s="261">
        <f t="shared" si="3"/>
        <v>0</v>
      </c>
      <c r="AQ21" s="262"/>
      <c r="AR21" s="253" t="s">
        <v>171</v>
      </c>
      <c r="AS21" s="297">
        <f>IF(AU21&gt;0,0.05,0)</f>
        <v>0.05</v>
      </c>
      <c r="AT21" s="261" t="s">
        <v>596</v>
      </c>
      <c r="AU21" s="261">
        <v>37473285</v>
      </c>
      <c r="AV21" s="261"/>
      <c r="AW21" s="261">
        <f t="shared" si="4"/>
        <v>0</v>
      </c>
      <c r="AX21" s="262"/>
      <c r="AY21" s="155"/>
      <c r="AZ21" s="156"/>
      <c r="BA21" s="157"/>
      <c r="BB21" s="158"/>
      <c r="BC21" s="159"/>
      <c r="BD21" s="154"/>
      <c r="BE21" s="154"/>
      <c r="BF21" s="160"/>
    </row>
    <row r="22" spans="1:58">
      <c r="A22" s="4237"/>
      <c r="B22" s="194"/>
      <c r="C22" s="4234"/>
      <c r="D22" s="253" t="s">
        <v>103</v>
      </c>
      <c r="E22" s="261"/>
      <c r="F22" s="261"/>
      <c r="G22" s="261">
        <v>26636843</v>
      </c>
      <c r="H22" s="261"/>
      <c r="I22" s="262"/>
      <c r="J22" s="253" t="s">
        <v>103</v>
      </c>
      <c r="K22" s="261"/>
      <c r="L22" s="261"/>
      <c r="M22" s="261">
        <v>14119118</v>
      </c>
      <c r="N22" s="261"/>
      <c r="O22" s="262"/>
      <c r="P22" s="253" t="s">
        <v>103</v>
      </c>
      <c r="Q22" s="297">
        <f>IF(S22&gt;0,0.05,0)</f>
        <v>0.05</v>
      </c>
      <c r="R22" s="261" t="s">
        <v>596</v>
      </c>
      <c r="S22" s="261">
        <v>28055077</v>
      </c>
      <c r="T22" s="261"/>
      <c r="U22" s="261">
        <f t="shared" si="0"/>
        <v>0</v>
      </c>
      <c r="V22" s="262"/>
      <c r="W22" s="253" t="s">
        <v>103</v>
      </c>
      <c r="X22" s="297">
        <f>IF(Z22&gt;0,0.05,0)</f>
        <v>0.05</v>
      </c>
      <c r="Y22" s="261" t="s">
        <v>596</v>
      </c>
      <c r="Z22" s="261">
        <v>29551741</v>
      </c>
      <c r="AA22" s="261"/>
      <c r="AB22" s="261">
        <f t="shared" si="1"/>
        <v>0</v>
      </c>
      <c r="AC22" s="262"/>
      <c r="AD22" s="253" t="s">
        <v>103</v>
      </c>
      <c r="AE22" s="297">
        <f>IF(AG22&gt;0,0.05,0)</f>
        <v>0.05</v>
      </c>
      <c r="AF22" s="261" t="s">
        <v>596</v>
      </c>
      <c r="AG22" s="261">
        <v>27878892</v>
      </c>
      <c r="AH22" s="261"/>
      <c r="AI22" s="261">
        <f t="shared" si="2"/>
        <v>0</v>
      </c>
      <c r="AJ22" s="262"/>
      <c r="AK22" s="253" t="s">
        <v>103</v>
      </c>
      <c r="AL22" s="297">
        <f>IF(AN22&gt;0,0.05,0)</f>
        <v>0.05</v>
      </c>
      <c r="AM22" s="261" t="s">
        <v>596</v>
      </c>
      <c r="AN22" s="261">
        <v>30331472</v>
      </c>
      <c r="AO22" s="261"/>
      <c r="AP22" s="261">
        <f t="shared" si="3"/>
        <v>0</v>
      </c>
      <c r="AQ22" s="262"/>
      <c r="AR22" s="253" t="s">
        <v>103</v>
      </c>
      <c r="AS22" s="297">
        <f>IF(AU22&gt;0,0.05,0)</f>
        <v>0.05</v>
      </c>
      <c r="AT22" s="261" t="s">
        <v>596</v>
      </c>
      <c r="AU22" s="261">
        <v>34141202</v>
      </c>
      <c r="AV22" s="261"/>
      <c r="AW22" s="261">
        <f t="shared" si="4"/>
        <v>0</v>
      </c>
      <c r="AX22" s="262"/>
      <c r="AY22" s="155"/>
      <c r="AZ22" s="156"/>
      <c r="BA22" s="157"/>
      <c r="BB22" s="158"/>
      <c r="BC22" s="159"/>
      <c r="BD22" s="154"/>
      <c r="BE22" s="154"/>
      <c r="BF22" s="160"/>
    </row>
    <row r="23" spans="1:58" ht="15.75" thickBot="1">
      <c r="A23" s="4239"/>
      <c r="B23" s="200"/>
      <c r="C23" s="4240"/>
      <c r="D23" s="255" t="s">
        <v>336</v>
      </c>
      <c r="E23" s="265"/>
      <c r="F23" s="265"/>
      <c r="G23" s="265">
        <v>164937</v>
      </c>
      <c r="H23" s="265"/>
      <c r="I23" s="266"/>
      <c r="J23" s="255" t="s">
        <v>336</v>
      </c>
      <c r="K23" s="265"/>
      <c r="L23" s="265"/>
      <c r="M23" s="265">
        <v>9343151</v>
      </c>
      <c r="N23" s="265"/>
      <c r="O23" s="266"/>
      <c r="P23" s="255" t="s">
        <v>336</v>
      </c>
      <c r="Q23" s="307">
        <f>IF(S23&gt;0,0.05,0)</f>
        <v>0.05</v>
      </c>
      <c r="R23" s="261" t="s">
        <v>596</v>
      </c>
      <c r="S23" s="265">
        <v>1399308</v>
      </c>
      <c r="T23" s="265"/>
      <c r="U23" s="265">
        <f t="shared" si="0"/>
        <v>0</v>
      </c>
      <c r="V23" s="266"/>
      <c r="W23" s="255" t="s">
        <v>336</v>
      </c>
      <c r="X23" s="307">
        <f>IF(Z23&gt;0,0.05,0)</f>
        <v>0.05</v>
      </c>
      <c r="Y23" s="261" t="s">
        <v>596</v>
      </c>
      <c r="Z23" s="265">
        <v>1673272</v>
      </c>
      <c r="AA23" s="265"/>
      <c r="AB23" s="265">
        <f t="shared" si="1"/>
        <v>0</v>
      </c>
      <c r="AC23" s="266"/>
      <c r="AD23" s="255" t="s">
        <v>336</v>
      </c>
      <c r="AE23" s="307">
        <f>IF(AG23&gt;0,0.05,0)</f>
        <v>0.05</v>
      </c>
      <c r="AF23" s="261" t="s">
        <v>596</v>
      </c>
      <c r="AG23" s="265">
        <v>2351697</v>
      </c>
      <c r="AH23" s="265"/>
      <c r="AI23" s="265">
        <f t="shared" si="2"/>
        <v>0</v>
      </c>
      <c r="AJ23" s="266"/>
      <c r="AK23" s="255" t="s">
        <v>336</v>
      </c>
      <c r="AL23" s="307">
        <f>IF(AN23&gt;0,0.05,0)</f>
        <v>0.05</v>
      </c>
      <c r="AM23" s="261" t="s">
        <v>596</v>
      </c>
      <c r="AN23" s="265">
        <v>2653858</v>
      </c>
      <c r="AO23" s="265"/>
      <c r="AP23" s="265">
        <f t="shared" si="3"/>
        <v>0</v>
      </c>
      <c r="AQ23" s="266"/>
      <c r="AR23" s="255" t="s">
        <v>336</v>
      </c>
      <c r="AS23" s="307">
        <f>IF(AU23&gt;0,0.05,0)</f>
        <v>0.05</v>
      </c>
      <c r="AT23" s="261" t="s">
        <v>596</v>
      </c>
      <c r="AU23" s="265">
        <v>1870946</v>
      </c>
      <c r="AV23" s="265"/>
      <c r="AW23" s="265">
        <f t="shared" si="4"/>
        <v>0</v>
      </c>
      <c r="AX23" s="266"/>
      <c r="AY23" s="169"/>
      <c r="AZ23" s="170"/>
      <c r="BA23" s="171"/>
      <c r="BB23" s="172"/>
      <c r="BC23" s="173"/>
      <c r="BD23" s="168"/>
      <c r="BE23" s="168"/>
      <c r="BF23" s="174"/>
    </row>
    <row r="24" spans="1:58" ht="15.75" thickTop="1">
      <c r="A24" s="4227" t="s">
        <v>115</v>
      </c>
      <c r="B24" s="201" t="s">
        <v>115</v>
      </c>
      <c r="C24" s="4230" t="s">
        <v>408</v>
      </c>
      <c r="D24" s="252" t="s">
        <v>104</v>
      </c>
      <c r="E24" s="267"/>
      <c r="F24" s="259"/>
      <c r="G24" s="259">
        <v>259314297</v>
      </c>
      <c r="H24" s="259"/>
      <c r="I24" s="260"/>
      <c r="J24" s="252" t="s">
        <v>104</v>
      </c>
      <c r="K24" s="267"/>
      <c r="L24" s="259"/>
      <c r="M24" s="259">
        <v>376396530</v>
      </c>
      <c r="N24" s="259"/>
      <c r="O24" s="260"/>
      <c r="P24" s="252" t="s">
        <v>104</v>
      </c>
      <c r="Q24" s="305" t="s">
        <v>594</v>
      </c>
      <c r="R24" s="259" t="s">
        <v>595</v>
      </c>
      <c r="S24" s="259">
        <v>320948647</v>
      </c>
      <c r="T24" s="259"/>
      <c r="U24" s="259">
        <f t="shared" si="0"/>
        <v>0</v>
      </c>
      <c r="V24" s="260"/>
      <c r="W24" s="252" t="s">
        <v>104</v>
      </c>
      <c r="X24" s="305" t="s">
        <v>594</v>
      </c>
      <c r="Y24" s="259" t="s">
        <v>595</v>
      </c>
      <c r="Z24" s="259">
        <v>213223917</v>
      </c>
      <c r="AA24" s="259"/>
      <c r="AB24" s="259">
        <f t="shared" si="1"/>
        <v>0</v>
      </c>
      <c r="AC24" s="260"/>
      <c r="AD24" s="252" t="s">
        <v>104</v>
      </c>
      <c r="AE24" s="305" t="s">
        <v>594</v>
      </c>
      <c r="AF24" s="259" t="s">
        <v>595</v>
      </c>
      <c r="AG24" s="259">
        <v>348517245</v>
      </c>
      <c r="AH24" s="259"/>
      <c r="AI24" s="259">
        <f t="shared" si="2"/>
        <v>0</v>
      </c>
      <c r="AJ24" s="260"/>
      <c r="AK24" s="252" t="s">
        <v>104</v>
      </c>
      <c r="AL24" s="305" t="s">
        <v>594</v>
      </c>
      <c r="AM24" s="259" t="s">
        <v>595</v>
      </c>
      <c r="AN24" s="259">
        <v>400390798</v>
      </c>
      <c r="AO24" s="259"/>
      <c r="AP24" s="259">
        <f t="shared" si="3"/>
        <v>0</v>
      </c>
      <c r="AQ24" s="260"/>
      <c r="AR24" s="252" t="s">
        <v>104</v>
      </c>
      <c r="AS24" s="305" t="s">
        <v>594</v>
      </c>
      <c r="AT24" s="259" t="s">
        <v>595</v>
      </c>
      <c r="AU24" s="259">
        <v>429313577</v>
      </c>
      <c r="AV24" s="259"/>
      <c r="AW24" s="259">
        <f t="shared" si="4"/>
        <v>0</v>
      </c>
      <c r="AX24" s="260"/>
      <c r="AY24" s="132"/>
      <c r="AZ24" s="133"/>
      <c r="BA24" s="134"/>
      <c r="BB24" s="135"/>
      <c r="BC24" s="136"/>
      <c r="BD24" s="131"/>
      <c r="BE24" s="131"/>
      <c r="BF24" s="137"/>
    </row>
    <row r="25" spans="1:58">
      <c r="A25" s="4228"/>
      <c r="B25" s="197" t="s">
        <v>116</v>
      </c>
      <c r="C25" s="4231"/>
      <c r="D25" s="253" t="s">
        <v>171</v>
      </c>
      <c r="E25" s="268"/>
      <c r="F25" s="261"/>
      <c r="G25" s="261">
        <v>29419440</v>
      </c>
      <c r="H25" s="261"/>
      <c r="I25" s="262"/>
      <c r="J25" s="253" t="s">
        <v>171</v>
      </c>
      <c r="K25" s="268"/>
      <c r="L25" s="261"/>
      <c r="M25" s="261">
        <v>100696075</v>
      </c>
      <c r="N25" s="261"/>
      <c r="O25" s="262"/>
      <c r="P25" s="253" t="s">
        <v>171</v>
      </c>
      <c r="Q25" s="297">
        <v>0.11</v>
      </c>
      <c r="R25" s="261" t="s">
        <v>595</v>
      </c>
      <c r="S25" s="261">
        <v>49466643</v>
      </c>
      <c r="T25" s="261">
        <f>S25*0.11</f>
        <v>5441330.7300000004</v>
      </c>
      <c r="U25" s="261">
        <f t="shared" si="0"/>
        <v>0</v>
      </c>
      <c r="V25" s="295"/>
      <c r="W25" s="253" t="s">
        <v>171</v>
      </c>
      <c r="X25" s="297">
        <v>0.11</v>
      </c>
      <c r="Y25" s="261" t="s">
        <v>595</v>
      </c>
      <c r="Z25" s="261">
        <v>45180763</v>
      </c>
      <c r="AA25" s="261">
        <f>Z25*0.11</f>
        <v>4969883.93</v>
      </c>
      <c r="AB25" s="261">
        <f t="shared" si="1"/>
        <v>0</v>
      </c>
      <c r="AC25" s="295"/>
      <c r="AD25" s="253" t="s">
        <v>171</v>
      </c>
      <c r="AE25" s="297">
        <v>0.11</v>
      </c>
      <c r="AF25" s="261" t="s">
        <v>595</v>
      </c>
      <c r="AG25" s="261">
        <v>73573234</v>
      </c>
      <c r="AH25" s="261"/>
      <c r="AI25" s="261">
        <f t="shared" si="2"/>
        <v>0</v>
      </c>
      <c r="AJ25" s="295"/>
      <c r="AK25" s="253" t="s">
        <v>171</v>
      </c>
      <c r="AL25" s="297">
        <v>0.11</v>
      </c>
      <c r="AM25" s="261" t="s">
        <v>595</v>
      </c>
      <c r="AN25" s="261">
        <v>99178410</v>
      </c>
      <c r="AO25" s="261"/>
      <c r="AP25" s="261">
        <f t="shared" si="3"/>
        <v>0</v>
      </c>
      <c r="AQ25" s="295"/>
      <c r="AR25" s="253" t="s">
        <v>171</v>
      </c>
      <c r="AS25" s="297">
        <v>0.11</v>
      </c>
      <c r="AT25" s="261" t="s">
        <v>595</v>
      </c>
      <c r="AU25" s="261">
        <v>73187588</v>
      </c>
      <c r="AV25" s="261"/>
      <c r="AW25" s="261">
        <f t="shared" si="4"/>
        <v>0</v>
      </c>
      <c r="AX25" s="295"/>
      <c r="AY25" s="118"/>
      <c r="AZ25" s="125"/>
      <c r="BA25" s="128"/>
      <c r="BB25" s="114"/>
      <c r="BC25" s="116"/>
      <c r="BD25" s="111"/>
      <c r="BE25" s="111"/>
      <c r="BF25" s="138"/>
    </row>
    <row r="26" spans="1:58">
      <c r="A26" s="4228"/>
      <c r="B26" s="197"/>
      <c r="C26" s="4231"/>
      <c r="D26" s="253" t="s">
        <v>103</v>
      </c>
      <c r="E26" s="261"/>
      <c r="F26" s="261"/>
      <c r="G26" s="261"/>
      <c r="H26" s="261"/>
      <c r="I26" s="262"/>
      <c r="J26" s="253" t="s">
        <v>103</v>
      </c>
      <c r="K26" s="261"/>
      <c r="L26" s="261"/>
      <c r="M26" s="261"/>
      <c r="N26" s="261"/>
      <c r="O26" s="262"/>
      <c r="P26" s="253" t="s">
        <v>103</v>
      </c>
      <c r="Q26" s="297"/>
      <c r="R26" s="261"/>
      <c r="S26" s="261"/>
      <c r="T26" s="261"/>
      <c r="U26" s="261">
        <f t="shared" si="0"/>
        <v>0</v>
      </c>
      <c r="V26" s="262"/>
      <c r="W26" s="253" t="s">
        <v>103</v>
      </c>
      <c r="X26" s="297"/>
      <c r="Y26" s="261"/>
      <c r="Z26" s="261">
        <v>5353560</v>
      </c>
      <c r="AA26" s="261"/>
      <c r="AB26" s="261">
        <f t="shared" si="1"/>
        <v>0</v>
      </c>
      <c r="AC26" s="262"/>
      <c r="AD26" s="253" t="s">
        <v>103</v>
      </c>
      <c r="AE26" s="297"/>
      <c r="AF26" s="261"/>
      <c r="AG26" s="261">
        <v>25702596</v>
      </c>
      <c r="AH26" s="261"/>
      <c r="AI26" s="261">
        <f t="shared" si="2"/>
        <v>0</v>
      </c>
      <c r="AJ26" s="262"/>
      <c r="AK26" s="253" t="s">
        <v>103</v>
      </c>
      <c r="AL26" s="297"/>
      <c r="AM26" s="261"/>
      <c r="AN26" s="261">
        <v>62158218</v>
      </c>
      <c r="AO26" s="261"/>
      <c r="AP26" s="261">
        <f t="shared" si="3"/>
        <v>0</v>
      </c>
      <c r="AQ26" s="262"/>
      <c r="AR26" s="253" t="s">
        <v>103</v>
      </c>
      <c r="AS26" s="297"/>
      <c r="AT26" s="261"/>
      <c r="AU26" s="261">
        <v>37463308</v>
      </c>
      <c r="AV26" s="261"/>
      <c r="AW26" s="261">
        <f t="shared" si="4"/>
        <v>0</v>
      </c>
      <c r="AX26" s="262"/>
      <c r="AY26" s="118"/>
      <c r="AZ26" s="125"/>
      <c r="BA26" s="128"/>
      <c r="BB26" s="114"/>
      <c r="BC26" s="116"/>
      <c r="BD26" s="111"/>
      <c r="BE26" s="111"/>
      <c r="BF26" s="138"/>
    </row>
    <row r="27" spans="1:58" ht="15.75" thickBot="1">
      <c r="A27" s="4229"/>
      <c r="B27" s="198"/>
      <c r="C27" s="4232"/>
      <c r="D27" s="254" t="s">
        <v>336</v>
      </c>
      <c r="E27" s="263"/>
      <c r="F27" s="263"/>
      <c r="G27" s="263"/>
      <c r="H27" s="263"/>
      <c r="I27" s="264"/>
      <c r="J27" s="254" t="s">
        <v>336</v>
      </c>
      <c r="K27" s="263"/>
      <c r="L27" s="263"/>
      <c r="M27" s="263"/>
      <c r="N27" s="263"/>
      <c r="O27" s="264"/>
      <c r="P27" s="254" t="s">
        <v>336</v>
      </c>
      <c r="Q27" s="306"/>
      <c r="R27" s="263"/>
      <c r="S27" s="263"/>
      <c r="T27" s="263"/>
      <c r="U27" s="263">
        <f t="shared" si="0"/>
        <v>0</v>
      </c>
      <c r="V27" s="264"/>
      <c r="W27" s="254" t="s">
        <v>336</v>
      </c>
      <c r="X27" s="306"/>
      <c r="Y27" s="263"/>
      <c r="Z27" s="263"/>
      <c r="AA27" s="263"/>
      <c r="AB27" s="263">
        <f t="shared" si="1"/>
        <v>0</v>
      </c>
      <c r="AC27" s="264"/>
      <c r="AD27" s="254" t="s">
        <v>336</v>
      </c>
      <c r="AE27" s="306"/>
      <c r="AF27" s="263"/>
      <c r="AG27" s="263"/>
      <c r="AH27" s="263"/>
      <c r="AI27" s="263">
        <f t="shared" si="2"/>
        <v>0</v>
      </c>
      <c r="AJ27" s="264"/>
      <c r="AK27" s="254" t="s">
        <v>336</v>
      </c>
      <c r="AL27" s="306"/>
      <c r="AM27" s="263"/>
      <c r="AN27" s="263"/>
      <c r="AO27" s="263"/>
      <c r="AP27" s="263">
        <f t="shared" si="3"/>
        <v>0</v>
      </c>
      <c r="AQ27" s="264"/>
      <c r="AR27" s="254" t="s">
        <v>336</v>
      </c>
      <c r="AS27" s="306"/>
      <c r="AT27" s="263"/>
      <c r="AU27" s="263"/>
      <c r="AV27" s="263"/>
      <c r="AW27" s="263">
        <f t="shared" si="4"/>
        <v>0</v>
      </c>
      <c r="AX27" s="264"/>
      <c r="AY27" s="119"/>
      <c r="AZ27" s="126"/>
      <c r="BA27" s="129"/>
      <c r="BB27" s="115"/>
      <c r="BC27" s="117"/>
      <c r="BD27" s="112"/>
      <c r="BE27" s="112"/>
      <c r="BF27" s="139"/>
    </row>
    <row r="28" spans="1:58" ht="15.75" thickTop="1">
      <c r="A28" s="4236" t="s">
        <v>410</v>
      </c>
      <c r="B28" s="199" t="s">
        <v>410</v>
      </c>
      <c r="C28" s="4233" t="s">
        <v>92</v>
      </c>
      <c r="D28" s="252" t="s">
        <v>104</v>
      </c>
      <c r="E28" s="259"/>
      <c r="F28" s="259"/>
      <c r="G28" s="259"/>
      <c r="H28" s="259"/>
      <c r="I28" s="260"/>
      <c r="J28" s="252" t="s">
        <v>104</v>
      </c>
      <c r="K28" s="259"/>
      <c r="L28" s="259"/>
      <c r="M28" s="259"/>
      <c r="N28" s="259"/>
      <c r="O28" s="260"/>
      <c r="P28" s="252" t="s">
        <v>104</v>
      </c>
      <c r="Q28" s="305"/>
      <c r="R28" s="259"/>
      <c r="S28" s="259"/>
      <c r="T28" s="259"/>
      <c r="U28" s="259">
        <f t="shared" si="0"/>
        <v>0</v>
      </c>
      <c r="V28" s="260"/>
      <c r="W28" s="252" t="s">
        <v>104</v>
      </c>
      <c r="X28" s="305"/>
      <c r="Y28" s="259"/>
      <c r="Z28" s="259"/>
      <c r="AA28" s="259"/>
      <c r="AB28" s="259">
        <f t="shared" si="1"/>
        <v>0</v>
      </c>
      <c r="AC28" s="260"/>
      <c r="AD28" s="252" t="s">
        <v>104</v>
      </c>
      <c r="AE28" s="305"/>
      <c r="AF28" s="259"/>
      <c r="AG28" s="259"/>
      <c r="AH28" s="259"/>
      <c r="AI28" s="259">
        <f t="shared" si="2"/>
        <v>0</v>
      </c>
      <c r="AJ28" s="260"/>
      <c r="AK28" s="252" t="s">
        <v>104</v>
      </c>
      <c r="AL28" s="305"/>
      <c r="AM28" s="259"/>
      <c r="AN28" s="259"/>
      <c r="AO28" s="259"/>
      <c r="AP28" s="259">
        <f t="shared" si="3"/>
        <v>0</v>
      </c>
      <c r="AQ28" s="260"/>
      <c r="AR28" s="252" t="s">
        <v>104</v>
      </c>
      <c r="AS28" s="305"/>
      <c r="AT28" s="259"/>
      <c r="AU28" s="259"/>
      <c r="AV28" s="259"/>
      <c r="AW28" s="259">
        <f t="shared" si="4"/>
        <v>0</v>
      </c>
      <c r="AX28" s="260"/>
      <c r="AY28" s="148"/>
      <c r="AZ28" s="149"/>
      <c r="BA28" s="150"/>
      <c r="BB28" s="151"/>
      <c r="BC28" s="152"/>
      <c r="BD28" s="147"/>
      <c r="BE28" s="147"/>
      <c r="BF28" s="153"/>
    </row>
    <row r="29" spans="1:58">
      <c r="A29" s="4237"/>
      <c r="B29" s="194" t="s">
        <v>711</v>
      </c>
      <c r="C29" s="4234"/>
      <c r="D29" s="253" t="s">
        <v>171</v>
      </c>
      <c r="E29" s="261"/>
      <c r="F29" s="261"/>
      <c r="G29" s="261">
        <v>1331919</v>
      </c>
      <c r="H29" s="261"/>
      <c r="I29" s="262"/>
      <c r="J29" s="253" t="s">
        <v>171</v>
      </c>
      <c r="K29" s="261"/>
      <c r="L29" s="261"/>
      <c r="M29" s="261">
        <v>1571054</v>
      </c>
      <c r="N29" s="261"/>
      <c r="O29" s="262"/>
      <c r="P29" s="253" t="s">
        <v>171</v>
      </c>
      <c r="Q29" s="297"/>
      <c r="R29" s="261"/>
      <c r="S29" s="261">
        <v>3536614</v>
      </c>
      <c r="T29" s="261"/>
      <c r="U29" s="261">
        <f t="shared" si="0"/>
        <v>0</v>
      </c>
      <c r="V29" s="262"/>
      <c r="W29" s="253" t="s">
        <v>171</v>
      </c>
      <c r="X29" s="297"/>
      <c r="Y29" s="261"/>
      <c r="Z29" s="261">
        <v>942910</v>
      </c>
      <c r="AA29" s="261"/>
      <c r="AB29" s="261">
        <f t="shared" si="1"/>
        <v>0</v>
      </c>
      <c r="AC29" s="262"/>
      <c r="AD29" s="253" t="s">
        <v>171</v>
      </c>
      <c r="AE29" s="297"/>
      <c r="AF29" s="261"/>
      <c r="AG29" s="261">
        <v>621686</v>
      </c>
      <c r="AH29" s="261"/>
      <c r="AI29" s="261">
        <f t="shared" si="2"/>
        <v>0</v>
      </c>
      <c r="AJ29" s="262"/>
      <c r="AK29" s="253" t="s">
        <v>171</v>
      </c>
      <c r="AL29" s="297"/>
      <c r="AM29" s="261"/>
      <c r="AN29" s="261">
        <v>1546552</v>
      </c>
      <c r="AO29" s="261"/>
      <c r="AP29" s="261">
        <f t="shared" si="3"/>
        <v>0</v>
      </c>
      <c r="AQ29" s="262"/>
      <c r="AR29" s="253" t="s">
        <v>171</v>
      </c>
      <c r="AS29" s="297"/>
      <c r="AT29" s="261"/>
      <c r="AU29" s="261">
        <v>1413859</v>
      </c>
      <c r="AV29" s="261"/>
      <c r="AW29" s="261">
        <f t="shared" si="4"/>
        <v>0</v>
      </c>
      <c r="AX29" s="262"/>
      <c r="AY29" s="155"/>
      <c r="AZ29" s="156"/>
      <c r="BA29" s="157"/>
      <c r="BB29" s="158"/>
      <c r="BC29" s="159"/>
      <c r="BD29" s="154"/>
      <c r="BE29" s="154"/>
      <c r="BF29" s="160"/>
    </row>
    <row r="30" spans="1:58">
      <c r="A30" s="4237"/>
      <c r="B30" s="194"/>
      <c r="C30" s="4234"/>
      <c r="D30" s="253" t="s">
        <v>103</v>
      </c>
      <c r="E30" s="261"/>
      <c r="F30" s="261"/>
      <c r="G30" s="261">
        <v>921600</v>
      </c>
      <c r="H30" s="261"/>
      <c r="I30" s="262"/>
      <c r="J30" s="253" t="s">
        <v>103</v>
      </c>
      <c r="K30" s="261"/>
      <c r="L30" s="261"/>
      <c r="M30" s="261">
        <v>1152000</v>
      </c>
      <c r="N30" s="261"/>
      <c r="O30" s="262"/>
      <c r="P30" s="253" t="s">
        <v>103</v>
      </c>
      <c r="Q30" s="297"/>
      <c r="R30" s="261"/>
      <c r="S30" s="261">
        <v>2656800</v>
      </c>
      <c r="T30" s="261"/>
      <c r="U30" s="261">
        <f t="shared" si="0"/>
        <v>0</v>
      </c>
      <c r="V30" s="262"/>
      <c r="W30" s="253" t="s">
        <v>103</v>
      </c>
      <c r="X30" s="297"/>
      <c r="Y30" s="261"/>
      <c r="Z30" s="261"/>
      <c r="AA30" s="261"/>
      <c r="AB30" s="261">
        <f t="shared" si="1"/>
        <v>0</v>
      </c>
      <c r="AC30" s="262"/>
      <c r="AD30" s="253" t="s">
        <v>103</v>
      </c>
      <c r="AE30" s="297"/>
      <c r="AF30" s="261"/>
      <c r="AG30" s="261">
        <v>1251542</v>
      </c>
      <c r="AH30" s="261"/>
      <c r="AI30" s="261">
        <f t="shared" si="2"/>
        <v>0</v>
      </c>
      <c r="AJ30" s="262"/>
      <c r="AK30" s="253" t="s">
        <v>103</v>
      </c>
      <c r="AL30" s="297"/>
      <c r="AM30" s="261"/>
      <c r="AN30" s="261">
        <v>1114896</v>
      </c>
      <c r="AO30" s="261"/>
      <c r="AP30" s="261">
        <f t="shared" si="3"/>
        <v>0</v>
      </c>
      <c r="AQ30" s="262"/>
      <c r="AR30" s="253" t="s">
        <v>103</v>
      </c>
      <c r="AS30" s="297"/>
      <c r="AT30" s="261"/>
      <c r="AU30" s="261">
        <v>3131517</v>
      </c>
      <c r="AV30" s="261"/>
      <c r="AW30" s="261">
        <f t="shared" si="4"/>
        <v>0</v>
      </c>
      <c r="AX30" s="262"/>
      <c r="AY30" s="155"/>
      <c r="AZ30" s="156"/>
      <c r="BA30" s="157"/>
      <c r="BB30" s="158"/>
      <c r="BC30" s="159"/>
      <c r="BD30" s="154"/>
      <c r="BE30" s="154"/>
      <c r="BF30" s="160"/>
    </row>
    <row r="31" spans="1:58" ht="15.75" thickBot="1">
      <c r="A31" s="4239"/>
      <c r="B31" s="200"/>
      <c r="C31" s="4240"/>
      <c r="D31" s="255" t="s">
        <v>336</v>
      </c>
      <c r="E31" s="265"/>
      <c r="F31" s="265"/>
      <c r="G31" s="265">
        <v>1681095</v>
      </c>
      <c r="H31" s="265"/>
      <c r="I31" s="266"/>
      <c r="J31" s="255" t="s">
        <v>336</v>
      </c>
      <c r="K31" s="265"/>
      <c r="L31" s="265"/>
      <c r="M31" s="265">
        <v>845384</v>
      </c>
      <c r="N31" s="265"/>
      <c r="O31" s="266"/>
      <c r="P31" s="255" t="s">
        <v>336</v>
      </c>
      <c r="Q31" s="307"/>
      <c r="R31" s="265"/>
      <c r="S31" s="265">
        <v>1431781</v>
      </c>
      <c r="T31" s="265"/>
      <c r="U31" s="265">
        <f t="shared" si="0"/>
        <v>0</v>
      </c>
      <c r="V31" s="266"/>
      <c r="W31" s="255" t="s">
        <v>336</v>
      </c>
      <c r="X31" s="307"/>
      <c r="Y31" s="265"/>
      <c r="Z31" s="265">
        <v>577788</v>
      </c>
      <c r="AA31" s="265"/>
      <c r="AB31" s="265">
        <f t="shared" si="1"/>
        <v>0</v>
      </c>
      <c r="AC31" s="266"/>
      <c r="AD31" s="255" t="s">
        <v>336</v>
      </c>
      <c r="AE31" s="307"/>
      <c r="AF31" s="265"/>
      <c r="AG31" s="265">
        <v>654199</v>
      </c>
      <c r="AH31" s="265"/>
      <c r="AI31" s="265">
        <f t="shared" si="2"/>
        <v>0</v>
      </c>
      <c r="AJ31" s="266"/>
      <c r="AK31" s="255" t="s">
        <v>336</v>
      </c>
      <c r="AL31" s="307"/>
      <c r="AM31" s="265"/>
      <c r="AN31" s="265">
        <v>1977907</v>
      </c>
      <c r="AO31" s="265"/>
      <c r="AP31" s="265">
        <f t="shared" si="3"/>
        <v>0</v>
      </c>
      <c r="AQ31" s="266"/>
      <c r="AR31" s="255" t="s">
        <v>336</v>
      </c>
      <c r="AS31" s="307"/>
      <c r="AT31" s="265"/>
      <c r="AU31" s="265">
        <v>447574</v>
      </c>
      <c r="AV31" s="265"/>
      <c r="AW31" s="265">
        <f t="shared" si="4"/>
        <v>0</v>
      </c>
      <c r="AX31" s="266"/>
      <c r="AY31" s="169"/>
      <c r="AZ31" s="170"/>
      <c r="BA31" s="171"/>
      <c r="BB31" s="172"/>
      <c r="BC31" s="173"/>
      <c r="BD31" s="168"/>
      <c r="BE31" s="168"/>
      <c r="BF31" s="174"/>
    </row>
    <row r="32" spans="1:58" ht="15.75" thickTop="1">
      <c r="A32" s="4246" t="s">
        <v>356</v>
      </c>
      <c r="B32" s="204" t="s">
        <v>356</v>
      </c>
      <c r="C32" s="4243" t="s">
        <v>408</v>
      </c>
      <c r="D32" s="256" t="s">
        <v>104</v>
      </c>
      <c r="E32" s="269"/>
      <c r="F32" s="269"/>
      <c r="G32" s="269"/>
      <c r="H32" s="269"/>
      <c r="I32" s="270"/>
      <c r="J32" s="256" t="s">
        <v>104</v>
      </c>
      <c r="K32" s="269"/>
      <c r="L32" s="269"/>
      <c r="M32" s="269"/>
      <c r="N32" s="269"/>
      <c r="O32" s="270"/>
      <c r="P32" s="256" t="s">
        <v>104</v>
      </c>
      <c r="Q32" s="308"/>
      <c r="R32" s="269"/>
      <c r="S32" s="269"/>
      <c r="T32" s="269"/>
      <c r="U32" s="269">
        <f t="shared" si="0"/>
        <v>0</v>
      </c>
      <c r="V32" s="270"/>
      <c r="W32" s="256" t="s">
        <v>104</v>
      </c>
      <c r="X32" s="308"/>
      <c r="Y32" s="269"/>
      <c r="Z32" s="269"/>
      <c r="AA32" s="269"/>
      <c r="AB32" s="269">
        <f t="shared" si="1"/>
        <v>0</v>
      </c>
      <c r="AC32" s="270"/>
      <c r="AD32" s="256" t="s">
        <v>104</v>
      </c>
      <c r="AE32" s="308"/>
      <c r="AF32" s="269"/>
      <c r="AG32" s="269"/>
      <c r="AH32" s="269"/>
      <c r="AI32" s="269">
        <f t="shared" si="2"/>
        <v>0</v>
      </c>
      <c r="AJ32" s="270"/>
      <c r="AK32" s="256" t="s">
        <v>104</v>
      </c>
      <c r="AL32" s="308"/>
      <c r="AM32" s="269"/>
      <c r="AN32" s="269"/>
      <c r="AO32" s="269"/>
      <c r="AP32" s="269">
        <f t="shared" si="3"/>
        <v>0</v>
      </c>
      <c r="AQ32" s="270"/>
      <c r="AR32" s="256" t="s">
        <v>104</v>
      </c>
      <c r="AS32" s="308"/>
      <c r="AT32" s="269"/>
      <c r="AU32" s="269"/>
      <c r="AV32" s="269"/>
      <c r="AW32" s="269">
        <f t="shared" si="4"/>
        <v>0</v>
      </c>
      <c r="AX32" s="270"/>
      <c r="AY32" s="206"/>
      <c r="AZ32" s="207"/>
      <c r="BA32" s="208"/>
      <c r="BB32" s="209"/>
      <c r="BC32" s="210"/>
      <c r="BD32" s="205"/>
      <c r="BE32" s="205"/>
      <c r="BF32" s="211"/>
    </row>
    <row r="33" spans="1:58">
      <c r="A33" s="4247"/>
      <c r="B33" s="212"/>
      <c r="C33" s="4244"/>
      <c r="D33" s="257" t="s">
        <v>171</v>
      </c>
      <c r="E33" s="271"/>
      <c r="F33" s="271"/>
      <c r="G33" s="271"/>
      <c r="H33" s="271"/>
      <c r="I33" s="272"/>
      <c r="J33" s="257" t="s">
        <v>171</v>
      </c>
      <c r="K33" s="271"/>
      <c r="L33" s="271"/>
      <c r="M33" s="271"/>
      <c r="N33" s="271"/>
      <c r="O33" s="272"/>
      <c r="P33" s="257" t="s">
        <v>171</v>
      </c>
      <c r="Q33" s="309"/>
      <c r="R33" s="271"/>
      <c r="S33" s="271"/>
      <c r="T33" s="271"/>
      <c r="U33" s="271">
        <f t="shared" si="0"/>
        <v>0</v>
      </c>
      <c r="V33" s="272"/>
      <c r="W33" s="257" t="s">
        <v>171</v>
      </c>
      <c r="X33" s="309"/>
      <c r="Y33" s="271"/>
      <c r="Z33" s="271"/>
      <c r="AA33" s="271"/>
      <c r="AB33" s="271">
        <f t="shared" si="1"/>
        <v>0</v>
      </c>
      <c r="AC33" s="272"/>
      <c r="AD33" s="257" t="s">
        <v>171</v>
      </c>
      <c r="AE33" s="309"/>
      <c r="AF33" s="271"/>
      <c r="AG33" s="271"/>
      <c r="AH33" s="271"/>
      <c r="AI33" s="271">
        <f t="shared" si="2"/>
        <v>0</v>
      </c>
      <c r="AJ33" s="272"/>
      <c r="AK33" s="257" t="s">
        <v>171</v>
      </c>
      <c r="AL33" s="309"/>
      <c r="AM33" s="271"/>
      <c r="AN33" s="271"/>
      <c r="AO33" s="271"/>
      <c r="AP33" s="271">
        <f t="shared" si="3"/>
        <v>0</v>
      </c>
      <c r="AQ33" s="272"/>
      <c r="AR33" s="257" t="s">
        <v>171</v>
      </c>
      <c r="AS33" s="309"/>
      <c r="AT33" s="271"/>
      <c r="AU33" s="271"/>
      <c r="AV33" s="271"/>
      <c r="AW33" s="271">
        <f t="shared" si="4"/>
        <v>0</v>
      </c>
      <c r="AX33" s="272"/>
      <c r="AY33" s="214"/>
      <c r="AZ33" s="215"/>
      <c r="BA33" s="216"/>
      <c r="BB33" s="217"/>
      <c r="BC33" s="218"/>
      <c r="BD33" s="213"/>
      <c r="BE33" s="213"/>
      <c r="BF33" s="219"/>
    </row>
    <row r="34" spans="1:58">
      <c r="A34" s="4247"/>
      <c r="B34" s="212"/>
      <c r="C34" s="4244"/>
      <c r="D34" s="257" t="s">
        <v>103</v>
      </c>
      <c r="E34" s="271"/>
      <c r="F34" s="271"/>
      <c r="G34" s="271"/>
      <c r="H34" s="271"/>
      <c r="I34" s="272"/>
      <c r="J34" s="257" t="s">
        <v>103</v>
      </c>
      <c r="K34" s="271"/>
      <c r="L34" s="271"/>
      <c r="M34" s="271"/>
      <c r="N34" s="271"/>
      <c r="O34" s="272"/>
      <c r="P34" s="257" t="s">
        <v>103</v>
      </c>
      <c r="Q34" s="309"/>
      <c r="R34" s="271"/>
      <c r="S34" s="271"/>
      <c r="T34" s="271"/>
      <c r="U34" s="271">
        <f t="shared" si="0"/>
        <v>0</v>
      </c>
      <c r="V34" s="272"/>
      <c r="W34" s="257" t="s">
        <v>103</v>
      </c>
      <c r="X34" s="309"/>
      <c r="Y34" s="271"/>
      <c r="Z34" s="271"/>
      <c r="AA34" s="271"/>
      <c r="AB34" s="271">
        <f t="shared" si="1"/>
        <v>0</v>
      </c>
      <c r="AC34" s="272"/>
      <c r="AD34" s="257" t="s">
        <v>103</v>
      </c>
      <c r="AE34" s="309"/>
      <c r="AF34" s="271"/>
      <c r="AG34" s="271"/>
      <c r="AH34" s="271"/>
      <c r="AI34" s="271">
        <f t="shared" si="2"/>
        <v>0</v>
      </c>
      <c r="AJ34" s="272"/>
      <c r="AK34" s="257" t="s">
        <v>103</v>
      </c>
      <c r="AL34" s="309"/>
      <c r="AM34" s="271"/>
      <c r="AN34" s="271"/>
      <c r="AO34" s="271"/>
      <c r="AP34" s="271">
        <f t="shared" si="3"/>
        <v>0</v>
      </c>
      <c r="AQ34" s="272"/>
      <c r="AR34" s="257" t="s">
        <v>103</v>
      </c>
      <c r="AS34" s="309"/>
      <c r="AT34" s="271"/>
      <c r="AU34" s="271"/>
      <c r="AV34" s="271"/>
      <c r="AW34" s="271">
        <f t="shared" si="4"/>
        <v>0</v>
      </c>
      <c r="AX34" s="272"/>
      <c r="AY34" s="214"/>
      <c r="AZ34" s="215"/>
      <c r="BA34" s="216"/>
      <c r="BB34" s="217"/>
      <c r="BC34" s="218"/>
      <c r="BD34" s="213"/>
      <c r="BE34" s="213"/>
      <c r="BF34" s="219"/>
    </row>
    <row r="35" spans="1:58" ht="15.75" thickBot="1">
      <c r="A35" s="4248"/>
      <c r="B35" s="220"/>
      <c r="C35" s="4245"/>
      <c r="D35" s="258" t="s">
        <v>336</v>
      </c>
      <c r="E35" s="273"/>
      <c r="F35" s="273"/>
      <c r="G35" s="273"/>
      <c r="H35" s="273"/>
      <c r="I35" s="274"/>
      <c r="J35" s="258" t="s">
        <v>336</v>
      </c>
      <c r="K35" s="273"/>
      <c r="L35" s="273"/>
      <c r="M35" s="273"/>
      <c r="N35" s="273"/>
      <c r="O35" s="274"/>
      <c r="P35" s="258" t="s">
        <v>336</v>
      </c>
      <c r="Q35" s="310"/>
      <c r="R35" s="273"/>
      <c r="S35" s="273"/>
      <c r="T35" s="273"/>
      <c r="U35" s="273">
        <f t="shared" si="0"/>
        <v>0</v>
      </c>
      <c r="V35" s="274"/>
      <c r="W35" s="258" t="s">
        <v>336</v>
      </c>
      <c r="X35" s="310"/>
      <c r="Y35" s="273"/>
      <c r="Z35" s="273"/>
      <c r="AA35" s="273"/>
      <c r="AB35" s="273">
        <f t="shared" si="1"/>
        <v>0</v>
      </c>
      <c r="AC35" s="274"/>
      <c r="AD35" s="258" t="s">
        <v>336</v>
      </c>
      <c r="AE35" s="310"/>
      <c r="AF35" s="273"/>
      <c r="AG35" s="273"/>
      <c r="AH35" s="273"/>
      <c r="AI35" s="273">
        <f t="shared" si="2"/>
        <v>0</v>
      </c>
      <c r="AJ35" s="274"/>
      <c r="AK35" s="258" t="s">
        <v>336</v>
      </c>
      <c r="AL35" s="310"/>
      <c r="AM35" s="273"/>
      <c r="AN35" s="273"/>
      <c r="AO35" s="273"/>
      <c r="AP35" s="273">
        <f t="shared" si="3"/>
        <v>0</v>
      </c>
      <c r="AQ35" s="274"/>
      <c r="AR35" s="258" t="s">
        <v>336</v>
      </c>
      <c r="AS35" s="310"/>
      <c r="AT35" s="273"/>
      <c r="AU35" s="273"/>
      <c r="AV35" s="273"/>
      <c r="AW35" s="273">
        <f t="shared" si="4"/>
        <v>0</v>
      </c>
      <c r="AX35" s="274"/>
      <c r="AY35" s="222"/>
      <c r="AZ35" s="223"/>
      <c r="BA35" s="224"/>
      <c r="BB35" s="225"/>
      <c r="BC35" s="226"/>
      <c r="BD35" s="221"/>
      <c r="BE35" s="221"/>
      <c r="BF35" s="227"/>
    </row>
    <row r="36" spans="1:58" ht="15.75" thickTop="1">
      <c r="A36" s="4236" t="s">
        <v>285</v>
      </c>
      <c r="B36" s="193" t="s">
        <v>285</v>
      </c>
      <c r="C36" s="4233" t="s">
        <v>408</v>
      </c>
      <c r="D36" s="252" t="s">
        <v>104</v>
      </c>
      <c r="E36" s="259"/>
      <c r="F36" s="259"/>
      <c r="G36" s="259"/>
      <c r="H36" s="259"/>
      <c r="I36" s="260"/>
      <c r="J36" s="252" t="s">
        <v>104</v>
      </c>
      <c r="K36" s="259"/>
      <c r="L36" s="259"/>
      <c r="M36" s="259"/>
      <c r="N36" s="259"/>
      <c r="O36" s="260"/>
      <c r="P36" s="252" t="s">
        <v>104</v>
      </c>
      <c r="Q36" s="305">
        <f>IF(S36&gt;0,0.06,0)</f>
        <v>0</v>
      </c>
      <c r="R36" s="259" t="s">
        <v>596</v>
      </c>
      <c r="S36" s="259"/>
      <c r="T36" s="259"/>
      <c r="U36" s="259" t="e">
        <f t="shared" si="0"/>
        <v>#DIV/0!</v>
      </c>
      <c r="V36" s="260"/>
      <c r="W36" s="252" t="s">
        <v>104</v>
      </c>
      <c r="X36" s="305">
        <f>IF(Z36&gt;0,0.06,0)</f>
        <v>0</v>
      </c>
      <c r="Y36" s="259" t="s">
        <v>596</v>
      </c>
      <c r="Z36" s="259"/>
      <c r="AA36" s="259"/>
      <c r="AB36" s="259" t="e">
        <f t="shared" si="1"/>
        <v>#DIV/0!</v>
      </c>
      <c r="AC36" s="260"/>
      <c r="AD36" s="252" t="s">
        <v>104</v>
      </c>
      <c r="AE36" s="305">
        <f>IF(AG36&gt;0,0.06,0)</f>
        <v>0</v>
      </c>
      <c r="AF36" s="259" t="s">
        <v>596</v>
      </c>
      <c r="AG36" s="259"/>
      <c r="AH36" s="259"/>
      <c r="AI36" s="259" t="e">
        <f t="shared" si="2"/>
        <v>#DIV/0!</v>
      </c>
      <c r="AJ36" s="260"/>
      <c r="AK36" s="252" t="s">
        <v>104</v>
      </c>
      <c r="AL36" s="305">
        <f>IF(AN36&gt;0,0.06,0)</f>
        <v>0</v>
      </c>
      <c r="AM36" s="259" t="s">
        <v>596</v>
      </c>
      <c r="AN36" s="259"/>
      <c r="AO36" s="259"/>
      <c r="AP36" s="259" t="e">
        <f t="shared" si="3"/>
        <v>#DIV/0!</v>
      </c>
      <c r="AQ36" s="260"/>
      <c r="AR36" s="252" t="s">
        <v>104</v>
      </c>
      <c r="AS36" s="305">
        <f>IF(AU36&gt;0,0.06,0)</f>
        <v>0</v>
      </c>
      <c r="AT36" s="259" t="s">
        <v>596</v>
      </c>
      <c r="AU36" s="259"/>
      <c r="AV36" s="259"/>
      <c r="AW36" s="259" t="e">
        <f t="shared" si="4"/>
        <v>#DIV/0!</v>
      </c>
      <c r="AX36" s="260"/>
      <c r="AY36" s="148"/>
      <c r="AZ36" s="149"/>
      <c r="BA36" s="150"/>
      <c r="BB36" s="151"/>
      <c r="BC36" s="152"/>
      <c r="BD36" s="147"/>
      <c r="BE36" s="147"/>
      <c r="BF36" s="153"/>
    </row>
    <row r="37" spans="1:58">
      <c r="A37" s="4237"/>
      <c r="B37" s="194"/>
      <c r="C37" s="4234"/>
      <c r="D37" s="253" t="s">
        <v>171</v>
      </c>
      <c r="E37" s="261"/>
      <c r="F37" s="261"/>
      <c r="G37" s="261">
        <v>21894763</v>
      </c>
      <c r="H37" s="261"/>
      <c r="I37" s="262"/>
      <c r="J37" s="253" t="s">
        <v>171</v>
      </c>
      <c r="K37" s="261"/>
      <c r="L37" s="261"/>
      <c r="M37" s="261">
        <v>47038374</v>
      </c>
      <c r="N37" s="261"/>
      <c r="O37" s="262"/>
      <c r="P37" s="253" t="s">
        <v>171</v>
      </c>
      <c r="Q37" s="297">
        <f>IF(S37&gt;0,0.06,0)</f>
        <v>0.06</v>
      </c>
      <c r="R37" s="261" t="s">
        <v>596</v>
      </c>
      <c r="S37" s="261">
        <v>150104170</v>
      </c>
      <c r="T37" s="261"/>
      <c r="U37" s="261">
        <f t="shared" si="0"/>
        <v>0</v>
      </c>
      <c r="V37" s="262"/>
      <c r="W37" s="253" t="s">
        <v>171</v>
      </c>
      <c r="X37" s="297">
        <f>IF(Z37&gt;0,0.06,0)</f>
        <v>0.06</v>
      </c>
      <c r="Y37" s="261" t="s">
        <v>596</v>
      </c>
      <c r="Z37" s="261">
        <v>79475382</v>
      </c>
      <c r="AA37" s="261"/>
      <c r="AB37" s="261">
        <f t="shared" si="1"/>
        <v>0</v>
      </c>
      <c r="AC37" s="262"/>
      <c r="AD37" s="253" t="s">
        <v>171</v>
      </c>
      <c r="AE37" s="297">
        <f>IF(AG37&gt;0,0.06,0)</f>
        <v>0.06</v>
      </c>
      <c r="AF37" s="261" t="s">
        <v>596</v>
      </c>
      <c r="AG37" s="261">
        <v>142983610</v>
      </c>
      <c r="AH37" s="261"/>
      <c r="AI37" s="261">
        <f t="shared" si="2"/>
        <v>0</v>
      </c>
      <c r="AJ37" s="262"/>
      <c r="AK37" s="253" t="s">
        <v>171</v>
      </c>
      <c r="AL37" s="297">
        <f>IF(AN37&gt;0,0.06,0)</f>
        <v>0.06</v>
      </c>
      <c r="AM37" s="261" t="s">
        <v>596</v>
      </c>
      <c r="AN37" s="261">
        <v>64384022</v>
      </c>
      <c r="AO37" s="261"/>
      <c r="AP37" s="261">
        <f t="shared" si="3"/>
        <v>0</v>
      </c>
      <c r="AQ37" s="262"/>
      <c r="AR37" s="253" t="s">
        <v>171</v>
      </c>
      <c r="AS37" s="297">
        <f>IF(AU37&gt;0,0.06,0)</f>
        <v>0.06</v>
      </c>
      <c r="AT37" s="261" t="s">
        <v>596</v>
      </c>
      <c r="AU37" s="261">
        <v>91288242</v>
      </c>
      <c r="AV37" s="261"/>
      <c r="AW37" s="261">
        <f t="shared" si="4"/>
        <v>0</v>
      </c>
      <c r="AX37" s="262"/>
      <c r="AY37" s="155"/>
      <c r="AZ37" s="156"/>
      <c r="BA37" s="157"/>
      <c r="BB37" s="158"/>
      <c r="BC37" s="159"/>
      <c r="BD37" s="154"/>
      <c r="BE37" s="154"/>
      <c r="BF37" s="160"/>
    </row>
    <row r="38" spans="1:58">
      <c r="A38" s="4237"/>
      <c r="B38" s="194"/>
      <c r="C38" s="4234"/>
      <c r="D38" s="253" t="s">
        <v>103</v>
      </c>
      <c r="E38" s="261"/>
      <c r="F38" s="261"/>
      <c r="G38" s="261"/>
      <c r="H38" s="261"/>
      <c r="I38" s="262"/>
      <c r="J38" s="253" t="s">
        <v>103</v>
      </c>
      <c r="K38" s="261"/>
      <c r="L38" s="261"/>
      <c r="M38" s="261"/>
      <c r="N38" s="261"/>
      <c r="O38" s="262"/>
      <c r="P38" s="253" t="s">
        <v>103</v>
      </c>
      <c r="Q38" s="297">
        <f>IF(S38&gt;0,0.06,0)</f>
        <v>0</v>
      </c>
      <c r="R38" s="261" t="s">
        <v>596</v>
      </c>
      <c r="S38" s="261"/>
      <c r="T38" s="297"/>
      <c r="U38" s="297" t="e">
        <f t="shared" si="0"/>
        <v>#DIV/0!</v>
      </c>
      <c r="V38" s="262"/>
      <c r="W38" s="253" t="s">
        <v>103</v>
      </c>
      <c r="X38" s="297">
        <f>IF(Z38&gt;0,0.06,0)</f>
        <v>0</v>
      </c>
      <c r="Y38" s="261" t="s">
        <v>596</v>
      </c>
      <c r="Z38" s="261"/>
      <c r="AA38" s="297"/>
      <c r="AB38" s="297" t="e">
        <f t="shared" si="1"/>
        <v>#DIV/0!</v>
      </c>
      <c r="AC38" s="262"/>
      <c r="AD38" s="253" t="s">
        <v>103</v>
      </c>
      <c r="AE38" s="297">
        <f>IF(AG38&gt;0,0.06,0)</f>
        <v>0</v>
      </c>
      <c r="AF38" s="261" t="s">
        <v>596</v>
      </c>
      <c r="AG38" s="261"/>
      <c r="AH38" s="297"/>
      <c r="AI38" s="297" t="e">
        <f t="shared" si="2"/>
        <v>#DIV/0!</v>
      </c>
      <c r="AJ38" s="262"/>
      <c r="AK38" s="253" t="s">
        <v>103</v>
      </c>
      <c r="AL38" s="297">
        <f>IF(AN38&gt;0,0.06,0)</f>
        <v>0</v>
      </c>
      <c r="AM38" s="261" t="s">
        <v>596</v>
      </c>
      <c r="AN38" s="261"/>
      <c r="AO38" s="297"/>
      <c r="AP38" s="297" t="e">
        <f t="shared" si="3"/>
        <v>#DIV/0!</v>
      </c>
      <c r="AQ38" s="262"/>
      <c r="AR38" s="253" t="s">
        <v>103</v>
      </c>
      <c r="AS38" s="297">
        <f>IF(AU38&gt;0,0.06,0)</f>
        <v>0</v>
      </c>
      <c r="AT38" s="261" t="s">
        <v>596</v>
      </c>
      <c r="AU38" s="261"/>
      <c r="AV38" s="297"/>
      <c r="AW38" s="297" t="e">
        <f t="shared" si="4"/>
        <v>#DIV/0!</v>
      </c>
      <c r="AX38" s="262"/>
      <c r="AY38" s="155"/>
      <c r="AZ38" s="156"/>
      <c r="BA38" s="157"/>
      <c r="BB38" s="158"/>
      <c r="BC38" s="159"/>
      <c r="BD38" s="154"/>
      <c r="BE38" s="154"/>
      <c r="BF38" s="160"/>
    </row>
    <row r="39" spans="1:58" ht="15.75" thickBot="1">
      <c r="A39" s="4239"/>
      <c r="B39" s="200"/>
      <c r="C39" s="4240"/>
      <c r="D39" s="255" t="s">
        <v>336</v>
      </c>
      <c r="E39" s="265"/>
      <c r="F39" s="265"/>
      <c r="G39" s="265"/>
      <c r="H39" s="265"/>
      <c r="I39" s="266"/>
      <c r="J39" s="255" t="s">
        <v>336</v>
      </c>
      <c r="K39" s="265"/>
      <c r="L39" s="265"/>
      <c r="M39" s="265"/>
      <c r="N39" s="265"/>
      <c r="O39" s="266"/>
      <c r="P39" s="255" t="s">
        <v>336</v>
      </c>
      <c r="Q39" s="307">
        <f>IF(S39&gt;0,0.06,0)</f>
        <v>0</v>
      </c>
      <c r="R39" s="265" t="s">
        <v>596</v>
      </c>
      <c r="S39" s="265"/>
      <c r="T39" s="265"/>
      <c r="U39" s="265" t="e">
        <f t="shared" si="0"/>
        <v>#DIV/0!</v>
      </c>
      <c r="V39" s="266"/>
      <c r="W39" s="255" t="s">
        <v>336</v>
      </c>
      <c r="X39" s="307">
        <f>IF(Z39&gt;0,0.06,0)</f>
        <v>0</v>
      </c>
      <c r="Y39" s="265" t="s">
        <v>596</v>
      </c>
      <c r="Z39" s="265"/>
      <c r="AA39" s="265"/>
      <c r="AB39" s="265" t="e">
        <f t="shared" si="1"/>
        <v>#DIV/0!</v>
      </c>
      <c r="AC39" s="266"/>
      <c r="AD39" s="255" t="s">
        <v>336</v>
      </c>
      <c r="AE39" s="307">
        <f>IF(AG39&gt;0,0.06,0)</f>
        <v>0</v>
      </c>
      <c r="AF39" s="265" t="s">
        <v>596</v>
      </c>
      <c r="AG39" s="265"/>
      <c r="AH39" s="265"/>
      <c r="AI39" s="265" t="e">
        <f t="shared" si="2"/>
        <v>#DIV/0!</v>
      </c>
      <c r="AJ39" s="266"/>
      <c r="AK39" s="255" t="s">
        <v>336</v>
      </c>
      <c r="AL39" s="307">
        <f>IF(AN39&gt;0,0.06,0)</f>
        <v>0</v>
      </c>
      <c r="AM39" s="265" t="s">
        <v>596</v>
      </c>
      <c r="AN39" s="265"/>
      <c r="AO39" s="265"/>
      <c r="AP39" s="265" t="e">
        <f t="shared" si="3"/>
        <v>#DIV/0!</v>
      </c>
      <c r="AQ39" s="266"/>
      <c r="AR39" s="255" t="s">
        <v>336</v>
      </c>
      <c r="AS39" s="307">
        <f>IF(AU39&gt;0,0.06,0)</f>
        <v>0</v>
      </c>
      <c r="AT39" s="265" t="s">
        <v>596</v>
      </c>
      <c r="AU39" s="265"/>
      <c r="AV39" s="265"/>
      <c r="AW39" s="265" t="e">
        <f t="shared" si="4"/>
        <v>#DIV/0!</v>
      </c>
      <c r="AX39" s="266"/>
      <c r="AY39" s="169"/>
      <c r="AZ39" s="170"/>
      <c r="BA39" s="171"/>
      <c r="BB39" s="172"/>
      <c r="BC39" s="173"/>
      <c r="BD39" s="168"/>
      <c r="BE39" s="168"/>
      <c r="BF39" s="174"/>
    </row>
    <row r="40" spans="1:58" ht="15.75" thickTop="1">
      <c r="A40" s="4227" t="s">
        <v>152</v>
      </c>
      <c r="B40" s="201" t="s">
        <v>152</v>
      </c>
      <c r="C40" s="4230" t="s">
        <v>96</v>
      </c>
      <c r="D40" s="252" t="s">
        <v>104</v>
      </c>
      <c r="E40" s="259"/>
      <c r="F40" s="259"/>
      <c r="G40" s="259"/>
      <c r="H40" s="259"/>
      <c r="I40" s="260"/>
      <c r="J40" s="252" t="s">
        <v>104</v>
      </c>
      <c r="K40" s="259"/>
      <c r="L40" s="259"/>
      <c r="M40" s="259"/>
      <c r="N40" s="259"/>
      <c r="O40" s="260"/>
      <c r="P40" s="252" t="s">
        <v>104</v>
      </c>
      <c r="Q40" s="305"/>
      <c r="R40" s="259"/>
      <c r="S40" s="259"/>
      <c r="T40" s="259"/>
      <c r="U40" s="259">
        <f t="shared" si="0"/>
        <v>0</v>
      </c>
      <c r="V40" s="260"/>
      <c r="W40" s="252" t="s">
        <v>104</v>
      </c>
      <c r="X40" s="305"/>
      <c r="Y40" s="259"/>
      <c r="Z40" s="259"/>
      <c r="AA40" s="259"/>
      <c r="AB40" s="259">
        <f t="shared" si="1"/>
        <v>0</v>
      </c>
      <c r="AC40" s="260"/>
      <c r="AD40" s="252" t="s">
        <v>104</v>
      </c>
      <c r="AE40" s="305"/>
      <c r="AF40" s="259"/>
      <c r="AG40" s="259"/>
      <c r="AH40" s="259"/>
      <c r="AI40" s="259">
        <f t="shared" si="2"/>
        <v>0</v>
      </c>
      <c r="AJ40" s="260"/>
      <c r="AK40" s="252" t="s">
        <v>104</v>
      </c>
      <c r="AL40" s="305"/>
      <c r="AM40" s="259"/>
      <c r="AN40" s="259"/>
      <c r="AO40" s="259"/>
      <c r="AP40" s="259">
        <f t="shared" si="3"/>
        <v>0</v>
      </c>
      <c r="AQ40" s="260"/>
      <c r="AR40" s="252" t="s">
        <v>104</v>
      </c>
      <c r="AS40" s="305"/>
      <c r="AT40" s="259"/>
      <c r="AU40" s="259"/>
      <c r="AV40" s="259"/>
      <c r="AW40" s="259">
        <f t="shared" si="4"/>
        <v>0</v>
      </c>
      <c r="AX40" s="260"/>
      <c r="AY40" s="132"/>
      <c r="AZ40" s="133"/>
      <c r="BA40" s="134"/>
      <c r="BB40" s="135"/>
      <c r="BC40" s="136"/>
      <c r="BD40" s="131"/>
      <c r="BE40" s="131"/>
      <c r="BF40" s="137"/>
    </row>
    <row r="41" spans="1:58">
      <c r="A41" s="4228"/>
      <c r="B41" s="197"/>
      <c r="C41" s="4231"/>
      <c r="D41" s="253" t="s">
        <v>171</v>
      </c>
      <c r="E41" s="261"/>
      <c r="F41" s="261"/>
      <c r="G41" s="261"/>
      <c r="H41" s="261"/>
      <c r="I41" s="262"/>
      <c r="J41" s="253" t="s">
        <v>171</v>
      </c>
      <c r="K41" s="261"/>
      <c r="L41" s="261"/>
      <c r="M41" s="261"/>
      <c r="N41" s="261"/>
      <c r="O41" s="262"/>
      <c r="P41" s="253" t="s">
        <v>171</v>
      </c>
      <c r="Q41" s="297"/>
      <c r="R41" s="261"/>
      <c r="S41" s="261"/>
      <c r="T41" s="261"/>
      <c r="U41" s="261">
        <f t="shared" si="0"/>
        <v>0</v>
      </c>
      <c r="V41" s="262"/>
      <c r="W41" s="253" t="s">
        <v>171</v>
      </c>
      <c r="X41" s="297"/>
      <c r="Y41" s="261"/>
      <c r="Z41" s="261"/>
      <c r="AA41" s="261"/>
      <c r="AB41" s="261">
        <f t="shared" si="1"/>
        <v>0</v>
      </c>
      <c r="AC41" s="262"/>
      <c r="AD41" s="253" t="s">
        <v>171</v>
      </c>
      <c r="AE41" s="297"/>
      <c r="AF41" s="261"/>
      <c r="AG41" s="261"/>
      <c r="AH41" s="261"/>
      <c r="AI41" s="261">
        <f t="shared" si="2"/>
        <v>0</v>
      </c>
      <c r="AJ41" s="262"/>
      <c r="AK41" s="253" t="s">
        <v>171</v>
      </c>
      <c r="AL41" s="297"/>
      <c r="AM41" s="261"/>
      <c r="AN41" s="261"/>
      <c r="AO41" s="261"/>
      <c r="AP41" s="261">
        <f t="shared" si="3"/>
        <v>0</v>
      </c>
      <c r="AQ41" s="262"/>
      <c r="AR41" s="253" t="s">
        <v>171</v>
      </c>
      <c r="AS41" s="297"/>
      <c r="AT41" s="261"/>
      <c r="AU41" s="261"/>
      <c r="AV41" s="261"/>
      <c r="AW41" s="261">
        <f t="shared" si="4"/>
        <v>0</v>
      </c>
      <c r="AX41" s="262"/>
      <c r="AY41" s="118"/>
      <c r="AZ41" s="125"/>
      <c r="BA41" s="128"/>
      <c r="BB41" s="114"/>
      <c r="BC41" s="116"/>
      <c r="BD41" s="111"/>
      <c r="BE41" s="111"/>
      <c r="BF41" s="138"/>
    </row>
    <row r="42" spans="1:58">
      <c r="A42" s="4228"/>
      <c r="B42" s="197"/>
      <c r="C42" s="4231"/>
      <c r="D42" s="253" t="s">
        <v>103</v>
      </c>
      <c r="E42" s="261"/>
      <c r="F42" s="261"/>
      <c r="G42" s="261">
        <v>24182023</v>
      </c>
      <c r="H42" s="261"/>
      <c r="I42" s="262"/>
      <c r="J42" s="253" t="s">
        <v>103</v>
      </c>
      <c r="K42" s="261"/>
      <c r="L42" s="261"/>
      <c r="M42" s="261">
        <v>16766390</v>
      </c>
      <c r="N42" s="261"/>
      <c r="O42" s="262"/>
      <c r="P42" s="253" t="s">
        <v>103</v>
      </c>
      <c r="Q42" s="297"/>
      <c r="R42" s="261"/>
      <c r="S42" s="261">
        <v>18337756</v>
      </c>
      <c r="T42" s="261"/>
      <c r="U42" s="261">
        <f t="shared" si="0"/>
        <v>0</v>
      </c>
      <c r="V42" s="262"/>
      <c r="W42" s="253" t="s">
        <v>103</v>
      </c>
      <c r="X42" s="297"/>
      <c r="Y42" s="261"/>
      <c r="Z42" s="261">
        <v>19681242</v>
      </c>
      <c r="AA42" s="261"/>
      <c r="AB42" s="261">
        <f t="shared" si="1"/>
        <v>0</v>
      </c>
      <c r="AC42" s="262"/>
      <c r="AD42" s="253" t="s">
        <v>103</v>
      </c>
      <c r="AE42" s="297"/>
      <c r="AF42" s="261"/>
      <c r="AG42" s="261">
        <v>22494273</v>
      </c>
      <c r="AH42" s="261"/>
      <c r="AI42" s="261">
        <f t="shared" si="2"/>
        <v>0</v>
      </c>
      <c r="AJ42" s="262"/>
      <c r="AK42" s="253" t="s">
        <v>103</v>
      </c>
      <c r="AL42" s="297"/>
      <c r="AM42" s="261"/>
      <c r="AN42" s="261">
        <v>25622025</v>
      </c>
      <c r="AO42" s="261"/>
      <c r="AP42" s="261">
        <f t="shared" si="3"/>
        <v>0</v>
      </c>
      <c r="AQ42" s="262"/>
      <c r="AR42" s="253" t="s">
        <v>103</v>
      </c>
      <c r="AS42" s="297"/>
      <c r="AT42" s="261"/>
      <c r="AU42" s="261">
        <v>17746889</v>
      </c>
      <c r="AV42" s="261"/>
      <c r="AW42" s="261">
        <f t="shared" si="4"/>
        <v>0</v>
      </c>
      <c r="AX42" s="262"/>
      <c r="AY42" s="118"/>
      <c r="AZ42" s="125"/>
      <c r="BA42" s="128"/>
      <c r="BB42" s="114"/>
      <c r="BC42" s="116"/>
      <c r="BD42" s="111"/>
      <c r="BE42" s="111"/>
      <c r="BF42" s="138"/>
    </row>
    <row r="43" spans="1:58" ht="15.75" thickBot="1">
      <c r="A43" s="4241"/>
      <c r="B43" s="202"/>
      <c r="C43" s="4242"/>
      <c r="D43" s="255" t="s">
        <v>336</v>
      </c>
      <c r="E43" s="265"/>
      <c r="F43" s="265"/>
      <c r="G43" s="265"/>
      <c r="H43" s="265"/>
      <c r="I43" s="266"/>
      <c r="J43" s="255" t="s">
        <v>336</v>
      </c>
      <c r="K43" s="265"/>
      <c r="L43" s="265"/>
      <c r="M43" s="265"/>
      <c r="N43" s="265"/>
      <c r="O43" s="266"/>
      <c r="P43" s="255" t="s">
        <v>336</v>
      </c>
      <c r="Q43" s="307"/>
      <c r="R43" s="265"/>
      <c r="S43" s="265"/>
      <c r="T43" s="265"/>
      <c r="U43" s="265">
        <f t="shared" si="0"/>
        <v>0</v>
      </c>
      <c r="V43" s="266"/>
      <c r="W43" s="255" t="s">
        <v>336</v>
      </c>
      <c r="X43" s="307"/>
      <c r="Y43" s="265"/>
      <c r="Z43" s="265"/>
      <c r="AA43" s="265"/>
      <c r="AB43" s="265">
        <f t="shared" si="1"/>
        <v>0</v>
      </c>
      <c r="AC43" s="266"/>
      <c r="AD43" s="255" t="s">
        <v>336</v>
      </c>
      <c r="AE43" s="307"/>
      <c r="AF43" s="265"/>
      <c r="AG43" s="265"/>
      <c r="AH43" s="265"/>
      <c r="AI43" s="265">
        <f t="shared" si="2"/>
        <v>0</v>
      </c>
      <c r="AJ43" s="266"/>
      <c r="AK43" s="255" t="s">
        <v>336</v>
      </c>
      <c r="AL43" s="307"/>
      <c r="AM43" s="265"/>
      <c r="AN43" s="265"/>
      <c r="AO43" s="265"/>
      <c r="AP43" s="265">
        <f t="shared" si="3"/>
        <v>0</v>
      </c>
      <c r="AQ43" s="266"/>
      <c r="AR43" s="255" t="s">
        <v>336</v>
      </c>
      <c r="AS43" s="307"/>
      <c r="AT43" s="265"/>
      <c r="AU43" s="265"/>
      <c r="AV43" s="265"/>
      <c r="AW43" s="265">
        <f t="shared" si="4"/>
        <v>0</v>
      </c>
      <c r="AX43" s="266"/>
      <c r="AY43" s="141"/>
      <c r="AZ43" s="142"/>
      <c r="BA43" s="143"/>
      <c r="BB43" s="144"/>
      <c r="BC43" s="145"/>
      <c r="BD43" s="140"/>
      <c r="BE43" s="140"/>
      <c r="BF43" s="146"/>
    </row>
    <row r="44" spans="1:58" ht="15.75" thickTop="1">
      <c r="A44" s="4236" t="s">
        <v>114</v>
      </c>
      <c r="B44" s="193" t="s">
        <v>114</v>
      </c>
      <c r="C44" s="4233" t="s">
        <v>408</v>
      </c>
      <c r="D44" s="252" t="s">
        <v>104</v>
      </c>
      <c r="E44" s="259"/>
      <c r="F44" s="259"/>
      <c r="G44" s="259"/>
      <c r="H44" s="259"/>
      <c r="I44" s="260"/>
      <c r="J44" s="252" t="s">
        <v>104</v>
      </c>
      <c r="K44" s="259"/>
      <c r="L44" s="259"/>
      <c r="M44" s="259"/>
      <c r="N44" s="259"/>
      <c r="O44" s="260"/>
      <c r="P44" s="252" t="s">
        <v>104</v>
      </c>
      <c r="Q44" s="305"/>
      <c r="R44" s="259"/>
      <c r="S44" s="259"/>
      <c r="T44" s="259"/>
      <c r="U44" s="259">
        <f t="shared" si="0"/>
        <v>0</v>
      </c>
      <c r="V44" s="260"/>
      <c r="W44" s="252" t="s">
        <v>104</v>
      </c>
      <c r="X44" s="305"/>
      <c r="Y44" s="259"/>
      <c r="Z44" s="259"/>
      <c r="AA44" s="259"/>
      <c r="AB44" s="259">
        <f t="shared" si="1"/>
        <v>0</v>
      </c>
      <c r="AC44" s="260"/>
      <c r="AD44" s="252" t="s">
        <v>104</v>
      </c>
      <c r="AE44" s="305"/>
      <c r="AF44" s="259"/>
      <c r="AG44" s="259"/>
      <c r="AH44" s="259"/>
      <c r="AI44" s="259">
        <f t="shared" si="2"/>
        <v>0</v>
      </c>
      <c r="AJ44" s="260"/>
      <c r="AK44" s="252" t="s">
        <v>104</v>
      </c>
      <c r="AL44" s="305"/>
      <c r="AM44" s="259"/>
      <c r="AN44" s="259"/>
      <c r="AO44" s="259"/>
      <c r="AP44" s="259">
        <f t="shared" si="3"/>
        <v>0</v>
      </c>
      <c r="AQ44" s="260"/>
      <c r="AR44" s="252" t="s">
        <v>104</v>
      </c>
      <c r="AS44" s="305"/>
      <c r="AT44" s="259"/>
      <c r="AU44" s="259"/>
      <c r="AV44" s="259"/>
      <c r="AW44" s="259">
        <f t="shared" si="4"/>
        <v>0</v>
      </c>
      <c r="AX44" s="260"/>
      <c r="AY44" s="148"/>
      <c r="AZ44" s="149"/>
      <c r="BA44" s="150"/>
      <c r="BB44" s="151"/>
      <c r="BC44" s="152"/>
      <c r="BD44" s="147"/>
      <c r="BE44" s="147"/>
      <c r="BF44" s="153"/>
    </row>
    <row r="45" spans="1:58">
      <c r="A45" s="4237"/>
      <c r="B45" s="194"/>
      <c r="C45" s="4234"/>
      <c r="D45" s="253" t="s">
        <v>171</v>
      </c>
      <c r="E45" s="261"/>
      <c r="F45" s="261"/>
      <c r="G45" s="261">
        <v>11920775</v>
      </c>
      <c r="H45" s="261"/>
      <c r="I45" s="262"/>
      <c r="J45" s="253" t="s">
        <v>171</v>
      </c>
      <c r="K45" s="261"/>
      <c r="L45" s="261"/>
      <c r="M45" s="261">
        <v>3018191</v>
      </c>
      <c r="N45" s="261"/>
      <c r="O45" s="262"/>
      <c r="P45" s="253" t="s">
        <v>171</v>
      </c>
      <c r="Q45" s="297"/>
      <c r="R45" s="261"/>
      <c r="S45" s="261"/>
      <c r="T45" s="261"/>
      <c r="U45" s="261">
        <f t="shared" si="0"/>
        <v>0</v>
      </c>
      <c r="V45" s="262"/>
      <c r="W45" s="253" t="s">
        <v>171</v>
      </c>
      <c r="X45" s="297"/>
      <c r="Y45" s="261"/>
      <c r="Z45" s="261">
        <v>-6044284</v>
      </c>
      <c r="AA45" s="261"/>
      <c r="AB45" s="261">
        <f t="shared" si="1"/>
        <v>0</v>
      </c>
      <c r="AC45" s="262"/>
      <c r="AD45" s="253" t="s">
        <v>171</v>
      </c>
      <c r="AE45" s="297"/>
      <c r="AF45" s="261"/>
      <c r="AG45" s="261"/>
      <c r="AH45" s="261"/>
      <c r="AI45" s="261">
        <f t="shared" si="2"/>
        <v>0</v>
      </c>
      <c r="AJ45" s="262"/>
      <c r="AK45" s="253" t="s">
        <v>171</v>
      </c>
      <c r="AL45" s="297"/>
      <c r="AM45" s="261"/>
      <c r="AN45" s="261"/>
      <c r="AO45" s="261"/>
      <c r="AP45" s="261">
        <f t="shared" si="3"/>
        <v>0</v>
      </c>
      <c r="AQ45" s="262"/>
      <c r="AR45" s="253" t="s">
        <v>171</v>
      </c>
      <c r="AS45" s="297"/>
      <c r="AT45" s="261"/>
      <c r="AU45" s="261"/>
      <c r="AV45" s="261"/>
      <c r="AW45" s="261">
        <f t="shared" si="4"/>
        <v>0</v>
      </c>
      <c r="AX45" s="262"/>
      <c r="AY45" s="155"/>
      <c r="AZ45" s="156"/>
      <c r="BA45" s="157"/>
      <c r="BB45" s="158"/>
      <c r="BC45" s="159"/>
      <c r="BD45" s="154"/>
      <c r="BE45" s="154"/>
      <c r="BF45" s="160"/>
    </row>
    <row r="46" spans="1:58">
      <c r="A46" s="4237"/>
      <c r="B46" s="194"/>
      <c r="C46" s="4234"/>
      <c r="D46" s="253" t="s">
        <v>103</v>
      </c>
      <c r="E46" s="261"/>
      <c r="F46" s="261"/>
      <c r="G46" s="261">
        <v>8819800</v>
      </c>
      <c r="H46" s="261"/>
      <c r="I46" s="262"/>
      <c r="J46" s="253" t="s">
        <v>103</v>
      </c>
      <c r="K46" s="261"/>
      <c r="L46" s="261"/>
      <c r="M46" s="261">
        <v>12141931</v>
      </c>
      <c r="N46" s="261"/>
      <c r="O46" s="262"/>
      <c r="P46" s="253" t="s">
        <v>103</v>
      </c>
      <c r="Q46" s="297"/>
      <c r="R46" s="261"/>
      <c r="S46" s="261">
        <v>11756707</v>
      </c>
      <c r="T46" s="261"/>
      <c r="U46" s="261">
        <f t="shared" si="0"/>
        <v>0</v>
      </c>
      <c r="V46" s="262"/>
      <c r="W46" s="253" t="s">
        <v>103</v>
      </c>
      <c r="X46" s="297"/>
      <c r="Y46" s="261"/>
      <c r="Z46" s="261">
        <v>20029004</v>
      </c>
      <c r="AA46" s="261"/>
      <c r="AB46" s="261">
        <f t="shared" si="1"/>
        <v>0</v>
      </c>
      <c r="AC46" s="262"/>
      <c r="AD46" s="253" t="s">
        <v>103</v>
      </c>
      <c r="AE46" s="297"/>
      <c r="AF46" s="261"/>
      <c r="AG46" s="261">
        <v>14936883</v>
      </c>
      <c r="AH46" s="261"/>
      <c r="AI46" s="261">
        <f t="shared" si="2"/>
        <v>0</v>
      </c>
      <c r="AJ46" s="262"/>
      <c r="AK46" s="253" t="s">
        <v>103</v>
      </c>
      <c r="AL46" s="297"/>
      <c r="AM46" s="261"/>
      <c r="AN46" s="261">
        <v>9024180</v>
      </c>
      <c r="AO46" s="261"/>
      <c r="AP46" s="261">
        <f t="shared" si="3"/>
        <v>0</v>
      </c>
      <c r="AQ46" s="262"/>
      <c r="AR46" s="253" t="s">
        <v>103</v>
      </c>
      <c r="AS46" s="297"/>
      <c r="AT46" s="261"/>
      <c r="AU46" s="261">
        <v>16960628</v>
      </c>
      <c r="AV46" s="261"/>
      <c r="AW46" s="261">
        <f t="shared" si="4"/>
        <v>0</v>
      </c>
      <c r="AX46" s="262"/>
      <c r="AY46" s="155"/>
      <c r="AZ46" s="156"/>
      <c r="BA46" s="157"/>
      <c r="BB46" s="158"/>
      <c r="BC46" s="159"/>
      <c r="BD46" s="154"/>
      <c r="BE46" s="154"/>
      <c r="BF46" s="160"/>
    </row>
    <row r="47" spans="1:58" ht="15.75" thickBot="1">
      <c r="A47" s="4239"/>
      <c r="B47" s="200"/>
      <c r="C47" s="4240"/>
      <c r="D47" s="255" t="s">
        <v>336</v>
      </c>
      <c r="E47" s="265"/>
      <c r="F47" s="265"/>
      <c r="G47" s="265">
        <v>764144</v>
      </c>
      <c r="H47" s="265"/>
      <c r="I47" s="266"/>
      <c r="J47" s="255" t="s">
        <v>336</v>
      </c>
      <c r="K47" s="265"/>
      <c r="L47" s="265"/>
      <c r="M47" s="265">
        <v>-414757</v>
      </c>
      <c r="N47" s="265"/>
      <c r="O47" s="266"/>
      <c r="P47" s="255" t="s">
        <v>336</v>
      </c>
      <c r="Q47" s="307"/>
      <c r="R47" s="265"/>
      <c r="S47" s="265">
        <v>9209267</v>
      </c>
      <c r="T47" s="265"/>
      <c r="U47" s="265">
        <f t="shared" si="0"/>
        <v>0</v>
      </c>
      <c r="V47" s="266"/>
      <c r="W47" s="255" t="s">
        <v>336</v>
      </c>
      <c r="X47" s="307"/>
      <c r="Y47" s="265"/>
      <c r="Z47" s="265">
        <v>1419635</v>
      </c>
      <c r="AA47" s="265"/>
      <c r="AB47" s="265">
        <f t="shared" si="1"/>
        <v>0</v>
      </c>
      <c r="AC47" s="266"/>
      <c r="AD47" s="255" t="s">
        <v>336</v>
      </c>
      <c r="AE47" s="307"/>
      <c r="AF47" s="265"/>
      <c r="AG47" s="265">
        <v>4515211</v>
      </c>
      <c r="AH47" s="265"/>
      <c r="AI47" s="265">
        <f t="shared" si="2"/>
        <v>0</v>
      </c>
      <c r="AJ47" s="266"/>
      <c r="AK47" s="255" t="s">
        <v>336</v>
      </c>
      <c r="AL47" s="307"/>
      <c r="AM47" s="265"/>
      <c r="AN47" s="265">
        <v>904818</v>
      </c>
      <c r="AO47" s="265"/>
      <c r="AP47" s="265">
        <f t="shared" si="3"/>
        <v>0</v>
      </c>
      <c r="AQ47" s="266"/>
      <c r="AR47" s="255" t="s">
        <v>336</v>
      </c>
      <c r="AS47" s="307"/>
      <c r="AT47" s="265"/>
      <c r="AU47" s="265">
        <v>5411749</v>
      </c>
      <c r="AV47" s="265"/>
      <c r="AW47" s="265">
        <f t="shared" si="4"/>
        <v>0</v>
      </c>
      <c r="AX47" s="266"/>
      <c r="AY47" s="169"/>
      <c r="AZ47" s="170"/>
      <c r="BA47" s="171"/>
      <c r="BB47" s="172"/>
      <c r="BC47" s="173"/>
      <c r="BD47" s="168"/>
      <c r="BE47" s="168"/>
      <c r="BF47" s="174"/>
    </row>
    <row r="48" spans="1:58" ht="15.75" thickTop="1">
      <c r="A48" s="4227" t="s">
        <v>411</v>
      </c>
      <c r="B48" s="201" t="s">
        <v>411</v>
      </c>
      <c r="C48" s="4230" t="s">
        <v>92</v>
      </c>
      <c r="D48" s="252" t="s">
        <v>104</v>
      </c>
      <c r="E48" s="259"/>
      <c r="F48" s="259"/>
      <c r="G48" s="259"/>
      <c r="H48" s="259"/>
      <c r="I48" s="260"/>
      <c r="J48" s="252" t="s">
        <v>104</v>
      </c>
      <c r="K48" s="259"/>
      <c r="L48" s="259"/>
      <c r="M48" s="259"/>
      <c r="N48" s="259"/>
      <c r="O48" s="260"/>
      <c r="P48" s="252" t="s">
        <v>104</v>
      </c>
      <c r="Q48" s="305">
        <f>IF(S48&gt;0,0.05,0)</f>
        <v>0</v>
      </c>
      <c r="R48" s="259" t="s">
        <v>596</v>
      </c>
      <c r="S48" s="259"/>
      <c r="T48" s="259"/>
      <c r="U48" s="259" t="e">
        <f t="shared" si="0"/>
        <v>#DIV/0!</v>
      </c>
      <c r="V48" s="260"/>
      <c r="W48" s="252" t="s">
        <v>104</v>
      </c>
      <c r="X48" s="305">
        <f>IF(Z48&gt;0,0.05,0)</f>
        <v>0</v>
      </c>
      <c r="Y48" s="259" t="s">
        <v>596</v>
      </c>
      <c r="Z48" s="259"/>
      <c r="AA48" s="259"/>
      <c r="AB48" s="259" t="e">
        <f t="shared" si="1"/>
        <v>#DIV/0!</v>
      </c>
      <c r="AC48" s="260"/>
      <c r="AD48" s="252" t="s">
        <v>104</v>
      </c>
      <c r="AE48" s="305">
        <f>IF(AG48&gt;0,0.05,0)</f>
        <v>0</v>
      </c>
      <c r="AF48" s="259" t="s">
        <v>596</v>
      </c>
      <c r="AG48" s="259"/>
      <c r="AH48" s="259"/>
      <c r="AI48" s="259" t="e">
        <f t="shared" si="2"/>
        <v>#DIV/0!</v>
      </c>
      <c r="AJ48" s="260"/>
      <c r="AK48" s="252" t="s">
        <v>104</v>
      </c>
      <c r="AL48" s="305">
        <f>IF(AN48&gt;0,0.05,0)</f>
        <v>0</v>
      </c>
      <c r="AM48" s="259" t="s">
        <v>596</v>
      </c>
      <c r="AN48" s="259"/>
      <c r="AO48" s="259"/>
      <c r="AP48" s="259" t="e">
        <f t="shared" si="3"/>
        <v>#DIV/0!</v>
      </c>
      <c r="AQ48" s="260"/>
      <c r="AR48" s="252" t="s">
        <v>104</v>
      </c>
      <c r="AS48" s="305">
        <f>IF(AU48&gt;0,0.05,0)</f>
        <v>0</v>
      </c>
      <c r="AT48" s="259" t="s">
        <v>596</v>
      </c>
      <c r="AU48" s="259"/>
      <c r="AV48" s="259"/>
      <c r="AW48" s="259" t="e">
        <f t="shared" si="4"/>
        <v>#DIV/0!</v>
      </c>
      <c r="AX48" s="260"/>
      <c r="AY48" s="132"/>
      <c r="AZ48" s="133"/>
      <c r="BA48" s="134"/>
      <c r="BB48" s="135"/>
      <c r="BC48" s="136"/>
      <c r="BD48" s="131"/>
      <c r="BE48" s="131"/>
      <c r="BF48" s="137"/>
    </row>
    <row r="49" spans="1:58">
      <c r="A49" s="4228"/>
      <c r="B49" s="197"/>
      <c r="C49" s="4231"/>
      <c r="D49" s="253" t="s">
        <v>171</v>
      </c>
      <c r="E49" s="261"/>
      <c r="F49" s="261"/>
      <c r="G49" s="261">
        <v>37816789</v>
      </c>
      <c r="H49" s="261"/>
      <c r="I49" s="262"/>
      <c r="J49" s="253" t="s">
        <v>171</v>
      </c>
      <c r="K49" s="261"/>
      <c r="L49" s="261"/>
      <c r="M49" s="261">
        <v>11477367</v>
      </c>
      <c r="N49" s="261"/>
      <c r="O49" s="262"/>
      <c r="P49" s="253" t="s">
        <v>171</v>
      </c>
      <c r="Q49" s="297">
        <f>IF(S49&gt;0,0.05,0)</f>
        <v>0.05</v>
      </c>
      <c r="R49" s="261" t="s">
        <v>596</v>
      </c>
      <c r="S49" s="261">
        <v>26692523</v>
      </c>
      <c r="T49" s="261"/>
      <c r="U49" s="261">
        <f t="shared" si="0"/>
        <v>0</v>
      </c>
      <c r="V49" s="262"/>
      <c r="W49" s="253" t="s">
        <v>171</v>
      </c>
      <c r="X49" s="297">
        <f>IF(Z49&gt;0,0.05,0)</f>
        <v>0.05</v>
      </c>
      <c r="Y49" s="261" t="s">
        <v>596</v>
      </c>
      <c r="Z49" s="261">
        <v>123778468</v>
      </c>
      <c r="AA49" s="261"/>
      <c r="AB49" s="261">
        <f t="shared" si="1"/>
        <v>0</v>
      </c>
      <c r="AC49" s="262"/>
      <c r="AD49" s="253" t="s">
        <v>171</v>
      </c>
      <c r="AE49" s="297">
        <f>IF(AG49&gt;0,0.05,0)</f>
        <v>0.05</v>
      </c>
      <c r="AF49" s="261" t="s">
        <v>596</v>
      </c>
      <c r="AG49" s="261">
        <v>62067093</v>
      </c>
      <c r="AH49" s="261"/>
      <c r="AI49" s="261">
        <f t="shared" si="2"/>
        <v>0</v>
      </c>
      <c r="AJ49" s="262"/>
      <c r="AK49" s="253" t="s">
        <v>171</v>
      </c>
      <c r="AL49" s="297">
        <f>IF(AN49&gt;0,0.05,0)</f>
        <v>0.05</v>
      </c>
      <c r="AM49" s="261" t="s">
        <v>596</v>
      </c>
      <c r="AN49" s="261">
        <v>104549291</v>
      </c>
      <c r="AO49" s="261"/>
      <c r="AP49" s="261">
        <f t="shared" si="3"/>
        <v>0</v>
      </c>
      <c r="AQ49" s="262"/>
      <c r="AR49" s="253" t="s">
        <v>171</v>
      </c>
      <c r="AS49" s="297">
        <f>IF(AU49&gt;0,0.05,0)</f>
        <v>0.05</v>
      </c>
      <c r="AT49" s="261" t="s">
        <v>596</v>
      </c>
      <c r="AU49" s="261">
        <v>81162122</v>
      </c>
      <c r="AV49" s="261"/>
      <c r="AW49" s="261">
        <f t="shared" si="4"/>
        <v>0</v>
      </c>
      <c r="AX49" s="262"/>
      <c r="AY49" s="118"/>
      <c r="AZ49" s="125"/>
      <c r="BA49" s="128"/>
      <c r="BB49" s="114"/>
      <c r="BC49" s="116"/>
      <c r="BD49" s="111"/>
      <c r="BE49" s="111"/>
      <c r="BF49" s="138"/>
    </row>
    <row r="50" spans="1:58">
      <c r="A50" s="4228"/>
      <c r="B50" s="197"/>
      <c r="C50" s="4231"/>
      <c r="D50" s="253" t="s">
        <v>103</v>
      </c>
      <c r="E50" s="261"/>
      <c r="F50" s="261"/>
      <c r="G50" s="261"/>
      <c r="H50" s="261"/>
      <c r="I50" s="262"/>
      <c r="J50" s="253" t="s">
        <v>103</v>
      </c>
      <c r="K50" s="261"/>
      <c r="L50" s="261"/>
      <c r="M50" s="261"/>
      <c r="N50" s="261"/>
      <c r="O50" s="262"/>
      <c r="P50" s="253" t="s">
        <v>103</v>
      </c>
      <c r="Q50" s="297">
        <f>IF(S50&gt;0,0.05,0)</f>
        <v>0</v>
      </c>
      <c r="R50" s="261" t="s">
        <v>596</v>
      </c>
      <c r="S50" s="261"/>
      <c r="T50" s="261"/>
      <c r="U50" s="261" t="e">
        <f t="shared" si="0"/>
        <v>#DIV/0!</v>
      </c>
      <c r="V50" s="262"/>
      <c r="W50" s="253" t="s">
        <v>103</v>
      </c>
      <c r="X50" s="297">
        <f>IF(Z50&gt;0,0.05,0)</f>
        <v>0.05</v>
      </c>
      <c r="Y50" s="261" t="s">
        <v>596</v>
      </c>
      <c r="Z50" s="261">
        <f>Z49/1.1</f>
        <v>112525879.99999999</v>
      </c>
      <c r="AA50" s="261"/>
      <c r="AB50" s="261">
        <f t="shared" si="1"/>
        <v>0</v>
      </c>
      <c r="AC50" s="262"/>
      <c r="AD50" s="253" t="s">
        <v>103</v>
      </c>
      <c r="AE50" s="297">
        <f>IF(AG50&gt;0,0.05,0)</f>
        <v>0</v>
      </c>
      <c r="AF50" s="261" t="s">
        <v>596</v>
      </c>
      <c r="AG50" s="261"/>
      <c r="AH50" s="261"/>
      <c r="AI50" s="261" t="e">
        <f t="shared" si="2"/>
        <v>#DIV/0!</v>
      </c>
      <c r="AJ50" s="262"/>
      <c r="AK50" s="253" t="s">
        <v>103</v>
      </c>
      <c r="AL50" s="297">
        <f>IF(AN50&gt;0,0.05,0)</f>
        <v>0</v>
      </c>
      <c r="AM50" s="261" t="s">
        <v>596</v>
      </c>
      <c r="AN50" s="261"/>
      <c r="AO50" s="261"/>
      <c r="AP50" s="261" t="e">
        <f t="shared" si="3"/>
        <v>#DIV/0!</v>
      </c>
      <c r="AQ50" s="262"/>
      <c r="AR50" s="253" t="s">
        <v>103</v>
      </c>
      <c r="AS50" s="297">
        <f>IF(AU50&gt;0,0.05,0)</f>
        <v>0</v>
      </c>
      <c r="AT50" s="261" t="s">
        <v>596</v>
      </c>
      <c r="AU50" s="261"/>
      <c r="AV50" s="261"/>
      <c r="AW50" s="261" t="e">
        <f t="shared" si="4"/>
        <v>#DIV/0!</v>
      </c>
      <c r="AX50" s="262"/>
      <c r="AY50" s="118"/>
      <c r="AZ50" s="125"/>
      <c r="BA50" s="128"/>
      <c r="BB50" s="114"/>
      <c r="BC50" s="116"/>
      <c r="BD50" s="111"/>
      <c r="BE50" s="111"/>
      <c r="BF50" s="138"/>
    </row>
    <row r="51" spans="1:58" ht="15.75" thickBot="1">
      <c r="A51" s="4241"/>
      <c r="B51" s="202"/>
      <c r="C51" s="4242"/>
      <c r="D51" s="255" t="s">
        <v>336</v>
      </c>
      <c r="E51" s="265"/>
      <c r="F51" s="265"/>
      <c r="G51" s="265"/>
      <c r="H51" s="265"/>
      <c r="I51" s="266"/>
      <c r="J51" s="255" t="s">
        <v>336</v>
      </c>
      <c r="K51" s="265"/>
      <c r="L51" s="265"/>
      <c r="M51" s="265"/>
      <c r="N51" s="265"/>
      <c r="O51" s="266"/>
      <c r="P51" s="255" t="s">
        <v>336</v>
      </c>
      <c r="Q51" s="307">
        <f>IF(S51&gt;0,0.05,0)</f>
        <v>0</v>
      </c>
      <c r="R51" s="265" t="s">
        <v>596</v>
      </c>
      <c r="S51" s="265"/>
      <c r="T51" s="265"/>
      <c r="U51" s="265" t="e">
        <f t="shared" si="0"/>
        <v>#DIV/0!</v>
      </c>
      <c r="V51" s="266"/>
      <c r="W51" s="255" t="s">
        <v>336</v>
      </c>
      <c r="X51" s="307">
        <f>IF(Z51&gt;0,0.05,0)</f>
        <v>0.05</v>
      </c>
      <c r="Y51" s="265" t="s">
        <v>596</v>
      </c>
      <c r="Z51" s="265">
        <f>Z50*0.05</f>
        <v>5626294</v>
      </c>
      <c r="AA51" s="265"/>
      <c r="AB51" s="265">
        <f t="shared" si="1"/>
        <v>0</v>
      </c>
      <c r="AC51" s="266"/>
      <c r="AD51" s="255" t="s">
        <v>336</v>
      </c>
      <c r="AE51" s="307">
        <f>IF(AG51&gt;0,0.05,0)</f>
        <v>0</v>
      </c>
      <c r="AF51" s="265" t="s">
        <v>596</v>
      </c>
      <c r="AG51" s="265"/>
      <c r="AH51" s="265"/>
      <c r="AI51" s="265" t="e">
        <f t="shared" si="2"/>
        <v>#DIV/0!</v>
      </c>
      <c r="AJ51" s="266"/>
      <c r="AK51" s="255" t="s">
        <v>336</v>
      </c>
      <c r="AL51" s="307">
        <f>IF(AN51&gt;0,0.05,0)</f>
        <v>0</v>
      </c>
      <c r="AM51" s="265" t="s">
        <v>596</v>
      </c>
      <c r="AN51" s="265"/>
      <c r="AO51" s="265"/>
      <c r="AP51" s="265" t="e">
        <f t="shared" si="3"/>
        <v>#DIV/0!</v>
      </c>
      <c r="AQ51" s="266"/>
      <c r="AR51" s="255" t="s">
        <v>336</v>
      </c>
      <c r="AS51" s="307">
        <f>IF(AU51&gt;0,0.05,0)</f>
        <v>0</v>
      </c>
      <c r="AT51" s="265" t="s">
        <v>596</v>
      </c>
      <c r="AU51" s="265"/>
      <c r="AV51" s="265"/>
      <c r="AW51" s="265" t="e">
        <f t="shared" si="4"/>
        <v>#DIV/0!</v>
      </c>
      <c r="AX51" s="266"/>
      <c r="AY51" s="141"/>
      <c r="AZ51" s="142"/>
      <c r="BA51" s="143"/>
      <c r="BB51" s="144"/>
      <c r="BC51" s="145"/>
      <c r="BD51" s="140"/>
      <c r="BE51" s="140"/>
      <c r="BF51" s="146"/>
    </row>
    <row r="52" spans="1:58" ht="15.75" thickTop="1">
      <c r="A52" s="4249" t="s">
        <v>412</v>
      </c>
      <c r="B52" s="228" t="s">
        <v>412</v>
      </c>
      <c r="C52" s="4252" t="s">
        <v>408</v>
      </c>
      <c r="D52" s="256" t="s">
        <v>104</v>
      </c>
      <c r="E52" s="269"/>
      <c r="F52" s="269"/>
      <c r="G52" s="269"/>
      <c r="H52" s="269"/>
      <c r="I52" s="270"/>
      <c r="J52" s="256" t="s">
        <v>104</v>
      </c>
      <c r="K52" s="269"/>
      <c r="L52" s="269"/>
      <c r="M52" s="269"/>
      <c r="N52" s="269"/>
      <c r="O52" s="270"/>
      <c r="P52" s="256" t="s">
        <v>104</v>
      </c>
      <c r="Q52" s="308"/>
      <c r="R52" s="269"/>
      <c r="S52" s="269"/>
      <c r="T52" s="269"/>
      <c r="U52" s="269">
        <f t="shared" si="0"/>
        <v>0</v>
      </c>
      <c r="V52" s="270"/>
      <c r="W52" s="256" t="s">
        <v>104</v>
      </c>
      <c r="X52" s="308"/>
      <c r="Y52" s="269"/>
      <c r="Z52" s="269"/>
      <c r="AA52" s="269"/>
      <c r="AB52" s="269">
        <f t="shared" si="1"/>
        <v>0</v>
      </c>
      <c r="AC52" s="270"/>
      <c r="AD52" s="256" t="s">
        <v>104</v>
      </c>
      <c r="AE52" s="308"/>
      <c r="AF52" s="269"/>
      <c r="AG52" s="269"/>
      <c r="AH52" s="269"/>
      <c r="AI52" s="269">
        <f t="shared" si="2"/>
        <v>0</v>
      </c>
      <c r="AJ52" s="270"/>
      <c r="AK52" s="256" t="s">
        <v>104</v>
      </c>
      <c r="AL52" s="308"/>
      <c r="AM52" s="269"/>
      <c r="AN52" s="269"/>
      <c r="AO52" s="269"/>
      <c r="AP52" s="269">
        <f t="shared" si="3"/>
        <v>0</v>
      </c>
      <c r="AQ52" s="270"/>
      <c r="AR52" s="256" t="s">
        <v>104</v>
      </c>
      <c r="AS52" s="308"/>
      <c r="AT52" s="269"/>
      <c r="AU52" s="269"/>
      <c r="AV52" s="269"/>
      <c r="AW52" s="269">
        <f t="shared" si="4"/>
        <v>0</v>
      </c>
      <c r="AX52" s="270"/>
      <c r="AY52" s="230"/>
      <c r="AZ52" s="231"/>
      <c r="BA52" s="232"/>
      <c r="BB52" s="233"/>
      <c r="BC52" s="234"/>
      <c r="BD52" s="229"/>
      <c r="BE52" s="229"/>
      <c r="BF52" s="235"/>
    </row>
    <row r="53" spans="1:58">
      <c r="A53" s="4250"/>
      <c r="B53" s="236"/>
      <c r="C53" s="4253"/>
      <c r="D53" s="257" t="s">
        <v>171</v>
      </c>
      <c r="E53" s="271"/>
      <c r="F53" s="271"/>
      <c r="G53" s="271"/>
      <c r="H53" s="271"/>
      <c r="I53" s="272"/>
      <c r="J53" s="257" t="s">
        <v>171</v>
      </c>
      <c r="K53" s="271"/>
      <c r="L53" s="271"/>
      <c r="M53" s="271"/>
      <c r="N53" s="271"/>
      <c r="O53" s="272"/>
      <c r="P53" s="257" t="s">
        <v>171</v>
      </c>
      <c r="Q53" s="309"/>
      <c r="R53" s="271"/>
      <c r="S53" s="271"/>
      <c r="T53" s="271"/>
      <c r="U53" s="271">
        <f t="shared" si="0"/>
        <v>0</v>
      </c>
      <c r="V53" s="272"/>
      <c r="W53" s="257" t="s">
        <v>171</v>
      </c>
      <c r="X53" s="309"/>
      <c r="Y53" s="271"/>
      <c r="Z53" s="271"/>
      <c r="AA53" s="271"/>
      <c r="AB53" s="271">
        <f t="shared" si="1"/>
        <v>0</v>
      </c>
      <c r="AC53" s="272"/>
      <c r="AD53" s="257" t="s">
        <v>171</v>
      </c>
      <c r="AE53" s="309"/>
      <c r="AF53" s="271"/>
      <c r="AG53" s="271"/>
      <c r="AH53" s="271"/>
      <c r="AI53" s="271">
        <f t="shared" si="2"/>
        <v>0</v>
      </c>
      <c r="AJ53" s="272"/>
      <c r="AK53" s="257" t="s">
        <v>171</v>
      </c>
      <c r="AL53" s="309"/>
      <c r="AM53" s="271"/>
      <c r="AN53" s="271"/>
      <c r="AO53" s="271"/>
      <c r="AP53" s="271">
        <f t="shared" si="3"/>
        <v>0</v>
      </c>
      <c r="AQ53" s="272"/>
      <c r="AR53" s="257" t="s">
        <v>171</v>
      </c>
      <c r="AS53" s="309"/>
      <c r="AT53" s="271"/>
      <c r="AU53" s="271"/>
      <c r="AV53" s="271"/>
      <c r="AW53" s="271">
        <f t="shared" si="4"/>
        <v>0</v>
      </c>
      <c r="AX53" s="272"/>
      <c r="AY53" s="238"/>
      <c r="AZ53" s="239"/>
      <c r="BA53" s="240"/>
      <c r="BB53" s="241"/>
      <c r="BC53" s="242"/>
      <c r="BD53" s="237"/>
      <c r="BE53" s="237"/>
      <c r="BF53" s="243"/>
    </row>
    <row r="54" spans="1:58">
      <c r="A54" s="4250"/>
      <c r="B54" s="236"/>
      <c r="C54" s="4253"/>
      <c r="D54" s="257" t="s">
        <v>103</v>
      </c>
      <c r="E54" s="271"/>
      <c r="F54" s="271"/>
      <c r="G54" s="271"/>
      <c r="H54" s="271"/>
      <c r="I54" s="272"/>
      <c r="J54" s="257" t="s">
        <v>103</v>
      </c>
      <c r="K54" s="271"/>
      <c r="L54" s="271"/>
      <c r="M54" s="271"/>
      <c r="N54" s="271"/>
      <c r="O54" s="272"/>
      <c r="P54" s="257" t="s">
        <v>103</v>
      </c>
      <c r="Q54" s="309"/>
      <c r="R54" s="271"/>
      <c r="S54" s="271"/>
      <c r="T54" s="271"/>
      <c r="U54" s="271">
        <f t="shared" si="0"/>
        <v>0</v>
      </c>
      <c r="V54" s="272"/>
      <c r="W54" s="257" t="s">
        <v>103</v>
      </c>
      <c r="X54" s="309"/>
      <c r="Y54" s="271"/>
      <c r="Z54" s="271"/>
      <c r="AA54" s="271"/>
      <c r="AB54" s="271">
        <f t="shared" si="1"/>
        <v>0</v>
      </c>
      <c r="AC54" s="272"/>
      <c r="AD54" s="257" t="s">
        <v>103</v>
      </c>
      <c r="AE54" s="309"/>
      <c r="AF54" s="271"/>
      <c r="AG54" s="271"/>
      <c r="AH54" s="271"/>
      <c r="AI54" s="271">
        <f t="shared" si="2"/>
        <v>0</v>
      </c>
      <c r="AJ54" s="272"/>
      <c r="AK54" s="257" t="s">
        <v>103</v>
      </c>
      <c r="AL54" s="309"/>
      <c r="AM54" s="271"/>
      <c r="AN54" s="271"/>
      <c r="AO54" s="271"/>
      <c r="AP54" s="271">
        <f t="shared" si="3"/>
        <v>0</v>
      </c>
      <c r="AQ54" s="272"/>
      <c r="AR54" s="257" t="s">
        <v>103</v>
      </c>
      <c r="AS54" s="309"/>
      <c r="AT54" s="271"/>
      <c r="AU54" s="271"/>
      <c r="AV54" s="271"/>
      <c r="AW54" s="271">
        <f t="shared" si="4"/>
        <v>0</v>
      </c>
      <c r="AX54" s="272"/>
      <c r="AY54" s="238"/>
      <c r="AZ54" s="239"/>
      <c r="BA54" s="240"/>
      <c r="BB54" s="241"/>
      <c r="BC54" s="242"/>
      <c r="BD54" s="237"/>
      <c r="BE54" s="237"/>
      <c r="BF54" s="243"/>
    </row>
    <row r="55" spans="1:58" ht="15.75" thickBot="1">
      <c r="A55" s="4251"/>
      <c r="B55" s="244"/>
      <c r="C55" s="4254"/>
      <c r="D55" s="258" t="s">
        <v>336</v>
      </c>
      <c r="E55" s="273"/>
      <c r="F55" s="273"/>
      <c r="G55" s="273"/>
      <c r="H55" s="273"/>
      <c r="I55" s="274"/>
      <c r="J55" s="258" t="s">
        <v>336</v>
      </c>
      <c r="K55" s="273"/>
      <c r="L55" s="273"/>
      <c r="M55" s="273"/>
      <c r="N55" s="273"/>
      <c r="O55" s="274"/>
      <c r="P55" s="258" t="s">
        <v>336</v>
      </c>
      <c r="Q55" s="310"/>
      <c r="R55" s="273"/>
      <c r="S55" s="273"/>
      <c r="T55" s="273"/>
      <c r="U55" s="273">
        <f t="shared" si="0"/>
        <v>0</v>
      </c>
      <c r="V55" s="274"/>
      <c r="W55" s="258" t="s">
        <v>336</v>
      </c>
      <c r="X55" s="310"/>
      <c r="Y55" s="273"/>
      <c r="Z55" s="273"/>
      <c r="AA55" s="273"/>
      <c r="AB55" s="273">
        <f t="shared" si="1"/>
        <v>0</v>
      </c>
      <c r="AC55" s="274"/>
      <c r="AD55" s="258" t="s">
        <v>336</v>
      </c>
      <c r="AE55" s="310"/>
      <c r="AF55" s="273"/>
      <c r="AG55" s="273"/>
      <c r="AH55" s="273"/>
      <c r="AI55" s="273">
        <f t="shared" si="2"/>
        <v>0</v>
      </c>
      <c r="AJ55" s="274"/>
      <c r="AK55" s="258" t="s">
        <v>336</v>
      </c>
      <c r="AL55" s="310"/>
      <c r="AM55" s="273"/>
      <c r="AN55" s="273"/>
      <c r="AO55" s="273"/>
      <c r="AP55" s="273">
        <f t="shared" si="3"/>
        <v>0</v>
      </c>
      <c r="AQ55" s="274"/>
      <c r="AR55" s="258" t="s">
        <v>336</v>
      </c>
      <c r="AS55" s="310"/>
      <c r="AT55" s="273"/>
      <c r="AU55" s="273"/>
      <c r="AV55" s="273"/>
      <c r="AW55" s="273">
        <f t="shared" si="4"/>
        <v>0</v>
      </c>
      <c r="AX55" s="274"/>
      <c r="AY55" s="246"/>
      <c r="AZ55" s="247"/>
      <c r="BA55" s="248"/>
      <c r="BB55" s="249"/>
      <c r="BC55" s="250"/>
      <c r="BD55" s="245"/>
      <c r="BE55" s="245"/>
      <c r="BF55" s="251"/>
    </row>
    <row r="56" spans="1:58" ht="15.75" thickTop="1">
      <c r="A56" s="4227" t="s">
        <v>202</v>
      </c>
      <c r="B56" s="201" t="s">
        <v>202</v>
      </c>
      <c r="C56" s="4230" t="s">
        <v>96</v>
      </c>
      <c r="D56" s="252" t="s">
        <v>104</v>
      </c>
      <c r="E56" s="259"/>
      <c r="F56" s="259"/>
      <c r="G56" s="259">
        <v>184621720</v>
      </c>
      <c r="H56" s="259"/>
      <c r="I56" s="260"/>
      <c r="J56" s="252" t="s">
        <v>104</v>
      </c>
      <c r="K56" s="259"/>
      <c r="L56" s="259"/>
      <c r="M56" s="259">
        <v>28521450</v>
      </c>
      <c r="N56" s="259"/>
      <c r="O56" s="260"/>
      <c r="P56" s="252" t="s">
        <v>104</v>
      </c>
      <c r="Q56" s="305"/>
      <c r="R56" s="259"/>
      <c r="S56" s="259">
        <v>114429706</v>
      </c>
      <c r="T56" s="259"/>
      <c r="U56" s="259">
        <f t="shared" si="0"/>
        <v>0</v>
      </c>
      <c r="V56" s="260"/>
      <c r="W56" s="252" t="s">
        <v>104</v>
      </c>
      <c r="X56" s="305"/>
      <c r="Y56" s="259"/>
      <c r="Z56" s="259">
        <v>44229412</v>
      </c>
      <c r="AA56" s="259"/>
      <c r="AB56" s="259">
        <f t="shared" si="1"/>
        <v>0</v>
      </c>
      <c r="AC56" s="260"/>
      <c r="AD56" s="252" t="s">
        <v>104</v>
      </c>
      <c r="AE56" s="305"/>
      <c r="AF56" s="259"/>
      <c r="AG56" s="259">
        <v>91777356</v>
      </c>
      <c r="AH56" s="259"/>
      <c r="AI56" s="259">
        <f t="shared" si="2"/>
        <v>0</v>
      </c>
      <c r="AJ56" s="260"/>
      <c r="AK56" s="252" t="s">
        <v>104</v>
      </c>
      <c r="AL56" s="305"/>
      <c r="AM56" s="259"/>
      <c r="AN56" s="259">
        <v>31153141</v>
      </c>
      <c r="AO56" s="259"/>
      <c r="AP56" s="259">
        <f t="shared" si="3"/>
        <v>0</v>
      </c>
      <c r="AQ56" s="260"/>
      <c r="AR56" s="252" t="s">
        <v>104</v>
      </c>
      <c r="AS56" s="305"/>
      <c r="AT56" s="259"/>
      <c r="AU56" s="259">
        <v>67876808</v>
      </c>
      <c r="AV56" s="259"/>
      <c r="AW56" s="259">
        <f t="shared" si="4"/>
        <v>0</v>
      </c>
      <c r="AX56" s="260"/>
      <c r="AY56" s="132"/>
      <c r="AZ56" s="133"/>
      <c r="BA56" s="134"/>
      <c r="BB56" s="135"/>
      <c r="BC56" s="136"/>
      <c r="BD56" s="131"/>
      <c r="BE56" s="131"/>
      <c r="BF56" s="137"/>
    </row>
    <row r="57" spans="1:58">
      <c r="A57" s="4228"/>
      <c r="B57" s="197"/>
      <c r="C57" s="4231"/>
      <c r="D57" s="253" t="s">
        <v>171</v>
      </c>
      <c r="E57" s="261"/>
      <c r="F57" s="261"/>
      <c r="G57" s="261">
        <v>52012292</v>
      </c>
      <c r="H57" s="261"/>
      <c r="I57" s="262"/>
      <c r="J57" s="253" t="s">
        <v>171</v>
      </c>
      <c r="K57" s="261"/>
      <c r="L57" s="261"/>
      <c r="M57" s="261">
        <v>3268533</v>
      </c>
      <c r="N57" s="261"/>
      <c r="O57" s="262"/>
      <c r="P57" s="253" t="s">
        <v>171</v>
      </c>
      <c r="Q57" s="297"/>
      <c r="R57" s="261"/>
      <c r="S57" s="261"/>
      <c r="T57" s="261"/>
      <c r="U57" s="261">
        <f t="shared" si="0"/>
        <v>0</v>
      </c>
      <c r="V57" s="262"/>
      <c r="W57" s="253" t="s">
        <v>171</v>
      </c>
      <c r="X57" s="297"/>
      <c r="Y57" s="261"/>
      <c r="Z57" s="261">
        <v>661998</v>
      </c>
      <c r="AA57" s="261"/>
      <c r="AB57" s="261">
        <f t="shared" si="1"/>
        <v>0</v>
      </c>
      <c r="AC57" s="262"/>
      <c r="AD57" s="253" t="s">
        <v>171</v>
      </c>
      <c r="AE57" s="297"/>
      <c r="AF57" s="261"/>
      <c r="AG57" s="261"/>
      <c r="AH57" s="261"/>
      <c r="AI57" s="261">
        <f t="shared" si="2"/>
        <v>0</v>
      </c>
      <c r="AJ57" s="262"/>
      <c r="AK57" s="253" t="s">
        <v>171</v>
      </c>
      <c r="AL57" s="297"/>
      <c r="AM57" s="261"/>
      <c r="AN57" s="261"/>
      <c r="AO57" s="261"/>
      <c r="AP57" s="261">
        <f t="shared" si="3"/>
        <v>0</v>
      </c>
      <c r="AQ57" s="262"/>
      <c r="AR57" s="253" t="s">
        <v>171</v>
      </c>
      <c r="AS57" s="297"/>
      <c r="AT57" s="261"/>
      <c r="AU57" s="261"/>
      <c r="AV57" s="261"/>
      <c r="AW57" s="261">
        <f t="shared" si="4"/>
        <v>0</v>
      </c>
      <c r="AX57" s="262"/>
      <c r="AY57" s="118"/>
      <c r="AZ57" s="125"/>
      <c r="BA57" s="128"/>
      <c r="BB57" s="114"/>
      <c r="BC57" s="116"/>
      <c r="BD57" s="111"/>
      <c r="BE57" s="111"/>
      <c r="BF57" s="138"/>
    </row>
    <row r="58" spans="1:58">
      <c r="A58" s="4228"/>
      <c r="B58" s="197"/>
      <c r="C58" s="4231"/>
      <c r="D58" s="253" t="s">
        <v>103</v>
      </c>
      <c r="E58" s="261"/>
      <c r="F58" s="261"/>
      <c r="G58" s="261">
        <v>6144043</v>
      </c>
      <c r="H58" s="261"/>
      <c r="I58" s="262"/>
      <c r="J58" s="253" t="s">
        <v>103</v>
      </c>
      <c r="K58" s="261"/>
      <c r="L58" s="261"/>
      <c r="M58" s="261">
        <v>7021334</v>
      </c>
      <c r="N58" s="261"/>
      <c r="O58" s="262"/>
      <c r="P58" s="253" t="s">
        <v>103</v>
      </c>
      <c r="Q58" s="297"/>
      <c r="R58" s="261"/>
      <c r="S58" s="261">
        <v>11621523</v>
      </c>
      <c r="T58" s="261"/>
      <c r="U58" s="261">
        <f t="shared" si="0"/>
        <v>0</v>
      </c>
      <c r="V58" s="262"/>
      <c r="W58" s="253" t="s">
        <v>103</v>
      </c>
      <c r="X58" s="297"/>
      <c r="Y58" s="261"/>
      <c r="Z58" s="261">
        <v>47888933</v>
      </c>
      <c r="AA58" s="261"/>
      <c r="AB58" s="261">
        <f t="shared" si="1"/>
        <v>0</v>
      </c>
      <c r="AC58" s="262"/>
      <c r="AD58" s="253" t="s">
        <v>103</v>
      </c>
      <c r="AE58" s="297"/>
      <c r="AF58" s="261"/>
      <c r="AG58" s="261">
        <v>23293445</v>
      </c>
      <c r="AH58" s="261"/>
      <c r="AI58" s="261">
        <f t="shared" si="2"/>
        <v>0</v>
      </c>
      <c r="AJ58" s="262"/>
      <c r="AK58" s="253" t="s">
        <v>103</v>
      </c>
      <c r="AL58" s="297"/>
      <c r="AM58" s="261"/>
      <c r="AN58" s="261">
        <v>11639068</v>
      </c>
      <c r="AO58" s="261"/>
      <c r="AP58" s="261">
        <f t="shared" si="3"/>
        <v>0</v>
      </c>
      <c r="AQ58" s="262"/>
      <c r="AR58" s="253" t="s">
        <v>103</v>
      </c>
      <c r="AS58" s="297"/>
      <c r="AT58" s="261"/>
      <c r="AU58" s="261">
        <v>17689688</v>
      </c>
      <c r="AV58" s="261"/>
      <c r="AW58" s="261">
        <f t="shared" si="4"/>
        <v>0</v>
      </c>
      <c r="AX58" s="262"/>
      <c r="AY58" s="118"/>
      <c r="AZ58" s="125"/>
      <c r="BA58" s="128"/>
      <c r="BB58" s="114"/>
      <c r="BC58" s="116"/>
      <c r="BD58" s="111"/>
      <c r="BE58" s="111"/>
      <c r="BF58" s="138"/>
    </row>
    <row r="59" spans="1:58" ht="15.75" thickBot="1">
      <c r="A59" s="4241"/>
      <c r="B59" s="202"/>
      <c r="C59" s="4242"/>
      <c r="D59" s="255" t="s">
        <v>336</v>
      </c>
      <c r="E59" s="265"/>
      <c r="F59" s="265"/>
      <c r="G59" s="265"/>
      <c r="H59" s="265"/>
      <c r="I59" s="266"/>
      <c r="J59" s="255" t="s">
        <v>336</v>
      </c>
      <c r="K59" s="265"/>
      <c r="L59" s="265"/>
      <c r="M59" s="265"/>
      <c r="N59" s="265"/>
      <c r="O59" s="266"/>
      <c r="P59" s="255" t="s">
        <v>336</v>
      </c>
      <c r="Q59" s="307"/>
      <c r="R59" s="265"/>
      <c r="S59" s="265"/>
      <c r="T59" s="265"/>
      <c r="U59" s="265">
        <f t="shared" si="0"/>
        <v>0</v>
      </c>
      <c r="V59" s="266"/>
      <c r="W59" s="255" t="s">
        <v>336</v>
      </c>
      <c r="X59" s="307"/>
      <c r="Y59" s="265"/>
      <c r="Z59" s="265"/>
      <c r="AA59" s="265"/>
      <c r="AB59" s="265">
        <f t="shared" si="1"/>
        <v>0</v>
      </c>
      <c r="AC59" s="266"/>
      <c r="AD59" s="255" t="s">
        <v>336</v>
      </c>
      <c r="AE59" s="307"/>
      <c r="AF59" s="265"/>
      <c r="AG59" s="265"/>
      <c r="AH59" s="265"/>
      <c r="AI59" s="265">
        <f t="shared" si="2"/>
        <v>0</v>
      </c>
      <c r="AJ59" s="266"/>
      <c r="AK59" s="255" t="s">
        <v>336</v>
      </c>
      <c r="AL59" s="307"/>
      <c r="AM59" s="265"/>
      <c r="AN59" s="265"/>
      <c r="AO59" s="265"/>
      <c r="AP59" s="265">
        <f t="shared" si="3"/>
        <v>0</v>
      </c>
      <c r="AQ59" s="266"/>
      <c r="AR59" s="255" t="s">
        <v>336</v>
      </c>
      <c r="AS59" s="307"/>
      <c r="AT59" s="265"/>
      <c r="AU59" s="265"/>
      <c r="AV59" s="265"/>
      <c r="AW59" s="265">
        <f t="shared" si="4"/>
        <v>0</v>
      </c>
      <c r="AX59" s="266"/>
      <c r="AY59" s="141"/>
      <c r="AZ59" s="142"/>
      <c r="BA59" s="143"/>
      <c r="BB59" s="144"/>
      <c r="BC59" s="145"/>
      <c r="BD59" s="140"/>
      <c r="BE59" s="140"/>
      <c r="BF59" s="146"/>
    </row>
    <row r="60" spans="1:58" ht="15.75" thickTop="1">
      <c r="A60" s="4236" t="s">
        <v>120</v>
      </c>
      <c r="B60" s="193" t="s">
        <v>120</v>
      </c>
      <c r="C60" s="4233" t="s">
        <v>92</v>
      </c>
      <c r="D60" s="252" t="s">
        <v>104</v>
      </c>
      <c r="E60" s="267"/>
      <c r="F60" s="259"/>
      <c r="G60" s="259">
        <v>61429025</v>
      </c>
      <c r="H60" s="259"/>
      <c r="I60" s="260"/>
      <c r="J60" s="252" t="s">
        <v>104</v>
      </c>
      <c r="K60" s="267"/>
      <c r="L60" s="259"/>
      <c r="M60" s="259">
        <v>23154825</v>
      </c>
      <c r="N60" s="259"/>
      <c r="O60" s="260"/>
      <c r="P60" s="252" t="s">
        <v>104</v>
      </c>
      <c r="Q60" s="305">
        <f>IF(S60&gt;0,0.05,0)</f>
        <v>0.05</v>
      </c>
      <c r="R60" s="259" t="s">
        <v>596</v>
      </c>
      <c r="S60" s="259">
        <v>43217493</v>
      </c>
      <c r="T60" s="259"/>
      <c r="U60" s="259">
        <f t="shared" si="0"/>
        <v>0</v>
      </c>
      <c r="V60" s="260"/>
      <c r="W60" s="252" t="s">
        <v>104</v>
      </c>
      <c r="X60" s="305">
        <f>IF(Z60&gt;0,0.05,0)</f>
        <v>0.05</v>
      </c>
      <c r="Y60" s="259" t="s">
        <v>596</v>
      </c>
      <c r="Z60" s="259">
        <v>31590545</v>
      </c>
      <c r="AA60" s="259"/>
      <c r="AB60" s="259">
        <f t="shared" si="1"/>
        <v>0</v>
      </c>
      <c r="AC60" s="260"/>
      <c r="AD60" s="252" t="s">
        <v>104</v>
      </c>
      <c r="AE60" s="305">
        <f>IF(AG60&gt;0,0.05,0)</f>
        <v>0.05</v>
      </c>
      <c r="AF60" s="259" t="s">
        <v>596</v>
      </c>
      <c r="AG60" s="259">
        <v>44041369</v>
      </c>
      <c r="AH60" s="259"/>
      <c r="AI60" s="259">
        <f t="shared" si="2"/>
        <v>0</v>
      </c>
      <c r="AJ60" s="260"/>
      <c r="AK60" s="252" t="s">
        <v>104</v>
      </c>
      <c r="AL60" s="305">
        <f>IF(AN60&gt;0,0.05,0)</f>
        <v>0.05</v>
      </c>
      <c r="AM60" s="259" t="s">
        <v>596</v>
      </c>
      <c r="AN60" s="259">
        <v>20940676</v>
      </c>
      <c r="AO60" s="259"/>
      <c r="AP60" s="259">
        <f t="shared" si="3"/>
        <v>0</v>
      </c>
      <c r="AQ60" s="260"/>
      <c r="AR60" s="252" t="s">
        <v>104</v>
      </c>
      <c r="AS60" s="305">
        <f>IF(AU60&gt;0,0.05,0)</f>
        <v>0.05</v>
      </c>
      <c r="AT60" s="259" t="s">
        <v>596</v>
      </c>
      <c r="AU60" s="259">
        <v>59350459</v>
      </c>
      <c r="AV60" s="259"/>
      <c r="AW60" s="259">
        <f t="shared" si="4"/>
        <v>0</v>
      </c>
      <c r="AX60" s="260"/>
      <c r="AY60" s="148"/>
      <c r="AZ60" s="149"/>
      <c r="BA60" s="150"/>
      <c r="BB60" s="151"/>
      <c r="BC60" s="152"/>
      <c r="BD60" s="147"/>
      <c r="BE60" s="147"/>
      <c r="BF60" s="153"/>
    </row>
    <row r="61" spans="1:58">
      <c r="A61" s="4237"/>
      <c r="B61" s="194" t="s">
        <v>121</v>
      </c>
      <c r="C61" s="4234"/>
      <c r="D61" s="253" t="s">
        <v>171</v>
      </c>
      <c r="E61" s="268"/>
      <c r="F61" s="261"/>
      <c r="G61" s="261">
        <v>46435097</v>
      </c>
      <c r="H61" s="261"/>
      <c r="I61" s="262"/>
      <c r="J61" s="253" t="s">
        <v>171</v>
      </c>
      <c r="K61" s="268"/>
      <c r="L61" s="261"/>
      <c r="M61" s="261">
        <v>3178166</v>
      </c>
      <c r="N61" s="261"/>
      <c r="O61" s="262"/>
      <c r="P61" s="253" t="s">
        <v>171</v>
      </c>
      <c r="Q61" s="297">
        <f>IF(S61&gt;0,0.05,0)</f>
        <v>0.05</v>
      </c>
      <c r="R61" s="261" t="s">
        <v>596</v>
      </c>
      <c r="S61" s="261">
        <v>15960235</v>
      </c>
      <c r="T61" s="261"/>
      <c r="U61" s="261">
        <f t="shared" si="0"/>
        <v>0</v>
      </c>
      <c r="V61" s="262"/>
      <c r="W61" s="253" t="s">
        <v>171</v>
      </c>
      <c r="X61" s="297">
        <f>IF(Z61&gt;0,0.05,0)</f>
        <v>0.05</v>
      </c>
      <c r="Y61" s="261" t="s">
        <v>596</v>
      </c>
      <c r="Z61" s="261">
        <v>21665063</v>
      </c>
      <c r="AA61" s="261"/>
      <c r="AB61" s="261">
        <f t="shared" si="1"/>
        <v>0</v>
      </c>
      <c r="AC61" s="262"/>
      <c r="AD61" s="253" t="s">
        <v>171</v>
      </c>
      <c r="AE61" s="297">
        <f>IF(AG61&gt;0,0.05,0)</f>
        <v>0.05</v>
      </c>
      <c r="AF61" s="261" t="s">
        <v>596</v>
      </c>
      <c r="AG61" s="261">
        <v>19295111</v>
      </c>
      <c r="AH61" s="261"/>
      <c r="AI61" s="261">
        <f t="shared" si="2"/>
        <v>0</v>
      </c>
      <c r="AJ61" s="262"/>
      <c r="AK61" s="253" t="s">
        <v>171</v>
      </c>
      <c r="AL61" s="297">
        <f>IF(AN61&gt;0,0.05,0)</f>
        <v>0.05</v>
      </c>
      <c r="AM61" s="261" t="s">
        <v>596</v>
      </c>
      <c r="AN61" s="261">
        <v>43364346</v>
      </c>
      <c r="AO61" s="261"/>
      <c r="AP61" s="261">
        <f t="shared" si="3"/>
        <v>0</v>
      </c>
      <c r="AQ61" s="262"/>
      <c r="AR61" s="253" t="s">
        <v>171</v>
      </c>
      <c r="AS61" s="297">
        <f>IF(AU61&gt;0,0.05,0)</f>
        <v>0.05</v>
      </c>
      <c r="AT61" s="261" t="s">
        <v>596</v>
      </c>
      <c r="AU61" s="261">
        <v>19624928</v>
      </c>
      <c r="AV61" s="261"/>
      <c r="AW61" s="261">
        <f t="shared" si="4"/>
        <v>0</v>
      </c>
      <c r="AX61" s="262"/>
      <c r="AY61" s="155"/>
      <c r="AZ61" s="156"/>
      <c r="BA61" s="157"/>
      <c r="BB61" s="158"/>
      <c r="BC61" s="159"/>
      <c r="BD61" s="154"/>
      <c r="BE61" s="154"/>
      <c r="BF61" s="160"/>
    </row>
    <row r="62" spans="1:58">
      <c r="A62" s="4237"/>
      <c r="B62" s="194" t="s">
        <v>122</v>
      </c>
      <c r="C62" s="4234"/>
      <c r="D62" s="253" t="s">
        <v>103</v>
      </c>
      <c r="E62" s="268"/>
      <c r="F62" s="261"/>
      <c r="G62" s="261">
        <v>6444166</v>
      </c>
      <c r="H62" s="261"/>
      <c r="I62" s="262"/>
      <c r="J62" s="253" t="s">
        <v>103</v>
      </c>
      <c r="K62" s="268"/>
      <c r="L62" s="261"/>
      <c r="M62" s="261">
        <v>4719274</v>
      </c>
      <c r="N62" s="261"/>
      <c r="O62" s="262"/>
      <c r="P62" s="253" t="s">
        <v>103</v>
      </c>
      <c r="Q62" s="297">
        <f>IF(S62&gt;0,0.05,0)</f>
        <v>0.05</v>
      </c>
      <c r="R62" s="261" t="s">
        <v>596</v>
      </c>
      <c r="S62" s="261">
        <v>10352244</v>
      </c>
      <c r="T62" s="261"/>
      <c r="U62" s="261">
        <f t="shared" si="0"/>
        <v>0</v>
      </c>
      <c r="V62" s="262"/>
      <c r="W62" s="253" t="s">
        <v>103</v>
      </c>
      <c r="X62" s="297">
        <f>IF(Z62&gt;0,0.05,0)</f>
        <v>0.05</v>
      </c>
      <c r="Y62" s="261" t="s">
        <v>596</v>
      </c>
      <c r="Z62" s="261">
        <v>8888526</v>
      </c>
      <c r="AA62" s="261"/>
      <c r="AB62" s="261">
        <f t="shared" si="1"/>
        <v>0</v>
      </c>
      <c r="AC62" s="262"/>
      <c r="AD62" s="253" t="s">
        <v>103</v>
      </c>
      <c r="AE62" s="297">
        <f>IF(AG62&gt;0,0.05,0)</f>
        <v>0.05</v>
      </c>
      <c r="AF62" s="261" t="s">
        <v>596</v>
      </c>
      <c r="AG62" s="261">
        <v>6857381</v>
      </c>
      <c r="AH62" s="261"/>
      <c r="AI62" s="261">
        <f t="shared" si="2"/>
        <v>0</v>
      </c>
      <c r="AJ62" s="262"/>
      <c r="AK62" s="253" t="s">
        <v>103</v>
      </c>
      <c r="AL62" s="297">
        <f>IF(AN62&gt;0,0.05,0)</f>
        <v>0.05</v>
      </c>
      <c r="AM62" s="261" t="s">
        <v>596</v>
      </c>
      <c r="AN62" s="261">
        <v>12592233</v>
      </c>
      <c r="AO62" s="261"/>
      <c r="AP62" s="261">
        <f t="shared" si="3"/>
        <v>0</v>
      </c>
      <c r="AQ62" s="262"/>
      <c r="AR62" s="253" t="s">
        <v>103</v>
      </c>
      <c r="AS62" s="297">
        <f>IF(AU62&gt;0,0.05,0)</f>
        <v>0.05</v>
      </c>
      <c r="AT62" s="261" t="s">
        <v>596</v>
      </c>
      <c r="AU62" s="261">
        <v>46807378</v>
      </c>
      <c r="AV62" s="261"/>
      <c r="AW62" s="261">
        <f t="shared" si="4"/>
        <v>0</v>
      </c>
      <c r="AX62" s="262"/>
      <c r="AY62" s="155"/>
      <c r="AZ62" s="156"/>
      <c r="BA62" s="157"/>
      <c r="BB62" s="158"/>
      <c r="BC62" s="159"/>
      <c r="BD62" s="154"/>
      <c r="BE62" s="154"/>
      <c r="BF62" s="160"/>
    </row>
    <row r="63" spans="1:58" ht="15.75" thickBot="1">
      <c r="A63" s="4238"/>
      <c r="B63" s="195" t="s">
        <v>123</v>
      </c>
      <c r="C63" s="4235"/>
      <c r="D63" s="254" t="s">
        <v>336</v>
      </c>
      <c r="E63" s="275"/>
      <c r="F63" s="263"/>
      <c r="G63" s="263">
        <v>1389203</v>
      </c>
      <c r="H63" s="263"/>
      <c r="I63" s="264"/>
      <c r="J63" s="254" t="s">
        <v>336</v>
      </c>
      <c r="K63" s="275"/>
      <c r="L63" s="263"/>
      <c r="M63" s="263">
        <v>1453744</v>
      </c>
      <c r="N63" s="263"/>
      <c r="O63" s="264"/>
      <c r="P63" s="254" t="s">
        <v>336</v>
      </c>
      <c r="Q63" s="306">
        <f>IF(S63&gt;0,0.05,0)</f>
        <v>0.05</v>
      </c>
      <c r="R63" s="263" t="s">
        <v>596</v>
      </c>
      <c r="S63" s="263">
        <v>3522525</v>
      </c>
      <c r="T63" s="263"/>
      <c r="U63" s="263">
        <f t="shared" si="0"/>
        <v>0</v>
      </c>
      <c r="V63" s="264"/>
      <c r="W63" s="254" t="s">
        <v>336</v>
      </c>
      <c r="X63" s="306">
        <f>IF(Z63&gt;0,0.05,0)</f>
        <v>0.05</v>
      </c>
      <c r="Y63" s="263" t="s">
        <v>596</v>
      </c>
      <c r="Z63" s="263">
        <v>974987</v>
      </c>
      <c r="AA63" s="263"/>
      <c r="AB63" s="263">
        <f t="shared" si="1"/>
        <v>0</v>
      </c>
      <c r="AC63" s="264"/>
      <c r="AD63" s="254" t="s">
        <v>336</v>
      </c>
      <c r="AE63" s="306">
        <f>IF(AG63&gt;0,0.05,0)</f>
        <v>0.05</v>
      </c>
      <c r="AF63" s="263" t="s">
        <v>596</v>
      </c>
      <c r="AG63" s="263">
        <v>2575980</v>
      </c>
      <c r="AH63" s="263"/>
      <c r="AI63" s="263">
        <f t="shared" si="2"/>
        <v>0</v>
      </c>
      <c r="AJ63" s="264"/>
      <c r="AK63" s="254" t="s">
        <v>336</v>
      </c>
      <c r="AL63" s="306">
        <f>IF(AN63&gt;0,0.05,0)</f>
        <v>0.05</v>
      </c>
      <c r="AM63" s="263" t="s">
        <v>596</v>
      </c>
      <c r="AN63" s="263">
        <v>13983805</v>
      </c>
      <c r="AO63" s="263"/>
      <c r="AP63" s="263">
        <f t="shared" si="3"/>
        <v>0</v>
      </c>
      <c r="AQ63" s="264"/>
      <c r="AR63" s="254" t="s">
        <v>336</v>
      </c>
      <c r="AS63" s="306">
        <f>IF(AU63&gt;0,0.05,0)</f>
        <v>0.05</v>
      </c>
      <c r="AT63" s="263" t="s">
        <v>596</v>
      </c>
      <c r="AU63" s="263">
        <v>10178225</v>
      </c>
      <c r="AV63" s="263"/>
      <c r="AW63" s="263">
        <f t="shared" si="4"/>
        <v>0</v>
      </c>
      <c r="AX63" s="264"/>
      <c r="AY63" s="162"/>
      <c r="AZ63" s="163"/>
      <c r="BA63" s="164"/>
      <c r="BB63" s="165"/>
      <c r="BC63" s="166"/>
      <c r="BD63" s="161"/>
      <c r="BE63" s="161"/>
      <c r="BF63" s="167"/>
    </row>
    <row r="64" spans="1:58" ht="15.75" thickTop="1">
      <c r="A64" s="4227" t="s">
        <v>266</v>
      </c>
      <c r="B64" s="196" t="s">
        <v>543</v>
      </c>
      <c r="C64" s="4230" t="s">
        <v>92</v>
      </c>
      <c r="D64" s="252" t="s">
        <v>104</v>
      </c>
      <c r="E64" s="267"/>
      <c r="F64" s="259"/>
      <c r="G64" s="259">
        <v>119059178</v>
      </c>
      <c r="H64" s="305">
        <f>G65/SUM(G64:G67)</f>
        <v>1.9642210150241497E-2</v>
      </c>
      <c r="I64" s="260"/>
      <c r="J64" s="252" t="s">
        <v>104</v>
      </c>
      <c r="K64" s="267"/>
      <c r="L64" s="259"/>
      <c r="M64" s="259">
        <v>117021115</v>
      </c>
      <c r="N64" s="305">
        <f>M65/SUM(M64:M67)</f>
        <v>7.9985610603374599E-2</v>
      </c>
      <c r="O64" s="260"/>
      <c r="P64" s="252" t="s">
        <v>104</v>
      </c>
      <c r="Q64" s="305">
        <f>IF(S64&gt;0,0.03,0)</f>
        <v>0.03</v>
      </c>
      <c r="R64" s="259" t="s">
        <v>595</v>
      </c>
      <c r="S64" s="259">
        <v>172080466</v>
      </c>
      <c r="T64" s="305">
        <f>S65/SUM(S64:S67)</f>
        <v>5.7295289691621711E-2</v>
      </c>
      <c r="U64" s="259">
        <f t="shared" si="0"/>
        <v>0</v>
      </c>
      <c r="V64" s="260"/>
      <c r="W64" s="252" t="s">
        <v>104</v>
      </c>
      <c r="X64" s="305">
        <f>IF(Z64&gt;0,0.03,0)</f>
        <v>0.03</v>
      </c>
      <c r="Y64" s="259" t="s">
        <v>595</v>
      </c>
      <c r="Z64" s="259">
        <v>103506227</v>
      </c>
      <c r="AA64" s="305">
        <f>Z65/SUM(Z64:Z67)</f>
        <v>7.5002583813647813E-2</v>
      </c>
      <c r="AB64" s="259">
        <f t="shared" si="1"/>
        <v>0</v>
      </c>
      <c r="AC64" s="260"/>
      <c r="AD64" s="252" t="s">
        <v>104</v>
      </c>
      <c r="AE64" s="305">
        <f>IF(AG64&gt;0,0.03,0)</f>
        <v>0.03</v>
      </c>
      <c r="AF64" s="259" t="s">
        <v>595</v>
      </c>
      <c r="AG64" s="259">
        <v>125299333</v>
      </c>
      <c r="AH64" s="305">
        <f>AG65/SUM(AG64:AG67)</f>
        <v>8.3291983223730576E-2</v>
      </c>
      <c r="AI64" s="259">
        <f t="shared" si="2"/>
        <v>0</v>
      </c>
      <c r="AJ64" s="260"/>
      <c r="AK64" s="252" t="s">
        <v>104</v>
      </c>
      <c r="AL64" s="305">
        <f>IF(AN64&gt;0,0.03,0)</f>
        <v>0.03</v>
      </c>
      <c r="AM64" s="259" t="s">
        <v>595</v>
      </c>
      <c r="AN64" s="267">
        <v>191260097</v>
      </c>
      <c r="AO64" s="259"/>
      <c r="AP64" s="259">
        <f t="shared" si="3"/>
        <v>0</v>
      </c>
      <c r="AQ64" s="260"/>
      <c r="AR64" s="252" t="s">
        <v>104</v>
      </c>
      <c r="AS64" s="305">
        <f>IF(AU64&gt;0,0.03,0)</f>
        <v>0.03</v>
      </c>
      <c r="AT64" s="259" t="s">
        <v>595</v>
      </c>
      <c r="AU64" s="267">
        <v>4</v>
      </c>
      <c r="AV64" s="259"/>
      <c r="AW64" s="259">
        <f t="shared" si="4"/>
        <v>0</v>
      </c>
      <c r="AX64" s="260"/>
      <c r="AY64" s="132"/>
      <c r="AZ64" s="133"/>
      <c r="BA64" s="134"/>
      <c r="BB64" s="135"/>
      <c r="BC64" s="136"/>
      <c r="BD64" s="131"/>
      <c r="BE64" s="131"/>
      <c r="BF64" s="137"/>
    </row>
    <row r="65" spans="1:58">
      <c r="A65" s="4228"/>
      <c r="B65" s="197" t="s">
        <v>542</v>
      </c>
      <c r="C65" s="4231"/>
      <c r="D65" s="253" t="s">
        <v>171</v>
      </c>
      <c r="E65" s="268"/>
      <c r="F65" s="261"/>
      <c r="G65" s="261">
        <v>2611546</v>
      </c>
      <c r="H65" s="261"/>
      <c r="I65" s="262"/>
      <c r="J65" s="253" t="s">
        <v>171</v>
      </c>
      <c r="K65" s="268"/>
      <c r="L65" s="261"/>
      <c r="M65" s="261">
        <v>11244703</v>
      </c>
      <c r="N65" s="261"/>
      <c r="O65" s="262"/>
      <c r="P65" s="253" t="s">
        <v>171</v>
      </c>
      <c r="Q65" s="297">
        <f>IF(S65&gt;0,0.03,0)</f>
        <v>0.03</v>
      </c>
      <c r="R65" s="261" t="s">
        <v>595</v>
      </c>
      <c r="S65" s="261">
        <v>10928198</v>
      </c>
      <c r="T65" s="261"/>
      <c r="U65" s="261">
        <f t="shared" si="0"/>
        <v>0</v>
      </c>
      <c r="V65" s="262"/>
      <c r="W65" s="253" t="s">
        <v>171</v>
      </c>
      <c r="X65" s="297">
        <f>IF(Z65&gt;0,0.03,0)</f>
        <v>0.03</v>
      </c>
      <c r="Y65" s="261" t="s">
        <v>595</v>
      </c>
      <c r="Z65" s="261">
        <v>9177884</v>
      </c>
      <c r="AA65" s="261"/>
      <c r="AB65" s="261">
        <f t="shared" si="1"/>
        <v>0</v>
      </c>
      <c r="AC65" s="262"/>
      <c r="AD65" s="253" t="s">
        <v>171</v>
      </c>
      <c r="AE65" s="297">
        <f>IF(AG65&gt;0,0.03,0)</f>
        <v>0.03</v>
      </c>
      <c r="AF65" s="261" t="s">
        <v>595</v>
      </c>
      <c r="AG65" s="261">
        <v>20104503</v>
      </c>
      <c r="AH65" s="261"/>
      <c r="AI65" s="261">
        <f t="shared" si="2"/>
        <v>0</v>
      </c>
      <c r="AJ65" s="262"/>
      <c r="AK65" s="253" t="s">
        <v>171</v>
      </c>
      <c r="AL65" s="297">
        <f>IF(AN65&gt;0,0.03,0)</f>
        <v>0.03</v>
      </c>
      <c r="AM65" s="261" t="s">
        <v>595</v>
      </c>
      <c r="AN65" s="261">
        <v>15234484</v>
      </c>
      <c r="AO65" s="261"/>
      <c r="AP65" s="261">
        <f t="shared" si="3"/>
        <v>0</v>
      </c>
      <c r="AQ65" s="262"/>
      <c r="AR65" s="253" t="s">
        <v>171</v>
      </c>
      <c r="AS65" s="297">
        <f>IF(AU65&gt;0,0.03,0)</f>
        <v>0.03</v>
      </c>
      <c r="AT65" s="261" t="s">
        <v>595</v>
      </c>
      <c r="AU65" s="261">
        <v>14294710</v>
      </c>
      <c r="AV65" s="261"/>
      <c r="AW65" s="261">
        <f t="shared" si="4"/>
        <v>0</v>
      </c>
      <c r="AX65" s="262"/>
      <c r="AY65" s="118"/>
      <c r="AZ65" s="125"/>
      <c r="BA65" s="128"/>
      <c r="BB65" s="114"/>
      <c r="BC65" s="116"/>
      <c r="BD65" s="111"/>
      <c r="BE65" s="111"/>
      <c r="BF65" s="138"/>
    </row>
    <row r="66" spans="1:58">
      <c r="A66" s="4228"/>
      <c r="B66" s="197" t="s">
        <v>544</v>
      </c>
      <c r="C66" s="4231"/>
      <c r="D66" s="253" t="s">
        <v>103</v>
      </c>
      <c r="E66" s="268"/>
      <c r="F66" s="261"/>
      <c r="G66" s="261">
        <v>11285088</v>
      </c>
      <c r="H66" s="261"/>
      <c r="I66" s="262"/>
      <c r="J66" s="253" t="s">
        <v>103</v>
      </c>
      <c r="K66" s="268"/>
      <c r="L66" s="261"/>
      <c r="M66" s="261">
        <v>12318256</v>
      </c>
      <c r="N66" s="261"/>
      <c r="O66" s="262"/>
      <c r="P66" s="253" t="s">
        <v>103</v>
      </c>
      <c r="Q66" s="297">
        <f>IF(S66&gt;0,0.03,0)</f>
        <v>0.03</v>
      </c>
      <c r="R66" s="261" t="s">
        <v>595</v>
      </c>
      <c r="S66" s="261">
        <v>7726003</v>
      </c>
      <c r="T66" s="261"/>
      <c r="U66" s="261">
        <f t="shared" si="0"/>
        <v>0</v>
      </c>
      <c r="V66" s="262"/>
      <c r="W66" s="253" t="s">
        <v>103</v>
      </c>
      <c r="X66" s="297">
        <f>IF(Z66&gt;0,0.03,0)</f>
        <v>0.03</v>
      </c>
      <c r="Y66" s="261" t="s">
        <v>595</v>
      </c>
      <c r="Z66" s="261">
        <v>9683460</v>
      </c>
      <c r="AA66" s="261"/>
      <c r="AB66" s="261">
        <f t="shared" si="1"/>
        <v>0</v>
      </c>
      <c r="AC66" s="262"/>
      <c r="AD66" s="253" t="s">
        <v>103</v>
      </c>
      <c r="AE66" s="297">
        <f>IF(AG66&gt;0,0.03,0)</f>
        <v>0.03</v>
      </c>
      <c r="AF66" s="261" t="s">
        <v>595</v>
      </c>
      <c r="AG66" s="261">
        <v>95969970</v>
      </c>
      <c r="AH66" s="261"/>
      <c r="AI66" s="261">
        <f t="shared" si="2"/>
        <v>0</v>
      </c>
      <c r="AJ66" s="262"/>
      <c r="AK66" s="253" t="s">
        <v>103</v>
      </c>
      <c r="AL66" s="297">
        <f>IF(AN66&gt;0,0.03,0)</f>
        <v>0.03</v>
      </c>
      <c r="AM66" s="261" t="s">
        <v>595</v>
      </c>
      <c r="AN66" s="261">
        <v>84884895</v>
      </c>
      <c r="AO66" s="261"/>
      <c r="AP66" s="261">
        <f t="shared" si="3"/>
        <v>0</v>
      </c>
      <c r="AQ66" s="262"/>
      <c r="AR66" s="253" t="s">
        <v>103</v>
      </c>
      <c r="AS66" s="297">
        <f>IF(AU66&gt;0,0.03,0)</f>
        <v>0.03</v>
      </c>
      <c r="AT66" s="261" t="s">
        <v>595</v>
      </c>
      <c r="AU66" s="261">
        <v>96107734</v>
      </c>
      <c r="AV66" s="261"/>
      <c r="AW66" s="261">
        <f t="shared" si="4"/>
        <v>0</v>
      </c>
      <c r="AX66" s="262"/>
      <c r="AY66" s="118"/>
      <c r="AZ66" s="125"/>
      <c r="BA66" s="128"/>
      <c r="BB66" s="114"/>
      <c r="BC66" s="116"/>
      <c r="BD66" s="111"/>
      <c r="BE66" s="111"/>
      <c r="BF66" s="138"/>
    </row>
    <row r="67" spans="1:58" ht="15.75" thickBot="1">
      <c r="A67" s="4229"/>
      <c r="B67" s="198" t="s">
        <v>842</v>
      </c>
      <c r="C67" s="4232"/>
      <c r="D67" s="254" t="s">
        <v>336</v>
      </c>
      <c r="E67" s="275"/>
      <c r="F67" s="263"/>
      <c r="G67" s="263"/>
      <c r="H67" s="263"/>
      <c r="I67" s="264"/>
      <c r="J67" s="254" t="s">
        <v>336</v>
      </c>
      <c r="K67" s="275"/>
      <c r="L67" s="263"/>
      <c r="M67" s="263"/>
      <c r="N67" s="263"/>
      <c r="O67" s="264"/>
      <c r="P67" s="254" t="s">
        <v>336</v>
      </c>
      <c r="Q67" s="306">
        <f>IF(S67&gt;0,0.03,0)</f>
        <v>0</v>
      </c>
      <c r="R67" s="263" t="s">
        <v>595</v>
      </c>
      <c r="S67" s="263"/>
      <c r="T67" s="263"/>
      <c r="U67" s="263">
        <f t="shared" si="0"/>
        <v>0</v>
      </c>
      <c r="V67" s="264"/>
      <c r="W67" s="254" t="s">
        <v>336</v>
      </c>
      <c r="X67" s="306">
        <f>IF(Z67&gt;0,0.03,0)</f>
        <v>0</v>
      </c>
      <c r="Y67" s="263" t="s">
        <v>595</v>
      </c>
      <c r="Z67" s="263"/>
      <c r="AA67" s="263"/>
      <c r="AB67" s="263">
        <f t="shared" si="1"/>
        <v>0</v>
      </c>
      <c r="AC67" s="264"/>
      <c r="AD67" s="254" t="s">
        <v>336</v>
      </c>
      <c r="AE67" s="306">
        <f>IF(AG67&gt;0,0.03,0)</f>
        <v>0</v>
      </c>
      <c r="AF67" s="263" t="s">
        <v>595</v>
      </c>
      <c r="AG67" s="263"/>
      <c r="AH67" s="263"/>
      <c r="AI67" s="263">
        <f t="shared" si="2"/>
        <v>0</v>
      </c>
      <c r="AJ67" s="264"/>
      <c r="AK67" s="254" t="s">
        <v>336</v>
      </c>
      <c r="AL67" s="306">
        <f>IF(AN67&gt;0,0.03,0)</f>
        <v>0</v>
      </c>
      <c r="AM67" s="263" t="s">
        <v>595</v>
      </c>
      <c r="AN67" s="263"/>
      <c r="AO67" s="263"/>
      <c r="AP67" s="263">
        <f t="shared" si="3"/>
        <v>0</v>
      </c>
      <c r="AQ67" s="264"/>
      <c r="AR67" s="254" t="s">
        <v>336</v>
      </c>
      <c r="AS67" s="306">
        <f>IF(AU67&gt;0,0.03,0)</f>
        <v>0</v>
      </c>
      <c r="AT67" s="263" t="s">
        <v>595</v>
      </c>
      <c r="AU67" s="263"/>
      <c r="AV67" s="263"/>
      <c r="AW67" s="263">
        <f t="shared" si="4"/>
        <v>0</v>
      </c>
      <c r="AX67" s="264"/>
      <c r="AY67" s="119"/>
      <c r="AZ67" s="126"/>
      <c r="BA67" s="129"/>
      <c r="BB67" s="115"/>
      <c r="BC67" s="117"/>
      <c r="BD67" s="112"/>
      <c r="BE67" s="112"/>
      <c r="BF67" s="139"/>
    </row>
    <row r="68" spans="1:58" ht="15.75" thickTop="1">
      <c r="A68" s="4236" t="s">
        <v>181</v>
      </c>
      <c r="B68" s="199" t="s">
        <v>843</v>
      </c>
      <c r="C68" s="4233" t="s">
        <v>96</v>
      </c>
      <c r="D68" s="252" t="s">
        <v>104</v>
      </c>
      <c r="E68" s="259"/>
      <c r="F68" s="259"/>
      <c r="G68" s="259">
        <v>83053900</v>
      </c>
      <c r="H68" s="259"/>
      <c r="I68" s="260"/>
      <c r="J68" s="252" t="s">
        <v>104</v>
      </c>
      <c r="K68" s="259"/>
      <c r="L68" s="259"/>
      <c r="M68" s="259">
        <v>86769395</v>
      </c>
      <c r="N68" s="259"/>
      <c r="O68" s="260"/>
      <c r="P68" s="252" t="s">
        <v>104</v>
      </c>
      <c r="Q68" s="305">
        <v>0.05</v>
      </c>
      <c r="R68" s="259" t="s">
        <v>595</v>
      </c>
      <c r="S68" s="259">
        <v>93880360</v>
      </c>
      <c r="T68" s="259"/>
      <c r="U68" s="259">
        <f t="shared" si="0"/>
        <v>0</v>
      </c>
      <c r="V68" s="260"/>
      <c r="W68" s="252" t="s">
        <v>104</v>
      </c>
      <c r="X68" s="305">
        <v>0.05</v>
      </c>
      <c r="Y68" s="259" t="s">
        <v>595</v>
      </c>
      <c r="Z68" s="259">
        <v>155586662</v>
      </c>
      <c r="AA68" s="259"/>
      <c r="AB68" s="259">
        <f t="shared" si="1"/>
        <v>0</v>
      </c>
      <c r="AC68" s="260"/>
      <c r="AD68" s="252" t="s">
        <v>104</v>
      </c>
      <c r="AE68" s="305">
        <v>0.05</v>
      </c>
      <c r="AF68" s="259" t="s">
        <v>595</v>
      </c>
      <c r="AG68" s="259">
        <v>43680226</v>
      </c>
      <c r="AH68" s="259"/>
      <c r="AI68" s="259">
        <f t="shared" si="2"/>
        <v>0</v>
      </c>
      <c r="AJ68" s="260"/>
      <c r="AK68" s="252" t="s">
        <v>104</v>
      </c>
      <c r="AL68" s="305">
        <v>0.05</v>
      </c>
      <c r="AM68" s="259" t="s">
        <v>595</v>
      </c>
      <c r="AN68" s="267">
        <v>185778119</v>
      </c>
      <c r="AO68" s="259"/>
      <c r="AP68" s="259">
        <f t="shared" si="3"/>
        <v>0</v>
      </c>
      <c r="AQ68" s="260"/>
      <c r="AR68" s="252" t="s">
        <v>104</v>
      </c>
      <c r="AS68" s="305">
        <v>0.05</v>
      </c>
      <c r="AT68" s="259" t="s">
        <v>595</v>
      </c>
      <c r="AU68" s="267">
        <v>235994583</v>
      </c>
      <c r="AV68" s="259"/>
      <c r="AW68" s="259">
        <f t="shared" si="4"/>
        <v>0</v>
      </c>
      <c r="AX68" s="260"/>
      <c r="AY68" s="148"/>
      <c r="AZ68" s="149"/>
      <c r="BA68" s="150"/>
      <c r="BB68" s="151"/>
      <c r="BC68" s="152"/>
      <c r="BD68" s="147"/>
      <c r="BE68" s="147"/>
      <c r="BF68" s="153"/>
    </row>
    <row r="69" spans="1:58">
      <c r="A69" s="4237"/>
      <c r="B69" s="194" t="s">
        <v>545</v>
      </c>
      <c r="C69" s="4234"/>
      <c r="D69" s="253" t="s">
        <v>171</v>
      </c>
      <c r="E69" s="261"/>
      <c r="F69" s="261"/>
      <c r="G69" s="261">
        <v>13772061</v>
      </c>
      <c r="H69" s="261"/>
      <c r="I69" s="262"/>
      <c r="J69" s="253" t="s">
        <v>171</v>
      </c>
      <c r="K69" s="261"/>
      <c r="L69" s="261"/>
      <c r="M69" s="261">
        <v>9226674</v>
      </c>
      <c r="N69" s="261"/>
      <c r="O69" s="262"/>
      <c r="P69" s="253" t="s">
        <v>171</v>
      </c>
      <c r="Q69" s="297">
        <v>0.05</v>
      </c>
      <c r="R69" s="261" t="s">
        <v>595</v>
      </c>
      <c r="S69" s="261">
        <v>12872563</v>
      </c>
      <c r="T69" s="261"/>
      <c r="U69" s="261">
        <f t="shared" ref="U69:U83" si="5">IF(R69=$A$100,T69/Q69,0)</f>
        <v>0</v>
      </c>
      <c r="V69" s="262"/>
      <c r="W69" s="253" t="s">
        <v>171</v>
      </c>
      <c r="X69" s="297">
        <v>0.05</v>
      </c>
      <c r="Y69" s="261" t="s">
        <v>595</v>
      </c>
      <c r="Z69" s="261">
        <v>719598</v>
      </c>
      <c r="AA69" s="261"/>
      <c r="AB69" s="261">
        <f t="shared" ref="AB69:AB83" si="6">IF(Y69=$A$100,AA69/X69,0)</f>
        <v>0</v>
      </c>
      <c r="AC69" s="262"/>
      <c r="AD69" s="253" t="s">
        <v>171</v>
      </c>
      <c r="AE69" s="297">
        <v>0.05</v>
      </c>
      <c r="AF69" s="261" t="s">
        <v>595</v>
      </c>
      <c r="AG69" s="261"/>
      <c r="AH69" s="261"/>
      <c r="AI69" s="261">
        <f t="shared" ref="AI69:AI91" si="7">IF(AF69=$A$100,AH69/AE69,0)</f>
        <v>0</v>
      </c>
      <c r="AJ69" s="262"/>
      <c r="AK69" s="253" t="s">
        <v>171</v>
      </c>
      <c r="AL69" s="297">
        <v>0.05</v>
      </c>
      <c r="AM69" s="261" t="s">
        <v>595</v>
      </c>
      <c r="AN69" s="261"/>
      <c r="AO69" s="261"/>
      <c r="AP69" s="261">
        <f t="shared" ref="AP69:AP91" si="8">IF(AM69=$A$100,AO69/AL69,0)</f>
        <v>0</v>
      </c>
      <c r="AQ69" s="262"/>
      <c r="AR69" s="253" t="s">
        <v>171</v>
      </c>
      <c r="AS69" s="297">
        <v>0.05</v>
      </c>
      <c r="AT69" s="261" t="s">
        <v>595</v>
      </c>
      <c r="AU69" s="261"/>
      <c r="AV69" s="261"/>
      <c r="AW69" s="261">
        <f t="shared" ref="AW69:AW83" si="9">IF(AT69=$A$100,AV69/AS69,0)</f>
        <v>0</v>
      </c>
      <c r="AX69" s="262"/>
      <c r="AY69" s="155"/>
      <c r="AZ69" s="156"/>
      <c r="BA69" s="157"/>
      <c r="BB69" s="158"/>
      <c r="BC69" s="159"/>
      <c r="BD69" s="154"/>
      <c r="BE69" s="154"/>
      <c r="BF69" s="160"/>
    </row>
    <row r="70" spans="1:58">
      <c r="A70" s="4237"/>
      <c r="B70" s="194" t="s">
        <v>546</v>
      </c>
      <c r="C70" s="4234"/>
      <c r="D70" s="253" t="s">
        <v>103</v>
      </c>
      <c r="E70" s="261"/>
      <c r="F70" s="261"/>
      <c r="G70" s="261"/>
      <c r="H70" s="261"/>
      <c r="I70" s="262"/>
      <c r="J70" s="253" t="s">
        <v>103</v>
      </c>
      <c r="K70" s="261"/>
      <c r="L70" s="261"/>
      <c r="M70" s="261">
        <v>5513415</v>
      </c>
      <c r="N70" s="261"/>
      <c r="O70" s="262"/>
      <c r="P70" s="253" t="s">
        <v>103</v>
      </c>
      <c r="Q70" s="297">
        <v>0.05</v>
      </c>
      <c r="R70" s="261" t="s">
        <v>595</v>
      </c>
      <c r="S70" s="261">
        <v>2782128</v>
      </c>
      <c r="T70" s="261"/>
      <c r="U70" s="261">
        <f t="shared" si="5"/>
        <v>0</v>
      </c>
      <c r="V70" s="262"/>
      <c r="W70" s="253" t="s">
        <v>103</v>
      </c>
      <c r="X70" s="297">
        <v>0.05</v>
      </c>
      <c r="Y70" s="261" t="s">
        <v>595</v>
      </c>
      <c r="Z70" s="261">
        <v>2943850</v>
      </c>
      <c r="AA70" s="261"/>
      <c r="AB70" s="261">
        <f t="shared" si="6"/>
        <v>0</v>
      </c>
      <c r="AC70" s="262"/>
      <c r="AD70" s="253" t="s">
        <v>103</v>
      </c>
      <c r="AE70" s="297">
        <v>0.05</v>
      </c>
      <c r="AF70" s="261" t="s">
        <v>595</v>
      </c>
      <c r="AG70" s="261">
        <v>860529</v>
      </c>
      <c r="AH70" s="261"/>
      <c r="AI70" s="261">
        <f t="shared" si="7"/>
        <v>0</v>
      </c>
      <c r="AJ70" s="262"/>
      <c r="AK70" s="253" t="s">
        <v>103</v>
      </c>
      <c r="AL70" s="297">
        <v>0.05</v>
      </c>
      <c r="AM70" s="261" t="s">
        <v>595</v>
      </c>
      <c r="AN70" s="261">
        <v>5409044</v>
      </c>
      <c r="AO70" s="261"/>
      <c r="AP70" s="261">
        <f t="shared" si="8"/>
        <v>0</v>
      </c>
      <c r="AQ70" s="262"/>
      <c r="AR70" s="253" t="s">
        <v>103</v>
      </c>
      <c r="AS70" s="297">
        <v>0.05</v>
      </c>
      <c r="AT70" s="261" t="s">
        <v>595</v>
      </c>
      <c r="AU70" s="261">
        <v>2212790</v>
      </c>
      <c r="AV70" s="261"/>
      <c r="AW70" s="261">
        <f t="shared" si="9"/>
        <v>0</v>
      </c>
      <c r="AX70" s="262"/>
      <c r="AY70" s="155"/>
      <c r="AZ70" s="156"/>
      <c r="BA70" s="157"/>
      <c r="BB70" s="158"/>
      <c r="BC70" s="159"/>
      <c r="BD70" s="154"/>
      <c r="BE70" s="154"/>
      <c r="BF70" s="160"/>
    </row>
    <row r="71" spans="1:58" ht="15.75" thickBot="1">
      <c r="A71" s="4238"/>
      <c r="B71" s="195" t="s">
        <v>547</v>
      </c>
      <c r="C71" s="4235"/>
      <c r="D71" s="254" t="s">
        <v>336</v>
      </c>
      <c r="E71" s="263"/>
      <c r="F71" s="263"/>
      <c r="G71" s="263"/>
      <c r="H71" s="263"/>
      <c r="I71" s="264"/>
      <c r="J71" s="254" t="s">
        <v>336</v>
      </c>
      <c r="K71" s="263"/>
      <c r="L71" s="263"/>
      <c r="M71" s="263"/>
      <c r="N71" s="263"/>
      <c r="O71" s="264"/>
      <c r="P71" s="254" t="s">
        <v>336</v>
      </c>
      <c r="Q71" s="306"/>
      <c r="R71" s="263" t="s">
        <v>595</v>
      </c>
      <c r="S71" s="263"/>
      <c r="T71" s="263"/>
      <c r="U71" s="263">
        <f t="shared" si="5"/>
        <v>0</v>
      </c>
      <c r="V71" s="264"/>
      <c r="W71" s="254" t="s">
        <v>336</v>
      </c>
      <c r="X71" s="306"/>
      <c r="Y71" s="263" t="s">
        <v>595</v>
      </c>
      <c r="Z71" s="263"/>
      <c r="AA71" s="263"/>
      <c r="AB71" s="263">
        <f t="shared" si="6"/>
        <v>0</v>
      </c>
      <c r="AC71" s="264"/>
      <c r="AD71" s="254" t="s">
        <v>336</v>
      </c>
      <c r="AE71" s="306"/>
      <c r="AF71" s="263" t="s">
        <v>595</v>
      </c>
      <c r="AG71" s="263"/>
      <c r="AH71" s="263"/>
      <c r="AI71" s="263">
        <f t="shared" si="7"/>
        <v>0</v>
      </c>
      <c r="AJ71" s="264"/>
      <c r="AK71" s="254" t="s">
        <v>336</v>
      </c>
      <c r="AL71" s="306"/>
      <c r="AM71" s="263" t="s">
        <v>595</v>
      </c>
      <c r="AN71" s="263"/>
      <c r="AO71" s="263"/>
      <c r="AP71" s="263">
        <f t="shared" si="8"/>
        <v>0</v>
      </c>
      <c r="AQ71" s="264"/>
      <c r="AR71" s="254" t="s">
        <v>336</v>
      </c>
      <c r="AS71" s="306"/>
      <c r="AT71" s="263" t="s">
        <v>595</v>
      </c>
      <c r="AU71" s="263"/>
      <c r="AV71" s="263"/>
      <c r="AW71" s="263">
        <f t="shared" si="9"/>
        <v>0</v>
      </c>
      <c r="AX71" s="264"/>
      <c r="AY71" s="162"/>
      <c r="AZ71" s="163"/>
      <c r="BA71" s="164"/>
      <c r="BB71" s="165"/>
      <c r="BC71" s="166"/>
      <c r="BD71" s="161"/>
      <c r="BE71" s="161"/>
      <c r="BF71" s="167"/>
    </row>
    <row r="72" spans="1:58" ht="15.75" thickTop="1">
      <c r="A72" s="4227" t="s">
        <v>413</v>
      </c>
      <c r="B72" s="196" t="s">
        <v>413</v>
      </c>
      <c r="C72" s="4230" t="s">
        <v>92</v>
      </c>
      <c r="D72" s="252" t="s">
        <v>104</v>
      </c>
      <c r="E72" s="259"/>
      <c r="F72" s="259"/>
      <c r="G72" s="259">
        <v>1501016</v>
      </c>
      <c r="H72" s="259"/>
      <c r="I72" s="260"/>
      <c r="J72" s="252" t="s">
        <v>104</v>
      </c>
      <c r="K72" s="259"/>
      <c r="L72" s="259"/>
      <c r="M72" s="259"/>
      <c r="N72" s="259"/>
      <c r="O72" s="260"/>
      <c r="P72" s="252" t="s">
        <v>104</v>
      </c>
      <c r="Q72" s="305"/>
      <c r="R72" s="259"/>
      <c r="S72" s="259"/>
      <c r="T72" s="259"/>
      <c r="U72" s="259">
        <f t="shared" si="5"/>
        <v>0</v>
      </c>
      <c r="V72" s="260"/>
      <c r="W72" s="252" t="s">
        <v>104</v>
      </c>
      <c r="X72" s="305"/>
      <c r="Y72" s="259"/>
      <c r="Z72" s="259"/>
      <c r="AA72" s="259"/>
      <c r="AB72" s="259">
        <f t="shared" si="6"/>
        <v>0</v>
      </c>
      <c r="AC72" s="260"/>
      <c r="AD72" s="252" t="s">
        <v>104</v>
      </c>
      <c r="AE72" s="305"/>
      <c r="AF72" s="259"/>
      <c r="AG72" s="259"/>
      <c r="AH72" s="259"/>
      <c r="AI72" s="259">
        <f t="shared" si="7"/>
        <v>0</v>
      </c>
      <c r="AJ72" s="260"/>
      <c r="AK72" s="252" t="s">
        <v>104</v>
      </c>
      <c r="AL72" s="305"/>
      <c r="AM72" s="259"/>
      <c r="AN72" s="259"/>
      <c r="AO72" s="259"/>
      <c r="AP72" s="259">
        <f t="shared" si="8"/>
        <v>0</v>
      </c>
      <c r="AQ72" s="260"/>
      <c r="AR72" s="252" t="s">
        <v>104</v>
      </c>
      <c r="AS72" s="305"/>
      <c r="AT72" s="259"/>
      <c r="AU72" s="259"/>
      <c r="AV72" s="259"/>
      <c r="AW72" s="259">
        <f t="shared" si="9"/>
        <v>0</v>
      </c>
      <c r="AX72" s="260"/>
      <c r="AY72" s="132"/>
      <c r="AZ72" s="133"/>
      <c r="BA72" s="134"/>
      <c r="BB72" s="135"/>
      <c r="BC72" s="136"/>
      <c r="BD72" s="131"/>
      <c r="BE72" s="131"/>
      <c r="BF72" s="137"/>
    </row>
    <row r="73" spans="1:58">
      <c r="A73" s="4228"/>
      <c r="B73" s="197"/>
      <c r="C73" s="4231"/>
      <c r="D73" s="253" t="s">
        <v>171</v>
      </c>
      <c r="E73" s="261"/>
      <c r="F73" s="261"/>
      <c r="G73" s="261">
        <v>694502</v>
      </c>
      <c r="H73" s="261"/>
      <c r="I73" s="262"/>
      <c r="J73" s="253" t="s">
        <v>171</v>
      </c>
      <c r="K73" s="261"/>
      <c r="L73" s="261"/>
      <c r="M73" s="261"/>
      <c r="N73" s="261"/>
      <c r="O73" s="262"/>
      <c r="P73" s="253" t="s">
        <v>171</v>
      </c>
      <c r="Q73" s="297"/>
      <c r="R73" s="261"/>
      <c r="S73" s="261">
        <v>947397</v>
      </c>
      <c r="T73" s="261"/>
      <c r="U73" s="261">
        <f t="shared" si="5"/>
        <v>0</v>
      </c>
      <c r="V73" s="262"/>
      <c r="W73" s="253" t="s">
        <v>171</v>
      </c>
      <c r="X73" s="297"/>
      <c r="Y73" s="261"/>
      <c r="Z73" s="261">
        <v>998736</v>
      </c>
      <c r="AA73" s="261"/>
      <c r="AB73" s="261">
        <f t="shared" si="6"/>
        <v>0</v>
      </c>
      <c r="AC73" s="262"/>
      <c r="AD73" s="253" t="s">
        <v>171</v>
      </c>
      <c r="AE73" s="297"/>
      <c r="AF73" s="261"/>
      <c r="AG73" s="261"/>
      <c r="AH73" s="261"/>
      <c r="AI73" s="261">
        <f t="shared" si="7"/>
        <v>0</v>
      </c>
      <c r="AJ73" s="262"/>
      <c r="AK73" s="253" t="s">
        <v>171</v>
      </c>
      <c r="AL73" s="297"/>
      <c r="AM73" s="261"/>
      <c r="AN73" s="261">
        <v>1323996</v>
      </c>
      <c r="AO73" s="261"/>
      <c r="AP73" s="261">
        <f t="shared" si="8"/>
        <v>0</v>
      </c>
      <c r="AQ73" s="262"/>
      <c r="AR73" s="253" t="s">
        <v>171</v>
      </c>
      <c r="AS73" s="297"/>
      <c r="AT73" s="261"/>
      <c r="AU73" s="261">
        <v>538982</v>
      </c>
      <c r="AV73" s="261"/>
      <c r="AW73" s="261">
        <f t="shared" si="9"/>
        <v>0</v>
      </c>
      <c r="AX73" s="262"/>
      <c r="AY73" s="118"/>
      <c r="AZ73" s="125"/>
      <c r="BA73" s="128"/>
      <c r="BB73" s="114"/>
      <c r="BC73" s="116"/>
      <c r="BD73" s="111"/>
      <c r="BE73" s="111"/>
      <c r="BF73" s="138"/>
    </row>
    <row r="74" spans="1:58">
      <c r="A74" s="4228"/>
      <c r="B74" s="197"/>
      <c r="C74" s="4231"/>
      <c r="D74" s="253" t="s">
        <v>103</v>
      </c>
      <c r="E74" s="261"/>
      <c r="F74" s="261"/>
      <c r="G74" s="261">
        <v>82627</v>
      </c>
      <c r="H74" s="261"/>
      <c r="I74" s="262"/>
      <c r="J74" s="253" t="s">
        <v>103</v>
      </c>
      <c r="K74" s="261"/>
      <c r="L74" s="261"/>
      <c r="M74" s="261"/>
      <c r="N74" s="261"/>
      <c r="O74" s="262"/>
      <c r="P74" s="253" t="s">
        <v>103</v>
      </c>
      <c r="Q74" s="297"/>
      <c r="R74" s="261"/>
      <c r="S74" s="261"/>
      <c r="T74" s="261"/>
      <c r="U74" s="261">
        <f t="shared" si="5"/>
        <v>0</v>
      </c>
      <c r="V74" s="262"/>
      <c r="W74" s="253" t="s">
        <v>103</v>
      </c>
      <c r="X74" s="297"/>
      <c r="Y74" s="261"/>
      <c r="Z74" s="261">
        <v>122438</v>
      </c>
      <c r="AA74" s="261"/>
      <c r="AB74" s="261">
        <f t="shared" si="6"/>
        <v>0</v>
      </c>
      <c r="AC74" s="262"/>
      <c r="AD74" s="253" t="s">
        <v>103</v>
      </c>
      <c r="AE74" s="297"/>
      <c r="AF74" s="261"/>
      <c r="AG74" s="261"/>
      <c r="AH74" s="261"/>
      <c r="AI74" s="261">
        <f t="shared" si="7"/>
        <v>0</v>
      </c>
      <c r="AJ74" s="262"/>
      <c r="AK74" s="253" t="s">
        <v>103</v>
      </c>
      <c r="AL74" s="297"/>
      <c r="AM74" s="261"/>
      <c r="AN74" s="261"/>
      <c r="AO74" s="261"/>
      <c r="AP74" s="261">
        <f t="shared" si="8"/>
        <v>0</v>
      </c>
      <c r="AQ74" s="262"/>
      <c r="AR74" s="253" t="s">
        <v>103</v>
      </c>
      <c r="AS74" s="297"/>
      <c r="AT74" s="261"/>
      <c r="AU74" s="261"/>
      <c r="AV74" s="261"/>
      <c r="AW74" s="261">
        <f t="shared" si="9"/>
        <v>0</v>
      </c>
      <c r="AX74" s="262"/>
      <c r="AY74" s="118"/>
      <c r="AZ74" s="125"/>
      <c r="BA74" s="128"/>
      <c r="BB74" s="114"/>
      <c r="BC74" s="116"/>
      <c r="BD74" s="111"/>
      <c r="BE74" s="111"/>
      <c r="BF74" s="138"/>
    </row>
    <row r="75" spans="1:58" ht="15.75" thickBot="1">
      <c r="A75" s="4241"/>
      <c r="B75" s="202"/>
      <c r="C75" s="4242"/>
      <c r="D75" s="255" t="s">
        <v>336</v>
      </c>
      <c r="E75" s="265"/>
      <c r="F75" s="265"/>
      <c r="G75" s="265"/>
      <c r="H75" s="265"/>
      <c r="I75" s="266"/>
      <c r="J75" s="255" t="s">
        <v>336</v>
      </c>
      <c r="K75" s="265"/>
      <c r="L75" s="265"/>
      <c r="M75" s="265"/>
      <c r="N75" s="265"/>
      <c r="O75" s="266"/>
      <c r="P75" s="255" t="s">
        <v>336</v>
      </c>
      <c r="Q75" s="307"/>
      <c r="R75" s="265"/>
      <c r="S75" s="265"/>
      <c r="T75" s="265"/>
      <c r="U75" s="265">
        <f t="shared" si="5"/>
        <v>0</v>
      </c>
      <c r="V75" s="266"/>
      <c r="W75" s="255" t="s">
        <v>336</v>
      </c>
      <c r="X75" s="307"/>
      <c r="Y75" s="265"/>
      <c r="Z75" s="265"/>
      <c r="AA75" s="265"/>
      <c r="AB75" s="265">
        <f t="shared" si="6"/>
        <v>0</v>
      </c>
      <c r="AC75" s="266"/>
      <c r="AD75" s="255" t="s">
        <v>336</v>
      </c>
      <c r="AE75" s="307"/>
      <c r="AF75" s="265"/>
      <c r="AG75" s="265"/>
      <c r="AH75" s="265"/>
      <c r="AI75" s="265">
        <f t="shared" si="7"/>
        <v>0</v>
      </c>
      <c r="AJ75" s="266"/>
      <c r="AK75" s="255" t="s">
        <v>336</v>
      </c>
      <c r="AL75" s="307"/>
      <c r="AM75" s="265"/>
      <c r="AN75" s="265"/>
      <c r="AO75" s="265"/>
      <c r="AP75" s="265">
        <f t="shared" si="8"/>
        <v>0</v>
      </c>
      <c r="AQ75" s="266"/>
      <c r="AR75" s="255" t="s">
        <v>336</v>
      </c>
      <c r="AS75" s="307"/>
      <c r="AT75" s="265"/>
      <c r="AU75" s="265"/>
      <c r="AV75" s="265"/>
      <c r="AW75" s="265">
        <f t="shared" si="9"/>
        <v>0</v>
      </c>
      <c r="AX75" s="266"/>
      <c r="AY75" s="141"/>
      <c r="AZ75" s="142"/>
      <c r="BA75" s="143"/>
      <c r="BB75" s="144"/>
      <c r="BC75" s="145"/>
      <c r="BD75" s="140"/>
      <c r="BE75" s="140"/>
      <c r="BF75" s="146"/>
    </row>
    <row r="76" spans="1:58" ht="15.75" thickTop="1">
      <c r="A76" s="4236" t="s">
        <v>414</v>
      </c>
      <c r="B76" s="193" t="s">
        <v>414</v>
      </c>
      <c r="C76" s="4233" t="s">
        <v>92</v>
      </c>
      <c r="D76" s="252" t="s">
        <v>104</v>
      </c>
      <c r="E76" s="267"/>
      <c r="F76" s="259"/>
      <c r="G76" s="259">
        <v>131778572</v>
      </c>
      <c r="H76" s="259"/>
      <c r="I76" s="260"/>
      <c r="J76" s="252" t="s">
        <v>104</v>
      </c>
      <c r="K76" s="267"/>
      <c r="L76" s="259"/>
      <c r="M76" s="259"/>
      <c r="N76" s="259"/>
      <c r="O76" s="260"/>
      <c r="P76" s="252" t="s">
        <v>104</v>
      </c>
      <c r="Q76" s="305">
        <f>IF(S76&gt;0,0.09,0)</f>
        <v>0.09</v>
      </c>
      <c r="R76" s="259" t="s">
        <v>595</v>
      </c>
      <c r="S76" s="259">
        <v>266405553</v>
      </c>
      <c r="T76" s="259"/>
      <c r="U76" s="259">
        <f t="shared" si="5"/>
        <v>0</v>
      </c>
      <c r="V76" s="260"/>
      <c r="W76" s="252" t="s">
        <v>104</v>
      </c>
      <c r="X76" s="305">
        <f>IF(Z76&gt;0,0.09,0)</f>
        <v>0.09</v>
      </c>
      <c r="Y76" s="259" t="s">
        <v>595</v>
      </c>
      <c r="Z76" s="259">
        <v>390297011</v>
      </c>
      <c r="AA76" s="259"/>
      <c r="AB76" s="259">
        <f t="shared" si="6"/>
        <v>0</v>
      </c>
      <c r="AC76" s="260"/>
      <c r="AD76" s="252" t="s">
        <v>104</v>
      </c>
      <c r="AE76" s="305">
        <f>IF(AG76&gt;0,0.09,0)</f>
        <v>0.09</v>
      </c>
      <c r="AF76" s="259" t="s">
        <v>595</v>
      </c>
      <c r="AG76" s="259">
        <v>159034442</v>
      </c>
      <c r="AH76" s="259"/>
      <c r="AI76" s="259">
        <f t="shared" si="7"/>
        <v>0</v>
      </c>
      <c r="AJ76" s="260"/>
      <c r="AK76" s="252" t="s">
        <v>104</v>
      </c>
      <c r="AL76" s="305">
        <f>IF(AN76&gt;0,0.09,0)</f>
        <v>0</v>
      </c>
      <c r="AM76" s="259" t="s">
        <v>595</v>
      </c>
      <c r="AN76" s="259"/>
      <c r="AO76" s="259"/>
      <c r="AP76" s="259">
        <f t="shared" si="8"/>
        <v>0</v>
      </c>
      <c r="AQ76" s="260"/>
      <c r="AR76" s="252" t="s">
        <v>104</v>
      </c>
      <c r="AS76" s="305">
        <f>IF(AU76&gt;0,0.09,0)</f>
        <v>0</v>
      </c>
      <c r="AT76" s="259" t="s">
        <v>595</v>
      </c>
      <c r="AU76" s="259"/>
      <c r="AV76" s="259"/>
      <c r="AW76" s="259">
        <f t="shared" si="9"/>
        <v>0</v>
      </c>
      <c r="AX76" s="260"/>
      <c r="AY76" s="148"/>
      <c r="AZ76" s="149"/>
      <c r="BA76" s="150"/>
      <c r="BB76" s="151"/>
      <c r="BC76" s="152"/>
      <c r="BD76" s="147"/>
      <c r="BE76" s="147"/>
      <c r="BF76" s="153"/>
    </row>
    <row r="77" spans="1:58">
      <c r="A77" s="4237"/>
      <c r="B77" s="194" t="s">
        <v>342</v>
      </c>
      <c r="C77" s="4234"/>
      <c r="D77" s="253" t="s">
        <v>171</v>
      </c>
      <c r="E77" s="268"/>
      <c r="F77" s="261"/>
      <c r="G77" s="261">
        <v>2210593</v>
      </c>
      <c r="H77" s="261"/>
      <c r="I77" s="262"/>
      <c r="J77" s="253" t="s">
        <v>171</v>
      </c>
      <c r="K77" s="268"/>
      <c r="L77" s="261"/>
      <c r="M77" s="261"/>
      <c r="N77" s="261"/>
      <c r="O77" s="262"/>
      <c r="P77" s="253" t="s">
        <v>171</v>
      </c>
      <c r="Q77" s="297">
        <f>IF(S77&gt;0,0.09,0)</f>
        <v>0.09</v>
      </c>
      <c r="R77" s="261" t="s">
        <v>595</v>
      </c>
      <c r="S77" s="261">
        <v>42632865</v>
      </c>
      <c r="T77" s="261"/>
      <c r="U77" s="261">
        <f t="shared" si="5"/>
        <v>0</v>
      </c>
      <c r="V77" s="262"/>
      <c r="W77" s="253" t="s">
        <v>171</v>
      </c>
      <c r="X77" s="297">
        <f>IF(Z77&gt;0,0.09,0)</f>
        <v>0.09</v>
      </c>
      <c r="Y77" s="261" t="s">
        <v>595</v>
      </c>
      <c r="Z77" s="261">
        <v>47135231</v>
      </c>
      <c r="AA77" s="261"/>
      <c r="AB77" s="261">
        <f t="shared" si="6"/>
        <v>0</v>
      </c>
      <c r="AC77" s="262"/>
      <c r="AD77" s="253" t="s">
        <v>171</v>
      </c>
      <c r="AE77" s="297">
        <f>IF(AG77&gt;0,0.09,0)</f>
        <v>0.09</v>
      </c>
      <c r="AF77" s="261" t="s">
        <v>595</v>
      </c>
      <c r="AG77" s="261">
        <v>28465897</v>
      </c>
      <c r="AH77" s="261"/>
      <c r="AI77" s="261">
        <f t="shared" si="7"/>
        <v>0</v>
      </c>
      <c r="AJ77" s="262"/>
      <c r="AK77" s="253" t="s">
        <v>171</v>
      </c>
      <c r="AL77" s="297">
        <f>IF(AN77&gt;0,0.09,0)</f>
        <v>0.09</v>
      </c>
      <c r="AM77" s="261" t="s">
        <v>595</v>
      </c>
      <c r="AN77" s="261">
        <v>223424850</v>
      </c>
      <c r="AO77" s="261"/>
      <c r="AP77" s="261">
        <f t="shared" si="8"/>
        <v>0</v>
      </c>
      <c r="AQ77" s="262"/>
      <c r="AR77" s="253" t="s">
        <v>171</v>
      </c>
      <c r="AS77" s="297">
        <f>IF(AU77&gt;0,0.09,0)</f>
        <v>0</v>
      </c>
      <c r="AT77" s="261" t="s">
        <v>595</v>
      </c>
      <c r="AU77" s="261"/>
      <c r="AV77" s="261"/>
      <c r="AW77" s="261">
        <f t="shared" si="9"/>
        <v>0</v>
      </c>
      <c r="AX77" s="262"/>
      <c r="AY77" s="155"/>
      <c r="AZ77" s="156"/>
      <c r="BA77" s="157"/>
      <c r="BB77" s="158"/>
      <c r="BC77" s="159"/>
      <c r="BD77" s="154"/>
      <c r="BE77" s="154"/>
      <c r="BF77" s="160"/>
    </row>
    <row r="78" spans="1:58">
      <c r="A78" s="4237"/>
      <c r="B78" s="194" t="s">
        <v>415</v>
      </c>
      <c r="C78" s="4234"/>
      <c r="D78" s="253" t="s">
        <v>103</v>
      </c>
      <c r="E78" s="268"/>
      <c r="F78" s="261"/>
      <c r="G78" s="261"/>
      <c r="H78" s="261"/>
      <c r="I78" s="262"/>
      <c r="J78" s="253" t="s">
        <v>103</v>
      </c>
      <c r="K78" s="268"/>
      <c r="L78" s="261"/>
      <c r="M78" s="261"/>
      <c r="N78" s="261"/>
      <c r="O78" s="262"/>
      <c r="P78" s="253" t="s">
        <v>103</v>
      </c>
      <c r="Q78" s="297">
        <f>IF(S78&gt;0,0.09,0)</f>
        <v>0</v>
      </c>
      <c r="R78" s="261" t="s">
        <v>595</v>
      </c>
      <c r="S78" s="261"/>
      <c r="T78" s="261"/>
      <c r="U78" s="261">
        <f t="shared" si="5"/>
        <v>0</v>
      </c>
      <c r="V78" s="262"/>
      <c r="W78" s="253" t="s">
        <v>103</v>
      </c>
      <c r="X78" s="297">
        <f>IF(Z78&gt;0,0.09,0)</f>
        <v>0</v>
      </c>
      <c r="Y78" s="261" t="s">
        <v>595</v>
      </c>
      <c r="Z78" s="261"/>
      <c r="AA78" s="261"/>
      <c r="AB78" s="261">
        <f t="shared" si="6"/>
        <v>0</v>
      </c>
      <c r="AC78" s="262"/>
      <c r="AD78" s="253" t="s">
        <v>103</v>
      </c>
      <c r="AE78" s="297">
        <f>IF(AG78&gt;0,0.09,0)</f>
        <v>0</v>
      </c>
      <c r="AF78" s="261" t="s">
        <v>595</v>
      </c>
      <c r="AG78" s="261"/>
      <c r="AH78" s="261"/>
      <c r="AI78" s="261">
        <f t="shared" si="7"/>
        <v>0</v>
      </c>
      <c r="AJ78" s="262"/>
      <c r="AK78" s="253" t="s">
        <v>103</v>
      </c>
      <c r="AL78" s="297">
        <f>IF(AN78&gt;0,0.09,0)</f>
        <v>0</v>
      </c>
      <c r="AM78" s="261" t="s">
        <v>595</v>
      </c>
      <c r="AN78" s="261"/>
      <c r="AO78" s="261"/>
      <c r="AP78" s="261">
        <f t="shared" si="8"/>
        <v>0</v>
      </c>
      <c r="AQ78" s="262"/>
      <c r="AR78" s="253" t="s">
        <v>103</v>
      </c>
      <c r="AS78" s="297">
        <f>IF(AU78&gt;0,0.09,0)</f>
        <v>0</v>
      </c>
      <c r="AT78" s="261" t="s">
        <v>595</v>
      </c>
      <c r="AU78" s="261"/>
      <c r="AV78" s="261"/>
      <c r="AW78" s="261">
        <f t="shared" si="9"/>
        <v>0</v>
      </c>
      <c r="AX78" s="262"/>
      <c r="AY78" s="155"/>
      <c r="AZ78" s="156"/>
      <c r="BA78" s="157"/>
      <c r="BB78" s="158"/>
      <c r="BC78" s="159"/>
      <c r="BD78" s="154"/>
      <c r="BE78" s="154"/>
      <c r="BF78" s="160"/>
    </row>
    <row r="79" spans="1:58" ht="15.75" thickBot="1">
      <c r="A79" s="4238"/>
      <c r="B79" s="195" t="s">
        <v>416</v>
      </c>
      <c r="C79" s="4235"/>
      <c r="D79" s="254" t="s">
        <v>336</v>
      </c>
      <c r="E79" s="275"/>
      <c r="F79" s="263"/>
      <c r="G79" s="263"/>
      <c r="H79" s="263"/>
      <c r="I79" s="264"/>
      <c r="J79" s="254" t="s">
        <v>336</v>
      </c>
      <c r="K79" s="275"/>
      <c r="L79" s="263"/>
      <c r="M79" s="263"/>
      <c r="N79" s="263"/>
      <c r="O79" s="264"/>
      <c r="P79" s="254" t="s">
        <v>336</v>
      </c>
      <c r="Q79" s="306">
        <f>IF(S79&gt;0,0.09,0)</f>
        <v>0</v>
      </c>
      <c r="R79" s="263" t="s">
        <v>595</v>
      </c>
      <c r="S79" s="263"/>
      <c r="T79" s="263"/>
      <c r="U79" s="263">
        <f t="shared" si="5"/>
        <v>0</v>
      </c>
      <c r="V79" s="264"/>
      <c r="W79" s="254" t="s">
        <v>336</v>
      </c>
      <c r="X79" s="306">
        <f>IF(Z79&gt;0,0.09,0)</f>
        <v>0</v>
      </c>
      <c r="Y79" s="263" t="s">
        <v>595</v>
      </c>
      <c r="Z79" s="263"/>
      <c r="AA79" s="263"/>
      <c r="AB79" s="263">
        <f t="shared" si="6"/>
        <v>0</v>
      </c>
      <c r="AC79" s="264"/>
      <c r="AD79" s="254" t="s">
        <v>336</v>
      </c>
      <c r="AE79" s="306">
        <f>IF(AG79&gt;0,0.09,0)</f>
        <v>0</v>
      </c>
      <c r="AF79" s="263" t="s">
        <v>595</v>
      </c>
      <c r="AG79" s="263"/>
      <c r="AH79" s="263"/>
      <c r="AI79" s="263">
        <f t="shared" si="7"/>
        <v>0</v>
      </c>
      <c r="AJ79" s="264"/>
      <c r="AK79" s="254" t="s">
        <v>336</v>
      </c>
      <c r="AL79" s="306">
        <f>IF(AN79&gt;0,0.09,0)</f>
        <v>0</v>
      </c>
      <c r="AM79" s="263" t="s">
        <v>595</v>
      </c>
      <c r="AN79" s="263"/>
      <c r="AO79" s="263"/>
      <c r="AP79" s="263">
        <f t="shared" si="8"/>
        <v>0</v>
      </c>
      <c r="AQ79" s="264"/>
      <c r="AR79" s="254" t="s">
        <v>336</v>
      </c>
      <c r="AS79" s="306">
        <f>IF(AU79&gt;0,0.09,0)</f>
        <v>0</v>
      </c>
      <c r="AT79" s="263" t="s">
        <v>595</v>
      </c>
      <c r="AU79" s="263"/>
      <c r="AV79" s="263"/>
      <c r="AW79" s="263">
        <f t="shared" si="9"/>
        <v>0</v>
      </c>
      <c r="AX79" s="264"/>
      <c r="AY79" s="162"/>
      <c r="AZ79" s="163"/>
      <c r="BA79" s="164"/>
      <c r="BB79" s="165"/>
      <c r="BC79" s="166"/>
      <c r="BD79" s="161"/>
      <c r="BE79" s="161"/>
      <c r="BF79" s="167"/>
    </row>
    <row r="80" spans="1:58" ht="15.75" thickTop="1">
      <c r="A80" s="4227" t="s">
        <v>445</v>
      </c>
      <c r="B80" s="196" t="s">
        <v>445</v>
      </c>
      <c r="C80" s="4230" t="s">
        <v>96</v>
      </c>
      <c r="D80" s="252" t="s">
        <v>104</v>
      </c>
      <c r="E80" s="259"/>
      <c r="F80" s="259"/>
      <c r="G80" s="259"/>
      <c r="H80" s="259"/>
      <c r="I80" s="260"/>
      <c r="J80" s="252" t="s">
        <v>104</v>
      </c>
      <c r="K80" s="259"/>
      <c r="L80" s="259"/>
      <c r="M80" s="259"/>
      <c r="N80" s="259"/>
      <c r="O80" s="260"/>
      <c r="P80" s="252" t="s">
        <v>104</v>
      </c>
      <c r="Q80" s="305"/>
      <c r="R80" s="259"/>
      <c r="S80" s="259"/>
      <c r="T80" s="259"/>
      <c r="U80" s="259">
        <f t="shared" si="5"/>
        <v>0</v>
      </c>
      <c r="V80" s="260"/>
      <c r="W80" s="252" t="s">
        <v>104</v>
      </c>
      <c r="X80" s="305"/>
      <c r="Y80" s="259"/>
      <c r="Z80" s="259"/>
      <c r="AA80" s="259"/>
      <c r="AB80" s="259">
        <f t="shared" si="6"/>
        <v>0</v>
      </c>
      <c r="AC80" s="260"/>
      <c r="AD80" s="252" t="s">
        <v>104</v>
      </c>
      <c r="AE80" s="305"/>
      <c r="AF80" s="259"/>
      <c r="AG80" s="259"/>
      <c r="AH80" s="259"/>
      <c r="AI80" s="259">
        <f t="shared" si="7"/>
        <v>0</v>
      </c>
      <c r="AJ80" s="260"/>
      <c r="AK80" s="252" t="s">
        <v>104</v>
      </c>
      <c r="AL80" s="305"/>
      <c r="AM80" s="259"/>
      <c r="AN80" s="259"/>
      <c r="AO80" s="259"/>
      <c r="AP80" s="259">
        <f t="shared" si="8"/>
        <v>0</v>
      </c>
      <c r="AQ80" s="260"/>
      <c r="AR80" s="252" t="s">
        <v>104</v>
      </c>
      <c r="AS80" s="305"/>
      <c r="AT80" s="259"/>
      <c r="AU80" s="259"/>
      <c r="AV80" s="259"/>
      <c r="AW80" s="259">
        <f t="shared" si="9"/>
        <v>0</v>
      </c>
      <c r="AX80" s="260"/>
      <c r="AY80" s="132"/>
      <c r="AZ80" s="133"/>
      <c r="BA80" s="134"/>
      <c r="BB80" s="135"/>
      <c r="BC80" s="136"/>
      <c r="BD80" s="131"/>
      <c r="BE80" s="131"/>
      <c r="BF80" s="137"/>
    </row>
    <row r="81" spans="1:58">
      <c r="A81" s="4228"/>
      <c r="B81" s="197"/>
      <c r="C81" s="4231"/>
      <c r="D81" s="253" t="s">
        <v>171</v>
      </c>
      <c r="E81" s="261"/>
      <c r="F81" s="261"/>
      <c r="G81" s="261"/>
      <c r="H81" s="261"/>
      <c r="I81" s="262"/>
      <c r="J81" s="253" t="s">
        <v>171</v>
      </c>
      <c r="K81" s="261"/>
      <c r="L81" s="261"/>
      <c r="M81" s="261"/>
      <c r="N81" s="261"/>
      <c r="O81" s="262"/>
      <c r="P81" s="253" t="s">
        <v>171</v>
      </c>
      <c r="Q81" s="297"/>
      <c r="R81" s="261"/>
      <c r="S81" s="261"/>
      <c r="T81" s="261"/>
      <c r="U81" s="261">
        <f t="shared" si="5"/>
        <v>0</v>
      </c>
      <c r="V81" s="262"/>
      <c r="W81" s="253" t="s">
        <v>171</v>
      </c>
      <c r="X81" s="297"/>
      <c r="Y81" s="261"/>
      <c r="Z81" s="261"/>
      <c r="AA81" s="261"/>
      <c r="AB81" s="261">
        <f t="shared" si="6"/>
        <v>0</v>
      </c>
      <c r="AC81" s="262"/>
      <c r="AD81" s="253" t="s">
        <v>171</v>
      </c>
      <c r="AE81" s="297"/>
      <c r="AF81" s="261"/>
      <c r="AG81" s="261"/>
      <c r="AH81" s="261"/>
      <c r="AI81" s="261">
        <f t="shared" si="7"/>
        <v>0</v>
      </c>
      <c r="AJ81" s="262"/>
      <c r="AK81" s="253" t="s">
        <v>171</v>
      </c>
      <c r="AL81" s="297"/>
      <c r="AM81" s="261"/>
      <c r="AN81" s="261"/>
      <c r="AO81" s="261"/>
      <c r="AP81" s="261">
        <f t="shared" si="8"/>
        <v>0</v>
      </c>
      <c r="AQ81" s="262"/>
      <c r="AR81" s="253" t="s">
        <v>171</v>
      </c>
      <c r="AS81" s="297"/>
      <c r="AT81" s="261"/>
      <c r="AU81" s="261"/>
      <c r="AV81" s="261"/>
      <c r="AW81" s="261">
        <f t="shared" si="9"/>
        <v>0</v>
      </c>
      <c r="AX81" s="262"/>
      <c r="AY81" s="118"/>
      <c r="AZ81" s="125"/>
      <c r="BA81" s="128"/>
      <c r="BB81" s="114"/>
      <c r="BC81" s="116"/>
      <c r="BD81" s="111"/>
      <c r="BE81" s="111"/>
      <c r="BF81" s="138"/>
    </row>
    <row r="82" spans="1:58">
      <c r="A82" s="4228"/>
      <c r="B82" s="197"/>
      <c r="C82" s="4231"/>
      <c r="D82" s="253" t="s">
        <v>103</v>
      </c>
      <c r="E82" s="261"/>
      <c r="F82" s="261"/>
      <c r="G82" s="261"/>
      <c r="H82" s="261"/>
      <c r="I82" s="262"/>
      <c r="J82" s="253" t="s">
        <v>103</v>
      </c>
      <c r="K82" s="261"/>
      <c r="L82" s="261"/>
      <c r="M82" s="261">
        <v>6688121</v>
      </c>
      <c r="N82" s="261"/>
      <c r="O82" s="262"/>
      <c r="P82" s="253" t="s">
        <v>103</v>
      </c>
      <c r="Q82" s="297"/>
      <c r="R82" s="261"/>
      <c r="S82" s="261">
        <v>2013498</v>
      </c>
      <c r="T82" s="261"/>
      <c r="U82" s="261">
        <f t="shared" si="5"/>
        <v>0</v>
      </c>
      <c r="V82" s="262"/>
      <c r="W82" s="253" t="s">
        <v>103</v>
      </c>
      <c r="X82" s="297"/>
      <c r="Y82" s="261"/>
      <c r="Z82" s="261">
        <v>2884921</v>
      </c>
      <c r="AA82" s="261"/>
      <c r="AB82" s="261">
        <f t="shared" si="6"/>
        <v>0</v>
      </c>
      <c r="AC82" s="262"/>
      <c r="AD82" s="253" t="s">
        <v>103</v>
      </c>
      <c r="AE82" s="297"/>
      <c r="AF82" s="261"/>
      <c r="AG82" s="261">
        <v>5367400</v>
      </c>
      <c r="AH82" s="261"/>
      <c r="AI82" s="261">
        <f t="shared" si="7"/>
        <v>0</v>
      </c>
      <c r="AJ82" s="262"/>
      <c r="AK82" s="253" t="s">
        <v>103</v>
      </c>
      <c r="AL82" s="297"/>
      <c r="AM82" s="261"/>
      <c r="AN82" s="261">
        <v>4526794</v>
      </c>
      <c r="AO82" s="261"/>
      <c r="AP82" s="261">
        <f t="shared" si="8"/>
        <v>0</v>
      </c>
      <c r="AQ82" s="262"/>
      <c r="AR82" s="253" t="s">
        <v>103</v>
      </c>
      <c r="AS82" s="297"/>
      <c r="AT82" s="261"/>
      <c r="AU82" s="261">
        <v>7170649</v>
      </c>
      <c r="AV82" s="261"/>
      <c r="AW82" s="261">
        <f t="shared" si="9"/>
        <v>0</v>
      </c>
      <c r="AX82" s="262"/>
      <c r="AY82" s="118"/>
      <c r="AZ82" s="125"/>
      <c r="BA82" s="128"/>
      <c r="BB82" s="114"/>
      <c r="BC82" s="116"/>
      <c r="BD82" s="111"/>
      <c r="BE82" s="111"/>
      <c r="BF82" s="138"/>
    </row>
    <row r="83" spans="1:58" ht="15.75" thickBot="1">
      <c r="A83" s="4241"/>
      <c r="B83" s="202"/>
      <c r="C83" s="4242"/>
      <c r="D83" s="255" t="s">
        <v>336</v>
      </c>
      <c r="E83" s="265"/>
      <c r="F83" s="265"/>
      <c r="G83" s="265"/>
      <c r="H83" s="265"/>
      <c r="I83" s="266"/>
      <c r="J83" s="255" t="s">
        <v>336</v>
      </c>
      <c r="K83" s="265"/>
      <c r="L83" s="265"/>
      <c r="M83" s="265"/>
      <c r="N83" s="265"/>
      <c r="O83" s="266"/>
      <c r="P83" s="255" t="s">
        <v>336</v>
      </c>
      <c r="Q83" s="307"/>
      <c r="R83" s="265"/>
      <c r="S83" s="265"/>
      <c r="T83" s="265"/>
      <c r="U83" s="265">
        <f t="shared" si="5"/>
        <v>0</v>
      </c>
      <c r="V83" s="266"/>
      <c r="W83" s="255" t="s">
        <v>336</v>
      </c>
      <c r="X83" s="307"/>
      <c r="Y83" s="265"/>
      <c r="Z83" s="265"/>
      <c r="AA83" s="265"/>
      <c r="AB83" s="265">
        <f t="shared" si="6"/>
        <v>0</v>
      </c>
      <c r="AC83" s="266"/>
      <c r="AD83" s="255" t="s">
        <v>336</v>
      </c>
      <c r="AE83" s="307"/>
      <c r="AF83" s="265"/>
      <c r="AG83" s="265"/>
      <c r="AH83" s="265"/>
      <c r="AI83" s="265">
        <f t="shared" si="7"/>
        <v>0</v>
      </c>
      <c r="AJ83" s="266"/>
      <c r="AK83" s="255" t="s">
        <v>336</v>
      </c>
      <c r="AL83" s="307"/>
      <c r="AM83" s="265"/>
      <c r="AN83" s="265"/>
      <c r="AO83" s="265"/>
      <c r="AP83" s="265">
        <f t="shared" si="8"/>
        <v>0</v>
      </c>
      <c r="AQ83" s="266"/>
      <c r="AR83" s="255" t="s">
        <v>336</v>
      </c>
      <c r="AS83" s="307"/>
      <c r="AT83" s="265"/>
      <c r="AU83" s="265"/>
      <c r="AV83" s="265"/>
      <c r="AW83" s="265">
        <f t="shared" si="9"/>
        <v>0</v>
      </c>
      <c r="AX83" s="266"/>
      <c r="AY83" s="141"/>
      <c r="AZ83" s="142"/>
      <c r="BA83" s="143"/>
      <c r="BB83" s="144"/>
      <c r="BC83" s="145"/>
      <c r="BD83" s="140"/>
      <c r="BE83" s="140"/>
      <c r="BF83" s="146"/>
    </row>
    <row r="84" spans="1:58" ht="15.75" thickTop="1">
      <c r="A84" s="4227" t="s">
        <v>723</v>
      </c>
      <c r="B84" s="196"/>
      <c r="C84" s="4230" t="s">
        <v>722</v>
      </c>
      <c r="D84" s="252" t="s">
        <v>104</v>
      </c>
      <c r="E84" s="259"/>
      <c r="F84" s="259"/>
      <c r="G84" s="259"/>
      <c r="H84" s="259"/>
      <c r="I84" s="260"/>
      <c r="J84" s="252" t="s">
        <v>104</v>
      </c>
      <c r="K84" s="259"/>
      <c r="L84" s="259"/>
      <c r="M84" s="259"/>
      <c r="N84" s="259"/>
      <c r="O84" s="260"/>
      <c r="P84" s="252" t="s">
        <v>104</v>
      </c>
      <c r="Q84" s="305"/>
      <c r="R84" s="259"/>
      <c r="S84" s="259"/>
      <c r="T84" s="259"/>
      <c r="U84" s="259">
        <f t="shared" ref="U84:U91" si="10">IF(R84=$A$100,T84/Q84,0)</f>
        <v>0</v>
      </c>
      <c r="V84" s="260"/>
      <c r="W84" s="252" t="s">
        <v>104</v>
      </c>
      <c r="X84" s="305">
        <v>0.03</v>
      </c>
      <c r="Y84" s="259" t="s">
        <v>595</v>
      </c>
      <c r="Z84" s="259">
        <v>129722110</v>
      </c>
      <c r="AA84" s="259">
        <v>2773799.4280617931</v>
      </c>
      <c r="AB84" s="259">
        <f t="shared" ref="AB84:AB91" si="11">IF(Y84=$A$100,AA84/X84,0)</f>
        <v>0</v>
      </c>
      <c r="AC84" s="260"/>
      <c r="AD84" s="252" t="s">
        <v>104</v>
      </c>
      <c r="AE84" s="305"/>
      <c r="AF84" s="259"/>
      <c r="AG84" s="259">
        <v>163836313</v>
      </c>
      <c r="AH84" s="259"/>
      <c r="AI84" s="259">
        <f t="shared" si="7"/>
        <v>0</v>
      </c>
      <c r="AJ84" s="260"/>
      <c r="AK84" s="252" t="s">
        <v>104</v>
      </c>
      <c r="AL84" s="305"/>
      <c r="AM84" s="259"/>
      <c r="AN84" s="259">
        <v>162923830</v>
      </c>
      <c r="AO84" s="259"/>
      <c r="AP84" s="259">
        <f t="shared" si="8"/>
        <v>0</v>
      </c>
      <c r="AQ84" s="260"/>
      <c r="AR84" s="252" t="s">
        <v>104</v>
      </c>
      <c r="AS84" s="305"/>
      <c r="AT84" s="259"/>
      <c r="AU84" s="259">
        <v>197260001</v>
      </c>
      <c r="AV84" s="259"/>
      <c r="AW84" s="259">
        <f t="shared" ref="AW84:AW91" si="12">IF(AT84=$A$100,AV84/AS84,0)</f>
        <v>0</v>
      </c>
      <c r="AX84" s="260"/>
      <c r="AY84" s="132"/>
      <c r="AZ84" s="133"/>
      <c r="BA84" s="134"/>
      <c r="BB84" s="135"/>
      <c r="BC84" s="136"/>
      <c r="BD84" s="131"/>
      <c r="BE84" s="131"/>
      <c r="BF84" s="137"/>
    </row>
    <row r="85" spans="1:58">
      <c r="A85" s="4228"/>
      <c r="B85" s="197"/>
      <c r="C85" s="4231"/>
      <c r="D85" s="253" t="s">
        <v>171</v>
      </c>
      <c r="E85" s="261"/>
      <c r="F85" s="261"/>
      <c r="G85" s="261"/>
      <c r="H85" s="261"/>
      <c r="I85" s="262"/>
      <c r="J85" s="253" t="s">
        <v>171</v>
      </c>
      <c r="K85" s="261"/>
      <c r="L85" s="261"/>
      <c r="M85" s="261"/>
      <c r="N85" s="261"/>
      <c r="O85" s="262"/>
      <c r="P85" s="253" t="s">
        <v>171</v>
      </c>
      <c r="Q85" s="297"/>
      <c r="R85" s="261"/>
      <c r="S85" s="261"/>
      <c r="T85" s="261"/>
      <c r="U85" s="261">
        <f t="shared" si="10"/>
        <v>0</v>
      </c>
      <c r="V85" s="262"/>
      <c r="W85" s="253" t="s">
        <v>171</v>
      </c>
      <c r="X85" s="297">
        <v>0.03</v>
      </c>
      <c r="Y85" s="261" t="s">
        <v>595</v>
      </c>
      <c r="Z85" s="261">
        <v>69992174</v>
      </c>
      <c r="AA85" s="261">
        <v>1496616.5151800374</v>
      </c>
      <c r="AB85" s="261">
        <f t="shared" si="11"/>
        <v>0</v>
      </c>
      <c r="AC85" s="262"/>
      <c r="AD85" s="253" t="s">
        <v>171</v>
      </c>
      <c r="AE85" s="297"/>
      <c r="AF85" s="261"/>
      <c r="AG85" s="261">
        <v>75756753</v>
      </c>
      <c r="AH85" s="261"/>
      <c r="AI85" s="261">
        <f t="shared" si="7"/>
        <v>0</v>
      </c>
      <c r="AJ85" s="262"/>
      <c r="AK85" s="253" t="s">
        <v>171</v>
      </c>
      <c r="AL85" s="297"/>
      <c r="AM85" s="261"/>
      <c r="AN85" s="261">
        <v>66230860</v>
      </c>
      <c r="AO85" s="261"/>
      <c r="AP85" s="261">
        <f t="shared" si="8"/>
        <v>0</v>
      </c>
      <c r="AQ85" s="262"/>
      <c r="AR85" s="253" t="s">
        <v>171</v>
      </c>
      <c r="AS85" s="297"/>
      <c r="AT85" s="261"/>
      <c r="AU85" s="261">
        <v>90653403</v>
      </c>
      <c r="AV85" s="261"/>
      <c r="AW85" s="261">
        <f t="shared" si="12"/>
        <v>0</v>
      </c>
      <c r="AX85" s="262"/>
      <c r="AY85" s="118"/>
      <c r="AZ85" s="125"/>
      <c r="BA85" s="128"/>
      <c r="BB85" s="114"/>
      <c r="BC85" s="116"/>
      <c r="BD85" s="111"/>
      <c r="BE85" s="111"/>
      <c r="BF85" s="138"/>
    </row>
    <row r="86" spans="1:58">
      <c r="A86" s="4228"/>
      <c r="B86" s="197"/>
      <c r="C86" s="4231"/>
      <c r="D86" s="253" t="s">
        <v>103</v>
      </c>
      <c r="E86" s="261"/>
      <c r="F86" s="261"/>
      <c r="G86" s="261"/>
      <c r="H86" s="261"/>
      <c r="I86" s="262"/>
      <c r="J86" s="253" t="s">
        <v>103</v>
      </c>
      <c r="K86" s="261"/>
      <c r="L86" s="261"/>
      <c r="M86" s="261">
        <v>6688121</v>
      </c>
      <c r="N86" s="261"/>
      <c r="O86" s="262"/>
      <c r="P86" s="253" t="s">
        <v>103</v>
      </c>
      <c r="Q86" s="297"/>
      <c r="R86" s="261"/>
      <c r="S86" s="261"/>
      <c r="T86" s="261"/>
      <c r="U86" s="261">
        <f t="shared" si="10"/>
        <v>0</v>
      </c>
      <c r="V86" s="262"/>
      <c r="W86" s="253" t="s">
        <v>103</v>
      </c>
      <c r="X86" s="297">
        <v>0.03</v>
      </c>
      <c r="Y86" s="261" t="s">
        <v>595</v>
      </c>
      <c r="Z86" s="261">
        <v>28417791</v>
      </c>
      <c r="AA86" s="261">
        <v>607647.01115777076</v>
      </c>
      <c r="AB86" s="261">
        <f t="shared" si="11"/>
        <v>0</v>
      </c>
      <c r="AC86" s="262"/>
      <c r="AD86" s="253" t="s">
        <v>103</v>
      </c>
      <c r="AE86" s="297"/>
      <c r="AF86" s="261"/>
      <c r="AG86" s="261">
        <v>22144005</v>
      </c>
      <c r="AH86" s="261"/>
      <c r="AI86" s="261">
        <f t="shared" si="7"/>
        <v>0</v>
      </c>
      <c r="AJ86" s="262"/>
      <c r="AK86" s="253" t="s">
        <v>103</v>
      </c>
      <c r="AL86" s="297"/>
      <c r="AM86" s="261"/>
      <c r="AN86" s="261">
        <v>23832199</v>
      </c>
      <c r="AO86" s="261"/>
      <c r="AP86" s="261">
        <f t="shared" si="8"/>
        <v>0</v>
      </c>
      <c r="AQ86" s="262"/>
      <c r="AR86" s="253" t="s">
        <v>103</v>
      </c>
      <c r="AS86" s="297"/>
      <c r="AT86" s="261"/>
      <c r="AU86" s="261">
        <v>32711829</v>
      </c>
      <c r="AV86" s="261"/>
      <c r="AW86" s="261">
        <f t="shared" si="12"/>
        <v>0</v>
      </c>
      <c r="AX86" s="262"/>
      <c r="AY86" s="118"/>
      <c r="AZ86" s="125"/>
      <c r="BA86" s="128"/>
      <c r="BB86" s="114"/>
      <c r="BC86" s="116"/>
      <c r="BD86" s="111"/>
      <c r="BE86" s="111"/>
      <c r="BF86" s="138"/>
    </row>
    <row r="87" spans="1:58" ht="15.75" thickBot="1">
      <c r="A87" s="4241"/>
      <c r="B87" s="202"/>
      <c r="C87" s="4242"/>
      <c r="D87" s="255" t="s">
        <v>336</v>
      </c>
      <c r="E87" s="265"/>
      <c r="F87" s="265"/>
      <c r="G87" s="265"/>
      <c r="H87" s="265"/>
      <c r="I87" s="266"/>
      <c r="J87" s="255" t="s">
        <v>336</v>
      </c>
      <c r="K87" s="265"/>
      <c r="L87" s="265"/>
      <c r="M87" s="265"/>
      <c r="N87" s="265"/>
      <c r="O87" s="266"/>
      <c r="P87" s="255" t="s">
        <v>336</v>
      </c>
      <c r="Q87" s="307"/>
      <c r="R87" s="265"/>
      <c r="S87" s="265"/>
      <c r="T87" s="265"/>
      <c r="U87" s="265">
        <f t="shared" si="10"/>
        <v>0</v>
      </c>
      <c r="V87" s="266"/>
      <c r="W87" s="255" t="s">
        <v>336</v>
      </c>
      <c r="X87" s="307">
        <v>0.03</v>
      </c>
      <c r="Y87" s="265" t="s">
        <v>595</v>
      </c>
      <c r="Z87" s="265">
        <v>1400064</v>
      </c>
      <c r="AA87" s="265">
        <v>29937.045600398469</v>
      </c>
      <c r="AB87" s="265">
        <f t="shared" si="11"/>
        <v>0</v>
      </c>
      <c r="AC87" s="266"/>
      <c r="AD87" s="255" t="s">
        <v>336</v>
      </c>
      <c r="AE87" s="307"/>
      <c r="AF87" s="265"/>
      <c r="AG87" s="265">
        <v>3661804</v>
      </c>
      <c r="AH87" s="265"/>
      <c r="AI87" s="265">
        <f t="shared" si="7"/>
        <v>0</v>
      </c>
      <c r="AJ87" s="266"/>
      <c r="AK87" s="255" t="s">
        <v>336</v>
      </c>
      <c r="AL87" s="307"/>
      <c r="AM87" s="265"/>
      <c r="AN87" s="265">
        <v>1993008</v>
      </c>
      <c r="AO87" s="265"/>
      <c r="AP87" s="265">
        <f t="shared" si="8"/>
        <v>0</v>
      </c>
      <c r="AQ87" s="266"/>
      <c r="AR87" s="255" t="s">
        <v>336</v>
      </c>
      <c r="AS87" s="307"/>
      <c r="AT87" s="265"/>
      <c r="AU87" s="265">
        <v>3156236</v>
      </c>
      <c r="AV87" s="265"/>
      <c r="AW87" s="265">
        <f t="shared" si="12"/>
        <v>0</v>
      </c>
      <c r="AX87" s="266"/>
      <c r="AY87" s="141"/>
      <c r="AZ87" s="142"/>
      <c r="BA87" s="143"/>
      <c r="BB87" s="144"/>
      <c r="BC87" s="145"/>
      <c r="BD87" s="140"/>
      <c r="BE87" s="140"/>
      <c r="BF87" s="146"/>
    </row>
    <row r="88" spans="1:58" ht="15.75" thickTop="1">
      <c r="A88" s="4227" t="s">
        <v>724</v>
      </c>
      <c r="B88" s="196"/>
      <c r="C88" s="4230" t="s">
        <v>722</v>
      </c>
      <c r="D88" s="252" t="s">
        <v>104</v>
      </c>
      <c r="E88" s="259"/>
      <c r="F88" s="259"/>
      <c r="G88" s="259"/>
      <c r="H88" s="259"/>
      <c r="I88" s="260"/>
      <c r="J88" s="252" t="s">
        <v>104</v>
      </c>
      <c r="K88" s="259"/>
      <c r="L88" s="259"/>
      <c r="M88" s="259"/>
      <c r="N88" s="259"/>
      <c r="O88" s="260"/>
      <c r="P88" s="252" t="s">
        <v>104</v>
      </c>
      <c r="Q88" s="305"/>
      <c r="R88" s="259"/>
      <c r="S88" s="259"/>
      <c r="T88" s="259"/>
      <c r="U88" s="259">
        <f t="shared" si="10"/>
        <v>0</v>
      </c>
      <c r="V88" s="260"/>
      <c r="W88" s="252" t="s">
        <v>104</v>
      </c>
      <c r="X88" s="305">
        <v>0.03</v>
      </c>
      <c r="Y88" s="259" t="s">
        <v>595</v>
      </c>
      <c r="Z88" s="259">
        <v>626427818</v>
      </c>
      <c r="AA88" s="259">
        <f>Z88*0.03</f>
        <v>18792834.539999999</v>
      </c>
      <c r="AB88" s="259">
        <f t="shared" si="11"/>
        <v>0</v>
      </c>
      <c r="AC88" s="260"/>
      <c r="AD88" s="252" t="s">
        <v>104</v>
      </c>
      <c r="AE88" s="305">
        <v>0.03</v>
      </c>
      <c r="AF88" s="259" t="s">
        <v>595</v>
      </c>
      <c r="AG88" s="259">
        <v>658551571</v>
      </c>
      <c r="AH88" s="259">
        <f>AE88*AG88</f>
        <v>19756547.129999999</v>
      </c>
      <c r="AI88" s="259">
        <f t="shared" si="7"/>
        <v>0</v>
      </c>
      <c r="AJ88" s="260"/>
      <c r="AK88" s="252" t="s">
        <v>104</v>
      </c>
      <c r="AL88" s="305">
        <v>0.03</v>
      </c>
      <c r="AM88" s="259" t="s">
        <v>595</v>
      </c>
      <c r="AN88" s="259">
        <v>667689441</v>
      </c>
      <c r="AO88" s="259">
        <f>AL88*AN88</f>
        <v>20030683.23</v>
      </c>
      <c r="AP88" s="259">
        <f t="shared" si="8"/>
        <v>0</v>
      </c>
      <c r="AQ88" s="260"/>
      <c r="AR88" s="252" t="s">
        <v>104</v>
      </c>
      <c r="AS88" s="305">
        <v>0.03</v>
      </c>
      <c r="AT88" s="259" t="s">
        <v>595</v>
      </c>
      <c r="AU88" s="259">
        <v>594699670</v>
      </c>
      <c r="AV88" s="259"/>
      <c r="AW88" s="259">
        <f t="shared" si="12"/>
        <v>0</v>
      </c>
      <c r="AX88" s="260"/>
      <c r="AY88" s="132"/>
      <c r="AZ88" s="133"/>
      <c r="BA88" s="134"/>
      <c r="BB88" s="135"/>
      <c r="BC88" s="136"/>
      <c r="BD88" s="131"/>
      <c r="BE88" s="131"/>
      <c r="BF88" s="137"/>
    </row>
    <row r="89" spans="1:58">
      <c r="A89" s="4228"/>
      <c r="B89" s="197"/>
      <c r="C89" s="4231"/>
      <c r="D89" s="253" t="s">
        <v>171</v>
      </c>
      <c r="E89" s="261"/>
      <c r="F89" s="261"/>
      <c r="G89" s="261"/>
      <c r="H89" s="261"/>
      <c r="I89" s="262"/>
      <c r="J89" s="253" t="s">
        <v>171</v>
      </c>
      <c r="K89" s="261"/>
      <c r="L89" s="261"/>
      <c r="M89" s="261"/>
      <c r="N89" s="261"/>
      <c r="O89" s="262"/>
      <c r="P89" s="253" t="s">
        <v>171</v>
      </c>
      <c r="Q89" s="297"/>
      <c r="R89" s="261"/>
      <c r="S89" s="261"/>
      <c r="T89" s="261"/>
      <c r="U89" s="261">
        <f t="shared" si="10"/>
        <v>0</v>
      </c>
      <c r="V89" s="262"/>
      <c r="W89" s="253" t="s">
        <v>171</v>
      </c>
      <c r="X89" s="297">
        <v>0.03</v>
      </c>
      <c r="Y89" s="261" t="s">
        <v>595</v>
      </c>
      <c r="Z89" s="261">
        <v>1285819</v>
      </c>
      <c r="AA89" s="261">
        <f>Z89*0.03</f>
        <v>38574.57</v>
      </c>
      <c r="AB89" s="261">
        <f t="shared" si="11"/>
        <v>0</v>
      </c>
      <c r="AC89" s="262"/>
      <c r="AD89" s="253" t="s">
        <v>171</v>
      </c>
      <c r="AE89" s="297">
        <v>0.03</v>
      </c>
      <c r="AF89" s="261" t="s">
        <v>595</v>
      </c>
      <c r="AG89" s="261">
        <v>33005360</v>
      </c>
      <c r="AH89" s="261">
        <f>AE89*AG89</f>
        <v>990160.79999999993</v>
      </c>
      <c r="AI89" s="261">
        <f t="shared" si="7"/>
        <v>0</v>
      </c>
      <c r="AJ89" s="262"/>
      <c r="AK89" s="253" t="s">
        <v>171</v>
      </c>
      <c r="AL89" s="297">
        <v>0.03</v>
      </c>
      <c r="AM89" s="261" t="s">
        <v>595</v>
      </c>
      <c r="AN89" s="261">
        <v>34510172</v>
      </c>
      <c r="AO89" s="261">
        <f>AL89*AN89</f>
        <v>1035305.1599999999</v>
      </c>
      <c r="AP89" s="261">
        <f t="shared" si="8"/>
        <v>0</v>
      </c>
      <c r="AQ89" s="262"/>
      <c r="AR89" s="253" t="s">
        <v>171</v>
      </c>
      <c r="AS89" s="297">
        <v>0.03</v>
      </c>
      <c r="AT89" s="261" t="s">
        <v>595</v>
      </c>
      <c r="AU89" s="261">
        <v>64767055</v>
      </c>
      <c r="AV89" s="261"/>
      <c r="AW89" s="261">
        <f t="shared" si="12"/>
        <v>0</v>
      </c>
      <c r="AX89" s="262"/>
      <c r="AY89" s="118"/>
      <c r="AZ89" s="125"/>
      <c r="BA89" s="128"/>
      <c r="BB89" s="114"/>
      <c r="BC89" s="116"/>
      <c r="BD89" s="111"/>
      <c r="BE89" s="111"/>
      <c r="BF89" s="138"/>
    </row>
    <row r="90" spans="1:58">
      <c r="A90" s="4228"/>
      <c r="B90" s="197"/>
      <c r="C90" s="4231"/>
      <c r="D90" s="253" t="s">
        <v>103</v>
      </c>
      <c r="E90" s="261"/>
      <c r="F90" s="261"/>
      <c r="G90" s="261"/>
      <c r="H90" s="261"/>
      <c r="I90" s="262"/>
      <c r="J90" s="253" t="s">
        <v>103</v>
      </c>
      <c r="K90" s="261"/>
      <c r="L90" s="261"/>
      <c r="M90" s="261">
        <v>6688121</v>
      </c>
      <c r="N90" s="261"/>
      <c r="O90" s="262"/>
      <c r="P90" s="253" t="s">
        <v>103</v>
      </c>
      <c r="Q90" s="297"/>
      <c r="R90" s="261"/>
      <c r="S90" s="261"/>
      <c r="T90" s="261"/>
      <c r="U90" s="261">
        <f t="shared" si="10"/>
        <v>0</v>
      </c>
      <c r="V90" s="262"/>
      <c r="W90" s="253" t="s">
        <v>103</v>
      </c>
      <c r="X90" s="297">
        <v>0.03</v>
      </c>
      <c r="Y90" s="261" t="s">
        <v>595</v>
      </c>
      <c r="Z90" s="261">
        <v>10232800</v>
      </c>
      <c r="AA90" s="261">
        <f>Z90*0.03</f>
        <v>306984</v>
      </c>
      <c r="AB90" s="261">
        <f t="shared" si="11"/>
        <v>0</v>
      </c>
      <c r="AC90" s="262"/>
      <c r="AD90" s="253" t="s">
        <v>103</v>
      </c>
      <c r="AE90" s="297">
        <v>0.03</v>
      </c>
      <c r="AF90" s="261" t="s">
        <v>595</v>
      </c>
      <c r="AG90" s="261">
        <v>12650389</v>
      </c>
      <c r="AH90" s="261">
        <f>AE90*AG90</f>
        <v>379511.67</v>
      </c>
      <c r="AI90" s="261">
        <f t="shared" si="7"/>
        <v>0</v>
      </c>
      <c r="AJ90" s="262"/>
      <c r="AK90" s="253" t="s">
        <v>103</v>
      </c>
      <c r="AL90" s="297">
        <v>0.03</v>
      </c>
      <c r="AM90" s="261" t="s">
        <v>595</v>
      </c>
      <c r="AN90" s="261">
        <v>11799327</v>
      </c>
      <c r="AO90" s="261">
        <f>AL90*AN90</f>
        <v>353979.81</v>
      </c>
      <c r="AP90" s="261">
        <f t="shared" si="8"/>
        <v>0</v>
      </c>
      <c r="AQ90" s="262"/>
      <c r="AR90" s="253" t="s">
        <v>103</v>
      </c>
      <c r="AS90" s="297">
        <v>0.03</v>
      </c>
      <c r="AT90" s="261" t="s">
        <v>595</v>
      </c>
      <c r="AU90" s="261">
        <v>18871340</v>
      </c>
      <c r="AV90" s="261"/>
      <c r="AW90" s="261">
        <f t="shared" si="12"/>
        <v>0</v>
      </c>
      <c r="AX90" s="262"/>
      <c r="AY90" s="118"/>
      <c r="AZ90" s="125"/>
      <c r="BA90" s="128"/>
      <c r="BB90" s="114"/>
      <c r="BC90" s="116"/>
      <c r="BD90" s="111"/>
      <c r="BE90" s="111"/>
      <c r="BF90" s="138"/>
    </row>
    <row r="91" spans="1:58" ht="15.75" thickBot="1">
      <c r="A91" s="4241"/>
      <c r="B91" s="202"/>
      <c r="C91" s="4242"/>
      <c r="D91" s="255" t="s">
        <v>336</v>
      </c>
      <c r="E91" s="265"/>
      <c r="F91" s="265"/>
      <c r="G91" s="265"/>
      <c r="H91" s="265"/>
      <c r="I91" s="266"/>
      <c r="J91" s="255" t="s">
        <v>336</v>
      </c>
      <c r="K91" s="265"/>
      <c r="L91" s="265"/>
      <c r="M91" s="265"/>
      <c r="N91" s="265"/>
      <c r="O91" s="266"/>
      <c r="P91" s="255" t="s">
        <v>336</v>
      </c>
      <c r="Q91" s="307"/>
      <c r="R91" s="265"/>
      <c r="S91" s="265"/>
      <c r="T91" s="265"/>
      <c r="U91" s="265">
        <f t="shared" si="10"/>
        <v>0</v>
      </c>
      <c r="V91" s="266"/>
      <c r="W91" s="255" t="s">
        <v>336</v>
      </c>
      <c r="X91" s="307"/>
      <c r="Y91" s="265"/>
      <c r="Z91" s="265"/>
      <c r="AA91" s="265"/>
      <c r="AB91" s="265">
        <f t="shared" si="11"/>
        <v>0</v>
      </c>
      <c r="AC91" s="266"/>
      <c r="AD91" s="255" t="s">
        <v>336</v>
      </c>
      <c r="AE91" s="307"/>
      <c r="AF91" s="265"/>
      <c r="AG91" s="265"/>
      <c r="AH91" s="265"/>
      <c r="AI91" s="265">
        <f t="shared" si="7"/>
        <v>0</v>
      </c>
      <c r="AJ91" s="266"/>
      <c r="AK91" s="255" t="s">
        <v>336</v>
      </c>
      <c r="AL91" s="307"/>
      <c r="AM91" s="265"/>
      <c r="AN91" s="265"/>
      <c r="AO91" s="265"/>
      <c r="AP91" s="265">
        <f t="shared" si="8"/>
        <v>0</v>
      </c>
      <c r="AQ91" s="266"/>
      <c r="AR91" s="255" t="s">
        <v>336</v>
      </c>
      <c r="AS91" s="307"/>
      <c r="AT91" s="265"/>
      <c r="AU91" s="265">
        <v>158760</v>
      </c>
      <c r="AV91" s="265"/>
      <c r="AW91" s="265">
        <f t="shared" si="12"/>
        <v>0</v>
      </c>
      <c r="AX91" s="266"/>
      <c r="AY91" s="141"/>
      <c r="AZ91" s="142"/>
      <c r="BA91" s="143"/>
      <c r="BB91" s="144"/>
      <c r="BC91" s="145"/>
      <c r="BD91" s="140"/>
      <c r="BE91" s="140"/>
      <c r="BF91" s="146"/>
    </row>
    <row r="92" spans="1:58" ht="15.75" thickTop="1">
      <c r="B92" s="203"/>
      <c r="Z92" s="314"/>
      <c r="AA92" s="15"/>
    </row>
    <row r="93" spans="1:58">
      <c r="A93" t="s">
        <v>104</v>
      </c>
      <c r="B93" s="203"/>
    </row>
    <row r="94" spans="1:58">
      <c r="A94" t="s">
        <v>171</v>
      </c>
      <c r="B94" s="203"/>
      <c r="Z94" s="15"/>
      <c r="AH94" s="15"/>
      <c r="AO94" s="15"/>
      <c r="AV94" s="15"/>
    </row>
    <row r="95" spans="1:58">
      <c r="A95" t="s">
        <v>103</v>
      </c>
      <c r="B95" s="203"/>
    </row>
    <row r="96" spans="1:58">
      <c r="A96" t="s">
        <v>336</v>
      </c>
      <c r="B96" s="203"/>
    </row>
    <row r="97" spans="1:2">
      <c r="B97" s="203"/>
    </row>
    <row r="98" spans="1:2">
      <c r="B98" s="203"/>
    </row>
    <row r="99" spans="1:2">
      <c r="A99" t="s">
        <v>595</v>
      </c>
      <c r="B99" s="203"/>
    </row>
    <row r="100" spans="1:2">
      <c r="A100" t="s">
        <v>596</v>
      </c>
      <c r="B100" s="203"/>
    </row>
    <row r="101" spans="1:2">
      <c r="B101" s="203"/>
    </row>
    <row r="102" spans="1:2">
      <c r="B102" s="203"/>
    </row>
    <row r="103" spans="1:2">
      <c r="B103" s="203"/>
    </row>
    <row r="104" spans="1:2">
      <c r="B104" s="203"/>
    </row>
    <row r="105" spans="1:2">
      <c r="B105" s="203"/>
    </row>
    <row r="106" spans="1:2">
      <c r="B106" s="203"/>
    </row>
    <row r="107" spans="1:2">
      <c r="B107" s="203"/>
    </row>
    <row r="108" spans="1:2">
      <c r="B108" s="203"/>
    </row>
    <row r="109" spans="1:2">
      <c r="B109" s="203"/>
    </row>
    <row r="110" spans="1:2">
      <c r="B110" s="203"/>
    </row>
    <row r="111" spans="1:2">
      <c r="B111" s="203"/>
    </row>
    <row r="112" spans="1:2">
      <c r="B112" s="203"/>
    </row>
    <row r="113" spans="2:2">
      <c r="B113" s="203"/>
    </row>
    <row r="114" spans="2:2">
      <c r="B114" s="203"/>
    </row>
    <row r="115" spans="2:2">
      <c r="B115" s="203"/>
    </row>
    <row r="116" spans="2:2">
      <c r="B116" s="203"/>
    </row>
    <row r="117" spans="2:2">
      <c r="B117" s="203"/>
    </row>
    <row r="118" spans="2:2">
      <c r="B118" s="203"/>
    </row>
    <row r="119" spans="2:2">
      <c r="B119" s="203"/>
    </row>
    <row r="120" spans="2:2">
      <c r="B120" s="203"/>
    </row>
    <row r="121" spans="2:2">
      <c r="B121" s="203"/>
    </row>
    <row r="122" spans="2:2">
      <c r="B122" s="203"/>
    </row>
    <row r="123" spans="2:2">
      <c r="B123" s="203"/>
    </row>
    <row r="124" spans="2:2">
      <c r="B124" s="203"/>
    </row>
    <row r="125" spans="2:2">
      <c r="B125" s="203"/>
    </row>
    <row r="126" spans="2:2">
      <c r="B126" s="203"/>
    </row>
    <row r="127" spans="2:2">
      <c r="B127" s="203"/>
    </row>
    <row r="128" spans="2:2">
      <c r="B128" s="203"/>
    </row>
    <row r="129" spans="2:2">
      <c r="B129" s="203"/>
    </row>
    <row r="130" spans="2:2">
      <c r="B130" s="203"/>
    </row>
    <row r="131" spans="2:2">
      <c r="B131" s="203"/>
    </row>
    <row r="132" spans="2:2">
      <c r="B132" s="203"/>
    </row>
    <row r="133" spans="2:2">
      <c r="B133" s="203"/>
    </row>
    <row r="134" spans="2:2">
      <c r="B134" s="203"/>
    </row>
    <row r="135" spans="2:2">
      <c r="B135" s="203"/>
    </row>
    <row r="136" spans="2:2">
      <c r="B136" s="203"/>
    </row>
    <row r="137" spans="2:2">
      <c r="B137" s="203"/>
    </row>
    <row r="138" spans="2:2">
      <c r="B138" s="203"/>
    </row>
    <row r="139" spans="2:2">
      <c r="B139" s="203"/>
    </row>
    <row r="140" spans="2:2">
      <c r="B140" s="203"/>
    </row>
    <row r="141" spans="2:2">
      <c r="B141" s="203"/>
    </row>
    <row r="142" spans="2:2">
      <c r="B142" s="203"/>
    </row>
    <row r="143" spans="2:2">
      <c r="B143" s="203"/>
    </row>
    <row r="144" spans="2:2">
      <c r="B144" s="203"/>
    </row>
    <row r="145" spans="2:2">
      <c r="B145" s="203"/>
    </row>
    <row r="146" spans="2:2">
      <c r="B146" s="203"/>
    </row>
    <row r="147" spans="2:2">
      <c r="B147" s="203"/>
    </row>
    <row r="148" spans="2:2">
      <c r="B148" s="203"/>
    </row>
    <row r="149" spans="2:2">
      <c r="B149" s="203"/>
    </row>
    <row r="150" spans="2:2">
      <c r="B150" s="203"/>
    </row>
    <row r="151" spans="2:2">
      <c r="B151" s="203"/>
    </row>
    <row r="152" spans="2:2">
      <c r="B152" s="203"/>
    </row>
    <row r="153" spans="2:2">
      <c r="B153" s="203"/>
    </row>
    <row r="154" spans="2:2">
      <c r="B154" s="203"/>
    </row>
    <row r="155" spans="2:2">
      <c r="B155" s="203"/>
    </row>
  </sheetData>
  <autoFilter ref="A3:BH3"/>
  <mergeCells count="59">
    <mergeCell ref="A84:A87"/>
    <mergeCell ref="C84:C87"/>
    <mergeCell ref="A40:A43"/>
    <mergeCell ref="C40:C43"/>
    <mergeCell ref="A44:A47"/>
    <mergeCell ref="C44:C47"/>
    <mergeCell ref="A48:A51"/>
    <mergeCell ref="C48:C51"/>
    <mergeCell ref="A76:A79"/>
    <mergeCell ref="C76:C79"/>
    <mergeCell ref="A88:A91"/>
    <mergeCell ref="C88:C91"/>
    <mergeCell ref="A80:A83"/>
    <mergeCell ref="C80:C83"/>
    <mergeCell ref="A52:A55"/>
    <mergeCell ref="C52:C55"/>
    <mergeCell ref="A64:A67"/>
    <mergeCell ref="C64:C67"/>
    <mergeCell ref="A56:A59"/>
    <mergeCell ref="C56:C59"/>
    <mergeCell ref="A60:A63"/>
    <mergeCell ref="C60:C63"/>
    <mergeCell ref="A68:A71"/>
    <mergeCell ref="C68:C71"/>
    <mergeCell ref="A72:A75"/>
    <mergeCell ref="C72:C75"/>
    <mergeCell ref="C32:C35"/>
    <mergeCell ref="A36:A39"/>
    <mergeCell ref="C36:C39"/>
    <mergeCell ref="A20:A23"/>
    <mergeCell ref="C20:C23"/>
    <mergeCell ref="A24:A27"/>
    <mergeCell ref="C24:C27"/>
    <mergeCell ref="A28:A31"/>
    <mergeCell ref="C28:C31"/>
    <mergeCell ref="A32:A35"/>
    <mergeCell ref="A12:A15"/>
    <mergeCell ref="C12:C15"/>
    <mergeCell ref="A16:A19"/>
    <mergeCell ref="C16:C19"/>
    <mergeCell ref="J1:O1"/>
    <mergeCell ref="J2:O2"/>
    <mergeCell ref="D1:I1"/>
    <mergeCell ref="AY2:BF2"/>
    <mergeCell ref="A8:A11"/>
    <mergeCell ref="C8:C11"/>
    <mergeCell ref="AR2:AX2"/>
    <mergeCell ref="C4:C7"/>
    <mergeCell ref="A4:A7"/>
    <mergeCell ref="D2:I2"/>
    <mergeCell ref="AK2:AQ2"/>
    <mergeCell ref="AD2:AJ2"/>
    <mergeCell ref="P1:V1"/>
    <mergeCell ref="P2:V2"/>
    <mergeCell ref="W1:AC1"/>
    <mergeCell ref="W2:AC2"/>
    <mergeCell ref="AR1:AX1"/>
    <mergeCell ref="AD1:AJ1"/>
    <mergeCell ref="AK1:AQ1"/>
  </mergeCells>
  <dataValidations count="1">
    <dataValidation type="list" allowBlank="1" showInputMessage="1" showErrorMessage="1" sqref="BC4:BC91 AY4:AY91">
      <formula1>$A$93:$A$96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"/>
  <sheetViews>
    <sheetView workbookViewId="0">
      <selection activeCell="A3" sqref="A3:A6"/>
    </sheetView>
  </sheetViews>
  <sheetFormatPr defaultRowHeight="15"/>
  <sheetData>
    <row r="3" spans="1:1">
      <c r="A3" t="s">
        <v>104</v>
      </c>
    </row>
    <row r="4" spans="1:1">
      <c r="A4" t="s">
        <v>171</v>
      </c>
    </row>
    <row r="5" spans="1:1">
      <c r="A5" t="s">
        <v>103</v>
      </c>
    </row>
    <row r="6" spans="1:1">
      <c r="A6" t="s">
        <v>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4"/>
  <sheetViews>
    <sheetView showGridLines="0" workbookViewId="0">
      <selection activeCell="B9" sqref="B9"/>
    </sheetView>
  </sheetViews>
  <sheetFormatPr defaultRowHeight="15"/>
  <cols>
    <col min="1" max="1" width="21.85546875" bestFit="1" customWidth="1"/>
    <col min="2" max="2" width="18.140625" customWidth="1"/>
    <col min="3" max="3" width="18.85546875" customWidth="1"/>
    <col min="4" max="4" width="27.85546875" customWidth="1"/>
    <col min="5" max="5" width="55.140625" bestFit="1" customWidth="1"/>
    <col min="6" max="6" width="43.28515625" customWidth="1"/>
    <col min="7" max="7" width="50.7109375" customWidth="1"/>
  </cols>
  <sheetData>
    <row r="1" spans="1:7" ht="15.75" thickTop="1">
      <c r="A1" s="16" t="s">
        <v>598</v>
      </c>
      <c r="B1" s="1" t="s">
        <v>338</v>
      </c>
      <c r="C1" s="2" t="s">
        <v>599</v>
      </c>
      <c r="D1" s="4255">
        <v>41739</v>
      </c>
      <c r="E1" s="4256"/>
      <c r="F1" s="4255">
        <v>41769</v>
      </c>
      <c r="G1" s="4256"/>
    </row>
    <row r="2" spans="1:7">
      <c r="A2" s="16" t="s">
        <v>211</v>
      </c>
      <c r="B2" s="12">
        <v>0.05</v>
      </c>
      <c r="C2" s="2" t="s">
        <v>596</v>
      </c>
      <c r="D2" s="311">
        <v>20000000</v>
      </c>
      <c r="E2" s="2" t="s">
        <v>613</v>
      </c>
      <c r="F2" s="311"/>
      <c r="G2" s="2"/>
    </row>
    <row r="3" spans="1:7">
      <c r="A3" s="16" t="s">
        <v>600</v>
      </c>
      <c r="B3" s="12">
        <v>0.04</v>
      </c>
      <c r="C3" s="2" t="s">
        <v>596</v>
      </c>
      <c r="D3" s="311">
        <v>16668230</v>
      </c>
      <c r="E3" s="2" t="s">
        <v>671</v>
      </c>
      <c r="F3" s="311">
        <f>D3/0.04</f>
        <v>416705750</v>
      </c>
      <c r="G3" s="2"/>
    </row>
    <row r="4" spans="1:7">
      <c r="A4" s="16" t="s">
        <v>601</v>
      </c>
      <c r="B4" s="12">
        <v>0.05</v>
      </c>
      <c r="C4" s="2" t="s">
        <v>595</v>
      </c>
      <c r="D4" s="311"/>
      <c r="E4" s="2"/>
      <c r="F4" s="311"/>
      <c r="G4" s="2"/>
    </row>
    <row r="5" spans="1:7">
      <c r="A5" s="16" t="s">
        <v>602</v>
      </c>
      <c r="B5" s="12">
        <v>0.05</v>
      </c>
      <c r="C5" s="2" t="s">
        <v>596</v>
      </c>
      <c r="D5" s="311"/>
      <c r="E5" s="2"/>
      <c r="F5" s="311"/>
      <c r="G5" s="2"/>
    </row>
    <row r="6" spans="1:7">
      <c r="A6" s="16" t="s">
        <v>129</v>
      </c>
      <c r="B6" s="12">
        <v>0.11</v>
      </c>
      <c r="C6" s="2" t="s">
        <v>595</v>
      </c>
      <c r="D6" s="311">
        <v>5441331</v>
      </c>
      <c r="E6" s="2" t="s">
        <v>609</v>
      </c>
      <c r="F6" s="311"/>
      <c r="G6" s="2"/>
    </row>
    <row r="7" spans="1:7">
      <c r="A7" s="16" t="s">
        <v>603</v>
      </c>
      <c r="B7" s="12">
        <v>0.06</v>
      </c>
      <c r="C7" s="2" t="s">
        <v>596</v>
      </c>
      <c r="D7" s="311">
        <f>4760000*1.2</f>
        <v>5712000</v>
      </c>
      <c r="E7" s="2" t="s">
        <v>611</v>
      </c>
      <c r="F7" s="311"/>
      <c r="G7" s="2"/>
    </row>
    <row r="8" spans="1:7">
      <c r="A8" s="16" t="s">
        <v>566</v>
      </c>
      <c r="B8" s="12">
        <v>0.05</v>
      </c>
      <c r="C8" s="2" t="s">
        <v>596</v>
      </c>
      <c r="D8" s="311"/>
      <c r="E8" s="2"/>
      <c r="F8" s="311">
        <v>2658000</v>
      </c>
      <c r="G8" s="2" t="s">
        <v>721</v>
      </c>
    </row>
    <row r="9" spans="1:7">
      <c r="A9" s="16" t="s">
        <v>6</v>
      </c>
      <c r="B9" s="12">
        <v>0.05</v>
      </c>
      <c r="C9" s="2" t="s">
        <v>596</v>
      </c>
      <c r="D9" s="311">
        <v>4992604</v>
      </c>
      <c r="E9" s="2" t="s">
        <v>610</v>
      </c>
      <c r="F9" s="311">
        <v>5129375</v>
      </c>
      <c r="G9" s="2" t="s">
        <v>671</v>
      </c>
    </row>
    <row r="10" spans="1:7">
      <c r="A10" s="16" t="s">
        <v>604</v>
      </c>
      <c r="B10" s="12">
        <v>0.03</v>
      </c>
      <c r="C10" s="2" t="s">
        <v>595</v>
      </c>
      <c r="D10" s="311">
        <f>4950000*1.2</f>
        <v>5940000</v>
      </c>
      <c r="E10" s="2" t="s">
        <v>615</v>
      </c>
      <c r="F10" s="311">
        <v>3510000</v>
      </c>
      <c r="G10" s="2" t="s">
        <v>688</v>
      </c>
    </row>
    <row r="11" spans="1:7">
      <c r="A11" s="16" t="s">
        <v>217</v>
      </c>
      <c r="B11" s="12">
        <f>3%+2%</f>
        <v>0.05</v>
      </c>
      <c r="C11" s="2" t="s">
        <v>607</v>
      </c>
      <c r="D11" s="311">
        <f>(2805731+5251587)*1.2</f>
        <v>9668781.5999999996</v>
      </c>
      <c r="E11" s="2" t="s">
        <v>614</v>
      </c>
      <c r="F11" s="311"/>
      <c r="G11" s="2"/>
    </row>
    <row r="12" spans="1:7">
      <c r="A12" s="16" t="s">
        <v>605</v>
      </c>
      <c r="B12" s="12"/>
      <c r="C12" s="2"/>
      <c r="D12" s="311"/>
      <c r="E12" s="2"/>
      <c r="F12" s="311"/>
      <c r="G12" s="2"/>
    </row>
    <row r="13" spans="1:7" ht="15.75" thickBot="1">
      <c r="A13" s="16" t="s">
        <v>299</v>
      </c>
      <c r="B13" s="12">
        <v>0.09</v>
      </c>
      <c r="C13" s="2" t="s">
        <v>608</v>
      </c>
      <c r="D13" s="312">
        <v>24183194</v>
      </c>
      <c r="E13" s="4" t="s">
        <v>612</v>
      </c>
      <c r="F13" s="312"/>
      <c r="G13" s="4"/>
    </row>
    <row r="14" spans="1:7" ht="15.75" thickTop="1"/>
  </sheetData>
  <mergeCells count="2">
    <mergeCell ref="D1:E1"/>
    <mergeCell ref="F1:G1"/>
  </mergeCells>
  <pageMargins left="0.70866141732283472" right="0.70866141732283472" top="0.74803149606299213" bottom="0.74803149606299213" header="0.31496062992125984" footer="0.31496062992125984"/>
  <pageSetup scale="7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"/>
  <sheetViews>
    <sheetView showGridLines="0"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XFD1048576"/>
    </sheetView>
  </sheetViews>
  <sheetFormatPr defaultRowHeight="15"/>
  <cols>
    <col min="1" max="1" width="36.85546875" customWidth="1"/>
    <col min="2" max="2" width="16" customWidth="1"/>
    <col min="3" max="3" width="13.5703125" customWidth="1"/>
    <col min="4" max="4" width="15.85546875" customWidth="1"/>
    <col min="5" max="5" width="37" customWidth="1"/>
    <col min="6" max="6" width="15.85546875" customWidth="1"/>
    <col min="7" max="7" width="37" customWidth="1"/>
    <col min="8" max="8" width="15.85546875" customWidth="1"/>
    <col min="9" max="9" width="37" customWidth="1"/>
    <col min="10" max="10" width="15.85546875" customWidth="1"/>
    <col min="11" max="11" width="37" customWidth="1"/>
    <col min="12" max="12" width="15.85546875" customWidth="1"/>
    <col min="13" max="13" width="37" customWidth="1"/>
    <col min="14" max="14" width="15.85546875" customWidth="1"/>
    <col min="15" max="15" width="37" customWidth="1"/>
    <col min="16" max="16" width="15.85546875" customWidth="1"/>
    <col min="17" max="17" width="37" customWidth="1"/>
    <col min="18" max="18" width="15.85546875" customWidth="1"/>
    <col min="19" max="19" width="37" customWidth="1"/>
  </cols>
  <sheetData>
    <row r="1" spans="1:19" ht="16.5" thickTop="1" thickBot="1">
      <c r="A1" s="192"/>
      <c r="B1" s="192"/>
      <c r="C1" s="192"/>
      <c r="D1" s="4259">
        <v>41760</v>
      </c>
      <c r="E1" s="4258"/>
      <c r="F1" s="4257">
        <v>41791</v>
      </c>
      <c r="G1" s="4258"/>
      <c r="H1" s="4257">
        <v>41821</v>
      </c>
      <c r="I1" s="4258"/>
      <c r="J1" s="4257">
        <v>41852</v>
      </c>
      <c r="K1" s="4258"/>
      <c r="L1" s="4257">
        <v>41883</v>
      </c>
      <c r="M1" s="4258"/>
      <c r="N1" s="4257">
        <v>41913</v>
      </c>
      <c r="O1" s="4258"/>
      <c r="P1" s="4257">
        <v>41944</v>
      </c>
      <c r="Q1" s="4258"/>
      <c r="R1" s="4257">
        <v>41974</v>
      </c>
      <c r="S1" s="4258"/>
    </row>
    <row r="2" spans="1:19" ht="16.5" thickTop="1" thickBot="1">
      <c r="A2" s="321" t="s">
        <v>1</v>
      </c>
      <c r="B2" s="322" t="s">
        <v>661</v>
      </c>
      <c r="C2" s="323" t="s">
        <v>102</v>
      </c>
      <c r="D2" s="315" t="s">
        <v>662</v>
      </c>
      <c r="E2" s="317" t="s">
        <v>663</v>
      </c>
      <c r="F2" s="316" t="s">
        <v>662</v>
      </c>
      <c r="G2" s="317" t="s">
        <v>663</v>
      </c>
      <c r="H2" s="316" t="s">
        <v>662</v>
      </c>
      <c r="I2" s="317" t="s">
        <v>663</v>
      </c>
      <c r="J2" s="316" t="s">
        <v>662</v>
      </c>
      <c r="K2" s="317" t="s">
        <v>663</v>
      </c>
      <c r="L2" s="316" t="s">
        <v>662</v>
      </c>
      <c r="M2" s="317" t="s">
        <v>663</v>
      </c>
      <c r="N2" s="316" t="s">
        <v>662</v>
      </c>
      <c r="O2" s="317" t="s">
        <v>663</v>
      </c>
      <c r="P2" s="316" t="s">
        <v>662</v>
      </c>
      <c r="Q2" s="317" t="s">
        <v>663</v>
      </c>
      <c r="R2" s="316" t="s">
        <v>662</v>
      </c>
      <c r="S2" s="317" t="s">
        <v>663</v>
      </c>
    </row>
    <row r="3" spans="1:19" ht="16.5" thickTop="1" thickBot="1">
      <c r="A3" s="4260" t="s">
        <v>334</v>
      </c>
      <c r="B3" s="324"/>
      <c r="C3" s="325"/>
      <c r="D3" s="320"/>
      <c r="E3" s="319"/>
      <c r="F3" s="318"/>
      <c r="G3" s="319"/>
      <c r="H3" s="318"/>
      <c r="I3" s="319"/>
      <c r="J3" s="318"/>
      <c r="K3" s="319"/>
      <c r="L3" s="318"/>
      <c r="M3" s="319"/>
      <c r="N3" s="318"/>
      <c r="O3" s="319"/>
      <c r="P3" s="318"/>
      <c r="Q3" s="319"/>
      <c r="R3" s="318"/>
      <c r="S3" s="319"/>
    </row>
    <row r="4" spans="1:19" ht="16.5" thickTop="1" thickBot="1">
      <c r="A4" s="4260"/>
      <c r="B4" s="326"/>
      <c r="C4" s="327"/>
      <c r="D4" s="311"/>
      <c r="E4" s="2"/>
      <c r="F4" s="18"/>
      <c r="G4" s="2"/>
      <c r="H4" s="18"/>
      <c r="I4" s="2"/>
      <c r="J4" s="18"/>
      <c r="K4" s="2"/>
      <c r="L4" s="18"/>
      <c r="M4" s="2"/>
      <c r="N4" s="18"/>
      <c r="O4" s="2"/>
      <c r="P4" s="18"/>
      <c r="Q4" s="2"/>
      <c r="R4" s="18"/>
      <c r="S4" s="2"/>
    </row>
    <row r="5" spans="1:19" ht="16.5" thickTop="1" thickBot="1">
      <c r="A5" s="4260"/>
      <c r="B5" s="326"/>
      <c r="C5" s="327"/>
      <c r="D5" s="311"/>
      <c r="E5" s="2"/>
      <c r="F5" s="18"/>
      <c r="G5" s="2"/>
      <c r="H5" s="18"/>
      <c r="I5" s="2"/>
      <c r="J5" s="18"/>
      <c r="K5" s="2"/>
      <c r="L5" s="18"/>
      <c r="M5" s="2"/>
      <c r="N5" s="18"/>
      <c r="O5" s="2"/>
      <c r="P5" s="18"/>
      <c r="Q5" s="2"/>
      <c r="R5" s="18"/>
      <c r="S5" s="2"/>
    </row>
    <row r="6" spans="1:19" ht="16.5" thickTop="1" thickBot="1">
      <c r="A6" s="4260"/>
      <c r="B6" s="328"/>
      <c r="C6" s="329"/>
      <c r="D6" s="312"/>
      <c r="E6" s="4"/>
      <c r="F6" s="20"/>
      <c r="G6" s="4"/>
      <c r="H6" s="20"/>
      <c r="I6" s="4"/>
      <c r="J6" s="20"/>
      <c r="K6" s="4"/>
      <c r="L6" s="20"/>
      <c r="M6" s="4"/>
      <c r="N6" s="20"/>
      <c r="O6" s="4"/>
      <c r="P6" s="20"/>
      <c r="Q6" s="4"/>
      <c r="R6" s="20"/>
      <c r="S6" s="4"/>
    </row>
    <row r="7" spans="1:19" ht="16.5" thickTop="1" thickBot="1">
      <c r="A7" s="4260" t="s">
        <v>409</v>
      </c>
      <c r="B7" s="324"/>
      <c r="C7" s="325"/>
      <c r="D7" s="320"/>
      <c r="E7" s="319"/>
      <c r="F7" s="318"/>
      <c r="G7" s="319"/>
      <c r="H7" s="318"/>
      <c r="I7" s="319"/>
      <c r="J7" s="318"/>
      <c r="K7" s="319"/>
      <c r="L7" s="318"/>
      <c r="M7" s="319"/>
      <c r="N7" s="318"/>
      <c r="O7" s="319"/>
      <c r="P7" s="318"/>
      <c r="Q7" s="319"/>
      <c r="R7" s="318"/>
      <c r="S7" s="319"/>
    </row>
    <row r="8" spans="1:19" ht="16.5" thickTop="1" thickBot="1">
      <c r="A8" s="4260"/>
      <c r="B8" s="326"/>
      <c r="C8" s="327"/>
      <c r="D8" s="311"/>
      <c r="E8" s="2"/>
      <c r="F8" s="18"/>
      <c r="G8" s="2"/>
      <c r="H8" s="18"/>
      <c r="I8" s="2"/>
      <c r="J8" s="18"/>
      <c r="K8" s="2"/>
      <c r="L8" s="18"/>
      <c r="M8" s="2"/>
      <c r="N8" s="18"/>
      <c r="O8" s="2"/>
      <c r="P8" s="18"/>
      <c r="Q8" s="2"/>
      <c r="R8" s="18"/>
      <c r="S8" s="2"/>
    </row>
    <row r="9" spans="1:19" ht="16.5" thickTop="1" thickBot="1">
      <c r="A9" s="4260"/>
      <c r="B9" s="326"/>
      <c r="C9" s="327"/>
      <c r="D9" s="311"/>
      <c r="E9" s="2"/>
      <c r="F9" s="18"/>
      <c r="G9" s="2"/>
      <c r="H9" s="18"/>
      <c r="I9" s="2"/>
      <c r="J9" s="18"/>
      <c r="K9" s="2"/>
      <c r="L9" s="18"/>
      <c r="M9" s="2"/>
      <c r="N9" s="18"/>
      <c r="O9" s="2"/>
      <c r="P9" s="18"/>
      <c r="Q9" s="2"/>
      <c r="R9" s="18"/>
      <c r="S9" s="2"/>
    </row>
    <row r="10" spans="1:19" ht="16.5" thickTop="1" thickBot="1">
      <c r="A10" s="4260"/>
      <c r="B10" s="328"/>
      <c r="C10" s="329"/>
      <c r="D10" s="312"/>
      <c r="E10" s="4"/>
      <c r="F10" s="20"/>
      <c r="G10" s="4"/>
      <c r="H10" s="20"/>
      <c r="I10" s="4"/>
      <c r="J10" s="20"/>
      <c r="K10" s="4"/>
      <c r="L10" s="20"/>
      <c r="M10" s="4"/>
      <c r="N10" s="20"/>
      <c r="O10" s="4"/>
      <c r="P10" s="20"/>
      <c r="Q10" s="4"/>
      <c r="R10" s="20"/>
      <c r="S10" s="4"/>
    </row>
    <row r="11" spans="1:19" ht="16.5" thickTop="1" thickBot="1">
      <c r="A11" s="4260" t="s">
        <v>200</v>
      </c>
      <c r="B11" s="324"/>
      <c r="C11" s="325"/>
      <c r="D11" s="320"/>
      <c r="E11" s="319"/>
      <c r="F11" s="318"/>
      <c r="G11" s="319"/>
      <c r="H11" s="318"/>
      <c r="I11" s="319"/>
      <c r="J11" s="318"/>
      <c r="K11" s="319"/>
      <c r="L11" s="318"/>
      <c r="M11" s="319"/>
      <c r="N11" s="318"/>
      <c r="O11" s="319"/>
      <c r="P11" s="318"/>
      <c r="Q11" s="319"/>
      <c r="R11" s="318"/>
      <c r="S11" s="319"/>
    </row>
    <row r="12" spans="1:19" ht="16.5" thickTop="1" thickBot="1">
      <c r="A12" s="4260"/>
      <c r="B12" s="326"/>
      <c r="C12" s="327"/>
      <c r="D12" s="311"/>
      <c r="E12" s="2"/>
      <c r="F12" s="18"/>
      <c r="G12" s="2"/>
      <c r="H12" s="18"/>
      <c r="I12" s="2"/>
      <c r="J12" s="18"/>
      <c r="K12" s="2"/>
      <c r="L12" s="18"/>
      <c r="M12" s="2"/>
      <c r="N12" s="18"/>
      <c r="O12" s="2"/>
      <c r="P12" s="18"/>
      <c r="Q12" s="2"/>
      <c r="R12" s="18"/>
      <c r="S12" s="2"/>
    </row>
    <row r="13" spans="1:19" ht="16.5" thickTop="1" thickBot="1">
      <c r="A13" s="4260"/>
      <c r="B13" s="326"/>
      <c r="C13" s="327"/>
      <c r="D13" s="311"/>
      <c r="E13" s="2"/>
      <c r="F13" s="18"/>
      <c r="G13" s="2"/>
      <c r="H13" s="18"/>
      <c r="I13" s="2"/>
      <c r="J13" s="18"/>
      <c r="K13" s="2"/>
      <c r="L13" s="18"/>
      <c r="M13" s="2"/>
      <c r="N13" s="18"/>
      <c r="O13" s="2"/>
      <c r="P13" s="18"/>
      <c r="Q13" s="2"/>
      <c r="R13" s="18"/>
      <c r="S13" s="2"/>
    </row>
    <row r="14" spans="1:19" ht="16.5" thickTop="1" thickBot="1">
      <c r="A14" s="4260"/>
      <c r="B14" s="328"/>
      <c r="C14" s="329"/>
      <c r="D14" s="312"/>
      <c r="E14" s="4"/>
      <c r="F14" s="20"/>
      <c r="G14" s="4"/>
      <c r="H14" s="20"/>
      <c r="I14" s="4"/>
      <c r="J14" s="20"/>
      <c r="K14" s="4"/>
      <c r="L14" s="20"/>
      <c r="M14" s="4"/>
      <c r="N14" s="20"/>
      <c r="O14" s="4"/>
      <c r="P14" s="20"/>
      <c r="Q14" s="4"/>
      <c r="R14" s="20"/>
      <c r="S14" s="4"/>
    </row>
    <row r="15" spans="1:19" ht="16.5" thickTop="1" thickBot="1">
      <c r="A15" s="4260" t="s">
        <v>232</v>
      </c>
      <c r="B15" s="324"/>
      <c r="C15" s="325"/>
      <c r="D15" s="320"/>
      <c r="E15" s="319"/>
      <c r="F15" s="318"/>
      <c r="G15" s="319"/>
      <c r="H15" s="318"/>
      <c r="I15" s="319"/>
      <c r="J15" s="318"/>
      <c r="K15" s="319"/>
      <c r="L15" s="318"/>
      <c r="M15" s="319"/>
      <c r="N15" s="318"/>
      <c r="O15" s="319"/>
      <c r="P15" s="318"/>
      <c r="Q15" s="319"/>
      <c r="R15" s="318"/>
      <c r="S15" s="319"/>
    </row>
    <row r="16" spans="1:19" ht="16.5" thickTop="1" thickBot="1">
      <c r="A16" s="4260"/>
      <c r="B16" s="326"/>
      <c r="C16" s="327"/>
      <c r="D16" s="311"/>
      <c r="E16" s="2"/>
      <c r="F16" s="18"/>
      <c r="G16" s="2"/>
      <c r="H16" s="18"/>
      <c r="I16" s="2"/>
      <c r="J16" s="18"/>
      <c r="K16" s="2"/>
      <c r="L16" s="18"/>
      <c r="M16" s="2"/>
      <c r="N16" s="18"/>
      <c r="O16" s="2"/>
      <c r="P16" s="18"/>
      <c r="Q16" s="2"/>
      <c r="R16" s="18"/>
      <c r="S16" s="2"/>
    </row>
    <row r="17" spans="1:19" ht="16.5" thickTop="1" thickBot="1">
      <c r="A17" s="4260"/>
      <c r="B17" s="326"/>
      <c r="C17" s="327"/>
      <c r="D17" s="311"/>
      <c r="E17" s="2"/>
      <c r="F17" s="18"/>
      <c r="G17" s="2"/>
      <c r="H17" s="18"/>
      <c r="I17" s="2"/>
      <c r="J17" s="18"/>
      <c r="K17" s="2"/>
      <c r="L17" s="18"/>
      <c r="M17" s="2"/>
      <c r="N17" s="18"/>
      <c r="O17" s="2"/>
      <c r="P17" s="18"/>
      <c r="Q17" s="2"/>
      <c r="R17" s="18"/>
      <c r="S17" s="2"/>
    </row>
    <row r="18" spans="1:19" ht="16.5" thickTop="1" thickBot="1">
      <c r="A18" s="4260"/>
      <c r="B18" s="328"/>
      <c r="C18" s="329"/>
      <c r="D18" s="312"/>
      <c r="E18" s="4"/>
      <c r="F18" s="20"/>
      <c r="G18" s="4"/>
      <c r="H18" s="20"/>
      <c r="I18" s="4"/>
      <c r="J18" s="20"/>
      <c r="K18" s="4"/>
      <c r="L18" s="20"/>
      <c r="M18" s="4"/>
      <c r="N18" s="20"/>
      <c r="O18" s="4"/>
      <c r="P18" s="20"/>
      <c r="Q18" s="4"/>
      <c r="R18" s="20"/>
      <c r="S18" s="4"/>
    </row>
    <row r="19" spans="1:19" ht="16.5" thickTop="1" thickBot="1">
      <c r="A19" s="4260" t="s">
        <v>106</v>
      </c>
      <c r="B19" s="324"/>
      <c r="C19" s="325"/>
      <c r="D19" s="320"/>
      <c r="E19" s="319"/>
      <c r="F19" s="318"/>
      <c r="G19" s="319"/>
      <c r="H19" s="318"/>
      <c r="I19" s="319"/>
      <c r="J19" s="318"/>
      <c r="K19" s="319"/>
      <c r="L19" s="318"/>
      <c r="M19" s="319"/>
      <c r="N19" s="318"/>
      <c r="O19" s="319"/>
      <c r="P19" s="318"/>
      <c r="Q19" s="319"/>
      <c r="R19" s="318"/>
      <c r="S19" s="319"/>
    </row>
    <row r="20" spans="1:19" ht="16.5" thickTop="1" thickBot="1">
      <c r="A20" s="4260"/>
      <c r="B20" s="326"/>
      <c r="C20" s="327"/>
      <c r="D20" s="311"/>
      <c r="E20" s="2"/>
      <c r="F20" s="18"/>
      <c r="G20" s="2"/>
      <c r="H20" s="18"/>
      <c r="I20" s="2"/>
      <c r="J20" s="18"/>
      <c r="K20" s="2"/>
      <c r="L20" s="18"/>
      <c r="M20" s="2"/>
      <c r="N20" s="18"/>
      <c r="O20" s="2"/>
      <c r="P20" s="18"/>
      <c r="Q20" s="2"/>
      <c r="R20" s="18"/>
      <c r="S20" s="2"/>
    </row>
    <row r="21" spans="1:19" ht="16.5" thickTop="1" thickBot="1">
      <c r="A21" s="4260"/>
      <c r="B21" s="326"/>
      <c r="C21" s="327"/>
      <c r="D21" s="311"/>
      <c r="E21" s="2"/>
      <c r="F21" s="18"/>
      <c r="G21" s="2"/>
      <c r="H21" s="18"/>
      <c r="I21" s="2"/>
      <c r="J21" s="18"/>
      <c r="K21" s="2"/>
      <c r="L21" s="18"/>
      <c r="M21" s="2"/>
      <c r="N21" s="18"/>
      <c r="O21" s="2"/>
      <c r="P21" s="18"/>
      <c r="Q21" s="2"/>
      <c r="R21" s="18"/>
      <c r="S21" s="2"/>
    </row>
    <row r="22" spans="1:19" ht="16.5" thickTop="1" thickBot="1">
      <c r="A22" s="4260"/>
      <c r="B22" s="328"/>
      <c r="C22" s="329"/>
      <c r="D22" s="312"/>
      <c r="E22" s="4"/>
      <c r="F22" s="20"/>
      <c r="G22" s="4"/>
      <c r="H22" s="20"/>
      <c r="I22" s="4"/>
      <c r="J22" s="20"/>
      <c r="K22" s="4"/>
      <c r="L22" s="20"/>
      <c r="M22" s="4"/>
      <c r="N22" s="20"/>
      <c r="O22" s="4"/>
      <c r="P22" s="20"/>
      <c r="Q22" s="4"/>
      <c r="R22" s="20"/>
      <c r="S22" s="4"/>
    </row>
    <row r="23" spans="1:19" ht="16.5" thickTop="1" thickBot="1">
      <c r="A23" s="4260" t="s">
        <v>115</v>
      </c>
      <c r="B23" s="324"/>
      <c r="C23" s="325"/>
      <c r="D23" s="320"/>
      <c r="E23" s="319"/>
      <c r="F23" s="318"/>
      <c r="G23" s="319"/>
      <c r="H23" s="318"/>
      <c r="I23" s="319"/>
      <c r="J23" s="318"/>
      <c r="K23" s="319"/>
      <c r="L23" s="318"/>
      <c r="M23" s="319"/>
      <c r="N23" s="318"/>
      <c r="O23" s="319"/>
      <c r="P23" s="318"/>
      <c r="Q23" s="319"/>
      <c r="R23" s="318"/>
      <c r="S23" s="319"/>
    </row>
    <row r="24" spans="1:19" ht="16.5" thickTop="1" thickBot="1">
      <c r="A24" s="4260"/>
      <c r="B24" s="326"/>
      <c r="C24" s="327"/>
      <c r="D24" s="311"/>
      <c r="E24" s="2"/>
      <c r="F24" s="18"/>
      <c r="G24" s="2"/>
      <c r="H24" s="18"/>
      <c r="I24" s="2"/>
      <c r="J24" s="18"/>
      <c r="K24" s="2"/>
      <c r="L24" s="18"/>
      <c r="M24" s="2"/>
      <c r="N24" s="18"/>
      <c r="O24" s="2"/>
      <c r="P24" s="18"/>
      <c r="Q24" s="2"/>
      <c r="R24" s="18"/>
      <c r="S24" s="2"/>
    </row>
    <row r="25" spans="1:19" ht="16.5" thickTop="1" thickBot="1">
      <c r="A25" s="4260"/>
      <c r="B25" s="326"/>
      <c r="C25" s="327"/>
      <c r="D25" s="311"/>
      <c r="E25" s="2"/>
      <c r="F25" s="18"/>
      <c r="G25" s="2"/>
      <c r="H25" s="18"/>
      <c r="I25" s="2"/>
      <c r="J25" s="18"/>
      <c r="K25" s="2"/>
      <c r="L25" s="18"/>
      <c r="M25" s="2"/>
      <c r="N25" s="18"/>
      <c r="O25" s="2"/>
      <c r="P25" s="18"/>
      <c r="Q25" s="2"/>
      <c r="R25" s="18"/>
      <c r="S25" s="2"/>
    </row>
    <row r="26" spans="1:19" ht="16.5" thickTop="1" thickBot="1">
      <c r="A26" s="4260"/>
      <c r="B26" s="328"/>
      <c r="C26" s="329"/>
      <c r="D26" s="312"/>
      <c r="E26" s="4"/>
      <c r="F26" s="20"/>
      <c r="G26" s="4"/>
      <c r="H26" s="20"/>
      <c r="I26" s="4"/>
      <c r="J26" s="20"/>
      <c r="K26" s="4"/>
      <c r="L26" s="20"/>
      <c r="M26" s="4"/>
      <c r="N26" s="20"/>
      <c r="O26" s="4"/>
      <c r="P26" s="20"/>
      <c r="Q26" s="4"/>
      <c r="R26" s="20"/>
      <c r="S26" s="4"/>
    </row>
    <row r="27" spans="1:19" ht="16.5" thickTop="1" thickBot="1">
      <c r="A27" s="4260" t="s">
        <v>410</v>
      </c>
      <c r="B27" s="324"/>
      <c r="C27" s="325"/>
      <c r="D27" s="320"/>
      <c r="E27" s="319"/>
      <c r="F27" s="318"/>
      <c r="G27" s="319"/>
      <c r="H27" s="318"/>
      <c r="I27" s="319"/>
      <c r="J27" s="318"/>
      <c r="K27" s="319"/>
      <c r="L27" s="318"/>
      <c r="M27" s="319"/>
      <c r="N27" s="318"/>
      <c r="O27" s="319"/>
      <c r="P27" s="318"/>
      <c r="Q27" s="319"/>
      <c r="R27" s="318"/>
      <c r="S27" s="319"/>
    </row>
    <row r="28" spans="1:19" ht="16.5" thickTop="1" thickBot="1">
      <c r="A28" s="4260"/>
      <c r="B28" s="326"/>
      <c r="C28" s="327"/>
      <c r="D28" s="311"/>
      <c r="E28" s="2"/>
      <c r="F28" s="18"/>
      <c r="G28" s="2"/>
      <c r="H28" s="18"/>
      <c r="I28" s="2"/>
      <c r="J28" s="18"/>
      <c r="K28" s="2"/>
      <c r="L28" s="18"/>
      <c r="M28" s="2"/>
      <c r="N28" s="18"/>
      <c r="O28" s="2"/>
      <c r="P28" s="18"/>
      <c r="Q28" s="2"/>
      <c r="R28" s="18"/>
      <c r="S28" s="2"/>
    </row>
    <row r="29" spans="1:19" ht="16.5" thickTop="1" thickBot="1">
      <c r="A29" s="4260"/>
      <c r="B29" s="326"/>
      <c r="C29" s="327"/>
      <c r="D29" s="311"/>
      <c r="E29" s="2"/>
      <c r="F29" s="18"/>
      <c r="G29" s="2"/>
      <c r="H29" s="18"/>
      <c r="I29" s="2"/>
      <c r="J29" s="18"/>
      <c r="K29" s="2"/>
      <c r="L29" s="18"/>
      <c r="M29" s="2"/>
      <c r="N29" s="18"/>
      <c r="O29" s="2"/>
      <c r="P29" s="18"/>
      <c r="Q29" s="2"/>
      <c r="R29" s="18"/>
      <c r="S29" s="2"/>
    </row>
    <row r="30" spans="1:19" ht="16.5" thickTop="1" thickBot="1">
      <c r="A30" s="4260"/>
      <c r="B30" s="328"/>
      <c r="C30" s="329"/>
      <c r="D30" s="312"/>
      <c r="E30" s="4"/>
      <c r="F30" s="20"/>
      <c r="G30" s="4"/>
      <c r="H30" s="20"/>
      <c r="I30" s="4"/>
      <c r="J30" s="20"/>
      <c r="K30" s="4"/>
      <c r="L30" s="20"/>
      <c r="M30" s="4"/>
      <c r="N30" s="20"/>
      <c r="O30" s="4"/>
      <c r="P30" s="20"/>
      <c r="Q30" s="4"/>
      <c r="R30" s="20"/>
      <c r="S30" s="4"/>
    </row>
    <row r="31" spans="1:19" ht="16.5" thickTop="1" thickBot="1">
      <c r="A31" s="4260" t="s">
        <v>285</v>
      </c>
      <c r="B31" s="324"/>
      <c r="C31" s="325"/>
      <c r="D31" s="320"/>
      <c r="E31" s="319"/>
      <c r="F31" s="318"/>
      <c r="G31" s="319"/>
      <c r="H31" s="318"/>
      <c r="I31" s="319"/>
      <c r="J31" s="318"/>
      <c r="K31" s="319"/>
      <c r="L31" s="318"/>
      <c r="M31" s="319"/>
      <c r="N31" s="318"/>
      <c r="O31" s="319"/>
      <c r="P31" s="318"/>
      <c r="Q31" s="319"/>
      <c r="R31" s="318"/>
      <c r="S31" s="319"/>
    </row>
    <row r="32" spans="1:19" ht="16.5" thickTop="1" thickBot="1">
      <c r="A32" s="4260"/>
      <c r="B32" s="326"/>
      <c r="C32" s="327"/>
      <c r="D32" s="311"/>
      <c r="E32" s="2"/>
      <c r="F32" s="18"/>
      <c r="G32" s="2"/>
      <c r="H32" s="18"/>
      <c r="I32" s="2"/>
      <c r="J32" s="18"/>
      <c r="K32" s="2"/>
      <c r="L32" s="18"/>
      <c r="M32" s="2"/>
      <c r="N32" s="18"/>
      <c r="O32" s="2"/>
      <c r="P32" s="18"/>
      <c r="Q32" s="2"/>
      <c r="R32" s="18"/>
      <c r="S32" s="2"/>
    </row>
    <row r="33" spans="1:19" ht="16.5" thickTop="1" thickBot="1">
      <c r="A33" s="4260"/>
      <c r="B33" s="326"/>
      <c r="C33" s="327"/>
      <c r="D33" s="311"/>
      <c r="E33" s="2"/>
      <c r="F33" s="18"/>
      <c r="G33" s="2"/>
      <c r="H33" s="18"/>
      <c r="I33" s="2"/>
      <c r="J33" s="18"/>
      <c r="K33" s="2"/>
      <c r="L33" s="18"/>
      <c r="M33" s="2"/>
      <c r="N33" s="18"/>
      <c r="O33" s="2"/>
      <c r="P33" s="18"/>
      <c r="Q33" s="2"/>
      <c r="R33" s="18"/>
      <c r="S33" s="2"/>
    </row>
    <row r="34" spans="1:19" ht="16.5" thickTop="1" thickBot="1">
      <c r="A34" s="4260"/>
      <c r="B34" s="328"/>
      <c r="C34" s="329"/>
      <c r="D34" s="312"/>
      <c r="E34" s="4"/>
      <c r="F34" s="20"/>
      <c r="G34" s="4"/>
      <c r="H34" s="20"/>
      <c r="I34" s="4"/>
      <c r="J34" s="20"/>
      <c r="K34" s="4"/>
      <c r="L34" s="20"/>
      <c r="M34" s="4"/>
      <c r="N34" s="20"/>
      <c r="O34" s="4"/>
      <c r="P34" s="20"/>
      <c r="Q34" s="4"/>
      <c r="R34" s="20"/>
      <c r="S34" s="4"/>
    </row>
    <row r="35" spans="1:19" ht="16.5" thickTop="1" thickBot="1">
      <c r="A35" s="4260" t="s">
        <v>152</v>
      </c>
      <c r="B35" s="324"/>
      <c r="C35" s="325"/>
      <c r="D35" s="320"/>
      <c r="E35" s="319"/>
      <c r="F35" s="318"/>
      <c r="G35" s="319"/>
      <c r="H35" s="318"/>
      <c r="I35" s="319"/>
      <c r="J35" s="318"/>
      <c r="K35" s="319"/>
      <c r="L35" s="318"/>
      <c r="M35" s="319"/>
      <c r="N35" s="318"/>
      <c r="O35" s="319"/>
      <c r="P35" s="318"/>
      <c r="Q35" s="319"/>
      <c r="R35" s="318"/>
      <c r="S35" s="319"/>
    </row>
    <row r="36" spans="1:19" ht="16.5" thickTop="1" thickBot="1">
      <c r="A36" s="4260"/>
      <c r="B36" s="326"/>
      <c r="C36" s="327"/>
      <c r="D36" s="311"/>
      <c r="E36" s="2"/>
      <c r="F36" s="18"/>
      <c r="G36" s="2"/>
      <c r="H36" s="18"/>
      <c r="I36" s="2"/>
      <c r="J36" s="18"/>
      <c r="K36" s="2"/>
      <c r="L36" s="18"/>
      <c r="M36" s="2"/>
      <c r="N36" s="18"/>
      <c r="O36" s="2"/>
      <c r="P36" s="18"/>
      <c r="Q36" s="2"/>
      <c r="R36" s="18"/>
      <c r="S36" s="2"/>
    </row>
    <row r="37" spans="1:19" ht="16.5" thickTop="1" thickBot="1">
      <c r="A37" s="4260"/>
      <c r="B37" s="326"/>
      <c r="C37" s="327"/>
      <c r="D37" s="311"/>
      <c r="E37" s="2"/>
      <c r="F37" s="18"/>
      <c r="G37" s="2"/>
      <c r="H37" s="18"/>
      <c r="I37" s="2"/>
      <c r="J37" s="18"/>
      <c r="K37" s="2"/>
      <c r="L37" s="18"/>
      <c r="M37" s="2"/>
      <c r="N37" s="18"/>
      <c r="O37" s="2"/>
      <c r="P37" s="18"/>
      <c r="Q37" s="2"/>
      <c r="R37" s="18"/>
      <c r="S37" s="2"/>
    </row>
    <row r="38" spans="1:19" ht="16.5" thickTop="1" thickBot="1">
      <c r="A38" s="4260"/>
      <c r="B38" s="328"/>
      <c r="C38" s="329"/>
      <c r="D38" s="312"/>
      <c r="E38" s="4"/>
      <c r="F38" s="20"/>
      <c r="G38" s="4"/>
      <c r="H38" s="20"/>
      <c r="I38" s="4"/>
      <c r="J38" s="20"/>
      <c r="K38" s="4"/>
      <c r="L38" s="20"/>
      <c r="M38" s="4"/>
      <c r="N38" s="20"/>
      <c r="O38" s="4"/>
      <c r="P38" s="20"/>
      <c r="Q38" s="4"/>
      <c r="R38" s="20"/>
      <c r="S38" s="4"/>
    </row>
    <row r="39" spans="1:19" ht="16.5" thickTop="1" thickBot="1">
      <c r="A39" s="4260" t="s">
        <v>114</v>
      </c>
      <c r="B39" s="324"/>
      <c r="C39" s="325"/>
      <c r="D39" s="320"/>
      <c r="E39" s="319"/>
      <c r="F39" s="318"/>
      <c r="G39" s="319"/>
      <c r="H39" s="318"/>
      <c r="I39" s="319"/>
      <c r="J39" s="318"/>
      <c r="K39" s="319"/>
      <c r="L39" s="318"/>
      <c r="M39" s="319"/>
      <c r="N39" s="318"/>
      <c r="O39" s="319"/>
      <c r="P39" s="318"/>
      <c r="Q39" s="319"/>
      <c r="R39" s="318"/>
      <c r="S39" s="319"/>
    </row>
    <row r="40" spans="1:19" ht="16.5" thickTop="1" thickBot="1">
      <c r="A40" s="4260"/>
      <c r="B40" s="326"/>
      <c r="C40" s="327"/>
      <c r="D40" s="311"/>
      <c r="E40" s="2"/>
      <c r="F40" s="18"/>
      <c r="G40" s="2"/>
      <c r="H40" s="18"/>
      <c r="I40" s="2"/>
      <c r="J40" s="18"/>
      <c r="K40" s="2"/>
      <c r="L40" s="18"/>
      <c r="M40" s="2"/>
      <c r="N40" s="18"/>
      <c r="O40" s="2"/>
      <c r="P40" s="18"/>
      <c r="Q40" s="2"/>
      <c r="R40" s="18"/>
      <c r="S40" s="2"/>
    </row>
    <row r="41" spans="1:19" ht="16.5" thickTop="1" thickBot="1">
      <c r="A41" s="4260"/>
      <c r="B41" s="326"/>
      <c r="C41" s="327"/>
      <c r="D41" s="311"/>
      <c r="E41" s="2"/>
      <c r="F41" s="18"/>
      <c r="G41" s="2"/>
      <c r="H41" s="18"/>
      <c r="I41" s="2"/>
      <c r="J41" s="18"/>
      <c r="K41" s="2"/>
      <c r="L41" s="18"/>
      <c r="M41" s="2"/>
      <c r="N41" s="18"/>
      <c r="O41" s="2"/>
      <c r="P41" s="18"/>
      <c r="Q41" s="2"/>
      <c r="R41" s="18"/>
      <c r="S41" s="2"/>
    </row>
    <row r="42" spans="1:19" ht="16.5" thickTop="1" thickBot="1">
      <c r="A42" s="4260"/>
      <c r="B42" s="328"/>
      <c r="C42" s="329"/>
      <c r="D42" s="312"/>
      <c r="E42" s="4"/>
      <c r="F42" s="20"/>
      <c r="G42" s="4"/>
      <c r="H42" s="20"/>
      <c r="I42" s="4"/>
      <c r="J42" s="20"/>
      <c r="K42" s="4"/>
      <c r="L42" s="20"/>
      <c r="M42" s="4"/>
      <c r="N42" s="20"/>
      <c r="O42" s="4"/>
      <c r="P42" s="20"/>
      <c r="Q42" s="4"/>
      <c r="R42" s="20"/>
      <c r="S42" s="4"/>
    </row>
    <row r="43" spans="1:19" ht="16.5" thickTop="1" thickBot="1">
      <c r="A43" s="4260" t="s">
        <v>411</v>
      </c>
      <c r="B43" s="324"/>
      <c r="C43" s="325"/>
      <c r="D43" s="320"/>
      <c r="E43" s="319"/>
      <c r="F43" s="318"/>
      <c r="G43" s="319"/>
      <c r="H43" s="318"/>
      <c r="I43" s="319"/>
      <c r="J43" s="318"/>
      <c r="K43" s="319"/>
      <c r="L43" s="318"/>
      <c r="M43" s="319"/>
      <c r="N43" s="318"/>
      <c r="O43" s="319"/>
      <c r="P43" s="318"/>
      <c r="Q43" s="319"/>
      <c r="R43" s="318"/>
      <c r="S43" s="319"/>
    </row>
    <row r="44" spans="1:19" ht="16.5" thickTop="1" thickBot="1">
      <c r="A44" s="4260"/>
      <c r="B44" s="326"/>
      <c r="C44" s="327"/>
      <c r="D44" s="311"/>
      <c r="E44" s="2"/>
      <c r="F44" s="18"/>
      <c r="G44" s="2"/>
      <c r="H44" s="18"/>
      <c r="I44" s="2"/>
      <c r="J44" s="18"/>
      <c r="K44" s="2"/>
      <c r="L44" s="18"/>
      <c r="M44" s="2"/>
      <c r="N44" s="18"/>
      <c r="O44" s="2"/>
      <c r="P44" s="18"/>
      <c r="Q44" s="2"/>
      <c r="R44" s="18"/>
      <c r="S44" s="2"/>
    </row>
    <row r="45" spans="1:19" ht="16.5" thickTop="1" thickBot="1">
      <c r="A45" s="4260"/>
      <c r="B45" s="326"/>
      <c r="C45" s="327"/>
      <c r="D45" s="311"/>
      <c r="E45" s="2"/>
      <c r="F45" s="18"/>
      <c r="G45" s="2"/>
      <c r="H45" s="18"/>
      <c r="I45" s="2"/>
      <c r="J45" s="18"/>
      <c r="K45" s="2"/>
      <c r="L45" s="18"/>
      <c r="M45" s="2"/>
      <c r="N45" s="18"/>
      <c r="O45" s="2"/>
      <c r="P45" s="18"/>
      <c r="Q45" s="2"/>
      <c r="R45" s="18"/>
      <c r="S45" s="2"/>
    </row>
    <row r="46" spans="1:19" ht="16.5" thickTop="1" thickBot="1">
      <c r="A46" s="4260"/>
      <c r="B46" s="328"/>
      <c r="C46" s="329"/>
      <c r="D46" s="312"/>
      <c r="E46" s="4"/>
      <c r="F46" s="20"/>
      <c r="G46" s="4"/>
      <c r="H46" s="20"/>
      <c r="I46" s="4"/>
      <c r="J46" s="20"/>
      <c r="K46" s="4"/>
      <c r="L46" s="20"/>
      <c r="M46" s="4"/>
      <c r="N46" s="20"/>
      <c r="O46" s="4"/>
      <c r="P46" s="20"/>
      <c r="Q46" s="4"/>
      <c r="R46" s="20"/>
      <c r="S46" s="4"/>
    </row>
    <row r="47" spans="1:19" ht="16.5" thickTop="1" thickBot="1">
      <c r="A47" s="4260" t="s">
        <v>202</v>
      </c>
      <c r="B47" s="324"/>
      <c r="C47" s="325"/>
      <c r="D47" s="320"/>
      <c r="E47" s="319"/>
      <c r="F47" s="318"/>
      <c r="G47" s="319"/>
      <c r="H47" s="318"/>
      <c r="I47" s="319"/>
      <c r="J47" s="318"/>
      <c r="K47" s="319"/>
      <c r="L47" s="318"/>
      <c r="M47" s="319"/>
      <c r="N47" s="318"/>
      <c r="O47" s="319"/>
      <c r="P47" s="318"/>
      <c r="Q47" s="319"/>
      <c r="R47" s="318"/>
      <c r="S47" s="319"/>
    </row>
    <row r="48" spans="1:19" ht="16.5" thickTop="1" thickBot="1">
      <c r="A48" s="4260"/>
      <c r="B48" s="326"/>
      <c r="C48" s="327"/>
      <c r="D48" s="311"/>
      <c r="E48" s="2"/>
      <c r="F48" s="18"/>
      <c r="G48" s="2"/>
      <c r="H48" s="18"/>
      <c r="I48" s="2"/>
      <c r="J48" s="18"/>
      <c r="K48" s="2"/>
      <c r="L48" s="18"/>
      <c r="M48" s="2"/>
      <c r="N48" s="18"/>
      <c r="O48" s="2"/>
      <c r="P48" s="18"/>
      <c r="Q48" s="2"/>
      <c r="R48" s="18"/>
      <c r="S48" s="2"/>
    </row>
    <row r="49" spans="1:19" ht="16.5" thickTop="1" thickBot="1">
      <c r="A49" s="4260"/>
      <c r="B49" s="326"/>
      <c r="C49" s="327"/>
      <c r="D49" s="311"/>
      <c r="E49" s="2"/>
      <c r="F49" s="18"/>
      <c r="G49" s="2"/>
      <c r="H49" s="18"/>
      <c r="I49" s="2"/>
      <c r="J49" s="18"/>
      <c r="K49" s="2"/>
      <c r="L49" s="18"/>
      <c r="M49" s="2"/>
      <c r="N49" s="18"/>
      <c r="O49" s="2"/>
      <c r="P49" s="18"/>
      <c r="Q49" s="2"/>
      <c r="R49" s="18"/>
      <c r="S49" s="2"/>
    </row>
    <row r="50" spans="1:19" ht="16.5" thickTop="1" thickBot="1">
      <c r="A50" s="4260"/>
      <c r="B50" s="328"/>
      <c r="C50" s="329"/>
      <c r="D50" s="312"/>
      <c r="E50" s="4"/>
      <c r="F50" s="20"/>
      <c r="G50" s="4"/>
      <c r="H50" s="20"/>
      <c r="I50" s="4"/>
      <c r="J50" s="20"/>
      <c r="K50" s="4"/>
      <c r="L50" s="20"/>
      <c r="M50" s="4"/>
      <c r="N50" s="20"/>
      <c r="O50" s="4"/>
      <c r="P50" s="20"/>
      <c r="Q50" s="4"/>
      <c r="R50" s="20"/>
      <c r="S50" s="4"/>
    </row>
    <row r="51" spans="1:19" ht="16.5" thickTop="1" thickBot="1">
      <c r="A51" s="4260" t="s">
        <v>120</v>
      </c>
      <c r="B51" s="324"/>
      <c r="C51" s="325"/>
      <c r="D51" s="320"/>
      <c r="E51" s="319"/>
      <c r="F51" s="318"/>
      <c r="G51" s="319"/>
      <c r="H51" s="318"/>
      <c r="I51" s="319"/>
      <c r="J51" s="318"/>
      <c r="K51" s="319"/>
      <c r="L51" s="318"/>
      <c r="M51" s="319"/>
      <c r="N51" s="318"/>
      <c r="O51" s="319"/>
      <c r="P51" s="318"/>
      <c r="Q51" s="319"/>
      <c r="R51" s="318"/>
      <c r="S51" s="319"/>
    </row>
    <row r="52" spans="1:19" ht="16.5" thickTop="1" thickBot="1">
      <c r="A52" s="4260"/>
      <c r="B52" s="326"/>
      <c r="C52" s="327"/>
      <c r="D52" s="311"/>
      <c r="E52" s="2"/>
      <c r="F52" s="18"/>
      <c r="G52" s="2"/>
      <c r="H52" s="18"/>
      <c r="I52" s="2"/>
      <c r="J52" s="18"/>
      <c r="K52" s="2"/>
      <c r="L52" s="18"/>
      <c r="M52" s="2"/>
      <c r="N52" s="18"/>
      <c r="O52" s="2"/>
      <c r="P52" s="18"/>
      <c r="Q52" s="2"/>
      <c r="R52" s="18"/>
      <c r="S52" s="2"/>
    </row>
    <row r="53" spans="1:19" ht="16.5" thickTop="1" thickBot="1">
      <c r="A53" s="4260"/>
      <c r="B53" s="326"/>
      <c r="C53" s="327"/>
      <c r="D53" s="311"/>
      <c r="E53" s="2"/>
      <c r="F53" s="18"/>
      <c r="G53" s="2"/>
      <c r="H53" s="18"/>
      <c r="I53" s="2"/>
      <c r="J53" s="18"/>
      <c r="K53" s="2"/>
      <c r="L53" s="18"/>
      <c r="M53" s="2"/>
      <c r="N53" s="18"/>
      <c r="O53" s="2"/>
      <c r="P53" s="18"/>
      <c r="Q53" s="2"/>
      <c r="R53" s="18"/>
      <c r="S53" s="2"/>
    </row>
    <row r="54" spans="1:19" ht="16.5" thickTop="1" thickBot="1">
      <c r="A54" s="4260"/>
      <c r="B54" s="328"/>
      <c r="C54" s="329"/>
      <c r="D54" s="312"/>
      <c r="E54" s="4"/>
      <c r="F54" s="20"/>
      <c r="G54" s="4"/>
      <c r="H54" s="20"/>
      <c r="I54" s="4"/>
      <c r="J54" s="20"/>
      <c r="K54" s="4"/>
      <c r="L54" s="20"/>
      <c r="M54" s="4"/>
      <c r="N54" s="20"/>
      <c r="O54" s="4"/>
      <c r="P54" s="20"/>
      <c r="Q54" s="4"/>
      <c r="R54" s="20"/>
      <c r="S54" s="4"/>
    </row>
    <row r="55" spans="1:19" ht="16.5" thickTop="1" thickBot="1">
      <c r="A55" s="4260" t="s">
        <v>266</v>
      </c>
      <c r="B55" s="324"/>
      <c r="C55" s="325"/>
      <c r="D55" s="320"/>
      <c r="E55" s="319"/>
      <c r="F55" s="318"/>
      <c r="G55" s="319"/>
      <c r="H55" s="318"/>
      <c r="I55" s="319"/>
      <c r="J55" s="318"/>
      <c r="K55" s="319"/>
      <c r="L55" s="318"/>
      <c r="M55" s="319"/>
      <c r="N55" s="318"/>
      <c r="O55" s="319"/>
      <c r="P55" s="318"/>
      <c r="Q55" s="319"/>
      <c r="R55" s="318"/>
      <c r="S55" s="319"/>
    </row>
    <row r="56" spans="1:19" ht="16.5" thickTop="1" thickBot="1">
      <c r="A56" s="4260"/>
      <c r="B56" s="326"/>
      <c r="C56" s="327"/>
      <c r="D56" s="311"/>
      <c r="E56" s="2"/>
      <c r="F56" s="18"/>
      <c r="G56" s="2"/>
      <c r="H56" s="18"/>
      <c r="I56" s="2"/>
      <c r="J56" s="18"/>
      <c r="K56" s="2"/>
      <c r="L56" s="18"/>
      <c r="M56" s="2"/>
      <c r="N56" s="18"/>
      <c r="O56" s="2"/>
      <c r="P56" s="18"/>
      <c r="Q56" s="2"/>
      <c r="R56" s="18"/>
      <c r="S56" s="2"/>
    </row>
    <row r="57" spans="1:19" ht="16.5" thickTop="1" thickBot="1">
      <c r="A57" s="4260"/>
      <c r="B57" s="326"/>
      <c r="C57" s="327"/>
      <c r="D57" s="311"/>
      <c r="E57" s="2"/>
      <c r="F57" s="18"/>
      <c r="G57" s="2"/>
      <c r="H57" s="18"/>
      <c r="I57" s="2"/>
      <c r="J57" s="18"/>
      <c r="K57" s="2"/>
      <c r="L57" s="18"/>
      <c r="M57" s="2"/>
      <c r="N57" s="18"/>
      <c r="O57" s="2"/>
      <c r="P57" s="18"/>
      <c r="Q57" s="2"/>
      <c r="R57" s="18"/>
      <c r="S57" s="2"/>
    </row>
    <row r="58" spans="1:19" ht="16.5" thickTop="1" thickBot="1">
      <c r="A58" s="4260"/>
      <c r="B58" s="328"/>
      <c r="C58" s="329"/>
      <c r="D58" s="312"/>
      <c r="E58" s="4"/>
      <c r="F58" s="20"/>
      <c r="G58" s="4"/>
      <c r="H58" s="20"/>
      <c r="I58" s="4"/>
      <c r="J58" s="20"/>
      <c r="K58" s="4"/>
      <c r="L58" s="20"/>
      <c r="M58" s="4"/>
      <c r="N58" s="20"/>
      <c r="O58" s="4"/>
      <c r="P58" s="20"/>
      <c r="Q58" s="4"/>
      <c r="R58" s="20"/>
      <c r="S58" s="4"/>
    </row>
    <row r="59" spans="1:19" ht="16.5" thickTop="1" thickBot="1">
      <c r="A59" s="4260" t="s">
        <v>181</v>
      </c>
      <c r="B59" s="324"/>
      <c r="C59" s="325"/>
      <c r="D59" s="320"/>
      <c r="E59" s="319"/>
      <c r="F59" s="318"/>
      <c r="G59" s="319"/>
      <c r="H59" s="318"/>
      <c r="I59" s="319"/>
      <c r="J59" s="318"/>
      <c r="K59" s="319"/>
      <c r="L59" s="318"/>
      <c r="M59" s="319"/>
      <c r="N59" s="318"/>
      <c r="O59" s="319"/>
      <c r="P59" s="318"/>
      <c r="Q59" s="319"/>
      <c r="R59" s="318"/>
      <c r="S59" s="319"/>
    </row>
    <row r="60" spans="1:19" ht="16.5" thickTop="1" thickBot="1">
      <c r="A60" s="4260"/>
      <c r="B60" s="326"/>
      <c r="C60" s="327"/>
      <c r="D60" s="311"/>
      <c r="E60" s="2"/>
      <c r="F60" s="18"/>
      <c r="G60" s="2"/>
      <c r="H60" s="18"/>
      <c r="I60" s="2"/>
      <c r="J60" s="18"/>
      <c r="K60" s="2"/>
      <c r="L60" s="18"/>
      <c r="M60" s="2"/>
      <c r="N60" s="18"/>
      <c r="O60" s="2"/>
      <c r="P60" s="18"/>
      <c r="Q60" s="2"/>
      <c r="R60" s="18"/>
      <c r="S60" s="2"/>
    </row>
    <row r="61" spans="1:19" ht="16.5" thickTop="1" thickBot="1">
      <c r="A61" s="4260"/>
      <c r="B61" s="326"/>
      <c r="C61" s="327"/>
      <c r="D61" s="311"/>
      <c r="E61" s="2"/>
      <c r="F61" s="18"/>
      <c r="G61" s="2"/>
      <c r="H61" s="18"/>
      <c r="I61" s="2"/>
      <c r="J61" s="18"/>
      <c r="K61" s="2"/>
      <c r="L61" s="18"/>
      <c r="M61" s="2"/>
      <c r="N61" s="18"/>
      <c r="O61" s="2"/>
      <c r="P61" s="18"/>
      <c r="Q61" s="2"/>
      <c r="R61" s="18"/>
      <c r="S61" s="2"/>
    </row>
    <row r="62" spans="1:19" ht="16.5" thickTop="1" thickBot="1">
      <c r="A62" s="4260"/>
      <c r="B62" s="328"/>
      <c r="C62" s="329"/>
      <c r="D62" s="312"/>
      <c r="E62" s="4"/>
      <c r="F62" s="20"/>
      <c r="G62" s="4"/>
      <c r="H62" s="20"/>
      <c r="I62" s="4"/>
      <c r="J62" s="20"/>
      <c r="K62" s="4"/>
      <c r="L62" s="20"/>
      <c r="M62" s="4"/>
      <c r="N62" s="20"/>
      <c r="O62" s="4"/>
      <c r="P62" s="20"/>
      <c r="Q62" s="4"/>
      <c r="R62" s="20"/>
      <c r="S62" s="4"/>
    </row>
    <row r="63" spans="1:19" ht="16.5" thickTop="1" thickBot="1">
      <c r="A63" s="4260" t="s">
        <v>413</v>
      </c>
      <c r="B63" s="324"/>
      <c r="C63" s="325"/>
      <c r="D63" s="320"/>
      <c r="E63" s="319"/>
      <c r="F63" s="318"/>
      <c r="G63" s="319"/>
      <c r="H63" s="318"/>
      <c r="I63" s="319"/>
      <c r="J63" s="318"/>
      <c r="K63" s="319"/>
      <c r="L63" s="318"/>
      <c r="M63" s="319"/>
      <c r="N63" s="318"/>
      <c r="O63" s="319"/>
      <c r="P63" s="318"/>
      <c r="Q63" s="319"/>
      <c r="R63" s="318"/>
      <c r="S63" s="319"/>
    </row>
    <row r="64" spans="1:19" ht="16.5" thickTop="1" thickBot="1">
      <c r="A64" s="4260"/>
      <c r="B64" s="326"/>
      <c r="C64" s="327"/>
      <c r="D64" s="311"/>
      <c r="E64" s="2"/>
      <c r="F64" s="18"/>
      <c r="G64" s="2"/>
      <c r="H64" s="18"/>
      <c r="I64" s="2"/>
      <c r="J64" s="18"/>
      <c r="K64" s="2"/>
      <c r="L64" s="18"/>
      <c r="M64" s="2"/>
      <c r="N64" s="18"/>
      <c r="O64" s="2"/>
      <c r="P64" s="18"/>
      <c r="Q64" s="2"/>
      <c r="R64" s="18"/>
      <c r="S64" s="2"/>
    </row>
    <row r="65" spans="1:19" ht="16.5" thickTop="1" thickBot="1">
      <c r="A65" s="4260"/>
      <c r="B65" s="326"/>
      <c r="C65" s="327"/>
      <c r="D65" s="311"/>
      <c r="E65" s="2"/>
      <c r="F65" s="18"/>
      <c r="G65" s="2"/>
      <c r="H65" s="18"/>
      <c r="I65" s="2"/>
      <c r="J65" s="18"/>
      <c r="K65" s="2"/>
      <c r="L65" s="18"/>
      <c r="M65" s="2"/>
      <c r="N65" s="18"/>
      <c r="O65" s="2"/>
      <c r="P65" s="18"/>
      <c r="Q65" s="2"/>
      <c r="R65" s="18"/>
      <c r="S65" s="2"/>
    </row>
    <row r="66" spans="1:19" ht="16.5" thickTop="1" thickBot="1">
      <c r="A66" s="4260"/>
      <c r="B66" s="328"/>
      <c r="C66" s="329"/>
      <c r="D66" s="312"/>
      <c r="E66" s="4"/>
      <c r="F66" s="20"/>
      <c r="G66" s="4"/>
      <c r="H66" s="20"/>
      <c r="I66" s="4"/>
      <c r="J66" s="20"/>
      <c r="K66" s="4"/>
      <c r="L66" s="20"/>
      <c r="M66" s="4"/>
      <c r="N66" s="20"/>
      <c r="O66" s="4"/>
      <c r="P66" s="20"/>
      <c r="Q66" s="4"/>
      <c r="R66" s="20"/>
      <c r="S66" s="4"/>
    </row>
    <row r="67" spans="1:19" ht="16.5" thickTop="1" thickBot="1">
      <c r="A67" s="4260" t="s">
        <v>414</v>
      </c>
      <c r="B67" s="324"/>
      <c r="C67" s="325"/>
      <c r="D67" s="320"/>
      <c r="E67" s="319"/>
      <c r="F67" s="318"/>
      <c r="G67" s="319"/>
      <c r="H67" s="318"/>
      <c r="I67" s="319"/>
      <c r="J67" s="318"/>
      <c r="K67" s="319"/>
      <c r="L67" s="318"/>
      <c r="M67" s="319"/>
      <c r="N67" s="318"/>
      <c r="O67" s="319"/>
      <c r="P67" s="318"/>
      <c r="Q67" s="319"/>
      <c r="R67" s="318"/>
      <c r="S67" s="319"/>
    </row>
    <row r="68" spans="1:19" ht="16.5" thickTop="1" thickBot="1">
      <c r="A68" s="4260"/>
      <c r="B68" s="326"/>
      <c r="C68" s="327"/>
      <c r="D68" s="311"/>
      <c r="E68" s="2"/>
      <c r="F68" s="18"/>
      <c r="G68" s="2"/>
      <c r="H68" s="18"/>
      <c r="I68" s="2"/>
      <c r="J68" s="18"/>
      <c r="K68" s="2"/>
      <c r="L68" s="18"/>
      <c r="M68" s="2"/>
      <c r="N68" s="18"/>
      <c r="O68" s="2"/>
      <c r="P68" s="18"/>
      <c r="Q68" s="2"/>
      <c r="R68" s="18"/>
      <c r="S68" s="2"/>
    </row>
    <row r="69" spans="1:19" ht="16.5" thickTop="1" thickBot="1">
      <c r="A69" s="4260"/>
      <c r="B69" s="326"/>
      <c r="C69" s="327"/>
      <c r="D69" s="311"/>
      <c r="E69" s="2"/>
      <c r="F69" s="18"/>
      <c r="G69" s="2"/>
      <c r="H69" s="18"/>
      <c r="I69" s="2"/>
      <c r="J69" s="18"/>
      <c r="K69" s="2"/>
      <c r="L69" s="18"/>
      <c r="M69" s="2"/>
      <c r="N69" s="18"/>
      <c r="O69" s="2"/>
      <c r="P69" s="18"/>
      <c r="Q69" s="2"/>
      <c r="R69" s="18"/>
      <c r="S69" s="2"/>
    </row>
    <row r="70" spans="1:19" ht="16.5" thickTop="1" thickBot="1">
      <c r="A70" s="4260"/>
      <c r="B70" s="328"/>
      <c r="C70" s="329"/>
      <c r="D70" s="312"/>
      <c r="E70" s="4"/>
      <c r="F70" s="20"/>
      <c r="G70" s="4"/>
      <c r="H70" s="20"/>
      <c r="I70" s="4"/>
      <c r="J70" s="20"/>
      <c r="K70" s="4"/>
      <c r="L70" s="20"/>
      <c r="M70" s="4"/>
      <c r="N70" s="20"/>
      <c r="O70" s="4"/>
      <c r="P70" s="20"/>
      <c r="Q70" s="4"/>
      <c r="R70" s="20"/>
      <c r="S70" s="4"/>
    </row>
    <row r="71" spans="1:19" ht="16.5" thickTop="1" thickBot="1">
      <c r="A71" s="4260" t="s">
        <v>445</v>
      </c>
      <c r="B71" s="324"/>
      <c r="C71" s="325"/>
      <c r="D71" s="320"/>
      <c r="E71" s="319"/>
      <c r="F71" s="318"/>
      <c r="G71" s="319"/>
      <c r="H71" s="318"/>
      <c r="I71" s="319"/>
      <c r="J71" s="318"/>
      <c r="K71" s="319"/>
      <c r="L71" s="318"/>
      <c r="M71" s="319"/>
      <c r="N71" s="318"/>
      <c r="O71" s="319"/>
      <c r="P71" s="318"/>
      <c r="Q71" s="319"/>
      <c r="R71" s="318"/>
      <c r="S71" s="319"/>
    </row>
    <row r="72" spans="1:19" ht="16.5" thickTop="1" thickBot="1">
      <c r="A72" s="4260"/>
      <c r="B72" s="326"/>
      <c r="C72" s="327"/>
      <c r="D72" s="311"/>
      <c r="E72" s="2"/>
      <c r="F72" s="18"/>
      <c r="G72" s="2"/>
      <c r="H72" s="18"/>
      <c r="I72" s="2"/>
      <c r="J72" s="18"/>
      <c r="K72" s="2"/>
      <c r="L72" s="18"/>
      <c r="M72" s="2"/>
      <c r="N72" s="18"/>
      <c r="O72" s="2"/>
      <c r="P72" s="18"/>
      <c r="Q72" s="2"/>
      <c r="R72" s="18"/>
      <c r="S72" s="2"/>
    </row>
    <row r="73" spans="1:19" ht="16.5" thickTop="1" thickBot="1">
      <c r="A73" s="4260"/>
      <c r="B73" s="326"/>
      <c r="C73" s="327"/>
      <c r="D73" s="311"/>
      <c r="E73" s="2"/>
      <c r="F73" s="18"/>
      <c r="G73" s="2"/>
      <c r="H73" s="18"/>
      <c r="I73" s="2"/>
      <c r="J73" s="18"/>
      <c r="K73" s="2"/>
      <c r="L73" s="18"/>
      <c r="M73" s="2"/>
      <c r="N73" s="18"/>
      <c r="O73" s="2"/>
      <c r="P73" s="18"/>
      <c r="Q73" s="2"/>
      <c r="R73" s="18"/>
      <c r="S73" s="2"/>
    </row>
    <row r="74" spans="1:19" ht="16.5" thickTop="1" thickBot="1">
      <c r="A74" s="4260"/>
      <c r="B74" s="328"/>
      <c r="C74" s="329"/>
      <c r="D74" s="312"/>
      <c r="E74" s="4"/>
      <c r="F74" s="20"/>
      <c r="G74" s="4"/>
      <c r="H74" s="20"/>
      <c r="I74" s="4"/>
      <c r="J74" s="20"/>
      <c r="K74" s="4"/>
      <c r="L74" s="20"/>
      <c r="M74" s="4"/>
      <c r="N74" s="20"/>
      <c r="O74" s="4"/>
      <c r="P74" s="20"/>
      <c r="Q74" s="4"/>
      <c r="R74" s="20"/>
      <c r="S74" s="4"/>
    </row>
    <row r="75" spans="1:19" ht="16.5" thickTop="1" thickBot="1">
      <c r="A75" s="4261" t="s">
        <v>356</v>
      </c>
      <c r="B75" s="324"/>
      <c r="C75" s="325"/>
      <c r="D75" s="320"/>
      <c r="E75" s="319"/>
      <c r="F75" s="318"/>
      <c r="G75" s="319"/>
      <c r="H75" s="318"/>
      <c r="I75" s="319"/>
      <c r="J75" s="318"/>
      <c r="K75" s="319"/>
      <c r="L75" s="318"/>
      <c r="M75" s="319"/>
      <c r="N75" s="318"/>
      <c r="O75" s="319"/>
      <c r="P75" s="318"/>
      <c r="Q75" s="319"/>
      <c r="R75" s="318"/>
      <c r="S75" s="319"/>
    </row>
    <row r="76" spans="1:19" ht="16.5" thickTop="1" thickBot="1">
      <c r="A76" s="4261"/>
      <c r="B76" s="326"/>
      <c r="C76" s="327"/>
      <c r="D76" s="311"/>
      <c r="E76" s="2"/>
      <c r="F76" s="18"/>
      <c r="G76" s="2"/>
      <c r="H76" s="18"/>
      <c r="I76" s="2"/>
      <c r="J76" s="18"/>
      <c r="K76" s="2"/>
      <c r="L76" s="18"/>
      <c r="M76" s="2"/>
      <c r="N76" s="18"/>
      <c r="O76" s="2"/>
      <c r="P76" s="18"/>
      <c r="Q76" s="2"/>
      <c r="R76" s="18"/>
      <c r="S76" s="2"/>
    </row>
    <row r="77" spans="1:19" ht="16.5" thickTop="1" thickBot="1">
      <c r="A77" s="4261"/>
      <c r="B77" s="326"/>
      <c r="C77" s="327"/>
      <c r="D77" s="311"/>
      <c r="E77" s="2"/>
      <c r="F77" s="18"/>
      <c r="G77" s="2"/>
      <c r="H77" s="18"/>
      <c r="I77" s="2"/>
      <c r="J77" s="18"/>
      <c r="K77" s="2"/>
      <c r="L77" s="18"/>
      <c r="M77" s="2"/>
      <c r="N77" s="18"/>
      <c r="O77" s="2"/>
      <c r="P77" s="18"/>
      <c r="Q77" s="2"/>
      <c r="R77" s="18"/>
      <c r="S77" s="2"/>
    </row>
    <row r="78" spans="1:19" ht="16.5" thickTop="1" thickBot="1">
      <c r="A78" s="4261"/>
      <c r="B78" s="328"/>
      <c r="C78" s="329"/>
      <c r="D78" s="312"/>
      <c r="E78" s="4"/>
      <c r="F78" s="20"/>
      <c r="G78" s="4"/>
      <c r="H78" s="20"/>
      <c r="I78" s="4"/>
      <c r="J78" s="20"/>
      <c r="K78" s="4"/>
      <c r="L78" s="20"/>
      <c r="M78" s="4"/>
      <c r="N78" s="20"/>
      <c r="O78" s="4"/>
      <c r="P78" s="20"/>
      <c r="Q78" s="4"/>
      <c r="R78" s="20"/>
      <c r="S78" s="4"/>
    </row>
    <row r="79" spans="1:19" ht="16.5" thickTop="1" thickBot="1">
      <c r="A79" s="4261" t="s">
        <v>412</v>
      </c>
      <c r="B79" s="324"/>
      <c r="C79" s="325"/>
      <c r="D79" s="320"/>
      <c r="E79" s="319"/>
      <c r="F79" s="318"/>
      <c r="G79" s="319"/>
      <c r="H79" s="318"/>
      <c r="I79" s="319"/>
      <c r="J79" s="318"/>
      <c r="K79" s="319"/>
      <c r="L79" s="318"/>
      <c r="M79" s="319"/>
      <c r="N79" s="318"/>
      <c r="O79" s="319"/>
      <c r="P79" s="318"/>
      <c r="Q79" s="319"/>
      <c r="R79" s="318"/>
      <c r="S79" s="319"/>
    </row>
    <row r="80" spans="1:19" ht="16.5" thickTop="1" thickBot="1">
      <c r="A80" s="4261"/>
      <c r="B80" s="326"/>
      <c r="C80" s="327"/>
      <c r="D80" s="311"/>
      <c r="E80" s="2"/>
      <c r="F80" s="18"/>
      <c r="G80" s="2"/>
      <c r="H80" s="18"/>
      <c r="I80" s="2"/>
      <c r="J80" s="18"/>
      <c r="K80" s="2"/>
      <c r="L80" s="18"/>
      <c r="M80" s="2"/>
      <c r="N80" s="18"/>
      <c r="O80" s="2"/>
      <c r="P80" s="18"/>
      <c r="Q80" s="2"/>
      <c r="R80" s="18"/>
      <c r="S80" s="2"/>
    </row>
    <row r="81" spans="1:19" ht="16.5" thickTop="1" thickBot="1">
      <c r="A81" s="4261"/>
      <c r="B81" s="326"/>
      <c r="C81" s="327"/>
      <c r="D81" s="311"/>
      <c r="E81" s="2"/>
      <c r="F81" s="18"/>
      <c r="G81" s="2"/>
      <c r="H81" s="18"/>
      <c r="I81" s="2"/>
      <c r="J81" s="18"/>
      <c r="K81" s="2"/>
      <c r="L81" s="18"/>
      <c r="M81" s="2"/>
      <c r="N81" s="18"/>
      <c r="O81" s="2"/>
      <c r="P81" s="18"/>
      <c r="Q81" s="2"/>
      <c r="R81" s="18"/>
      <c r="S81" s="2"/>
    </row>
    <row r="82" spans="1:19" ht="16.5" thickTop="1" thickBot="1">
      <c r="A82" s="4261"/>
      <c r="B82" s="328"/>
      <c r="C82" s="329"/>
      <c r="D82" s="312"/>
      <c r="E82" s="4"/>
      <c r="F82" s="20"/>
      <c r="G82" s="4"/>
      <c r="H82" s="20"/>
      <c r="I82" s="4"/>
      <c r="J82" s="20"/>
      <c r="K82" s="4"/>
      <c r="L82" s="20"/>
      <c r="M82" s="4"/>
      <c r="N82" s="20"/>
      <c r="O82" s="4"/>
      <c r="P82" s="20"/>
      <c r="Q82" s="4"/>
      <c r="R82" s="20"/>
      <c r="S82" s="4"/>
    </row>
    <row r="83" spans="1:19" ht="15.75" thickTop="1">
      <c r="A83" s="330"/>
      <c r="B83" s="326"/>
      <c r="C83" s="327"/>
      <c r="D83" s="311"/>
      <c r="E83" s="2"/>
      <c r="F83" s="18"/>
      <c r="G83" s="2"/>
      <c r="H83" s="18"/>
      <c r="I83" s="2"/>
      <c r="J83" s="18"/>
      <c r="K83" s="2"/>
      <c r="L83" s="18"/>
      <c r="M83" s="2"/>
      <c r="N83" s="18"/>
      <c r="O83" s="2"/>
      <c r="P83" s="18"/>
      <c r="Q83" s="2"/>
      <c r="R83" s="18"/>
      <c r="S83" s="2"/>
    </row>
    <row r="84" spans="1:19">
      <c r="A84" s="331"/>
      <c r="B84" s="326"/>
      <c r="C84" s="327"/>
      <c r="D84" s="311"/>
      <c r="E84" s="2"/>
      <c r="F84" s="18"/>
      <c r="G84" s="2"/>
      <c r="H84" s="18"/>
      <c r="I84" s="2"/>
      <c r="J84" s="18"/>
      <c r="K84" s="2"/>
      <c r="L84" s="18"/>
      <c r="M84" s="2"/>
      <c r="N84" s="18"/>
      <c r="O84" s="2"/>
      <c r="P84" s="18"/>
      <c r="Q84" s="2"/>
      <c r="R84" s="18"/>
      <c r="S84" s="2"/>
    </row>
    <row r="85" spans="1:19">
      <c r="A85" s="331"/>
      <c r="B85" s="326"/>
      <c r="C85" s="327"/>
      <c r="D85" s="311"/>
      <c r="E85" s="2"/>
      <c r="F85" s="18"/>
      <c r="G85" s="2"/>
      <c r="H85" s="18"/>
      <c r="I85" s="2"/>
      <c r="J85" s="18"/>
      <c r="K85" s="2"/>
      <c r="L85" s="18"/>
      <c r="M85" s="2"/>
      <c r="N85" s="18"/>
      <c r="O85" s="2"/>
      <c r="P85" s="18"/>
      <c r="Q85" s="2"/>
      <c r="R85" s="18"/>
      <c r="S85" s="2"/>
    </row>
    <row r="86" spans="1:19">
      <c r="A86" s="331"/>
      <c r="B86" s="326"/>
      <c r="C86" s="327"/>
      <c r="D86" s="311"/>
      <c r="E86" s="2"/>
      <c r="F86" s="18"/>
      <c r="G86" s="2"/>
      <c r="H86" s="18"/>
      <c r="I86" s="2"/>
      <c r="J86" s="18"/>
      <c r="K86" s="2"/>
      <c r="L86" s="18"/>
      <c r="M86" s="2"/>
      <c r="N86" s="18"/>
      <c r="O86" s="2"/>
      <c r="P86" s="18"/>
      <c r="Q86" s="2"/>
      <c r="R86" s="18"/>
      <c r="S86" s="2"/>
    </row>
    <row r="87" spans="1:19">
      <c r="A87" s="331"/>
      <c r="B87" s="326"/>
      <c r="C87" s="327"/>
      <c r="D87" s="311"/>
      <c r="E87" s="2"/>
      <c r="F87" s="18"/>
      <c r="G87" s="2"/>
      <c r="H87" s="18"/>
      <c r="I87" s="2"/>
      <c r="J87" s="18"/>
      <c r="K87" s="2"/>
      <c r="L87" s="18"/>
      <c r="M87" s="2"/>
      <c r="N87" s="18"/>
      <c r="O87" s="2"/>
      <c r="P87" s="18"/>
      <c r="Q87" s="2"/>
      <c r="R87" s="18"/>
      <c r="S87" s="2"/>
    </row>
    <row r="88" spans="1:19">
      <c r="A88" s="331"/>
      <c r="B88" s="326"/>
      <c r="C88" s="327"/>
      <c r="D88" s="311"/>
      <c r="E88" s="2"/>
      <c r="F88" s="18"/>
      <c r="G88" s="2"/>
      <c r="H88" s="18"/>
      <c r="I88" s="2"/>
      <c r="J88" s="18"/>
      <c r="K88" s="2"/>
      <c r="L88" s="18"/>
      <c r="M88" s="2"/>
      <c r="N88" s="18"/>
      <c r="O88" s="2"/>
      <c r="P88" s="18"/>
      <c r="Q88" s="2"/>
      <c r="R88" s="18"/>
      <c r="S88" s="2"/>
    </row>
    <row r="89" spans="1:19">
      <c r="A89" s="331"/>
      <c r="B89" s="326"/>
      <c r="C89" s="327"/>
      <c r="D89" s="311"/>
      <c r="E89" s="2"/>
      <c r="F89" s="18"/>
      <c r="G89" s="2"/>
      <c r="H89" s="18"/>
      <c r="I89" s="2"/>
      <c r="J89" s="18"/>
      <c r="K89" s="2"/>
      <c r="L89" s="18"/>
      <c r="M89" s="2"/>
      <c r="N89" s="18"/>
      <c r="O89" s="2"/>
      <c r="P89" s="18"/>
      <c r="Q89" s="2"/>
      <c r="R89" s="18"/>
      <c r="S89" s="2"/>
    </row>
    <row r="90" spans="1:19">
      <c r="A90" s="331"/>
      <c r="B90" s="326"/>
      <c r="C90" s="327"/>
      <c r="D90" s="311"/>
      <c r="E90" s="2"/>
      <c r="F90" s="18"/>
      <c r="G90" s="2"/>
      <c r="H90" s="18"/>
      <c r="I90" s="2"/>
      <c r="J90" s="18"/>
      <c r="K90" s="2"/>
      <c r="L90" s="18"/>
      <c r="M90" s="2"/>
      <c r="N90" s="18"/>
      <c r="O90" s="2"/>
      <c r="P90" s="18"/>
      <c r="Q90" s="2"/>
      <c r="R90" s="18"/>
      <c r="S90" s="2"/>
    </row>
    <row r="91" spans="1:19">
      <c r="A91" s="331"/>
      <c r="B91" s="326"/>
      <c r="C91" s="327"/>
      <c r="D91" s="311"/>
      <c r="E91" s="2"/>
      <c r="F91" s="18"/>
      <c r="G91" s="2"/>
      <c r="H91" s="18"/>
      <c r="I91" s="2"/>
      <c r="J91" s="18"/>
      <c r="K91" s="2"/>
      <c r="L91" s="18"/>
      <c r="M91" s="2"/>
      <c r="N91" s="18"/>
      <c r="O91" s="2"/>
      <c r="P91" s="18"/>
      <c r="Q91" s="2"/>
      <c r="R91" s="18"/>
      <c r="S91" s="2"/>
    </row>
    <row r="92" spans="1:19">
      <c r="A92" s="331"/>
      <c r="B92" s="326"/>
      <c r="C92" s="327"/>
      <c r="D92" s="311"/>
      <c r="E92" s="2"/>
      <c r="F92" s="18"/>
      <c r="G92" s="2"/>
      <c r="H92" s="18"/>
      <c r="I92" s="2"/>
      <c r="J92" s="18"/>
      <c r="K92" s="2"/>
      <c r="L92" s="18"/>
      <c r="M92" s="2"/>
      <c r="N92" s="18"/>
      <c r="O92" s="2"/>
      <c r="P92" s="18"/>
      <c r="Q92" s="2"/>
      <c r="R92" s="18"/>
      <c r="S92" s="2"/>
    </row>
    <row r="93" spans="1:19">
      <c r="A93" s="331"/>
      <c r="B93" s="326"/>
      <c r="C93" s="327"/>
      <c r="D93" s="311"/>
      <c r="E93" s="2"/>
      <c r="F93" s="18"/>
      <c r="G93" s="2"/>
      <c r="H93" s="18"/>
      <c r="I93" s="2"/>
      <c r="J93" s="18"/>
      <c r="K93" s="2"/>
      <c r="L93" s="18"/>
      <c r="M93" s="2"/>
      <c r="N93" s="18"/>
      <c r="O93" s="2"/>
      <c r="P93" s="18"/>
      <c r="Q93" s="2"/>
      <c r="R93" s="18"/>
      <c r="S93" s="2"/>
    </row>
    <row r="94" spans="1:19">
      <c r="A94" s="331"/>
      <c r="B94" s="326"/>
      <c r="C94" s="327"/>
      <c r="D94" s="311"/>
      <c r="E94" s="2"/>
      <c r="F94" s="18"/>
      <c r="G94" s="2"/>
      <c r="H94" s="18"/>
      <c r="I94" s="2"/>
      <c r="J94" s="18"/>
      <c r="K94" s="2"/>
      <c r="L94" s="18"/>
      <c r="M94" s="2"/>
      <c r="N94" s="18"/>
      <c r="O94" s="2"/>
      <c r="P94" s="18"/>
      <c r="Q94" s="2"/>
      <c r="R94" s="18"/>
      <c r="S94" s="2"/>
    </row>
    <row r="95" spans="1:19">
      <c r="A95" s="331"/>
      <c r="B95" s="326"/>
      <c r="C95" s="327"/>
      <c r="D95" s="311"/>
      <c r="E95" s="2"/>
      <c r="F95" s="18"/>
      <c r="G95" s="2"/>
      <c r="H95" s="18"/>
      <c r="I95" s="2"/>
      <c r="J95" s="18"/>
      <c r="K95" s="2"/>
      <c r="L95" s="18"/>
      <c r="M95" s="2"/>
      <c r="N95" s="18"/>
      <c r="O95" s="2"/>
      <c r="P95" s="18"/>
      <c r="Q95" s="2"/>
      <c r="R95" s="18"/>
      <c r="S95" s="2"/>
    </row>
    <row r="96" spans="1:19">
      <c r="A96" s="331"/>
      <c r="B96" s="326"/>
      <c r="C96" s="327"/>
      <c r="D96" s="311"/>
      <c r="E96" s="2"/>
      <c r="F96" s="18"/>
      <c r="G96" s="2"/>
      <c r="H96" s="18"/>
      <c r="I96" s="2"/>
      <c r="J96" s="18"/>
      <c r="K96" s="2"/>
      <c r="L96" s="18"/>
      <c r="M96" s="2"/>
      <c r="N96" s="18"/>
      <c r="O96" s="2"/>
      <c r="P96" s="18"/>
      <c r="Q96" s="2"/>
      <c r="R96" s="18"/>
      <c r="S96" s="2"/>
    </row>
    <row r="97" spans="1:19">
      <c r="A97" s="331"/>
      <c r="B97" s="326"/>
      <c r="C97" s="327"/>
      <c r="D97" s="311"/>
      <c r="E97" s="2"/>
      <c r="F97" s="18"/>
      <c r="G97" s="2"/>
      <c r="H97" s="18"/>
      <c r="I97" s="2"/>
      <c r="J97" s="18"/>
      <c r="K97" s="2"/>
      <c r="L97" s="18"/>
      <c r="M97" s="2"/>
      <c r="N97" s="18"/>
      <c r="O97" s="2"/>
      <c r="P97" s="18"/>
      <c r="Q97" s="2"/>
      <c r="R97" s="18"/>
      <c r="S97" s="2"/>
    </row>
    <row r="98" spans="1:19">
      <c r="A98" s="331"/>
      <c r="B98" s="326"/>
      <c r="C98" s="327"/>
      <c r="D98" s="311"/>
      <c r="E98" s="2"/>
      <c r="F98" s="18"/>
      <c r="G98" s="2"/>
      <c r="H98" s="18"/>
      <c r="I98" s="2"/>
      <c r="J98" s="18"/>
      <c r="K98" s="2"/>
      <c r="L98" s="18"/>
      <c r="M98" s="2"/>
      <c r="N98" s="18"/>
      <c r="O98" s="2"/>
      <c r="P98" s="18"/>
      <c r="Q98" s="2"/>
      <c r="R98" s="18"/>
      <c r="S98" s="2"/>
    </row>
    <row r="99" spans="1:19">
      <c r="A99" s="331"/>
      <c r="B99" s="326"/>
      <c r="C99" s="327"/>
      <c r="D99" s="311"/>
      <c r="E99" s="2"/>
      <c r="F99" s="18"/>
      <c r="G99" s="2"/>
      <c r="H99" s="18"/>
      <c r="I99" s="2"/>
      <c r="J99" s="18"/>
      <c r="K99" s="2"/>
      <c r="L99" s="18"/>
      <c r="M99" s="2"/>
      <c r="N99" s="18"/>
      <c r="O99" s="2"/>
      <c r="P99" s="18"/>
      <c r="Q99" s="2"/>
      <c r="R99" s="18"/>
      <c r="S99" s="2"/>
    </row>
    <row r="100" spans="1:19">
      <c r="A100" s="331"/>
      <c r="B100" s="326"/>
      <c r="C100" s="327"/>
      <c r="D100" s="311"/>
      <c r="E100" s="2"/>
      <c r="F100" s="18"/>
      <c r="G100" s="2"/>
      <c r="H100" s="18"/>
      <c r="I100" s="2"/>
      <c r="J100" s="18"/>
      <c r="K100" s="2"/>
      <c r="L100" s="18"/>
      <c r="M100" s="2"/>
      <c r="N100" s="18"/>
      <c r="O100" s="2"/>
      <c r="P100" s="18"/>
      <c r="Q100" s="2"/>
      <c r="R100" s="18"/>
      <c r="S100" s="2"/>
    </row>
    <row r="101" spans="1:19">
      <c r="A101" s="331"/>
      <c r="B101" s="326"/>
      <c r="C101" s="327"/>
      <c r="D101" s="311"/>
      <c r="E101" s="2"/>
      <c r="F101" s="18"/>
      <c r="G101" s="2"/>
      <c r="H101" s="18"/>
      <c r="I101" s="2"/>
      <c r="J101" s="18"/>
      <c r="K101" s="2"/>
      <c r="L101" s="18"/>
      <c r="M101" s="2"/>
      <c r="N101" s="18"/>
      <c r="O101" s="2"/>
      <c r="P101" s="18"/>
      <c r="Q101" s="2"/>
      <c r="R101" s="18"/>
      <c r="S101" s="2"/>
    </row>
    <row r="102" spans="1:19">
      <c r="A102" s="331"/>
      <c r="B102" s="326"/>
      <c r="C102" s="327"/>
      <c r="D102" s="311"/>
      <c r="E102" s="2"/>
      <c r="F102" s="18"/>
      <c r="G102" s="2"/>
      <c r="H102" s="18"/>
      <c r="I102" s="2"/>
      <c r="J102" s="18"/>
      <c r="K102" s="2"/>
      <c r="L102" s="18"/>
      <c r="M102" s="2"/>
      <c r="N102" s="18"/>
      <c r="O102" s="2"/>
      <c r="P102" s="18"/>
      <c r="Q102" s="2"/>
      <c r="R102" s="18"/>
      <c r="S102" s="2"/>
    </row>
    <row r="103" spans="1:19">
      <c r="A103" s="331"/>
      <c r="B103" s="326"/>
      <c r="C103" s="327"/>
      <c r="D103" s="311"/>
      <c r="E103" s="2"/>
      <c r="F103" s="18"/>
      <c r="G103" s="2"/>
      <c r="H103" s="18"/>
      <c r="I103" s="2"/>
      <c r="J103" s="18"/>
      <c r="K103" s="2"/>
      <c r="L103" s="18"/>
      <c r="M103" s="2"/>
      <c r="N103" s="18"/>
      <c r="O103" s="2"/>
      <c r="P103" s="18"/>
      <c r="Q103" s="2"/>
      <c r="R103" s="18"/>
      <c r="S103" s="2"/>
    </row>
    <row r="104" spans="1:19">
      <c r="A104" s="331"/>
      <c r="B104" s="326"/>
      <c r="C104" s="327"/>
      <c r="D104" s="311"/>
      <c r="E104" s="2"/>
      <c r="F104" s="18"/>
      <c r="G104" s="2"/>
      <c r="H104" s="18"/>
      <c r="I104" s="2"/>
      <c r="J104" s="18"/>
      <c r="K104" s="2"/>
      <c r="L104" s="18"/>
      <c r="M104" s="2"/>
      <c r="N104" s="18"/>
      <c r="O104" s="2"/>
      <c r="P104" s="18"/>
      <c r="Q104" s="2"/>
      <c r="R104" s="18"/>
      <c r="S104" s="2"/>
    </row>
    <row r="105" spans="1:19">
      <c r="A105" s="331"/>
      <c r="B105" s="326"/>
      <c r="C105" s="327"/>
      <c r="D105" s="311"/>
      <c r="E105" s="2"/>
      <c r="F105" s="18"/>
      <c r="G105" s="2"/>
      <c r="H105" s="18"/>
      <c r="I105" s="2"/>
      <c r="J105" s="18"/>
      <c r="K105" s="2"/>
      <c r="L105" s="18"/>
      <c r="M105" s="2"/>
      <c r="N105" s="18"/>
      <c r="O105" s="2"/>
      <c r="P105" s="18"/>
      <c r="Q105" s="2"/>
      <c r="R105" s="18"/>
      <c r="S105" s="2"/>
    </row>
    <row r="106" spans="1:19">
      <c r="A106" s="331"/>
      <c r="B106" s="326"/>
      <c r="C106" s="327"/>
      <c r="D106" s="311"/>
      <c r="E106" s="2"/>
      <c r="F106" s="18"/>
      <c r="G106" s="2"/>
      <c r="H106" s="18"/>
      <c r="I106" s="2"/>
      <c r="J106" s="18"/>
      <c r="K106" s="2"/>
      <c r="L106" s="18"/>
      <c r="M106" s="2"/>
      <c r="N106" s="18"/>
      <c r="O106" s="2"/>
      <c r="P106" s="18"/>
      <c r="Q106" s="2"/>
      <c r="R106" s="18"/>
      <c r="S106" s="2"/>
    </row>
    <row r="107" spans="1:19">
      <c r="A107" s="331"/>
      <c r="B107" s="326"/>
      <c r="C107" s="327"/>
      <c r="D107" s="311"/>
      <c r="E107" s="2"/>
      <c r="F107" s="18"/>
      <c r="G107" s="2"/>
      <c r="H107" s="18"/>
      <c r="I107" s="2"/>
      <c r="J107" s="18"/>
      <c r="K107" s="2"/>
      <c r="L107" s="18"/>
      <c r="M107" s="2"/>
      <c r="N107" s="18"/>
      <c r="O107" s="2"/>
      <c r="P107" s="18"/>
      <c r="Q107" s="2"/>
      <c r="R107" s="18"/>
      <c r="S107" s="2"/>
    </row>
    <row r="108" spans="1:19">
      <c r="A108" s="331"/>
      <c r="B108" s="326"/>
      <c r="C108" s="327"/>
      <c r="D108" s="311"/>
      <c r="E108" s="2"/>
      <c r="F108" s="18"/>
      <c r="G108" s="2"/>
      <c r="H108" s="18"/>
      <c r="I108" s="2"/>
      <c r="J108" s="18"/>
      <c r="K108" s="2"/>
      <c r="L108" s="18"/>
      <c r="M108" s="2"/>
      <c r="N108" s="18"/>
      <c r="O108" s="2"/>
      <c r="P108" s="18"/>
      <c r="Q108" s="2"/>
      <c r="R108" s="18"/>
      <c r="S108" s="2"/>
    </row>
    <row r="109" spans="1:19">
      <c r="A109" s="331"/>
      <c r="B109" s="326"/>
      <c r="C109" s="327"/>
      <c r="D109" s="311"/>
      <c r="E109" s="2"/>
      <c r="F109" s="18"/>
      <c r="G109" s="2"/>
      <c r="H109" s="18"/>
      <c r="I109" s="2"/>
      <c r="J109" s="18"/>
      <c r="K109" s="2"/>
      <c r="L109" s="18"/>
      <c r="M109" s="2"/>
      <c r="N109" s="18"/>
      <c r="O109" s="2"/>
      <c r="P109" s="18"/>
      <c r="Q109" s="2"/>
      <c r="R109" s="18"/>
      <c r="S109" s="2"/>
    </row>
    <row r="110" spans="1:19">
      <c r="A110" s="331"/>
      <c r="B110" s="326"/>
      <c r="C110" s="327"/>
      <c r="D110" s="311"/>
      <c r="E110" s="2"/>
      <c r="F110" s="18"/>
      <c r="G110" s="2"/>
      <c r="H110" s="18"/>
      <c r="I110" s="2"/>
      <c r="J110" s="18"/>
      <c r="K110" s="2"/>
      <c r="L110" s="18"/>
      <c r="M110" s="2"/>
      <c r="N110" s="18"/>
      <c r="O110" s="2"/>
      <c r="P110" s="18"/>
      <c r="Q110" s="2"/>
      <c r="R110" s="18"/>
      <c r="S110" s="2"/>
    </row>
    <row r="111" spans="1:19">
      <c r="A111" s="331"/>
      <c r="B111" s="326"/>
      <c r="C111" s="327"/>
      <c r="D111" s="311"/>
      <c r="E111" s="2"/>
      <c r="F111" s="18"/>
      <c r="G111" s="2"/>
      <c r="H111" s="18"/>
      <c r="I111" s="2"/>
      <c r="J111" s="18"/>
      <c r="K111" s="2"/>
      <c r="L111" s="18"/>
      <c r="M111" s="2"/>
      <c r="N111" s="18"/>
      <c r="O111" s="2"/>
      <c r="P111" s="18"/>
      <c r="Q111" s="2"/>
      <c r="R111" s="18"/>
      <c r="S111" s="2"/>
    </row>
    <row r="112" spans="1:19">
      <c r="A112" s="331"/>
      <c r="B112" s="326"/>
      <c r="C112" s="327"/>
      <c r="D112" s="311"/>
      <c r="E112" s="2"/>
      <c r="F112" s="18"/>
      <c r="G112" s="2"/>
      <c r="H112" s="18"/>
      <c r="I112" s="2"/>
      <c r="J112" s="18"/>
      <c r="K112" s="2"/>
      <c r="L112" s="18"/>
      <c r="M112" s="2"/>
      <c r="N112" s="18"/>
      <c r="O112" s="2"/>
      <c r="P112" s="18"/>
      <c r="Q112" s="2"/>
      <c r="R112" s="18"/>
      <c r="S112" s="2"/>
    </row>
    <row r="113" spans="1:19">
      <c r="A113" s="331"/>
      <c r="B113" s="326"/>
      <c r="C113" s="327"/>
      <c r="D113" s="311"/>
      <c r="E113" s="2"/>
      <c r="F113" s="18"/>
      <c r="G113" s="2"/>
      <c r="H113" s="18"/>
      <c r="I113" s="2"/>
      <c r="J113" s="18"/>
      <c r="K113" s="2"/>
      <c r="L113" s="18"/>
      <c r="M113" s="2"/>
      <c r="N113" s="18"/>
      <c r="O113" s="2"/>
      <c r="P113" s="18"/>
      <c r="Q113" s="2"/>
      <c r="R113" s="18"/>
      <c r="S113" s="2"/>
    </row>
    <row r="114" spans="1:19">
      <c r="A114" s="331"/>
      <c r="B114" s="326"/>
      <c r="C114" s="327"/>
      <c r="D114" s="311"/>
      <c r="E114" s="2"/>
      <c r="F114" s="18"/>
      <c r="G114" s="2"/>
      <c r="H114" s="18"/>
      <c r="I114" s="2"/>
      <c r="J114" s="18"/>
      <c r="K114" s="2"/>
      <c r="L114" s="18"/>
      <c r="M114" s="2"/>
      <c r="N114" s="18"/>
      <c r="O114" s="2"/>
      <c r="P114" s="18"/>
      <c r="Q114" s="2"/>
      <c r="R114" s="18"/>
      <c r="S114" s="2"/>
    </row>
    <row r="115" spans="1:19">
      <c r="A115" s="331"/>
      <c r="B115" s="326"/>
      <c r="C115" s="327"/>
      <c r="D115" s="311"/>
      <c r="E115" s="2"/>
      <c r="F115" s="18"/>
      <c r="G115" s="2"/>
      <c r="H115" s="18"/>
      <c r="I115" s="2"/>
      <c r="J115" s="18"/>
      <c r="K115" s="2"/>
      <c r="L115" s="18"/>
      <c r="M115" s="2"/>
      <c r="N115" s="18"/>
      <c r="O115" s="2"/>
      <c r="P115" s="18"/>
      <c r="Q115" s="2"/>
      <c r="R115" s="18"/>
      <c r="S115" s="2"/>
    </row>
    <row r="116" spans="1:19">
      <c r="A116" s="331"/>
      <c r="B116" s="326"/>
      <c r="C116" s="327"/>
      <c r="D116" s="311"/>
      <c r="E116" s="2"/>
      <c r="F116" s="18"/>
      <c r="G116" s="2"/>
      <c r="H116" s="18"/>
      <c r="I116" s="2"/>
      <c r="J116" s="18"/>
      <c r="K116" s="2"/>
      <c r="L116" s="18"/>
      <c r="M116" s="2"/>
      <c r="N116" s="18"/>
      <c r="O116" s="2"/>
      <c r="P116" s="18"/>
      <c r="Q116" s="2"/>
      <c r="R116" s="18"/>
      <c r="S116" s="2"/>
    </row>
    <row r="117" spans="1:19" ht="15.75" thickBot="1">
      <c r="A117" s="332"/>
      <c r="B117" s="328"/>
      <c r="C117" s="329"/>
      <c r="D117" s="312"/>
      <c r="E117" s="4"/>
      <c r="F117" s="20"/>
      <c r="G117" s="4"/>
      <c r="H117" s="20"/>
      <c r="I117" s="4"/>
      <c r="J117" s="20"/>
      <c r="K117" s="4"/>
      <c r="L117" s="20"/>
      <c r="M117" s="4"/>
      <c r="N117" s="20"/>
      <c r="O117" s="4"/>
      <c r="P117" s="20"/>
      <c r="Q117" s="4"/>
      <c r="R117" s="20"/>
      <c r="S117" s="4"/>
    </row>
    <row r="118" spans="1:19" ht="15.75" thickTop="1"/>
    <row r="123" spans="1:19" hidden="1"/>
    <row r="124" spans="1:19" hidden="1"/>
    <row r="125" spans="1:19" hidden="1"/>
    <row r="126" spans="1:19" hidden="1">
      <c r="B126" t="s">
        <v>349</v>
      </c>
      <c r="C126" t="s">
        <v>104</v>
      </c>
    </row>
    <row r="127" spans="1:19" hidden="1">
      <c r="B127" t="s">
        <v>664</v>
      </c>
      <c r="C127" t="s">
        <v>171</v>
      </c>
    </row>
    <row r="128" spans="1:19" hidden="1">
      <c r="B128" t="s">
        <v>665</v>
      </c>
      <c r="C128" t="s">
        <v>103</v>
      </c>
    </row>
    <row r="129" spans="2:3" hidden="1">
      <c r="B129" t="s">
        <v>666</v>
      </c>
      <c r="C129" t="s">
        <v>336</v>
      </c>
    </row>
    <row r="130" spans="2:3" hidden="1">
      <c r="B130" t="s">
        <v>234</v>
      </c>
      <c r="C130" t="s">
        <v>726</v>
      </c>
    </row>
    <row r="131" spans="2:3" hidden="1"/>
  </sheetData>
  <mergeCells count="28">
    <mergeCell ref="A71:A74"/>
    <mergeCell ref="A43:A46"/>
    <mergeCell ref="A79:A82"/>
    <mergeCell ref="A47:A50"/>
    <mergeCell ref="A51:A54"/>
    <mergeCell ref="A55:A58"/>
    <mergeCell ref="A75:A78"/>
    <mergeCell ref="D1:E1"/>
    <mergeCell ref="F1:G1"/>
    <mergeCell ref="A59:A62"/>
    <mergeCell ref="A63:A66"/>
    <mergeCell ref="A67:A70"/>
    <mergeCell ref="A27:A30"/>
    <mergeCell ref="A31:A34"/>
    <mergeCell ref="A35:A38"/>
    <mergeCell ref="A39:A42"/>
    <mergeCell ref="A7:A10"/>
    <mergeCell ref="A11:A14"/>
    <mergeCell ref="A15:A18"/>
    <mergeCell ref="A19:A22"/>
    <mergeCell ref="A23:A26"/>
    <mergeCell ref="A3:A6"/>
    <mergeCell ref="N1:O1"/>
    <mergeCell ref="P1:Q1"/>
    <mergeCell ref="R1:S1"/>
    <mergeCell ref="H1:I1"/>
    <mergeCell ref="J1:K1"/>
    <mergeCell ref="L1:M1"/>
  </mergeCells>
  <dataValidations count="2">
    <dataValidation type="list" allowBlank="1" showInputMessage="1" showErrorMessage="1" sqref="C3:C117">
      <formula1>$C$126:$C$130</formula1>
    </dataValidation>
    <dataValidation type="list" allowBlank="1" showInputMessage="1" showErrorMessage="1" sqref="B3:B117">
      <formula1>$B$126:$B$130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Д Райский</vt:lpstr>
      <vt:lpstr>Чумак</vt:lpstr>
      <vt:lpstr>Евсеева</vt:lpstr>
      <vt:lpstr>Прочие</vt:lpstr>
      <vt:lpstr>График</vt:lpstr>
      <vt:lpstr>Svodn</vt:lpstr>
      <vt:lpstr>РАСШИФРОВКА</vt:lpstr>
      <vt:lpstr>Платежи</vt:lpstr>
      <vt:lpstr>Маркетинг по поставщикам</vt:lpstr>
      <vt:lpstr>Лист2</vt:lpstr>
      <vt:lpstr>Лист1</vt:lpstr>
      <vt:lpstr>FIX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Виталий Рощупкин</cp:lastModifiedBy>
  <cp:lastPrinted>2020-03-10T10:53:24Z</cp:lastPrinted>
  <dcterms:created xsi:type="dcterms:W3CDTF">2013-02-27T15:33:07Z</dcterms:created>
  <dcterms:modified xsi:type="dcterms:W3CDTF">2020-06-22T14:15:23Z</dcterms:modified>
</cp:coreProperties>
</file>